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3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slicers/slicer3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slicers/slicer4.xml" ContentType="application/vnd.ms-excel.slicer+xml"/>
  <Override PartName="/xl/media/image16.jpg" ContentType="image/png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sansao.santos\Downloads\"/>
    </mc:Choice>
  </mc:AlternateContent>
  <xr:revisionPtr revIDLastSave="0" documentId="13_ncr:1_{784EC05D-5940-4914-9D95-A2F63AC2C119}" xr6:coauthVersionLast="47" xr6:coauthVersionMax="47" xr10:uidLastSave="{00000000-0000-0000-0000-000000000000}"/>
  <bookViews>
    <workbookView xWindow="-108" yWindow="-108" windowWidth="23256" windowHeight="12576" tabRatio="740" firstSheet="5" activeTab="9" xr2:uid="{00000000-000D-0000-FFFF-FFFF00000000}"/>
  </bookViews>
  <sheets>
    <sheet name="Planilha1" sheetId="2" state="hidden" r:id="rId1"/>
    <sheet name="Planilha2" sheetId="3" state="hidden" r:id="rId2"/>
    <sheet name="Sheet1" sheetId="1" state="hidden" r:id="rId3"/>
    <sheet name="Base de Dados" sheetId="4" state="hidden" r:id="rId4"/>
    <sheet name="Planilha9" sheetId="10" state="hidden" r:id="rId5"/>
    <sheet name="Base de dados G4" sheetId="11" r:id="rId6"/>
    <sheet name="Tabela Dinânima" sheetId="19" r:id="rId7"/>
    <sheet name="Dashboard IPIRANGA" sheetId="5" r:id="rId8"/>
    <sheet name="Abastecimento" sheetId="20" r:id="rId9"/>
    <sheet name="Recomendação" sheetId="22" r:id="rId10"/>
    <sheet name="Visual 2 (2)" sheetId="21" r:id="rId11"/>
  </sheets>
  <definedNames>
    <definedName name="SegmentaçãodeDados_GÊNERO">#N/A</definedName>
    <definedName name="SegmentaçãodeDados_REGIÃO">#N/A</definedName>
  </definedNames>
  <calcPr calcId="191029"/>
  <pivotCaches>
    <pivotCache cacheId="2" r:id="rId12"/>
    <pivotCache cacheId="3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2" i="19" l="1"/>
  <c r="M51" i="19"/>
  <c r="M50" i="19"/>
  <c r="M49" i="19"/>
  <c r="M48" i="19"/>
  <c r="L53" i="19"/>
  <c r="U7" i="19"/>
  <c r="T7" i="19"/>
  <c r="D3" i="19"/>
  <c r="C3" i="19"/>
  <c r="C4" i="19"/>
  <c r="E1" i="19"/>
  <c r="D1" i="19"/>
  <c r="C1" i="19"/>
  <c r="B1" i="19"/>
  <c r="F67" i="19"/>
  <c r="F68" i="19"/>
  <c r="F69" i="19"/>
  <c r="F70" i="19"/>
  <c r="F71" i="19"/>
  <c r="F72" i="19"/>
  <c r="F73" i="19"/>
  <c r="T6" i="19" s="1"/>
  <c r="U6" i="19" s="1"/>
  <c r="F66" i="19"/>
  <c r="E67" i="19"/>
  <c r="E68" i="19"/>
  <c r="E69" i="19"/>
  <c r="E70" i="19"/>
  <c r="E66" i="19"/>
  <c r="C66" i="19"/>
  <c r="F65" i="19"/>
  <c r="E65" i="19"/>
  <c r="D65" i="19"/>
  <c r="C65" i="19"/>
  <c r="B65" i="19"/>
  <c r="B67" i="19"/>
  <c r="B68" i="19"/>
  <c r="B69" i="19"/>
  <c r="B70" i="19"/>
  <c r="B3" i="19"/>
  <c r="F5" i="19"/>
  <c r="F4" i="19"/>
  <c r="E9" i="19"/>
  <c r="E8" i="19"/>
  <c r="E7" i="19"/>
  <c r="E6" i="19"/>
  <c r="E5" i="19"/>
  <c r="E4" i="19"/>
  <c r="E3" i="19"/>
  <c r="E2" i="19"/>
  <c r="D9" i="19"/>
  <c r="D8" i="19"/>
  <c r="D7" i="19"/>
  <c r="D6" i="19"/>
  <c r="D5" i="19"/>
  <c r="D4" i="19"/>
  <c r="D2" i="19"/>
  <c r="C9" i="19"/>
  <c r="C8" i="19"/>
  <c r="C7" i="19"/>
  <c r="C6" i="19"/>
  <c r="C5" i="19"/>
  <c r="C2" i="19"/>
  <c r="B8" i="19"/>
  <c r="B7" i="19"/>
  <c r="B6" i="19"/>
  <c r="B2" i="19"/>
  <c r="B4" i="19"/>
  <c r="B5" i="19"/>
  <c r="B9" i="19"/>
  <c r="G14" i="19"/>
  <c r="K52" i="19"/>
  <c r="Q37" i="19"/>
  <c r="G13" i="19"/>
  <c r="K48" i="19"/>
  <c r="K49" i="19"/>
  <c r="K50" i="19"/>
  <c r="K51" i="19"/>
  <c r="G16" i="19"/>
  <c r="G15" i="19"/>
  <c r="T5" i="19" l="1"/>
  <c r="T4" i="19"/>
  <c r="T3" i="19"/>
  <c r="T2" i="19"/>
  <c r="L52" i="19"/>
  <c r="L51" i="19"/>
  <c r="L50" i="19"/>
  <c r="L49" i="19"/>
  <c r="L48" i="19"/>
  <c r="R37" i="19"/>
  <c r="O2" i="19"/>
  <c r="K4" i="19"/>
  <c r="I9" i="19"/>
  <c r="I1" i="19"/>
  <c r="I2" i="19"/>
  <c r="I3" i="19"/>
  <c r="I4" i="19"/>
  <c r="I5" i="19"/>
  <c r="I6" i="19"/>
  <c r="I7" i="19"/>
  <c r="I8" i="19"/>
  <c r="F1" i="19"/>
  <c r="F2" i="19"/>
  <c r="J15" i="19"/>
  <c r="J14" i="19"/>
  <c r="J13" i="19"/>
  <c r="J12" i="19"/>
  <c r="F9" i="19"/>
  <c r="F8" i="19"/>
  <c r="F7" i="19"/>
  <c r="F6" i="19"/>
  <c r="F3" i="19"/>
  <c r="E1" i="4"/>
  <c r="H4" i="4"/>
  <c r="H5" i="4"/>
  <c r="H6" i="4"/>
  <c r="H7" i="4"/>
  <c r="H8" i="4"/>
  <c r="H16" i="10"/>
  <c r="H13" i="10"/>
  <c r="H15" i="10"/>
  <c r="H14" i="10"/>
  <c r="M4" i="19"/>
  <c r="M3" i="19"/>
  <c r="L3" i="19"/>
  <c r="L4" i="19"/>
  <c r="N3" i="19"/>
  <c r="N4" i="19"/>
  <c r="Q39" i="19"/>
  <c r="N43" i="19"/>
  <c r="Y40" i="19"/>
  <c r="Y39" i="19"/>
  <c r="Y38" i="19"/>
  <c r="W43" i="19"/>
  <c r="M43" i="19"/>
  <c r="Y41" i="19"/>
  <c r="U43" i="19"/>
  <c r="O43" i="19"/>
  <c r="X43" i="19"/>
  <c r="Q40" i="19"/>
  <c r="Y37" i="19"/>
  <c r="V43" i="19"/>
  <c r="Q41" i="19"/>
  <c r="Q38" i="19"/>
  <c r="L43" i="19"/>
  <c r="R38" i="19" l="1"/>
  <c r="R41" i="19"/>
  <c r="R40" i="19"/>
  <c r="R39" i="19"/>
  <c r="Z37" i="19"/>
  <c r="Z38" i="19"/>
  <c r="Z39" i="19"/>
  <c r="Z40" i="19"/>
  <c r="Z41" i="19"/>
  <c r="W44" i="19"/>
  <c r="W45" i="19" s="1"/>
  <c r="V44" i="19"/>
  <c r="V45" i="19" s="1"/>
  <c r="U44" i="19"/>
  <c r="U45" i="19" s="1"/>
  <c r="X44" i="19"/>
  <c r="X45" i="19" s="1"/>
  <c r="O44" i="19"/>
  <c r="O45" i="19" s="1"/>
  <c r="L44" i="19"/>
  <c r="L45" i="19" s="1"/>
  <c r="M44" i="19"/>
  <c r="M45" i="19" s="1"/>
  <c r="N44" i="19"/>
  <c r="N45" i="19" s="1"/>
  <c r="O3" i="19" a="1"/>
  <c r="O3" i="19" s="1"/>
  <c r="O4" i="19"/>
  <c r="L5" i="19"/>
  <c r="M5" i="19"/>
  <c r="N5" i="19"/>
  <c r="I13" i="10"/>
  <c r="I14" i="10"/>
  <c r="I15" i="10"/>
  <c r="I16" i="10"/>
  <c r="U4" i="19" l="1"/>
  <c r="U5" i="19"/>
  <c r="U2" i="19"/>
  <c r="U3" i="19"/>
  <c r="O5" i="19" a="1"/>
  <c r="O5" i="19" s="1"/>
  <c r="H3" i="2"/>
  <c r="G3" i="3" s="1"/>
  <c r="H4" i="2"/>
  <c r="G4" i="3" s="1"/>
  <c r="H5" i="2"/>
  <c r="G5" i="3" s="1"/>
  <c r="H2" i="2"/>
  <c r="G2" i="3" s="1"/>
  <c r="K5" i="3" l="1"/>
  <c r="K4" i="3"/>
  <c r="K3" i="3"/>
  <c r="I4" i="3"/>
  <c r="I3" i="3"/>
  <c r="I5" i="3"/>
  <c r="I2" i="3"/>
  <c r="J2" i="3" l="1" a="1"/>
  <c r="J2" i="3" s="1"/>
  <c r="K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<sst xmlns="http://schemas.openxmlformats.org/spreadsheetml/2006/main" count="3949" uniqueCount="549">
  <si>
    <t>ID</t>
  </si>
  <si>
    <t>Hora de início</t>
  </si>
  <si>
    <t>Hora de conclusão</t>
  </si>
  <si>
    <t>Email</t>
  </si>
  <si>
    <t>Nome</t>
  </si>
  <si>
    <t>Hora da última modificação</t>
  </si>
  <si>
    <t>Qual sua idade?</t>
  </si>
  <si>
    <t>Com qual gênero se identifica?</t>
  </si>
  <si>
    <t>Em qual região você reside?</t>
  </si>
  <si>
    <t>Qual seu principal meio de locomoção?</t>
  </si>
  <si>
    <t>Qual é a frequência com que você abastece seu veículo em um posto de combustível? </t>
  </si>
  <si>
    <t>Considerando sua rotina habitual, quantos quilômetros , aproximadamente, você roda por dia?</t>
  </si>
  <si>
    <t>Quanto você gasta em média em cada abastecimento em um posto de combustível?</t>
  </si>
  <si>
    <t>Qual dos postos abaixo você costuma utilizar para abastecer seu veículo?</t>
  </si>
  <si>
    <t>Qual os três principais pontos que você observa ao escolher um posto de gasolina?</t>
  </si>
  <si>
    <t>Com que frequência você utiliza o aplicativo dos postos de combustível que frequenta?</t>
  </si>
  <si>
    <t>Você conhece o APP Abastece Aí, dos postos Ipiranga ?</t>
  </si>
  <si>
    <t>Quais benefícios você espera encontrar no aplicativo Abastece Aí?</t>
  </si>
  <si>
    <t>Qual a principal barreira para a utilização de um aplicativo para ganhar benefícios em postos de abastecimento?</t>
  </si>
  <si>
    <t>Quais são os principais fatores que o levam a escolher o posto Ipiranga para abastecer seu veículo?</t>
  </si>
  <si>
    <t>Descreva sua experiência geral com o aplicativo do posto Ipiranga, incluindo o que você gosta e o que acha que pode ser melhorado.</t>
  </si>
  <si>
    <t>Quais são os principais benefícios que você espera obter ao utilizar aplicativos de postos de gasolina?</t>
  </si>
  <si>
    <t>Por fim você recomendaria um aplicativo de descontos para abastecimento e serviços em postos de combustível para para amigos e familiares? </t>
  </si>
  <si>
    <t>anonymous</t>
  </si>
  <si>
    <t>50</t>
  </si>
  <si>
    <t>Masculino</t>
  </si>
  <si>
    <t>Sudeste</t>
  </si>
  <si>
    <t>Carro</t>
  </si>
  <si>
    <t>Mais que 3 vezes na semana</t>
  </si>
  <si>
    <t>Mais de 100 reais</t>
  </si>
  <si>
    <t>Ipiranga;Shell;Rede Graal;</t>
  </si>
  <si>
    <t>Descontos via App;Facilidade de pagamento (Sem Parar, PIX ou via App);</t>
  </si>
  <si>
    <t>Sempre utilizo</t>
  </si>
  <si>
    <t>Conheço e sempre utilizo</t>
  </si>
  <si>
    <t>Descontos;</t>
  </si>
  <si>
    <t>Variedade de Apps para os diferentes postos</t>
  </si>
  <si>
    <t>Qualidade do combustível</t>
  </si>
  <si>
    <t>O aplicativo as vezes trava principalmente na conclusão para o pagamento</t>
  </si>
  <si>
    <t>Desconto</t>
  </si>
  <si>
    <t>35</t>
  </si>
  <si>
    <t>1 vez por semana</t>
  </si>
  <si>
    <t>Ipiranga;Shell;</t>
  </si>
  <si>
    <t>Qualidade da gasolina;Fácil acesso em seu trajeto diário;Descontos via App;</t>
  </si>
  <si>
    <t>As vezes utilizo</t>
  </si>
  <si>
    <t>Descontos;Cashback;Serviços gratuitos;</t>
  </si>
  <si>
    <t>Não oferecer a alternativa para o cliente ao abastecer</t>
  </si>
  <si>
    <t>A utilização do app, e qualidade de combustível, e preço competitivo</t>
  </si>
  <si>
    <t>Eu gosto da proposta do app, e não gosto da estabilidade do app</t>
  </si>
  <si>
    <t xml:space="preserve">desconto no combustível </t>
  </si>
  <si>
    <t>34</t>
  </si>
  <si>
    <t>Feminino</t>
  </si>
  <si>
    <t>Ipiranga;</t>
  </si>
  <si>
    <t>Qualidade da gasolina;Bandeira do posto;Fácil acesso em seu trajeto diário;</t>
  </si>
  <si>
    <t>Nunca utilizei</t>
  </si>
  <si>
    <t>Conheço mas não utilizo</t>
  </si>
  <si>
    <t xml:space="preserve">Segurança em um combustível de qualidade </t>
  </si>
  <si>
    <t>61</t>
  </si>
  <si>
    <t>Entre 50 e 100 reais</t>
  </si>
  <si>
    <t>Qualidade da gasolina;</t>
  </si>
  <si>
    <t>Pouca divulgação</t>
  </si>
  <si>
    <t xml:space="preserve">Qualidade do combustível </t>
  </si>
  <si>
    <t xml:space="preserve">Mais postos em minha região </t>
  </si>
  <si>
    <t>Descontos</t>
  </si>
  <si>
    <t>RECOMENDARIA PARA FAMILIARES</t>
  </si>
  <si>
    <t>BARREIRAS PARA UTILIZAÇÃO DO APP</t>
  </si>
  <si>
    <t>BENEFÍCIOS</t>
  </si>
  <si>
    <t>CONHECE O APP</t>
  </si>
  <si>
    <t>FREQUENCIA DE UTILIZAÇÃO DO APP</t>
  </si>
  <si>
    <t>PRINCIPAIS PONTOS PARA SELEÇÃO DO POSTO</t>
  </si>
  <si>
    <t>POSTOS DE GASOLINA UTILIZADOS</t>
  </si>
  <si>
    <t>GASTO COM COMBUSTÍVEL</t>
  </si>
  <si>
    <t>KM RODADOS</t>
  </si>
  <si>
    <t>FREQUÊNCIA DE ABASTECIMENTO</t>
  </si>
  <si>
    <t>MEIO DE LOCOMOÇÃO</t>
  </si>
  <si>
    <t>REGIÃO</t>
  </si>
  <si>
    <t>GÊNERO</t>
  </si>
  <si>
    <t>IDADE</t>
  </si>
  <si>
    <t>POSTO 1</t>
  </si>
  <si>
    <t>POSTO 2</t>
  </si>
  <si>
    <t>POSTO 3</t>
  </si>
  <si>
    <t>Ipiranga</t>
  </si>
  <si>
    <t>Shell</t>
  </si>
  <si>
    <t>Rede Graal</t>
  </si>
  <si>
    <t>Coluna1</t>
  </si>
  <si>
    <t>Coluna2</t>
  </si>
  <si>
    <t>Cashback</t>
  </si>
  <si>
    <t>Serviços gratuitos</t>
  </si>
  <si>
    <t>FREQUENCIA DE ABASTECIMENTO</t>
  </si>
  <si>
    <t>KM / DIA</t>
  </si>
  <si>
    <t>VALORES UTILIZADOS NO ABASTECIMENTO</t>
  </si>
  <si>
    <t>POSTO DE GASOLINA</t>
  </si>
  <si>
    <t>POSTO DE GASOLINA 2</t>
  </si>
  <si>
    <t>POSTO DE GASOLINA 3</t>
  </si>
  <si>
    <t>CONHECE O APP "ABASTECE AÍ"</t>
  </si>
  <si>
    <t>BENEFÍCIOS 1</t>
  </si>
  <si>
    <t>BENEFÍCIOS 2</t>
  </si>
  <si>
    <t>BENEFÍCIOS 3</t>
  </si>
  <si>
    <t>BARREIRA DE UTILIZAÇÃO DO APP</t>
  </si>
  <si>
    <t>FATORES DE UTILIZAÇÃO</t>
  </si>
  <si>
    <t>RECOMENAÇÃO DE 1 A 5</t>
  </si>
  <si>
    <t>#FECC0C</t>
  </si>
  <si>
    <t>Total Geral</t>
  </si>
  <si>
    <t>Nordeste</t>
  </si>
  <si>
    <t>Sul</t>
  </si>
  <si>
    <t>Centro-Oeste</t>
  </si>
  <si>
    <t>36</t>
  </si>
  <si>
    <t>Moto</t>
  </si>
  <si>
    <t>Caminhão</t>
  </si>
  <si>
    <t>Coletivo</t>
  </si>
  <si>
    <t>Veículo</t>
  </si>
  <si>
    <t>Soma de Pessoas</t>
  </si>
  <si>
    <t>Frequencia de abastecimento</t>
  </si>
  <si>
    <t>Região</t>
  </si>
  <si>
    <t>KM/DIA/CALC</t>
  </si>
  <si>
    <t>Soma de KM / DIA</t>
  </si>
  <si>
    <t>KM*10</t>
  </si>
  <si>
    <t>"Detalhe" Frequencia de abastecimento</t>
  </si>
  <si>
    <t>2 a 3 vezes na semana</t>
  </si>
  <si>
    <t>Contagem de MEIO DE LOCOMOÇÃO</t>
  </si>
  <si>
    <t>POSTO TOP1</t>
  </si>
  <si>
    <t>POSTO TOP2</t>
  </si>
  <si>
    <t>POSTO TOP12</t>
  </si>
  <si>
    <t>Boxxter</t>
  </si>
  <si>
    <t>Petrobras</t>
  </si>
  <si>
    <t>Ale</t>
  </si>
  <si>
    <t>Rede Sim</t>
  </si>
  <si>
    <t>Setee</t>
  </si>
  <si>
    <t>Setta</t>
  </si>
  <si>
    <t>Larco</t>
  </si>
  <si>
    <t>Norte</t>
  </si>
  <si>
    <t xml:space="preserve">A facilidade do app, porém ele precisa melhorar a conexão e ser mais estável </t>
  </si>
  <si>
    <t>Desconto nos preços</t>
  </si>
  <si>
    <t>57</t>
  </si>
  <si>
    <t>Transporte público</t>
  </si>
  <si>
    <t>Poucos benefícios</t>
  </si>
  <si>
    <t>Proximidade com a minha residência. Preço bom da gasolina.</t>
  </si>
  <si>
    <t xml:space="preserve">Não quero ter mais aplicativo. Não gosto de aplicativo. </t>
  </si>
  <si>
    <t>Não gosto de aplicativo. Prefiro o desconto na bomba!</t>
  </si>
  <si>
    <t>42</t>
  </si>
  <si>
    <t>Não conheço</t>
  </si>
  <si>
    <t xml:space="preserve">Localização </t>
  </si>
  <si>
    <t xml:space="preserve">Não utilizo </t>
  </si>
  <si>
    <t xml:space="preserve">Descontos e serviços </t>
  </si>
  <si>
    <t>Confiabilidade e preço.</t>
  </si>
  <si>
    <t>Acho burocrático e muito chato usar aplicativos para obter descontos. Não acho que seja uma medida atraente de fidelização.</t>
  </si>
  <si>
    <t>Não acho que deveriam existir. Dar apenas o CPF deveria bastar.</t>
  </si>
  <si>
    <t xml:space="preserve">Rede confiável </t>
  </si>
  <si>
    <t>Nunca usei</t>
  </si>
  <si>
    <t>Desconto grandes mais de 20 reais</t>
  </si>
  <si>
    <t>28</t>
  </si>
  <si>
    <t>Entre 20 e 50 reais</t>
  </si>
  <si>
    <t xml:space="preserve">Próximo a minha casa </t>
  </si>
  <si>
    <t xml:space="preserve">Precisaria de mais descontos </t>
  </si>
  <si>
    <t xml:space="preserve">Desconto </t>
  </si>
  <si>
    <t>53</t>
  </si>
  <si>
    <t xml:space="preserve">Melhor localizado </t>
  </si>
  <si>
    <t xml:space="preserve">Ótimo atendimento </t>
  </si>
  <si>
    <t>40</t>
  </si>
  <si>
    <t>Menos de 20 reais</t>
  </si>
  <si>
    <t xml:space="preserve">Propaganda </t>
  </si>
  <si>
    <t xml:space="preserve">Valores </t>
  </si>
  <si>
    <t xml:space="preserve">Prêmios </t>
  </si>
  <si>
    <t>65</t>
  </si>
  <si>
    <t xml:space="preserve">Proximo a minha residência. </t>
  </si>
  <si>
    <t>Não tenho.</t>
  </si>
  <si>
    <t>Desconto.</t>
  </si>
  <si>
    <t xml:space="preserve">Qualidade </t>
  </si>
  <si>
    <t>33</t>
  </si>
  <si>
    <t>Qualidade e educação dos frentistas</t>
  </si>
  <si>
    <t xml:space="preserve">Não o uso muito </t>
  </si>
  <si>
    <t>preço do combustivel</t>
  </si>
  <si>
    <t>Tive dificuldades de login</t>
  </si>
  <si>
    <t>desconto no preco</t>
  </si>
  <si>
    <t xml:space="preserve">Perto da minha residência </t>
  </si>
  <si>
    <t>Não utilizo</t>
  </si>
  <si>
    <t>69</t>
  </si>
  <si>
    <t xml:space="preserve">Qualidade e serviços. </t>
  </si>
  <si>
    <t xml:space="preserve">Não uso o aplicativo. </t>
  </si>
  <si>
    <t xml:space="preserve">Qualidade do combustível, atendimento, benefícios ao consumidor. </t>
  </si>
  <si>
    <t>São paulo</t>
  </si>
  <si>
    <t>Pela bandeira</t>
  </si>
  <si>
    <t>Não uso app</t>
  </si>
  <si>
    <t xml:space="preserve">Menores preços </t>
  </si>
  <si>
    <t>29</t>
  </si>
  <si>
    <t xml:space="preserve">Gasolina de qualidade </t>
  </si>
  <si>
    <t xml:space="preserve">Dar um desconto maior </t>
  </si>
  <si>
    <t xml:space="preserve">Prática e rápida </t>
  </si>
  <si>
    <t xml:space="preserve">Economia </t>
  </si>
  <si>
    <t>Nenhum</t>
  </si>
  <si>
    <t>Nenhuma</t>
  </si>
  <si>
    <t xml:space="preserve">Agilidade no pagamento </t>
  </si>
  <si>
    <t>60</t>
  </si>
  <si>
    <t>Preço e localização.</t>
  </si>
  <si>
    <t>Não o uso. Porém vou experimentar!</t>
  </si>
  <si>
    <t>Pagar menos pela gasolina</t>
  </si>
  <si>
    <t>40 anos</t>
  </si>
  <si>
    <t xml:space="preserve">Qualidade no combustível </t>
  </si>
  <si>
    <t>Nunca tive</t>
  </si>
  <si>
    <t xml:space="preserve">Desconto considerável </t>
  </si>
  <si>
    <t>26</t>
  </si>
  <si>
    <t>Motocicleta</t>
  </si>
  <si>
    <t xml:space="preserve">Não abasteço no Ipiranga ! </t>
  </si>
  <si>
    <t xml:space="preserve">Nunca utilizei, pois não abasteço no Ipiranga ! </t>
  </si>
  <si>
    <t xml:space="preserve">Desconto no combustível </t>
  </si>
  <si>
    <t>59</t>
  </si>
  <si>
    <t>Qualidade do combustível .</t>
  </si>
  <si>
    <t xml:space="preserve">Não utilizo o aplicativo </t>
  </si>
  <si>
    <t xml:space="preserve">Preço </t>
  </si>
  <si>
    <t>Bom preço  com qualidade</t>
  </si>
  <si>
    <t xml:space="preserve">Menor preço </t>
  </si>
  <si>
    <t>32</t>
  </si>
  <si>
    <t>Não uso</t>
  </si>
  <si>
    <t>54</t>
  </si>
  <si>
    <t>Não sei</t>
  </si>
  <si>
    <t>Marca de qualidade</t>
  </si>
  <si>
    <t>Não aplicável</t>
  </si>
  <si>
    <t>49</t>
  </si>
  <si>
    <t>52</t>
  </si>
  <si>
    <t xml:space="preserve">Rápido e seguro </t>
  </si>
  <si>
    <t>Qualidade</t>
  </si>
  <si>
    <t>Boa gasolina</t>
  </si>
  <si>
    <t>44</t>
  </si>
  <si>
    <t>Nenhim</t>
  </si>
  <si>
    <t>48</t>
  </si>
  <si>
    <t>Qualidade e a aceitação de app.</t>
  </si>
  <si>
    <t>Prefiro não responder</t>
  </si>
  <si>
    <t>Preço competitivo.</t>
  </si>
  <si>
    <t>Minha experiência geral com o aplicativo do posto Ipiranga tem sido excelente.</t>
  </si>
  <si>
    <t>Facilidade e conveniência no pagamento.</t>
  </si>
  <si>
    <t>Localização conveniente.</t>
  </si>
  <si>
    <t>Gosto da facilidade de uso do aplicativo do posto Ipiranga.</t>
  </si>
  <si>
    <t>Acesso a promoções e descontos exclusivos.</t>
  </si>
  <si>
    <t>Qualidade do combustível.</t>
  </si>
  <si>
    <t>Acho o aplicativo do posto Ipiranga muito prático e conveniente.</t>
  </si>
  <si>
    <t>Acumulação de pontos ou milhas para recompensas.</t>
  </si>
  <si>
    <t>2 a 3 vezes por semana</t>
  </si>
  <si>
    <t>Programa de fidelidade atrativo.</t>
  </si>
  <si>
    <t>Gosto da rapidez e eficiência ao realizar pagamentos pelo aplicativo do posto Ipiranga.</t>
  </si>
  <si>
    <t>Localização rápida e fácil de postos de gasolina próximos.</t>
  </si>
  <si>
    <t>Variedade de serviços oferecidos.</t>
  </si>
  <si>
    <t>Acho ótimo poder acumular pontos e desfrutar de benefícios através do aplicativo do posto Ipiranga.</t>
  </si>
  <si>
    <t>Controle e acompanhamento dos gastos com combustível.</t>
  </si>
  <si>
    <t>Horário estendido de funcionamento.</t>
  </si>
  <si>
    <t>Gosto da possibilidade de localizar postos Ipiranga próximos utilizando o aplicativo.</t>
  </si>
  <si>
    <t>Notificações sobre preços e promoções atualizadas.</t>
  </si>
  <si>
    <t>Atendimento rápido e eficiente.</t>
  </si>
  <si>
    <t>O aplicativo do posto Ipiranga me permite gerenciar melhor meus gastos com combustível.</t>
  </si>
  <si>
    <t>Possibilidade de pré-autorização de pagamento.</t>
  </si>
  <si>
    <t>Segurança nas instalações.</t>
  </si>
  <si>
    <t>Acho ótimo receber notificações sobre promoções e descontos exclusivos pelo aplicativo do posto Ipiranga.</t>
  </si>
  <si>
    <t>Acesso a serviços adicionais, como troca de óleo ou lavagem de veículos.</t>
  </si>
  <si>
    <t>Ampla disponibilidade de bombas.</t>
  </si>
  <si>
    <t>Gosto da variedade de serviços disponíveis no aplicativo do posto Ipiranga.</t>
  </si>
  <si>
    <t>Histórico detalhado de abastecimentos.</t>
  </si>
  <si>
    <t>Conveniência de pagamento.</t>
  </si>
  <si>
    <t>A experiência de abastecer meu veículo usando o aplicativo do posto Ipiranga é muito conveniente e ágil.</t>
  </si>
  <si>
    <t>Redução do tempo de espera nas filas do posto de gasolina.</t>
  </si>
  <si>
    <t>Limpeza e organização do posto.</t>
  </si>
  <si>
    <t>Gosto da interface intuitiva e amigável do aplicativo do posto Ipiranga.</t>
  </si>
  <si>
    <t>Possibilidade de pagamento sem precisar sair do veículo.</t>
  </si>
  <si>
    <t>Confiança na marca Ipiranga.</t>
  </si>
  <si>
    <t>A possibilidade de acumular milhas e trocá-las por recompensas é um dos pontos fortes do aplicativo do posto Ipiranga.</t>
  </si>
  <si>
    <t>Informações sobre a qualidade do combustível oferecido.</t>
  </si>
  <si>
    <t>Aceitação de cartões de crédito/débito.</t>
  </si>
  <si>
    <t>Acho o aplicativo do posto Ipiranga muito útil para acompanhar o histórico de abastecimentos e gastos.</t>
  </si>
  <si>
    <t>Opções de pagamento diversificadas, como cartões de crédito, débito ou carteiras digitais.</t>
  </si>
  <si>
    <t>Descontos promocionais.</t>
  </si>
  <si>
    <t>Gosto da opção de pré-autorização de pagamento disponível no aplicativo do posto Ipiranga.</t>
  </si>
  <si>
    <t>Recomendações personalizadas com base nos hábitos de abastecimento.</t>
  </si>
  <si>
    <t>Possibilidade de acumular milhas.</t>
  </si>
  <si>
    <t>Acho excelente poder encontrar informações detalhadas sobre cada posto Ipiranga através do aplicativo.</t>
  </si>
  <si>
    <t>Mapas de navegação integrados para encontrar o posto mais próximo.</t>
  </si>
  <si>
    <t>Parcerias com empresas e benefícios adicionais.</t>
  </si>
  <si>
    <t>O aplicativo do posto Ipiranga me ajuda a planejar melhor minhas viagens, identificando os postos ao longo do caminho.</t>
  </si>
  <si>
    <t>Informações sobre serviços e comodidades oferecidos nos postos.</t>
  </si>
  <si>
    <t>Abastecimento com aditivos.</t>
  </si>
  <si>
    <t>Gosto da praticidade de poder solicitar serviços adicionais, como troca de óleo, diretamente pelo aplicativo do posto Ipiranga.</t>
  </si>
  <si>
    <t>Acesso a programas de fidelidade e vantagens exclusivas.</t>
  </si>
  <si>
    <t>Amplo estacionamento disponível.</t>
  </si>
  <si>
    <t>A opção de pagamento via QR Code oferecida pelo aplicativo do posto Ipiranga é muito conveniente.</t>
  </si>
  <si>
    <t>Recebimento de cupons ou vouchers para produtos e serviços.</t>
  </si>
  <si>
    <t>Serviços de troca de óleo.</t>
  </si>
  <si>
    <t>Gosto da possibilidade de personalizar minhas preferências e receber ofertas personalizadas pelo aplicativo do posto Ipiranga.</t>
  </si>
  <si>
    <t>Compatibilidade com assistentes de voz para facilitar o uso enquanto dirige.</t>
  </si>
  <si>
    <t>Loja de conveniência bem abastecida.</t>
  </si>
  <si>
    <t>O aplicativo do posto Ipiranga me ajuda a economizar tempo e evitar filas nos postos de combustível.</t>
  </si>
  <si>
    <t>Possibilidade de agendar serviços de manutenção ou troca de pneus.</t>
  </si>
  <si>
    <t>Possibilidade de realizar pagamentos de contas.</t>
  </si>
  <si>
    <t>Minha experiência geral com o aplicativo do posto Ipiranga tem sido decepcionante.</t>
  </si>
  <si>
    <t>Integração com outros aplicativos relacionados a veículos, como assistência 24 horas.</t>
  </si>
  <si>
    <t>Disponibilidade de ar e água para os pneus.</t>
  </si>
  <si>
    <t>Acho o aplicativo do posto Ipiranga confuso e de difícil navegação.</t>
  </si>
  <si>
    <t>Acesso a informações sobre postos com combustíveis especiais ou aditivados.</t>
  </si>
  <si>
    <t>Qualidade do atendimento dos funcionários.</t>
  </si>
  <si>
    <t>O aplicativo do posto Ipiranga poderia ser mais intuitivo e fácil de usar.</t>
  </si>
  <si>
    <t>Ofertas personalizadas com base nos interesses do usuário.</t>
  </si>
  <si>
    <t>Possibilidade de lavar o veículo no local.</t>
  </si>
  <si>
    <t>A eficiência do aplicativo do posto Ipiranga deixa a desejar, especialmente ao realizar pagamentos.</t>
  </si>
  <si>
    <t>Acesso a informações sobre a disponibilidade de vagas de estacionamento nos postos.</t>
  </si>
  <si>
    <t>Presença de seguranças no posto.</t>
  </si>
  <si>
    <t>Sinto falta de mais benefícios e recompensas atrativas oferecidos pelo aplicativo do posto Ipiranga.</t>
  </si>
  <si>
    <t>Alertas sobre postos com preços mais baixos em determinada região.</t>
  </si>
  <si>
    <t>Facilidade de acesso para diferentes tipos de veículos.</t>
  </si>
  <si>
    <t>O aplicativo do posto Ipiranga nem sempre encontra os postos próximos corretamente.</t>
  </si>
  <si>
    <t>Acompanhamento do consumo de combustível e eficiência do veículo.</t>
  </si>
  <si>
    <t>Abastecimento rápido.</t>
  </si>
  <si>
    <t>A gestão dos gastos com combustível através do aplicativo do posto Ipiranga é pouco clara e confusa.</t>
  </si>
  <si>
    <t>Possibilidade de compartilhar informações e avaliações sobre postos de gasolina.</t>
  </si>
  <si>
    <t>Aceitação de vales-combustível.</t>
  </si>
  <si>
    <t>A falta de notificações relevantes sobre promoções e descontos no aplicativo do posto Ipiranga é frustrante.</t>
  </si>
  <si>
    <t>Recursos de segurança, como avaliação da iluminação e presença de câmeras nos postos.</t>
  </si>
  <si>
    <t>Promoções sazonais.</t>
  </si>
  <si>
    <t>A variedade de serviços disponíveis no aplicativo do posto Ipiranga é limitada e poderia ser expandida.</t>
  </si>
  <si>
    <t>Notificações sobre manutenção preventiva do veículo.</t>
  </si>
  <si>
    <t>Ambiente agradável e confortável.</t>
  </si>
  <si>
    <t>A experiência de abastecer meu veículo usando o aplicativo do posto Ipiranga é frequentemente lenta e problemática.</t>
  </si>
  <si>
    <t>Acesso a informações sobre postos com opções de recarga para veículos elétricos.</t>
  </si>
  <si>
    <t>Possibilidade de acumular pontos em programas de recompensa.</t>
  </si>
  <si>
    <t>O design e a usabilidade do aplicativo do posto Ipiranga deixam a desejar.</t>
  </si>
  <si>
    <t>Opções de pagamento em parcelas ou crédito para abastecimentos.</t>
  </si>
  <si>
    <t>Comodidades para motoristas, como banheiros limpos.</t>
  </si>
  <si>
    <t>A acumulação de milhas e benefícios através do aplicativo do posto Ipiranga é pouco vantajosa.</t>
  </si>
  <si>
    <t>Integração com programas de cashback para receber reembolsos em compras nos postos.</t>
  </si>
  <si>
    <t>Opções de combustíveis especiais, como etanol aditivado.</t>
  </si>
  <si>
    <t>Encontrar informações detalhadas sobre cada posto Ipiranga através do aplicativo é uma tarefa difícil.</t>
  </si>
  <si>
    <t>Acesso a informações sobre postos com serviços de troca de óleo rápido.</t>
  </si>
  <si>
    <t>Presença de postos de troca de pneus.</t>
  </si>
  <si>
    <t>O aplicativo do posto Ipiranga falha em fornecer um histórico preciso de abastecimentos e gastos.</t>
  </si>
  <si>
    <t>Notificações sobre campanhas de responsabilidade ambiental dos postos.</t>
  </si>
  <si>
    <t>Opções de pagamento por aplicativo.</t>
  </si>
  <si>
    <t>A pré-autorização de pagamento disponível no aplicativo do posto Ipiranga nem sempre funciona corretamente.</t>
  </si>
  <si>
    <t>Possibilidade de agendar horários de abastecimento em postos movimentados.</t>
  </si>
  <si>
    <t>Presença de funcionários treinados e capacitados.</t>
  </si>
  <si>
    <t>O aplicativo do posto Ipiranga não oferece recursos úteis para planejar viagens ou identificar postos ao longo do caminho.</t>
  </si>
  <si>
    <t>Recursos de navegação por voz até o posto de gasolina selecionado.</t>
  </si>
  <si>
    <t>Opções de combustíveis para diferentes necessidades.</t>
  </si>
  <si>
    <t>A opção de solicitar serviços adicionais, como troca de óleo, pelo aplicativo do posto Ipiranga é pouco eficiente.</t>
  </si>
  <si>
    <t>Acesso a informações sobre postos com estrutura adequada para veículos pesados.</t>
  </si>
  <si>
    <t>Abastecimento rápido e eficiente.</t>
  </si>
  <si>
    <t>A opção de pagamento via QR Code oferecida pelo aplicativo do posto Ipiranga apresenta problemas de compatibilidade.</t>
  </si>
  <si>
    <t>Alertas sobre postos com oferta de combustíveis com melhor rendimento.</t>
  </si>
  <si>
    <t>Posto bem iluminado durante a noite.</t>
  </si>
  <si>
    <t>O aplicativo do posto Ipiranga não utiliza adequadamente minhas preferências para oferecer ofertas personalizadas.</t>
  </si>
  <si>
    <t>Recursos de realidade aumentada para facilitar a localização dos postos.</t>
  </si>
  <si>
    <t>Disponibilidade de loja de autopeças.</t>
  </si>
  <si>
    <t>O tempo de resposta do aplicativo do posto Ipiranga é lento, o que resulta em atrasos e inconveniências.</t>
  </si>
  <si>
    <t>Acesso a informações sobre postos com serviços de assistência mecânica.</t>
  </si>
  <si>
    <t>Aceitação de vales-refeição.</t>
  </si>
  <si>
    <t>Recomendações de postos com horário estendido de funcionamento.</t>
  </si>
  <si>
    <t>Disponibilidade de serviços de mecânica básica.</t>
  </si>
  <si>
    <t>Notificações sobre postos com serviços de lavagem a seco ou limpeza interna de veículos.</t>
  </si>
  <si>
    <t>Uso de tecnologia avançada no abastecimento.</t>
  </si>
  <si>
    <t>Informações sobre postos com estações de recarga para veículos a gás natural.</t>
  </si>
  <si>
    <t>Oferta de produtos de limpeza automotiva.</t>
  </si>
  <si>
    <t>Opções de pagamento utilizando pontos de programas de fidelidade.</t>
  </si>
  <si>
    <t>Disponibilidade de ar comprimido para pneus.</t>
  </si>
  <si>
    <t>Acesso a informações sobre postos com estrutura para atendimento de veículos de emergência.</t>
  </si>
  <si>
    <t>Disponibilidade de recargas para veículos elétricos.</t>
  </si>
  <si>
    <t>Notificações sobre postos com serviços de alinhamento e balanceamento de pneus.</t>
  </si>
  <si>
    <t>Opções de pagamento parcelado.</t>
  </si>
  <si>
    <t>Recursos de gamificação para tornar a experiência de abastecer mais divertida.</t>
  </si>
  <si>
    <t>Disponibilidade de postos com lojas de conveniência 24 horas.</t>
  </si>
  <si>
    <t>Acesso a informações sobre postos com serviços de troca de bateria para veículos elétricos.</t>
  </si>
  <si>
    <t>Existência de postos com áreas de descanso para motoristas.</t>
  </si>
  <si>
    <t>Alertas sobre postos com promoções relâmpago ou ofertas por tempo limitado.</t>
  </si>
  <si>
    <t>Conexão Wi-Fi gratuita no posto.</t>
  </si>
  <si>
    <t>Possibilidade de agendar abastecimentos periódicos de forma automática.</t>
  </si>
  <si>
    <t>Facilidade de acesso aos serviços do posto.</t>
  </si>
  <si>
    <t>Recomendações de postos com áreas de descanso e alimentação para longas viagens.</t>
  </si>
  <si>
    <t>Postos com espaços para descanso de animais de estimação.</t>
  </si>
  <si>
    <t>Notificações sobre postos com serviços de inspeção veicular.</t>
  </si>
  <si>
    <t>Disponibilidade de abastecimento de gás natural.</t>
  </si>
  <si>
    <t>Informações sobre postos com estrutura para atendimento de veículos adaptados.</t>
  </si>
  <si>
    <t>Postos com áreas de lazer para crianças.</t>
  </si>
  <si>
    <t>Opções de pagamento com desconto para abastecimentos em determinados horários.</t>
  </si>
  <si>
    <t>Aceitação de pagamento via aplicativos de carteira digital.</t>
  </si>
  <si>
    <t>Acesso a informações sobre postos com serviços de troca de pneus.</t>
  </si>
  <si>
    <t>Disponibilidade de banheiros adaptados para pessoas com deficiência.</t>
  </si>
  <si>
    <t>Alertas sobre postos com preços mais baixos durante horários de menor movimento.</t>
  </si>
  <si>
    <t>Presença de caixas eletrônicos no posto.</t>
  </si>
  <si>
    <t>Recursos de realidade virtual para visualizar a estrutura e serviços dos postos.</t>
  </si>
  <si>
    <t>Opções de combustíveis ecológicos.</t>
  </si>
  <si>
    <t>Acesso a informações sobre postos com serviços de aluguel de veículos.</t>
  </si>
  <si>
    <t>Postos com áreas de alimentação.</t>
  </si>
  <si>
    <t>Notificações sobre postos com serviços de manutenção de ar-condicionado automotivo.</t>
  </si>
  <si>
    <t>Opções de combustíveis para veículos pesados.</t>
  </si>
  <si>
    <t>Recomendações de postos com áreas de descanso para motoristas profissionais.</t>
  </si>
  <si>
    <t>Disponibilidade de assistência para troca de pneus.</t>
  </si>
  <si>
    <t>Alertas sobre postos com serviços de funilaria e pintura.</t>
  </si>
  <si>
    <t>Presença de áreas para lavagem de veículos.</t>
  </si>
  <si>
    <t>Informações sobre postos com estrutura para atendimento de veículos de coleção.</t>
  </si>
  <si>
    <t>Disponibilidade de carrinhos para transportar compras na loja de conveniência.</t>
  </si>
  <si>
    <t>Opções de pagamento utilizando criptomoedas.</t>
  </si>
  <si>
    <t>Postos com farmácias ou drogarias.</t>
  </si>
  <si>
    <t>Acesso a informações sobre postos com serviços de recarga para bicicletas elétricas.</t>
  </si>
  <si>
    <t>Opções de combustíveis aditivados para melhor desempenho.</t>
  </si>
  <si>
    <t>Notificações sobre postos com serviços de despachante veicular.</t>
  </si>
  <si>
    <t>Presença de postos com serviços de lava-rápido.</t>
  </si>
  <si>
    <t>Recursos de tradução para facilitar a utilização do aplicativo em outros idiomas.</t>
  </si>
  <si>
    <t>Disponibilidade de serviços de transporte público próximos ao posto.</t>
  </si>
  <si>
    <t>Alertas sobre postos com serviços de troca de correias automotivas.</t>
  </si>
  <si>
    <t>Facilidade de localização e identificação do posto.</t>
  </si>
  <si>
    <t>Acesso a informações sobre postos com serviços de recarga de ar-condicionado.</t>
  </si>
  <si>
    <t>Opções de combustíveis para veículos antigos.</t>
  </si>
  <si>
    <t>Recomendações de postos com áreas de recreação infantil.</t>
  </si>
  <si>
    <t>Disponibilidade de serviços de troca de filtros de veículos.</t>
  </si>
  <si>
    <t>Notificações sobre postos com serviços de aluguel de patinetes elétricos.</t>
  </si>
  <si>
    <t>Aceitação de pagamento via QR Code.</t>
  </si>
  <si>
    <t>Informações sobre postos com estrutura para atendimento de veículos de competição.</t>
  </si>
  <si>
    <t>Postos com áreas para refeições ao ar livre.</t>
  </si>
  <si>
    <t>Opções de pagamento utilizando vouchers ou cartões-presente.</t>
  </si>
  <si>
    <t>Opções de combustíveis para veículos de competição.</t>
  </si>
  <si>
    <t>Acesso a informações sobre postos com serviços de alinhamento de direção.</t>
  </si>
  <si>
    <t>Presença de áreas de carregamento para veículos híbridos.</t>
  </si>
  <si>
    <t>Alertas sobre postos com serviços de polimento automotivo.</t>
  </si>
  <si>
    <t>Disponibilidade de serviços de manutenção automotiva.</t>
  </si>
  <si>
    <t>Recursos de orientação para abastecimento de veículos movidos a etanol ou flex.</t>
  </si>
  <si>
    <t>Postos com áreas para descanso de motociclistas.</t>
  </si>
  <si>
    <t>Notificações sobre postos com serviços de higienização de veículos.</t>
  </si>
  <si>
    <t>Aceitação de pagamento por aproximação.</t>
  </si>
  <si>
    <t>Recomendações de postos com áreas de descanso para motociclistas.</t>
  </si>
  <si>
    <t>Disponibilidade de postos com áreas de entretenimento.</t>
  </si>
  <si>
    <t>Alertas sobre postos com serviços de balanceamento de rodas.</t>
  </si>
  <si>
    <t>Opções de combustíveis para veículos de grande porte.</t>
  </si>
  <si>
    <t>Informações sobre postos com estrutura para atendimento de veículos de luxo.</t>
  </si>
  <si>
    <t>Presença de postos com serviços de lava a jato.</t>
  </si>
  <si>
    <t>Opções de pagamento utilizando cartões de vale-refeição.</t>
  </si>
  <si>
    <t>Disponibilidade de serviços de alinhamento e balanceamento de veículos.</t>
  </si>
  <si>
    <t>Acesso a informações sobre postos com serviços de troca de filtros automotivos.</t>
  </si>
  <si>
    <t>Facilidade de encontrar vagas de estacionamento no posto.</t>
  </si>
  <si>
    <t>Notificações sobre postos com serviços de polimento de faróis.</t>
  </si>
  <si>
    <t>Opções de combustíveis para veículos esportivos.</t>
  </si>
  <si>
    <t>Recursos de recomendação de postos com atendimento multilíngue.</t>
  </si>
  <si>
    <t>Postos com áreas para recreação infantil.</t>
  </si>
  <si>
    <t>Alertas sobre postos com serviços de revitalização de pintura.</t>
  </si>
  <si>
    <t>Aceitação de pagamento via aplicativos de entrega de comida.</t>
  </si>
  <si>
    <t>Informações sobre postos com estrutura para atendimento de veículos off-road.</t>
  </si>
  <si>
    <t>Disponibilidade de postos com áreas de descanso para caminhoneiros.</t>
  </si>
  <si>
    <t>Opções de pagamento utilizando aplicativos de carteira digital específicos.</t>
  </si>
  <si>
    <t>Opções de combustíveis para veículos de luxo.</t>
  </si>
  <si>
    <t>Acesso a informações sobre postos com serviços de troca de velas de ignição.</t>
  </si>
  <si>
    <t>Presença de postos com serviços de polimento de veículos.</t>
  </si>
  <si>
    <t>Notificações sobre postos com serviços de martelinho de ouro.</t>
  </si>
  <si>
    <t>Disponibilidade de serviços de inspeção veicular.</t>
  </si>
  <si>
    <t>Recomendações de postos com áreas de descanso para viajantes com animais de estimação.</t>
  </si>
  <si>
    <t>Postos com áreas para encontro de clubes de carros antigos.</t>
  </si>
  <si>
    <t>Alertas sobre postos com serviços de recuperação de para-brisas trincados.</t>
  </si>
  <si>
    <t>Aceitação de pagamento com criptomoedas.</t>
  </si>
  <si>
    <t>Informações sobre postos com estrutura para atendimento de veículos antigos.</t>
  </si>
  <si>
    <t>Disponibilidade de postos com serviços de troca de baterias de veículos elétricos.</t>
  </si>
  <si>
    <t>Opções de pagamento utilizando sistemas de pagamento por aproximação.</t>
  </si>
  <si>
    <t>Opções de combustíveis para veículos de transporte público.</t>
  </si>
  <si>
    <t>Acesso a informações sobre postos com serviços de troca de amortecedores.</t>
  </si>
  <si>
    <t>Presença de postos com serviços de troca de correias automotivas.</t>
  </si>
  <si>
    <t>Notificações sobre postos com serviços de limpeza de bancos automotivos.</t>
  </si>
  <si>
    <t>Disponibilidade de serviços de despachante para veículos.</t>
  </si>
  <si>
    <t>Recursos de avaliação e comparação de postos de gasolina por outros usuários.</t>
  </si>
  <si>
    <t>Postos com áreas para realização de eventos automotivos.</t>
  </si>
  <si>
    <t>Alertas sobre postos com serviços de recarga de extintores veiculares.</t>
  </si>
  <si>
    <t>Aceitação de pagamento via pagamento móvel.</t>
  </si>
  <si>
    <t>Informações sobre postos com estrutura para atendimento de veículos comerciais.</t>
  </si>
  <si>
    <t>Disponibilidade de postos com serviços de funilaria e pintura.</t>
  </si>
  <si>
    <t>Opções de pagamento utilizando códigos QR.</t>
  </si>
  <si>
    <t>Opções de combustíveis para veículos de coleção.</t>
  </si>
  <si>
    <t>Acesso a informações sobre postos com serviços de troca de correias dentadas.</t>
  </si>
  <si>
    <t>Presença de postos com serviços de aluguel de veículos.</t>
  </si>
  <si>
    <t>Notificações sobre postos com serviços de higienização de ar-condicionado.</t>
  </si>
  <si>
    <t>Recomendações de postos com áreas de descanso para famílias com crianças.</t>
  </si>
  <si>
    <t>Alertas sobre postos com serviços de recarga de baterias veiculares.</t>
  </si>
  <si>
    <t>Informações sobre postos com estrutura para atendimento de veículos adaptados para pessoas com deficiência.</t>
  </si>
  <si>
    <t>Opções de pagamento utilizando aplicativos de pagamentos peer-to-peer.</t>
  </si>
  <si>
    <t>Acesso a informações sobre postos com serviços de troca de escapamentos automotivos.</t>
  </si>
  <si>
    <t>Notificações sobre postos com serviços de limpeza de motor.</t>
  </si>
  <si>
    <t>Recursos de busca por postos com atendimento 24 horas.</t>
  </si>
  <si>
    <t>Alertas sobre postos com serviços de recarga de pneus com nitrogênio.</t>
  </si>
  <si>
    <t>Informações sobre postos com estrutura para atendimento de veículos de turismo.</t>
  </si>
  <si>
    <t>Opções de pagamento utilizando sistemas de pagamento por reconhecimento facial.</t>
  </si>
  <si>
    <t>Acesso a informações sobre postos com serviços de troca de palhetas de limpadores de para-brisas.</t>
  </si>
  <si>
    <t>Notificações sobre postos com serviços de revitalização de couro automotivo.</t>
  </si>
  <si>
    <t>Recomendações de postos com áreas de descanso para ciclistas.</t>
  </si>
  <si>
    <t>Alertas sobre postos com serviços de recuperação de rodas amassadas.</t>
  </si>
  <si>
    <t>Informações sobre postos com estrutura para atendimento de veículos de transporte de cargas.</t>
  </si>
  <si>
    <t>Opções de pagamento utilizando pulseiras ou dispositivos vestíveis.</t>
  </si>
  <si>
    <t>Acesso a informações sobre postos com serviços de troca de rolamentos automotivos.</t>
  </si>
  <si>
    <t>Notificações sobre postos com serviços de cristalização de pintura automotiva.</t>
  </si>
  <si>
    <t>Recursos de busca por postos com acessibilidade para pessoas com mobilidade reduzida.</t>
  </si>
  <si>
    <t>Alertas sobre postos com serviços de recuperação de pintura riscada.</t>
  </si>
  <si>
    <t>Sim</t>
  </si>
  <si>
    <t>FRAQUENCIA DE ABASTECIMENTO</t>
  </si>
  <si>
    <t>KM/DIA</t>
  </si>
  <si>
    <t>GASTO COM COMBUSTIVEL</t>
  </si>
  <si>
    <t>POSTO 4</t>
  </si>
  <si>
    <t>POSTO 5</t>
  </si>
  <si>
    <t>POSTO 6</t>
  </si>
  <si>
    <t>POSTO 7</t>
  </si>
  <si>
    <t>POSTO 8</t>
  </si>
  <si>
    <t>Bandeira do posto</t>
  </si>
  <si>
    <t>Atendimento ágil e cordial</t>
  </si>
  <si>
    <t>Descontos via app</t>
  </si>
  <si>
    <t>Fácil acesso em seu trajeto diário</t>
  </si>
  <si>
    <t>Possibilidade de lavagem do veículo</t>
  </si>
  <si>
    <t>Qualidade da gasolina</t>
  </si>
  <si>
    <t>Loja de conveniência</t>
  </si>
  <si>
    <t>Facilidade de pagamento (Sem Parar, PIX ou via App)</t>
  </si>
  <si>
    <t>PRINCIPAIS PONTOS 1</t>
  </si>
  <si>
    <t>PRINCIPAIS PONTOS 2</t>
  </si>
  <si>
    <t>FREQUENCIA DE UTILIZAÇÃO APP</t>
  </si>
  <si>
    <t>CONHECE APP ABASTECE AI?</t>
  </si>
  <si>
    <t>Prêmios</t>
  </si>
  <si>
    <t>Sorteios</t>
  </si>
  <si>
    <t>BENEFÍCIOS DO APP 1</t>
  </si>
  <si>
    <t>BENEFÍCIOS DO APP 2</t>
  </si>
  <si>
    <t>BENEFÍCIOS DO APP 3</t>
  </si>
  <si>
    <t>BENEFÍCIOS DO APP 4</t>
  </si>
  <si>
    <t>Rótulos de Linha</t>
  </si>
  <si>
    <t>Rótulos de Coluna</t>
  </si>
  <si>
    <t>Soma de KM/DIA</t>
  </si>
  <si>
    <t>Frequência do Abastecimento</t>
  </si>
  <si>
    <t>Total de Veículos</t>
  </si>
  <si>
    <t>Valor gasto no Abastecimento</t>
  </si>
  <si>
    <t>Clientes</t>
  </si>
  <si>
    <t>clientes</t>
  </si>
  <si>
    <t>DETALHE</t>
  </si>
  <si>
    <t>TABLE MAIN</t>
  </si>
  <si>
    <t>Posto - DASH</t>
  </si>
  <si>
    <t>Principais pontos do posto - DASH</t>
  </si>
  <si>
    <t>TABLE DASH</t>
  </si>
  <si>
    <t>TABLE - DASH</t>
  </si>
  <si>
    <t>BARREIRAS</t>
  </si>
  <si>
    <t>FREQUENCIA DE UTILIZAÇÃO DE APP</t>
  </si>
  <si>
    <t>PERGUNTAS QUALITATIVAS</t>
  </si>
  <si>
    <t>Escolher o Posto Ipiranga</t>
  </si>
  <si>
    <t>O que pode ser melhorado</t>
  </si>
  <si>
    <t>benefícios ao obter um app</t>
  </si>
  <si>
    <t>RECOMENDARIA</t>
  </si>
  <si>
    <t>ABSTEVE DAS PERGUNTAS</t>
  </si>
  <si>
    <t>Total</t>
  </si>
  <si>
    <t>RECOMENDAÇÃO - DASH</t>
  </si>
  <si>
    <t>Total regiao</t>
  </si>
  <si>
    <t>seerro</t>
  </si>
  <si>
    <t>GENERO 1</t>
  </si>
  <si>
    <t>GENERO 2</t>
  </si>
  <si>
    <t>1 - Nunca</t>
  </si>
  <si>
    <t>3 - Talvez</t>
  </si>
  <si>
    <t>5 - Concerteza</t>
  </si>
  <si>
    <t>4 - Sim</t>
  </si>
  <si>
    <t>2 - Não</t>
  </si>
  <si>
    <t>Contagem de REGIÃO</t>
  </si>
  <si>
    <t>Outros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</si>
</sst>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m/d/yy\ h:mm:ss"/>
  </numFmts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rgb="FF242424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242424"/>
      <name val="Segoe UI"/>
      <family val="2"/>
    </font>
    <font>
      <sz val="11"/>
      <color theme="1"/>
      <name val="LTVeto Regular"/>
    </font>
    <font>
      <sz val="11"/>
      <color rgb="FF0043B9"/>
      <name val="Sassoon Sans Slope Std Medium"/>
      <family val="2"/>
    </font>
  </fonts>
  <fills count="11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ECC0C"/>
        <bgColor indexed="64"/>
      </patternFill>
    </fill>
    <fill>
      <patternFill patternType="solid">
        <fgColor rgb="FF0043B9"/>
        <bgColor indexed="64"/>
      </patternFill>
    </fill>
    <fill>
      <patternFill patternType="solid">
        <fgColor rgb="FFFF6900"/>
        <bgColor indexed="64"/>
      </patternFill>
    </fill>
    <fill>
      <patternFill patternType="solid">
        <fgColor theme="0" tint="-4.9989318521683403E-2"/>
        <bgColor indexed="64"/>
      </patternFill>
    </fill>
  </fills>
  <borders count="8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47">
    <xf numFmtId="0" fontId="0" fillId="0" borderId="0" xfId="0"/>
    <xf numFmtId="164" fontId="0" fillId="0" borderId="0" xfId="0" applyNumberFormat="1"/>
    <xf numFmtId="0" fontId="0" fillId="0" borderId="0" xfId="0" quotePrefix="1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0" borderId="1" xfId="0" applyBorder="1"/>
    <xf numFmtId="0" fontId="0" fillId="0" borderId="2" xfId="0" applyBorder="1"/>
    <xf numFmtId="0" fontId="1" fillId="2" borderId="3" xfId="0" applyFont="1" applyFill="1" applyBorder="1"/>
    <xf numFmtId="0" fontId="0" fillId="3" borderId="3" xfId="0" applyFill="1" applyBorder="1"/>
    <xf numFmtId="0" fontId="0" fillId="0" borderId="3" xfId="0" applyBorder="1"/>
    <xf numFmtId="0" fontId="0" fillId="3" borderId="2" xfId="0" quotePrefix="1" applyFill="1" applyBorder="1"/>
    <xf numFmtId="0" fontId="0" fillId="0" borderId="2" xfId="0" quotePrefix="1" applyBorder="1"/>
    <xf numFmtId="0" fontId="1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4" borderId="0" xfId="0" applyFill="1"/>
    <xf numFmtId="0" fontId="0" fillId="5" borderId="0" xfId="0" applyFill="1"/>
    <xf numFmtId="0" fontId="0" fillId="5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3" fillId="0" borderId="0" xfId="0" applyFont="1"/>
    <xf numFmtId="0" fontId="6" fillId="0" borderId="0" xfId="0" applyFont="1"/>
    <xf numFmtId="0" fontId="0" fillId="0" borderId="0" xfId="0" quotePrefix="1" applyAlignment="1">
      <alignment horizontal="left"/>
    </xf>
    <xf numFmtId="0" fontId="1" fillId="2" borderId="4" xfId="0" applyFont="1" applyFill="1" applyBorder="1"/>
    <xf numFmtId="0" fontId="0" fillId="3" borderId="5" xfId="0" applyFill="1" applyBorder="1"/>
    <xf numFmtId="0" fontId="0" fillId="3" borderId="1" xfId="0" applyFill="1" applyBorder="1" applyAlignment="1">
      <alignment wrapText="1"/>
    </xf>
    <xf numFmtId="0" fontId="5" fillId="6" borderId="0" xfId="0" applyFont="1" applyFill="1"/>
    <xf numFmtId="0" fontId="0" fillId="7" borderId="6" xfId="0" applyFill="1" applyBorder="1"/>
    <xf numFmtId="0" fontId="0" fillId="7" borderId="7" xfId="0" applyFill="1" applyBorder="1"/>
    <xf numFmtId="0" fontId="0" fillId="8" borderId="0" xfId="0" applyFill="1"/>
    <xf numFmtId="0" fontId="0" fillId="9" borderId="0" xfId="0" applyFill="1"/>
    <xf numFmtId="0" fontId="5" fillId="9" borderId="0" xfId="0" applyFont="1" applyFill="1"/>
    <xf numFmtId="10" fontId="0" fillId="0" borderId="0" xfId="0" applyNumberFormat="1"/>
    <xf numFmtId="9" fontId="0" fillId="0" borderId="0" xfId="1" applyFont="1"/>
    <xf numFmtId="0" fontId="0" fillId="10" borderId="0" xfId="0" applyFill="1"/>
    <xf numFmtId="10" fontId="0" fillId="10" borderId="0" xfId="0" applyNumberFormat="1" applyFill="1"/>
    <xf numFmtId="9" fontId="0" fillId="10" borderId="0" xfId="1" applyFont="1" applyFill="1"/>
    <xf numFmtId="0" fontId="7" fillId="0" borderId="0" xfId="0" applyFont="1"/>
    <xf numFmtId="9" fontId="0" fillId="0" borderId="0" xfId="0" applyNumberFormat="1"/>
    <xf numFmtId="0" fontId="0" fillId="0" borderId="0" xfId="0" applyAlignment="1">
      <alignment horizontal="center"/>
    </xf>
    <xf numFmtId="0" fontId="8" fillId="0" borderId="0" xfId="0" applyFont="1"/>
    <xf numFmtId="0" fontId="8" fillId="8" borderId="0" xfId="0" applyFont="1" applyFill="1"/>
    <xf numFmtId="0" fontId="0" fillId="0" borderId="0" xfId="0" applyAlignment="1">
      <alignment horizontal="center"/>
    </xf>
    <xf numFmtId="0" fontId="0" fillId="0" borderId="0" xfId="0" applyNumberFormat="1"/>
    <xf numFmtId="0" fontId="0" fillId="7" borderId="0" xfId="0" applyFill="1"/>
    <xf numFmtId="0" fontId="0" fillId="0" borderId="0" xfId="0" applyFont="1"/>
  </cellXfs>
  <cellStyles count="2">
    <cellStyle name="Normal" xfId="0" builtinId="0"/>
    <cellStyle name="Porcentagem" xfId="1" builtinId="5"/>
  </cellStyles>
  <dxfs count="61"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ont>
        <b val="0"/>
        <i val="0"/>
        <sz val="11"/>
        <color theme="0"/>
        <name val="Sassoon Sans Slope Std Medium"/>
        <family val="2"/>
        <scheme val="none"/>
      </font>
      <fill>
        <patternFill>
          <bgColor rgb="FF0043B9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\ h:mm:ss"/>
    </dxf>
    <dxf>
      <numFmt numFmtId="0" formatCode="General"/>
    </dxf>
    <dxf>
      <numFmt numFmtId="0" formatCode="General"/>
    </dxf>
    <dxf>
      <numFmt numFmtId="164" formatCode="m/d/yy\ h:mm:ss"/>
    </dxf>
    <dxf>
      <numFmt numFmtId="164" formatCode="m/d/yy\ h:mm:ss"/>
    </dxf>
    <dxf>
      <numFmt numFmtId="0" formatCode="General"/>
    </dxf>
  </dxfs>
  <tableStyles count="1" defaultTableStyle="TableStyleMedium2" defaultPivotStyle="PivotStyleLight16">
    <tableStyle name="Estilo de Segmentação de Dados 1" pivot="0" table="0" count="8" xr9:uid="{A32F6F73-7A05-4AB4-B6B6-316C6FE78DA1}">
      <tableStyleElement type="wholeTable" dxfId="5"/>
    </tableStyle>
  </tableStyles>
  <colors>
    <mruColors>
      <color rgb="FFFF6900"/>
      <color rgb="FFFECC0C"/>
      <color rgb="FF22E0CC"/>
      <color rgb="FF0043B9"/>
      <color rgb="FFE022D2"/>
      <color rgb="FFE03C22"/>
      <color rgb="FFE0B60B"/>
      <color rgb="FF940089"/>
      <color rgb="FF0B59E0"/>
      <color rgb="FF6A9400"/>
    </mruColors>
  </colors>
  <extLst>
    <ext xmlns:x14="http://schemas.microsoft.com/office/spreadsheetml/2009/9/main" uri="{46F421CA-312F-682f-3DD2-61675219B42D}">
      <x14:dxfs count="7">
        <dxf>
          <font>
            <name val="Sassoon Sans Slope Std Medium"/>
            <family val="2"/>
          </font>
          <fill>
            <patternFill>
              <bgColor rgb="FFFF6900"/>
            </patternFill>
          </fill>
        </dxf>
        <dxf>
          <font>
            <color theme="0"/>
            <name val="Sassoon Sans Slope Std Medium"/>
            <family val="2"/>
          </font>
          <fill>
            <patternFill>
              <bgColor rgb="FFFF6900"/>
            </patternFill>
          </fill>
        </dxf>
        <dxf>
          <font>
            <color rgb="FF0043B9"/>
            <name val="Sassoon Sans Slope Std Medium"/>
            <family val="2"/>
          </font>
          <fill>
            <patternFill>
              <bgColor rgb="FFE0B60B"/>
            </patternFill>
          </fill>
        </dxf>
        <dxf>
          <font>
            <color theme="0"/>
            <name val="Sassoon Sans Slope Std Medium"/>
            <family val="2"/>
            <scheme val="none"/>
          </font>
          <fill>
            <patternFill>
              <bgColor rgb="FFFF6900"/>
            </patternFill>
          </fill>
        </dxf>
        <dxf>
          <font>
            <color rgb="FF0043B9"/>
            <name val="Sassoon Sans Slope Std Medium"/>
            <family val="2"/>
            <scheme val="none"/>
          </font>
          <fill>
            <patternFill>
              <bgColor rgb="FFFECC0C"/>
            </patternFill>
          </fill>
        </dxf>
        <dxf>
          <font>
            <color theme="0"/>
            <name val="Sassoon Sans Slope Std Medium"/>
            <family val="2"/>
          </font>
        </dxf>
        <dxf>
          <font>
            <color theme="0"/>
            <name val="Sassoon Sans Slope Std Medium"/>
            <family val="2"/>
          </font>
          <fill>
            <patternFill>
              <bgColor rgb="FF0043B9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unselectedItemWithData" dxfId="6"/>
            <x14:slicerStyleElement type="unselectedItemWithNoData" dxfId="5"/>
            <x14:slicerStyleElement type="selectedItemWithData" dxfId="4"/>
            <x14:slicerStyleElement type="selectedItemWithNoData" dxfId="3"/>
            <x14:slicerStyleElement type="hoveredUnselectedItemWithData" dxfId="2"/>
            <x14:slicerStyleElement type="hoveredSelectedItemWith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KM/DIA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 Dinânima'!$H$12:$H$15</c:f>
              <c:strCache>
                <c:ptCount val="4"/>
                <c:pt idx="0">
                  <c:v>Caminhão</c:v>
                </c:pt>
                <c:pt idx="1">
                  <c:v>Carro</c:v>
                </c:pt>
                <c:pt idx="2">
                  <c:v>Motocicleta</c:v>
                </c:pt>
                <c:pt idx="3">
                  <c:v>Transporte público</c:v>
                </c:pt>
              </c:strCache>
            </c:strRef>
          </c:cat>
          <c:val>
            <c:numRef>
              <c:f>'Tabela Dinânima'!$J$12:$J$15</c:f>
              <c:numCache>
                <c:formatCode>General</c:formatCode>
                <c:ptCount val="4"/>
                <c:pt idx="0">
                  <c:v>3780</c:v>
                </c:pt>
                <c:pt idx="1">
                  <c:v>4350</c:v>
                </c:pt>
                <c:pt idx="2">
                  <c:v>2580</c:v>
                </c:pt>
                <c:pt idx="3">
                  <c:v>3240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A9-4C3D-A651-00EFA4FC9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1057408"/>
        <c:axId val="1391074688"/>
      </c:barChart>
      <c:catAx>
        <c:axId val="139105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91074688"/>
        <c:crosses val="autoZero"/>
        <c:auto val="1"/>
        <c:lblAlgn val="ctr"/>
        <c:lblOffset val="100"/>
        <c:noMultiLvlLbl val="0"/>
      </c:catAx>
      <c:valAx>
        <c:axId val="139107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9105740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531383949166075E-2"/>
          <c:y val="0.13456791572589336"/>
          <c:w val="0.92357041338069534"/>
          <c:h val="0.74690354149809102"/>
        </c:manualLayout>
      </c:layout>
      <c:barChart>
        <c:barDir val="col"/>
        <c:grouping val="clustered"/>
        <c:varyColors val="0"/>
        <c:ser>
          <c:idx val="0"/>
          <c:order val="0"/>
          <c:tx>
            <c:v>Ale</c:v>
          </c:tx>
          <c:spPr>
            <a:solidFill>
              <a:srgbClr val="22E0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Dinânima'!$B$65:$F$65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 Dinânima'!$B$66:$F$66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E8-4089-AD94-3B3DA2BA809E}"/>
            </c:ext>
          </c:extLst>
        </c:ser>
        <c:ser>
          <c:idx val="1"/>
          <c:order val="1"/>
          <c:tx>
            <c:v>Boxxter</c:v>
          </c:tx>
          <c:spPr>
            <a:solidFill>
              <a:srgbClr val="E03C2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Dinânima'!$B$65:$F$65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 Dinânima'!$B$78:$F$78</c:f>
              <c:numCache>
                <c:formatCode>General</c:formatCode>
                <c:ptCount val="5"/>
                <c:pt idx="0">
                  <c:v>9</c:v>
                </c:pt>
                <c:pt idx="1">
                  <c:v>11</c:v>
                </c:pt>
                <c:pt idx="2">
                  <c:v>6</c:v>
                </c:pt>
                <c:pt idx="3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E8-4089-AD94-3B3DA2BA809E}"/>
            </c:ext>
          </c:extLst>
        </c:ser>
        <c:ser>
          <c:idx val="2"/>
          <c:order val="2"/>
          <c:tx>
            <c:v>Ipiranga</c:v>
          </c:tx>
          <c:spPr>
            <a:solidFill>
              <a:srgbClr val="0B59E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Dinânima'!$B$65:$F$65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 Dinânima'!$B$68:$F$68</c:f>
              <c:numCache>
                <c:formatCode>General</c:formatCode>
                <c:ptCount val="5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20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E8-4089-AD94-3B3DA2BA809E}"/>
            </c:ext>
          </c:extLst>
        </c:ser>
        <c:ser>
          <c:idx val="3"/>
          <c:order val="3"/>
          <c:tx>
            <c:v>Petrobras</c:v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Dinânima'!$B$65:$F$65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 Dinânima'!$B$69:$F$69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8</c:v>
                </c:pt>
                <c:pt idx="3">
                  <c:v>10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E8-4089-AD94-3B3DA2BA809E}"/>
            </c:ext>
          </c:extLst>
        </c:ser>
        <c:ser>
          <c:idx val="7"/>
          <c:order val="4"/>
          <c:tx>
            <c:v>Shell</c:v>
          </c:tx>
          <c:spPr>
            <a:solidFill>
              <a:srgbClr val="FF69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3"/>
              <c:layout>
                <c:manualLayout>
                  <c:x val="-1.4598633135436677E-16"/>
                  <c:y val="9.196234141736429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7E8-4089-AD94-3B3DA2BA80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Dinânima'!$B$65:$F$65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 Dinânima'!$B$73:$F$73</c:f>
              <c:numCache>
                <c:formatCode>General</c:formatCode>
                <c:ptCount val="5"/>
                <c:pt idx="0">
                  <c:v>22</c:v>
                </c:pt>
                <c:pt idx="1">
                  <c:v>19</c:v>
                </c:pt>
                <c:pt idx="2">
                  <c:v>23</c:v>
                </c:pt>
                <c:pt idx="3">
                  <c:v>58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E8-4089-AD94-3B3DA2BA809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853133776"/>
        <c:axId val="853135696"/>
      </c:barChart>
      <c:catAx>
        <c:axId val="85313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99000"/>
                    </a:prstClr>
                  </a:outerShdw>
                </a:effectLst>
                <a:latin typeface="Sassoon Sans Slope Std Medium" panose="020B07030201030A0203" pitchFamily="34" charset="0"/>
                <a:ea typeface="+mn-ea"/>
                <a:cs typeface="+mn-cs"/>
              </a:defRPr>
            </a:pPr>
            <a:endParaRPr lang="pt-BR"/>
          </a:p>
        </c:txPr>
        <c:crossAx val="853135696"/>
        <c:crosses val="autoZero"/>
        <c:auto val="1"/>
        <c:lblAlgn val="ctr"/>
        <c:lblOffset val="100"/>
        <c:noMultiLvlLbl val="0"/>
      </c:catAx>
      <c:valAx>
        <c:axId val="85313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FFC000"/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/>
                  </a:outerShdw>
                </a:effectLst>
                <a:latin typeface="Sassoon Sans Slope Std Medium" panose="020B07030201030A0203" pitchFamily="34" charset="0"/>
                <a:ea typeface="+mn-ea"/>
                <a:cs typeface="+mn-cs"/>
              </a:defRPr>
            </a:pPr>
            <a:endParaRPr lang="pt-BR"/>
          </a:p>
        </c:txPr>
        <c:crossAx val="853133776"/>
        <c:crosses val="autoZero"/>
        <c:crossBetween val="between"/>
      </c:valAx>
      <c:spPr>
        <a:solidFill>
          <a:schemeClr val="bg1">
            <a:alpha val="85000"/>
          </a:schemeClr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5984509176945787E-2"/>
          <c:y val="2.8523504378283056E-2"/>
          <c:w val="0.82992918431624707"/>
          <c:h val="8.49768349466082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6000"/>
                  </a:prstClr>
                </a:outerShdw>
              </a:effectLst>
              <a:latin typeface="Sassoon Sans Slope Std Medium" panose="020B07030201030A0203" pitchFamily="34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017202395155156E-2"/>
          <c:y val="0.1291443891527489"/>
          <c:w val="0.52020224744634191"/>
          <c:h val="0.76417640201735071"/>
        </c:manualLayout>
      </c:layout>
      <c:doughnutChart>
        <c:varyColors val="1"/>
        <c:ser>
          <c:idx val="0"/>
          <c:order val="0"/>
          <c:tx>
            <c:v>Clientes</c:v>
          </c:tx>
          <c:spPr>
            <a:ln w="12700"/>
          </c:spPr>
          <c:dPt>
            <c:idx val="0"/>
            <c:bubble3D val="0"/>
            <c:spPr>
              <a:solidFill>
                <a:srgbClr val="22E0CC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B1B-43AE-B9DC-F07F012321AB}"/>
              </c:ext>
            </c:extLst>
          </c:dPt>
          <c:dPt>
            <c:idx val="1"/>
            <c:bubble3D val="0"/>
            <c:spPr>
              <a:solidFill>
                <a:srgbClr val="FF6900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B1B-43AE-B9DC-F07F012321AB}"/>
              </c:ext>
            </c:extLst>
          </c:dPt>
          <c:dPt>
            <c:idx val="2"/>
            <c:bubble3D val="0"/>
            <c:spPr>
              <a:solidFill>
                <a:srgbClr val="E03C22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B1B-43AE-B9DC-F07F012321AB}"/>
              </c:ext>
            </c:extLst>
          </c:dPt>
          <c:dPt>
            <c:idx val="3"/>
            <c:bubble3D val="0"/>
            <c:spPr>
              <a:solidFill>
                <a:srgbClr val="E0B60B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B1B-43AE-B9DC-F07F012321AB}"/>
              </c:ext>
            </c:extLst>
          </c:dPt>
          <c:dPt>
            <c:idx val="4"/>
            <c:bubble3D val="0"/>
            <c:spPr>
              <a:solidFill>
                <a:srgbClr val="940089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B1B-43AE-B9DC-F07F012321AB}"/>
              </c:ext>
            </c:extLst>
          </c:dPt>
          <c:dPt>
            <c:idx val="5"/>
            <c:bubble3D val="0"/>
            <c:spPr>
              <a:solidFill>
                <a:srgbClr val="00B050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B1B-43AE-B9DC-F07F012321AB}"/>
              </c:ext>
            </c:extLst>
          </c:dPt>
          <c:dPt>
            <c:idx val="6"/>
            <c:bubble3D val="0"/>
            <c:spPr>
              <a:solidFill>
                <a:srgbClr val="0B59E0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B1B-43AE-B9DC-F07F012321A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B1B-43AE-B9DC-F07F012321AB}"/>
              </c:ext>
            </c:extLst>
          </c:dPt>
          <c:dLbls>
            <c:dLbl>
              <c:idx val="7"/>
              <c:layout>
                <c:manualLayout>
                  <c:x val="0"/>
                  <c:y val="-0.125289922172608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0B59E0"/>
                      </a:solidFill>
                      <a:effectLst>
                        <a:outerShdw blurRad="50800" dist="38100" dir="2700000" algn="tl" rotWithShape="0">
                          <a:prstClr val="black">
                            <a:alpha val="40000"/>
                          </a:prstClr>
                        </a:outerShdw>
                      </a:effectLst>
                      <a:latin typeface="Sassoon Sans Slope Std Medium" panose="020B07030201030A0203" pitchFamily="34" charset="0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B1B-43AE-B9DC-F07F012321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 Dinânima'!$H$2:$H$9</c:f>
              <c:strCache>
                <c:ptCount val="8"/>
                <c:pt idx="0">
                  <c:v>Atendimento ágil e cordial</c:v>
                </c:pt>
                <c:pt idx="1">
                  <c:v>Bandeira do posto</c:v>
                </c:pt>
                <c:pt idx="2">
                  <c:v>Descontos via app</c:v>
                </c:pt>
                <c:pt idx="3">
                  <c:v>Fácil acesso em seu trajeto diário</c:v>
                </c:pt>
                <c:pt idx="4">
                  <c:v>Loja de conveniência</c:v>
                </c:pt>
                <c:pt idx="5">
                  <c:v>Possibilidade de lavagem do veículo</c:v>
                </c:pt>
                <c:pt idx="6">
                  <c:v>Qualidade da gasolina</c:v>
                </c:pt>
                <c:pt idx="7">
                  <c:v>Facilidade de pagamento (Sem Parar, PIX ou via App)</c:v>
                </c:pt>
              </c:strCache>
            </c:strRef>
          </c:cat>
          <c:val>
            <c:numRef>
              <c:f>'Tabela Dinânima'!$I$2:$I$9</c:f>
              <c:numCache>
                <c:formatCode>General</c:formatCode>
                <c:ptCount val="8"/>
                <c:pt idx="0">
                  <c:v>22</c:v>
                </c:pt>
                <c:pt idx="1">
                  <c:v>87</c:v>
                </c:pt>
                <c:pt idx="2">
                  <c:v>27</c:v>
                </c:pt>
                <c:pt idx="3">
                  <c:v>5</c:v>
                </c:pt>
                <c:pt idx="4">
                  <c:v>6</c:v>
                </c:pt>
                <c:pt idx="5">
                  <c:v>17</c:v>
                </c:pt>
                <c:pt idx="6">
                  <c:v>112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B1B-43AE-B9DC-F07F012321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128083396018483"/>
          <c:y val="5.8431799262009629E-2"/>
          <c:w val="0.38965087000977439"/>
          <c:h val="0.883136401475980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5000"/>
                  </a:prstClr>
                </a:outerShdw>
              </a:effectLst>
              <a:latin typeface="Sassoon Sans Slope Std Medium" panose="020B07030201030A0203" pitchFamily="34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Caminhão</c:v>
          </c:tx>
          <c:spPr>
            <a:solidFill>
              <a:srgbClr val="0B59E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2 a 3 vezes por semana</c:v>
                </c:pt>
                <c:pt idx="2">
                  <c:v>Mais que 3 vezes na semana</c:v>
                </c:pt>
              </c:strCache>
            </c:strRef>
          </c:cat>
          <c:val>
            <c:numRef>
              <c:f>('Tabela Dinânima'!$B$13,'Tabela Dinânima'!$D$13,'Tabela Dinânima'!$E$13)</c:f>
              <c:numCache>
                <c:formatCode>General</c:formatCode>
                <c:ptCount val="3"/>
                <c:pt idx="0">
                  <c:v>19</c:v>
                </c:pt>
                <c:pt idx="1">
                  <c:v>20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8C-4D34-8341-4EC32459A75E}"/>
            </c:ext>
          </c:extLst>
        </c:ser>
        <c:ser>
          <c:idx val="1"/>
          <c:order val="1"/>
          <c:tx>
            <c:v>Carro</c:v>
          </c:tx>
          <c:spPr>
            <a:solidFill>
              <a:srgbClr val="FF69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2 a 3 vezes por semana</c:v>
                </c:pt>
                <c:pt idx="2">
                  <c:v>Mais que 3 vezes na semana</c:v>
                </c:pt>
              </c:strCache>
            </c:strRef>
          </c:cat>
          <c:val>
            <c:numRef>
              <c:f>('Tabela Dinânima'!$B$14,'Tabela Dinânima'!$D$14,'Tabela Dinânima'!$E$14)</c:f>
              <c:numCache>
                <c:formatCode>General</c:formatCode>
                <c:ptCount val="3"/>
                <c:pt idx="0">
                  <c:v>40</c:v>
                </c:pt>
                <c:pt idx="1">
                  <c:v>15</c:v>
                </c:pt>
                <c:pt idx="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8C-4D34-8341-4EC32459A75E}"/>
            </c:ext>
          </c:extLst>
        </c:ser>
        <c:ser>
          <c:idx val="2"/>
          <c:order val="2"/>
          <c:tx>
            <c:v>Motocicleta</c:v>
          </c:tx>
          <c:spPr>
            <a:solidFill>
              <a:srgbClr val="E03C2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2 a 3 vezes por semana</c:v>
                </c:pt>
                <c:pt idx="2">
                  <c:v>Mais que 3 vezes na semana</c:v>
                </c:pt>
              </c:strCache>
            </c:strRef>
          </c:cat>
          <c:val>
            <c:numRef>
              <c:f>('Tabela Dinânima'!$B$15,'Tabela Dinânima'!$D$15,'Tabela Dinânima'!$E$15)</c:f>
              <c:numCache>
                <c:formatCode>General</c:formatCode>
                <c:ptCount val="3"/>
                <c:pt idx="0">
                  <c:v>11</c:v>
                </c:pt>
                <c:pt idx="1">
                  <c:v>21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8C-4D34-8341-4EC32459A75E}"/>
            </c:ext>
          </c:extLst>
        </c:ser>
        <c:ser>
          <c:idx val="3"/>
          <c:order val="3"/>
          <c:tx>
            <c:v>Trasp. Público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2 a 3 vezes por semana</c:v>
                </c:pt>
                <c:pt idx="2">
                  <c:v>Mais que 3 vezes na semana</c:v>
                </c:pt>
              </c:strCache>
            </c:strRef>
          </c:cat>
          <c:val>
            <c:numRef>
              <c:f>('Tabela Dinânima'!$B$16,'Tabela Dinânima'!$D$16,'Tabela Dinânima'!$E$16)</c:f>
              <c:numCache>
                <c:formatCode>General</c:formatCode>
                <c:ptCount val="3"/>
                <c:pt idx="0">
                  <c:v>19</c:v>
                </c:pt>
                <c:pt idx="1">
                  <c:v>19</c:v>
                </c:pt>
                <c:pt idx="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8C-4D34-8341-4EC32459A7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24422160"/>
        <c:axId val="1124422640"/>
      </c:barChart>
      <c:catAx>
        <c:axId val="112442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82000"/>
                    </a:prstClr>
                  </a:outerShdw>
                </a:effectLst>
                <a:latin typeface="Sassoon Sans Slope Std Medium" panose="020B07030201030A0203" pitchFamily="34" charset="0"/>
                <a:ea typeface="+mn-ea"/>
                <a:cs typeface="+mn-cs"/>
              </a:defRPr>
            </a:pPr>
            <a:endParaRPr lang="pt-BR"/>
          </a:p>
        </c:txPr>
        <c:crossAx val="1124422640"/>
        <c:crosses val="autoZero"/>
        <c:auto val="1"/>
        <c:lblAlgn val="ctr"/>
        <c:lblOffset val="100"/>
        <c:noMultiLvlLbl val="0"/>
      </c:catAx>
      <c:valAx>
        <c:axId val="11244226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rgbClr val="FECC0C"/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24422160"/>
        <c:crosses val="autoZero"/>
        <c:crossBetween val="between"/>
      </c:valAx>
      <c:spPr>
        <a:solidFill>
          <a:schemeClr val="bg1">
            <a:alpha val="85000"/>
          </a:schemeClr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403636419004404E-2"/>
          <c:y val="3.0035321064574759E-2"/>
          <c:w val="0.8631924775519445"/>
          <c:h val="0.116963137358775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4000"/>
                  </a:prstClr>
                </a:outerShdw>
              </a:effectLst>
              <a:latin typeface="Sassoon Sans Slope Std Medium" panose="020B07030201030A0203" pitchFamily="34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29962837766907"/>
          <c:y val="5.1023770578989915E-2"/>
          <c:w val="0.59073463646097968"/>
          <c:h val="0.83713914011751023"/>
        </c:manualLayout>
      </c:layout>
      <c:pieChart>
        <c:varyColors val="1"/>
        <c:ser>
          <c:idx val="0"/>
          <c:order val="0"/>
          <c:tx>
            <c:v>Recomendaria</c:v>
          </c:tx>
          <c:spPr>
            <a:ln w="12700"/>
          </c:spPr>
          <c:dPt>
            <c:idx val="0"/>
            <c:bubble3D val="0"/>
            <c:spPr>
              <a:solidFill>
                <a:srgbClr val="00B050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840-4840-8D1F-467D0C1DB4B2}"/>
              </c:ext>
            </c:extLst>
          </c:dPt>
          <c:dPt>
            <c:idx val="1"/>
            <c:bubble3D val="0"/>
            <c:spPr>
              <a:solidFill>
                <a:srgbClr val="FF6900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840-4840-8D1F-467D0C1DB4B2}"/>
              </c:ext>
            </c:extLst>
          </c:dPt>
          <c:dPt>
            <c:idx val="2"/>
            <c:bubble3D val="0"/>
            <c:spPr>
              <a:solidFill>
                <a:srgbClr val="E03C22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840-4840-8D1F-467D0C1DB4B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840-4840-8D1F-467D0C1DB4B2}"/>
              </c:ext>
            </c:extLst>
          </c:dPt>
          <c:dPt>
            <c:idx val="4"/>
            <c:bubble3D val="0"/>
            <c:spPr>
              <a:solidFill>
                <a:srgbClr val="0043B9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840-4840-8D1F-467D0C1DB4B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 Dinânima'!$J$48:$J$52</c:f>
              <c:strCache>
                <c:ptCount val="5"/>
                <c:pt idx="0">
                  <c:v>1 - Nunca</c:v>
                </c:pt>
                <c:pt idx="1">
                  <c:v>2 - Não</c:v>
                </c:pt>
                <c:pt idx="2">
                  <c:v>3 - Talvez</c:v>
                </c:pt>
                <c:pt idx="3">
                  <c:v>4 - Sim</c:v>
                </c:pt>
                <c:pt idx="4">
                  <c:v>5 - Concerteza</c:v>
                </c:pt>
              </c:strCache>
            </c:strRef>
          </c:cat>
          <c:val>
            <c:numRef>
              <c:f>'Tabela Dinânima'!$L$48:$L$52</c:f>
              <c:numCache>
                <c:formatCode>General</c:formatCode>
                <c:ptCount val="5"/>
                <c:pt idx="0">
                  <c:v>46</c:v>
                </c:pt>
                <c:pt idx="1">
                  <c:v>37</c:v>
                </c:pt>
                <c:pt idx="2">
                  <c:v>49</c:v>
                </c:pt>
                <c:pt idx="3">
                  <c:v>58</c:v>
                </c:pt>
                <c:pt idx="4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840-4840-8D1F-467D0C1DB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000" b="1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5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202233446203709E-2"/>
          <c:y val="0.13613855722592674"/>
          <c:w val="0.95595533107592578"/>
          <c:h val="0.81245778066114027"/>
        </c:manualLayout>
      </c:layout>
      <c:barChart>
        <c:barDir val="col"/>
        <c:grouping val="clustered"/>
        <c:varyColors val="0"/>
        <c:ser>
          <c:idx val="0"/>
          <c:order val="0"/>
          <c:tx>
            <c:v>Caminhão</c:v>
          </c:tx>
          <c:spPr>
            <a:solidFill>
              <a:srgbClr val="0B59E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2 a 3 vezes por semana</c:v>
                </c:pt>
                <c:pt idx="2">
                  <c:v>Mais que 3 vezes na semana</c:v>
                </c:pt>
              </c:strCache>
            </c:strRef>
          </c:cat>
          <c:val>
            <c:numRef>
              <c:f>('Tabela Dinânima'!$B$13,'Tabela Dinânima'!$D$13,'Tabela Dinânima'!$E$13)</c:f>
              <c:numCache>
                <c:formatCode>General</c:formatCode>
                <c:ptCount val="3"/>
                <c:pt idx="0">
                  <c:v>19</c:v>
                </c:pt>
                <c:pt idx="1">
                  <c:v>20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2B-46E3-A7E6-D0016280EE2D}"/>
            </c:ext>
          </c:extLst>
        </c:ser>
        <c:ser>
          <c:idx val="1"/>
          <c:order val="1"/>
          <c:tx>
            <c:v>Carro</c:v>
          </c:tx>
          <c:spPr>
            <a:solidFill>
              <a:srgbClr val="FF69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2 a 3 vezes por semana</c:v>
                </c:pt>
                <c:pt idx="2">
                  <c:v>Mais que 3 vezes na semana</c:v>
                </c:pt>
              </c:strCache>
            </c:strRef>
          </c:cat>
          <c:val>
            <c:numRef>
              <c:f>('Tabela Dinânima'!$B$14,'Tabela Dinânima'!$D$14,'Tabela Dinânima'!$E$14)</c:f>
              <c:numCache>
                <c:formatCode>General</c:formatCode>
                <c:ptCount val="3"/>
                <c:pt idx="0">
                  <c:v>40</c:v>
                </c:pt>
                <c:pt idx="1">
                  <c:v>15</c:v>
                </c:pt>
                <c:pt idx="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2B-46E3-A7E6-D0016280EE2D}"/>
            </c:ext>
          </c:extLst>
        </c:ser>
        <c:ser>
          <c:idx val="2"/>
          <c:order val="2"/>
          <c:tx>
            <c:v>Motocicleta</c:v>
          </c:tx>
          <c:spPr>
            <a:solidFill>
              <a:srgbClr val="E03C2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2 a 3 vezes por semana</c:v>
                </c:pt>
                <c:pt idx="2">
                  <c:v>Mais que 3 vezes na semana</c:v>
                </c:pt>
              </c:strCache>
            </c:strRef>
          </c:cat>
          <c:val>
            <c:numRef>
              <c:f>('Tabela Dinânima'!$B$15,'Tabela Dinânima'!$D$15,'Tabela Dinânima'!$E$15)</c:f>
              <c:numCache>
                <c:formatCode>General</c:formatCode>
                <c:ptCount val="3"/>
                <c:pt idx="0">
                  <c:v>11</c:v>
                </c:pt>
                <c:pt idx="1">
                  <c:v>21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2B-46E3-A7E6-D0016280EE2D}"/>
            </c:ext>
          </c:extLst>
        </c:ser>
        <c:ser>
          <c:idx val="3"/>
          <c:order val="3"/>
          <c:tx>
            <c:v>Trasp. Público</c:v>
          </c:tx>
          <c:spPr>
            <a:solidFill>
              <a:srgbClr val="22E0C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2 a 3 vezes por semana</c:v>
                </c:pt>
                <c:pt idx="2">
                  <c:v>Mais que 3 vezes na semana</c:v>
                </c:pt>
              </c:strCache>
            </c:strRef>
          </c:cat>
          <c:val>
            <c:numRef>
              <c:f>('Tabela Dinânima'!$B$16,'Tabela Dinânima'!$D$16,'Tabela Dinânima'!$E$16)</c:f>
              <c:numCache>
                <c:formatCode>General</c:formatCode>
                <c:ptCount val="3"/>
                <c:pt idx="0">
                  <c:v>19</c:v>
                </c:pt>
                <c:pt idx="1">
                  <c:v>19</c:v>
                </c:pt>
                <c:pt idx="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2B-46E3-A7E6-D0016280EE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24422160"/>
        <c:axId val="1124422640"/>
      </c:barChart>
      <c:catAx>
        <c:axId val="112442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82000"/>
                    </a:prstClr>
                  </a:outerShdw>
                </a:effectLst>
                <a:latin typeface="Sassoon Sans Slope Std Medium" panose="020B07030201030A0203" pitchFamily="34" charset="0"/>
                <a:ea typeface="+mn-ea"/>
                <a:cs typeface="+mn-cs"/>
              </a:defRPr>
            </a:pPr>
            <a:endParaRPr lang="pt-BR"/>
          </a:p>
        </c:txPr>
        <c:crossAx val="1124422640"/>
        <c:crosses val="autoZero"/>
        <c:auto val="1"/>
        <c:lblAlgn val="ctr"/>
        <c:lblOffset val="100"/>
        <c:noMultiLvlLbl val="0"/>
      </c:catAx>
      <c:valAx>
        <c:axId val="11244226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rgbClr val="FECC0C"/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24422160"/>
        <c:crosses val="autoZero"/>
        <c:crossBetween val="between"/>
      </c:valAx>
      <c:spPr>
        <a:solidFill>
          <a:schemeClr val="bg1">
            <a:alpha val="75000"/>
          </a:schemeClr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403703913890612E-2"/>
          <c:y val="9.9179145169051609E-3"/>
          <c:w val="0.8631924775519445"/>
          <c:h val="0.116963137358775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4000"/>
                  </a:prstClr>
                </a:outerShdw>
              </a:effectLst>
              <a:latin typeface="Sassoon Sans Slope Std Medium" panose="020B07030201030A0203" pitchFamily="34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59963088692633"/>
          <c:y val="0.11040348093383714"/>
          <c:w val="0.46010370916726923"/>
          <c:h val="0.8531007795703031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22E0C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720-4CB9-B6AC-2F43CB2B7D87}"/>
              </c:ext>
            </c:extLst>
          </c:dPt>
          <c:dPt>
            <c:idx val="1"/>
            <c:bubble3D val="0"/>
            <c:spPr>
              <a:solidFill>
                <a:srgbClr val="E03C2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720-4CB9-B6AC-2F43CB2B7D87}"/>
              </c:ext>
            </c:extLst>
          </c:dPt>
          <c:dPt>
            <c:idx val="2"/>
            <c:bubble3D val="0"/>
            <c:spPr>
              <a:solidFill>
                <a:srgbClr val="0043B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720-4CB9-B6AC-2F43CB2B7D87}"/>
              </c:ext>
            </c:extLst>
          </c:dPt>
          <c:dPt>
            <c:idx val="3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720-4CB9-B6AC-2F43CB2B7D87}"/>
              </c:ext>
            </c:extLst>
          </c:dPt>
          <c:dPt>
            <c:idx val="4"/>
            <c:bubble3D val="0"/>
            <c:spPr>
              <a:solidFill>
                <a:srgbClr val="FF69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720-4CB9-B6AC-2F43CB2B7D87}"/>
              </c:ext>
            </c:extLst>
          </c:dPt>
          <c:dPt>
            <c:idx val="5"/>
            <c:bubble3D val="0"/>
            <c:spPr>
              <a:solidFill>
                <a:srgbClr val="E02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720-4CB9-B6AC-2F43CB2B7D8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 Dinânima'!$S$2:$S$7</c:f>
              <c:strCache>
                <c:ptCount val="6"/>
                <c:pt idx="0">
                  <c:v>Ale</c:v>
                </c:pt>
                <c:pt idx="1">
                  <c:v>Boxxter</c:v>
                </c:pt>
                <c:pt idx="2">
                  <c:v>Ipiranga</c:v>
                </c:pt>
                <c:pt idx="3">
                  <c:v>Petrobras</c:v>
                </c:pt>
                <c:pt idx="4">
                  <c:v>Shell</c:v>
                </c:pt>
                <c:pt idx="5">
                  <c:v>Outros</c:v>
                </c:pt>
              </c:strCache>
            </c:strRef>
          </c:cat>
          <c:val>
            <c:numRef>
              <c:f>'Tabela Dinânima'!$U$2:$U$7</c:f>
              <c:numCache>
                <c:formatCode>0%</c:formatCode>
                <c:ptCount val="6"/>
                <c:pt idx="0">
                  <c:v>5.3333333333333337E-2</c:v>
                </c:pt>
                <c:pt idx="1">
                  <c:v>0.17</c:v>
                </c:pt>
                <c:pt idx="2">
                  <c:v>9.6666666666666665E-2</c:v>
                </c:pt>
                <c:pt idx="3">
                  <c:v>0.1</c:v>
                </c:pt>
                <c:pt idx="4">
                  <c:v>0.40666666666666668</c:v>
                </c:pt>
                <c:pt idx="5">
                  <c:v>0.17333333333333334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20-4CB9-B6AC-2F43CB2B7D8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966258250549472"/>
          <c:y val="0.13512729040704105"/>
          <c:w val="0.26119478505987609"/>
          <c:h val="0.835187001892302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4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788948402010006E-2"/>
          <c:y val="0.13706794256767196"/>
          <c:w val="0.92006711289808463"/>
          <c:h val="0.7415785536949091"/>
        </c:manualLayout>
      </c:layout>
      <c:lineChart>
        <c:grouping val="standard"/>
        <c:varyColors val="0"/>
        <c:ser>
          <c:idx val="0"/>
          <c:order val="0"/>
          <c:tx>
            <c:v>Caminhão</c:v>
          </c:tx>
          <c:spPr>
            <a:ln w="38100" cap="rnd">
              <a:solidFill>
                <a:srgbClr val="0043B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43B9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Dinânima'!$M$12:$P$12</c:f>
              <c:strCache>
                <c:ptCount val="4"/>
                <c:pt idx="0">
                  <c:v>Entre 20 e 50 reais</c:v>
                </c:pt>
                <c:pt idx="1">
                  <c:v>Entre 50 e 100 reais</c:v>
                </c:pt>
                <c:pt idx="2">
                  <c:v>Mais de 100 reais</c:v>
                </c:pt>
                <c:pt idx="3">
                  <c:v>Menos de 20 reais</c:v>
                </c:pt>
              </c:strCache>
            </c:strRef>
          </c:cat>
          <c:val>
            <c:numRef>
              <c:f>'Tabela Dinânima'!$M$13:$P$13</c:f>
              <c:numCache>
                <c:formatCode>General</c:formatCode>
                <c:ptCount val="4"/>
                <c:pt idx="0">
                  <c:v>20</c:v>
                </c:pt>
                <c:pt idx="1">
                  <c:v>20</c:v>
                </c:pt>
                <c:pt idx="2">
                  <c:v>14</c:v>
                </c:pt>
                <c:pt idx="3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27-486E-AA3C-E42418C3C530}"/>
            </c:ext>
          </c:extLst>
        </c:ser>
        <c:ser>
          <c:idx val="1"/>
          <c:order val="1"/>
          <c:tx>
            <c:v>Carro</c:v>
          </c:tx>
          <c:spPr>
            <a:ln w="38100" cap="rnd">
              <a:solidFill>
                <a:srgbClr val="FF69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900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Dinânima'!$M$12:$P$12</c:f>
              <c:strCache>
                <c:ptCount val="4"/>
                <c:pt idx="0">
                  <c:v>Entre 20 e 50 reais</c:v>
                </c:pt>
                <c:pt idx="1">
                  <c:v>Entre 50 e 100 reais</c:v>
                </c:pt>
                <c:pt idx="2">
                  <c:v>Mais de 100 reais</c:v>
                </c:pt>
                <c:pt idx="3">
                  <c:v>Menos de 20 reais</c:v>
                </c:pt>
              </c:strCache>
            </c:strRef>
          </c:cat>
          <c:val>
            <c:numRef>
              <c:f>'Tabela Dinânima'!$M$14:$P$14</c:f>
              <c:numCache>
                <c:formatCode>General</c:formatCode>
                <c:ptCount val="4"/>
                <c:pt idx="0">
                  <c:v>11</c:v>
                </c:pt>
                <c:pt idx="1">
                  <c:v>27</c:v>
                </c:pt>
                <c:pt idx="2">
                  <c:v>30</c:v>
                </c:pt>
                <c:pt idx="3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27-486E-AA3C-E42418C3C530}"/>
            </c:ext>
          </c:extLst>
        </c:ser>
        <c:ser>
          <c:idx val="2"/>
          <c:order val="2"/>
          <c:tx>
            <c:v>Motocicleta</c:v>
          </c:tx>
          <c:spPr>
            <a:ln w="38100" cap="rnd">
              <a:solidFill>
                <a:srgbClr val="22E0C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2E0CC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Dinânima'!$M$12:$P$12</c:f>
              <c:strCache>
                <c:ptCount val="4"/>
                <c:pt idx="0">
                  <c:v>Entre 20 e 50 reais</c:v>
                </c:pt>
                <c:pt idx="1">
                  <c:v>Entre 50 e 100 reais</c:v>
                </c:pt>
                <c:pt idx="2">
                  <c:v>Mais de 100 reais</c:v>
                </c:pt>
                <c:pt idx="3">
                  <c:v>Menos de 20 reais</c:v>
                </c:pt>
              </c:strCache>
            </c:strRef>
          </c:cat>
          <c:val>
            <c:numRef>
              <c:f>'Tabela Dinânima'!$M$15:$P$15</c:f>
              <c:numCache>
                <c:formatCode>General</c:formatCode>
                <c:ptCount val="4"/>
                <c:pt idx="0">
                  <c:v>12</c:v>
                </c:pt>
                <c:pt idx="1">
                  <c:v>11</c:v>
                </c:pt>
                <c:pt idx="2">
                  <c:v>9</c:v>
                </c:pt>
                <c:pt idx="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27-486E-AA3C-E42418C3C530}"/>
            </c:ext>
          </c:extLst>
        </c:ser>
        <c:ser>
          <c:idx val="3"/>
          <c:order val="3"/>
          <c:tx>
            <c:v>Outros</c:v>
          </c:tx>
          <c:spPr>
            <a:ln w="38100" cap="rnd">
              <a:solidFill>
                <a:srgbClr val="E022D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022D2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3.0252819873826744E-2"/>
                  <c:y val="-7.74700891385825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327-486E-AA3C-E42418C3C5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Dinânima'!$M$12:$P$12</c:f>
              <c:strCache>
                <c:ptCount val="4"/>
                <c:pt idx="0">
                  <c:v>Entre 20 e 50 reais</c:v>
                </c:pt>
                <c:pt idx="1">
                  <c:v>Entre 50 e 100 reais</c:v>
                </c:pt>
                <c:pt idx="2">
                  <c:v>Mais de 100 reais</c:v>
                </c:pt>
                <c:pt idx="3">
                  <c:v>Menos de 20 reais</c:v>
                </c:pt>
              </c:strCache>
            </c:strRef>
          </c:cat>
          <c:val>
            <c:numRef>
              <c:f>'Tabela Dinânima'!$M$16:$P$16</c:f>
              <c:numCache>
                <c:formatCode>General</c:formatCode>
                <c:ptCount val="4"/>
                <c:pt idx="0">
                  <c:v>18</c:v>
                </c:pt>
                <c:pt idx="1">
                  <c:v>19</c:v>
                </c:pt>
                <c:pt idx="2">
                  <c:v>11</c:v>
                </c:pt>
                <c:pt idx="3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27-486E-AA3C-E42418C3C53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99898992"/>
        <c:axId val="999899472"/>
      </c:lineChart>
      <c:catAx>
        <c:axId val="99989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85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pt-BR"/>
          </a:p>
        </c:txPr>
        <c:crossAx val="999899472"/>
        <c:crosses val="autoZero"/>
        <c:auto val="1"/>
        <c:lblAlgn val="ctr"/>
        <c:lblOffset val="100"/>
        <c:noMultiLvlLbl val="0"/>
      </c:catAx>
      <c:valAx>
        <c:axId val="99989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85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pt-BR"/>
          </a:p>
        </c:txPr>
        <c:crossAx val="999898992"/>
        <c:crosses val="autoZero"/>
        <c:crossBetween val="between"/>
      </c:valAx>
      <c:spPr>
        <a:solidFill>
          <a:schemeClr val="bg1">
            <a:alpha val="80000"/>
          </a:schemeClr>
        </a:soli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2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67994941036715"/>
          <c:y val="3.8753465675945439E-2"/>
          <c:w val="0.74478387406933599"/>
          <c:h val="0.85118147203430561"/>
        </c:manualLayout>
      </c:layout>
      <c:pieChart>
        <c:varyColors val="1"/>
        <c:ser>
          <c:idx val="0"/>
          <c:order val="0"/>
          <c:tx>
            <c:v>Recomendaria</c:v>
          </c:tx>
          <c:dPt>
            <c:idx val="0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B4F-4DC4-B6BF-C5727F402CF2}"/>
              </c:ext>
            </c:extLst>
          </c:dPt>
          <c:dPt>
            <c:idx val="1"/>
            <c:bubble3D val="0"/>
            <c:spPr>
              <a:solidFill>
                <a:srgbClr val="FF69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B4F-4DC4-B6BF-C5727F402CF2}"/>
              </c:ext>
            </c:extLst>
          </c:dPt>
          <c:dPt>
            <c:idx val="2"/>
            <c:bubble3D val="0"/>
            <c:spPr>
              <a:solidFill>
                <a:srgbClr val="22E0C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B4F-4DC4-B6BF-C5727F402CF2}"/>
              </c:ext>
            </c:extLst>
          </c:dPt>
          <c:dPt>
            <c:idx val="3"/>
            <c:bubble3D val="0"/>
            <c:spPr>
              <a:solidFill>
                <a:srgbClr val="FECC0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B4F-4DC4-B6BF-C5727F402CF2}"/>
              </c:ext>
            </c:extLst>
          </c:dPt>
          <c:dPt>
            <c:idx val="4"/>
            <c:bubble3D val="0"/>
            <c:spPr>
              <a:solidFill>
                <a:srgbClr val="0043B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B4F-4DC4-B6BF-C5727F402CF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0" i="0" u="none" strike="noStrike" kern="1200" baseline="0">
                    <a:solidFill>
                      <a:schemeClr val="bg1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 Dinânima'!$J$48:$J$52</c:f>
              <c:strCache>
                <c:ptCount val="5"/>
                <c:pt idx="0">
                  <c:v>1 - Nunca</c:v>
                </c:pt>
                <c:pt idx="1">
                  <c:v>2 - Não</c:v>
                </c:pt>
                <c:pt idx="2">
                  <c:v>3 - Talvez</c:v>
                </c:pt>
                <c:pt idx="3">
                  <c:v>4 - Sim</c:v>
                </c:pt>
                <c:pt idx="4">
                  <c:v>5 - Concerteza</c:v>
                </c:pt>
              </c:strCache>
            </c:strRef>
          </c:cat>
          <c:val>
            <c:numRef>
              <c:f>'Tabela Dinânima'!$M$48:$M$52</c:f>
              <c:numCache>
                <c:formatCode>0%</c:formatCode>
                <c:ptCount val="5"/>
                <c:pt idx="0">
                  <c:v>0.18326693227091634</c:v>
                </c:pt>
                <c:pt idx="1">
                  <c:v>0.14741035856573706</c:v>
                </c:pt>
                <c:pt idx="2">
                  <c:v>0.19521912350597609</c:v>
                </c:pt>
                <c:pt idx="3">
                  <c:v>0.23107569721115537</c:v>
                </c:pt>
                <c:pt idx="4">
                  <c:v>0.24302788844621515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B4F-4DC4-B6BF-C5727F402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3548611881261325"/>
          <c:w val="0.94266276462316145"/>
          <c:h val="0.16451388118738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1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5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9568519925462174E-2"/>
          <c:y val="4.4669812752079298E-2"/>
          <c:w val="0.3420680360164981"/>
          <c:h val="0.85284908059512643"/>
        </c:manualLayout>
      </c:layout>
      <c:doughnutChart>
        <c:varyColors val="1"/>
        <c:ser>
          <c:idx val="0"/>
          <c:order val="0"/>
          <c:tx>
            <c:v>Recomendaria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714-4983-8177-04F6DDB39A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714-4983-8177-04F6DDB39A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714-4983-8177-04F6DDB39A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714-4983-8177-04F6DDB39AB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bg1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 Dinânima'!$H$41:$H$44</c:f>
              <c:strCache>
                <c:ptCount val="4"/>
                <c:pt idx="0">
                  <c:v>Não oferecer a alternativa para o cliente ao abastecer</c:v>
                </c:pt>
                <c:pt idx="1">
                  <c:v>Pouca divulgação</c:v>
                </c:pt>
                <c:pt idx="2">
                  <c:v>Poucos benefícios</c:v>
                </c:pt>
                <c:pt idx="3">
                  <c:v>Variedade de Apps para os diferentes postos</c:v>
                </c:pt>
              </c:strCache>
            </c:strRef>
          </c:cat>
          <c:val>
            <c:numRef>
              <c:f>'Tabela Dinânima'!$I$41:$I$44</c:f>
              <c:numCache>
                <c:formatCode>General</c:formatCode>
                <c:ptCount val="4"/>
                <c:pt idx="0">
                  <c:v>47</c:v>
                </c:pt>
                <c:pt idx="1">
                  <c:v>57</c:v>
                </c:pt>
                <c:pt idx="2">
                  <c:v>75</c:v>
                </c:pt>
                <c:pt idx="3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714-4983-8177-04F6DDB39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50077450442470361"/>
          <c:y val="0.13132377924306898"/>
          <c:w val="0.39441623239900975"/>
          <c:h val="0.721282288461217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1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5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13" Type="http://schemas.openxmlformats.org/officeDocument/2006/relationships/image" Target="../media/image9.png"/><Relationship Id="rId18" Type="http://schemas.openxmlformats.org/officeDocument/2006/relationships/image" Target="../media/image14.svg"/><Relationship Id="rId3" Type="http://schemas.openxmlformats.org/officeDocument/2006/relationships/chart" Target="../charts/chart2.xml"/><Relationship Id="rId7" Type="http://schemas.openxmlformats.org/officeDocument/2006/relationships/chart" Target="../charts/chart4.xml"/><Relationship Id="rId12" Type="http://schemas.openxmlformats.org/officeDocument/2006/relationships/image" Target="../media/image8.svg"/><Relationship Id="rId17" Type="http://schemas.openxmlformats.org/officeDocument/2006/relationships/image" Target="../media/image13.png"/><Relationship Id="rId2" Type="http://schemas.openxmlformats.org/officeDocument/2006/relationships/image" Target="../media/image2.png"/><Relationship Id="rId16" Type="http://schemas.openxmlformats.org/officeDocument/2006/relationships/image" Target="../media/image12.svg"/><Relationship Id="rId1" Type="http://schemas.openxmlformats.org/officeDocument/2006/relationships/image" Target="../media/image1.jpeg"/><Relationship Id="rId6" Type="http://schemas.openxmlformats.org/officeDocument/2006/relationships/chart" Target="../charts/chart3.xml"/><Relationship Id="rId11" Type="http://schemas.openxmlformats.org/officeDocument/2006/relationships/image" Target="../media/image7.png"/><Relationship Id="rId5" Type="http://schemas.openxmlformats.org/officeDocument/2006/relationships/image" Target="../media/image4.png"/><Relationship Id="rId15" Type="http://schemas.openxmlformats.org/officeDocument/2006/relationships/image" Target="../media/image11.png"/><Relationship Id="rId10" Type="http://schemas.openxmlformats.org/officeDocument/2006/relationships/image" Target="../media/image6.svg"/><Relationship Id="rId19" Type="http://schemas.openxmlformats.org/officeDocument/2006/relationships/hyperlink" Target="#'Visual 2'!A1"/><Relationship Id="rId4" Type="http://schemas.openxmlformats.org/officeDocument/2006/relationships/image" Target="../media/image3.png"/><Relationship Id="rId9" Type="http://schemas.openxmlformats.org/officeDocument/2006/relationships/image" Target="../media/image5.png"/><Relationship Id="rId14" Type="http://schemas.openxmlformats.org/officeDocument/2006/relationships/image" Target="../media/image10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svg"/><Relationship Id="rId3" Type="http://schemas.openxmlformats.org/officeDocument/2006/relationships/image" Target="../media/image4.png"/><Relationship Id="rId7" Type="http://schemas.openxmlformats.org/officeDocument/2006/relationships/image" Target="../media/image8.sv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6" Type="http://schemas.openxmlformats.org/officeDocument/2006/relationships/chart" Target="../charts/chart8.xml"/><Relationship Id="rId1" Type="http://schemas.openxmlformats.org/officeDocument/2006/relationships/image" Target="../media/image15.jpg"/><Relationship Id="rId6" Type="http://schemas.openxmlformats.org/officeDocument/2006/relationships/image" Target="../media/image7.png"/><Relationship Id="rId11" Type="http://schemas.openxmlformats.org/officeDocument/2006/relationships/image" Target="../media/image12.svg"/><Relationship Id="rId5" Type="http://schemas.openxmlformats.org/officeDocument/2006/relationships/image" Target="../media/image6.svg"/><Relationship Id="rId15" Type="http://schemas.openxmlformats.org/officeDocument/2006/relationships/chart" Target="../charts/chart7.xml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svg"/><Relationship Id="rId14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svg"/><Relationship Id="rId3" Type="http://schemas.openxmlformats.org/officeDocument/2006/relationships/image" Target="../media/image4.png"/><Relationship Id="rId7" Type="http://schemas.openxmlformats.org/officeDocument/2006/relationships/image" Target="../media/image8.sv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16.jpg"/><Relationship Id="rId6" Type="http://schemas.openxmlformats.org/officeDocument/2006/relationships/image" Target="../media/image7.png"/><Relationship Id="rId11" Type="http://schemas.openxmlformats.org/officeDocument/2006/relationships/image" Target="../media/image12.svg"/><Relationship Id="rId5" Type="http://schemas.openxmlformats.org/officeDocument/2006/relationships/image" Target="../media/image6.svg"/><Relationship Id="rId15" Type="http://schemas.openxmlformats.org/officeDocument/2006/relationships/chart" Target="../charts/chart10.xml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svg"/><Relationship Id="rId14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10</xdr:row>
      <xdr:rowOff>15240</xdr:rowOff>
    </xdr:from>
    <xdr:to>
      <xdr:col>10</xdr:col>
      <xdr:colOff>1539240</xdr:colOff>
      <xdr:row>15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E645EB7-CA03-E0EF-D984-67BC190E7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241900</xdr:colOff>
      <xdr:row>61</xdr:row>
      <xdr:rowOff>76201</xdr:rowOff>
    </xdr:from>
    <xdr:to>
      <xdr:col>11</xdr:col>
      <xdr:colOff>239486</xdr:colOff>
      <xdr:row>72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REGIÃO">
              <a:extLst>
                <a:ext uri="{FF2B5EF4-FFF2-40B4-BE49-F238E27FC236}">
                  <a16:creationId xmlns:a16="http://schemas.microsoft.com/office/drawing/2014/main" id="{5F71CA36-AB5C-35BD-362C-2356070C09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Ã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67643" y="11473544"/>
              <a:ext cx="1837272" cy="20356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100629</xdr:colOff>
      <xdr:row>18</xdr:row>
      <xdr:rowOff>180468</xdr:rowOff>
    </xdr:from>
    <xdr:to>
      <xdr:col>11</xdr:col>
      <xdr:colOff>92693</xdr:colOff>
      <xdr:row>25</xdr:row>
      <xdr:rowOff>173184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GÊNERO">
              <a:extLst>
                <a:ext uri="{FF2B5EF4-FFF2-40B4-BE49-F238E27FC236}">
                  <a16:creationId xmlns:a16="http://schemas.microsoft.com/office/drawing/2014/main" id="{C047A3D5-752A-2E87-7259-A0F142BA0A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ÊNER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38323" y="3443621"/>
              <a:ext cx="1838794" cy="1247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403860</xdr:colOff>
      <xdr:row>41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8FE28D8-6B84-49A3-1BDD-3FE57C99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24660" cy="7360024"/>
        </a:xfrm>
        <a:prstGeom prst="rect">
          <a:avLst/>
        </a:prstGeom>
      </xdr:spPr>
    </xdr:pic>
    <xdr:clientData/>
  </xdr:twoCellAnchor>
  <xdr:twoCellAnchor>
    <xdr:from>
      <xdr:col>0</xdr:col>
      <xdr:colOff>17929</xdr:colOff>
      <xdr:row>0</xdr:row>
      <xdr:rowOff>125507</xdr:rowOff>
    </xdr:from>
    <xdr:to>
      <xdr:col>23</xdr:col>
      <xdr:colOff>342900</xdr:colOff>
      <xdr:row>40</xdr:row>
      <xdr:rowOff>35860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72A031C7-4C70-46AF-92DD-05CAF3C8E49F}"/>
            </a:ext>
          </a:extLst>
        </xdr:cNvPr>
        <xdr:cNvSpPr/>
      </xdr:nvSpPr>
      <xdr:spPr>
        <a:xfrm>
          <a:off x="17929" y="125507"/>
          <a:ext cx="14345771" cy="7091082"/>
        </a:xfrm>
        <a:prstGeom prst="roundRect">
          <a:avLst>
            <a:gd name="adj" fmla="val 2441"/>
          </a:avLst>
        </a:prstGeom>
        <a:solidFill>
          <a:srgbClr val="FFB300">
            <a:alpha val="27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173183</xdr:colOff>
      <xdr:row>8</xdr:row>
      <xdr:rowOff>11548</xdr:rowOff>
    </xdr:from>
    <xdr:to>
      <xdr:col>23</xdr:col>
      <xdr:colOff>281940</xdr:colOff>
      <xdr:row>23</xdr:row>
      <xdr:rowOff>103416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1039FEA8-EAFC-480A-8D59-571F3719388C}"/>
            </a:ext>
          </a:extLst>
        </xdr:cNvPr>
        <xdr:cNvSpPr/>
      </xdr:nvSpPr>
      <xdr:spPr>
        <a:xfrm>
          <a:off x="8707583" y="1495791"/>
          <a:ext cx="5595157" cy="2874825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183609</xdr:colOff>
      <xdr:row>8</xdr:row>
      <xdr:rowOff>19542</xdr:rowOff>
    </xdr:from>
    <xdr:to>
      <xdr:col>23</xdr:col>
      <xdr:colOff>271514</xdr:colOff>
      <xdr:row>9</xdr:row>
      <xdr:rowOff>69032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9F5063AF-255E-43EE-9BA0-2F4A4CAA8AA0}"/>
            </a:ext>
          </a:extLst>
        </xdr:cNvPr>
        <xdr:cNvSpPr/>
      </xdr:nvSpPr>
      <xdr:spPr>
        <a:xfrm>
          <a:off x="8718009" y="1453895"/>
          <a:ext cx="5574305" cy="228784"/>
        </a:xfrm>
        <a:prstGeom prst="roundRect">
          <a:avLst>
            <a:gd name="adj" fmla="val 31626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177827</xdr:colOff>
      <xdr:row>8</xdr:row>
      <xdr:rowOff>38124</xdr:rowOff>
    </xdr:from>
    <xdr:to>
      <xdr:col>19</xdr:col>
      <xdr:colOff>17079</xdr:colOff>
      <xdr:row>9</xdr:row>
      <xdr:rowOff>63062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EB70F408-9CDB-BEBF-A013-65E622D9C811}"/>
            </a:ext>
          </a:extLst>
        </xdr:cNvPr>
        <xdr:cNvSpPr txBox="1"/>
      </xdr:nvSpPr>
      <xdr:spPr>
        <a:xfrm>
          <a:off x="8712227" y="1501164"/>
          <a:ext cx="2887252" cy="2078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Análise Regional APP</a:t>
          </a:r>
          <a:r>
            <a:rPr lang="pt-BR" sz="1400" b="0" i="0" baseline="0">
              <a:solidFill>
                <a:schemeClr val="bg1"/>
              </a:solidFill>
              <a:latin typeface="Sassoon Sans Slope Std Medium" panose="020B07030201030A0203" pitchFamily="34" charset="0"/>
            </a:rPr>
            <a:t> </a:t>
          </a:r>
          <a:r>
            <a:rPr lang="pt-BR" sz="1400" b="1" i="0">
              <a:solidFill>
                <a:srgbClr val="FF6900"/>
              </a:solidFill>
              <a:latin typeface="Sassoon Sans Slope Std Medium" panose="020B07030201030A0203" pitchFamily="34" charset="0"/>
            </a:rPr>
            <a:t>abastece-aí</a:t>
          </a:r>
        </a:p>
      </xdr:txBody>
    </xdr:sp>
    <xdr:clientData/>
  </xdr:twoCellAnchor>
  <xdr:twoCellAnchor editAs="oneCell">
    <xdr:from>
      <xdr:col>18</xdr:col>
      <xdr:colOff>280329</xdr:colOff>
      <xdr:row>9</xdr:row>
      <xdr:rowOff>156481</xdr:rowOff>
    </xdr:from>
    <xdr:to>
      <xdr:col>23</xdr:col>
      <xdr:colOff>253059</xdr:colOff>
      <xdr:row>23</xdr:row>
      <xdr:rowOff>72572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4BCD080D-EBC3-8563-0FBB-BA111DD88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3129" y="1811860"/>
          <a:ext cx="3020730" cy="2491126"/>
        </a:xfrm>
        <a:prstGeom prst="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14</xdr:col>
      <xdr:colOff>582982</xdr:colOff>
      <xdr:row>10</xdr:row>
      <xdr:rowOff>159440</xdr:rowOff>
    </xdr:from>
    <xdr:to>
      <xdr:col>16</xdr:col>
      <xdr:colOff>398646</xdr:colOff>
      <xdr:row>15</xdr:row>
      <xdr:rowOff>161450</xdr:rowOff>
    </xdr:to>
    <xdr:sp macro="" textlink="">
      <xdr:nvSpPr>
        <xdr:cNvPr id="18" name="Hexágono 17">
          <a:extLst>
            <a:ext uri="{FF2B5EF4-FFF2-40B4-BE49-F238E27FC236}">
              <a16:creationId xmlns:a16="http://schemas.microsoft.com/office/drawing/2014/main" id="{EC70EBDF-A24D-499E-87D7-A6BE2379D9A3}"/>
            </a:ext>
          </a:extLst>
        </xdr:cNvPr>
        <xdr:cNvSpPr/>
      </xdr:nvSpPr>
      <xdr:spPr>
        <a:xfrm>
          <a:off x="9159217" y="2027087"/>
          <a:ext cx="1040841" cy="935834"/>
        </a:xfrm>
        <a:prstGeom prst="hexagon">
          <a:avLst/>
        </a:prstGeom>
        <a:solidFill>
          <a:srgbClr val="FF6900"/>
        </a:solidFill>
        <a:ln w="9525">
          <a:solidFill>
            <a:srgbClr val="0043B9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582982</xdr:colOff>
      <xdr:row>16</xdr:row>
      <xdr:rowOff>80252</xdr:rowOff>
    </xdr:from>
    <xdr:to>
      <xdr:col>16</xdr:col>
      <xdr:colOff>398646</xdr:colOff>
      <xdr:row>21</xdr:row>
      <xdr:rowOff>82262</xdr:rowOff>
    </xdr:to>
    <xdr:sp macro="" textlink="">
      <xdr:nvSpPr>
        <xdr:cNvPr id="19" name="Hexágono 18">
          <a:extLst>
            <a:ext uri="{FF2B5EF4-FFF2-40B4-BE49-F238E27FC236}">
              <a16:creationId xmlns:a16="http://schemas.microsoft.com/office/drawing/2014/main" id="{8B35A2AD-B7AD-460D-A0B8-8861D308FA6E}"/>
            </a:ext>
          </a:extLst>
        </xdr:cNvPr>
        <xdr:cNvSpPr/>
      </xdr:nvSpPr>
      <xdr:spPr>
        <a:xfrm>
          <a:off x="9159217" y="3068487"/>
          <a:ext cx="1040841" cy="935834"/>
        </a:xfrm>
        <a:prstGeom prst="hexagon">
          <a:avLst/>
        </a:prstGeom>
        <a:solidFill>
          <a:srgbClr val="FF6900"/>
        </a:solidFill>
        <a:ln w="9525">
          <a:solidFill>
            <a:srgbClr val="0043B9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249792</xdr:colOff>
      <xdr:row>12</xdr:row>
      <xdr:rowOff>162427</xdr:rowOff>
    </xdr:from>
    <xdr:to>
      <xdr:col>18</xdr:col>
      <xdr:colOff>422643</xdr:colOff>
      <xdr:row>19</xdr:row>
      <xdr:rowOff>112059</xdr:rowOff>
    </xdr:to>
    <xdr:sp macro="" textlink="">
      <xdr:nvSpPr>
        <xdr:cNvPr id="20" name="Hexágono 19">
          <a:extLst>
            <a:ext uri="{FF2B5EF4-FFF2-40B4-BE49-F238E27FC236}">
              <a16:creationId xmlns:a16="http://schemas.microsoft.com/office/drawing/2014/main" id="{404E7E14-4D29-47EA-802B-4FD0D6D85B21}"/>
            </a:ext>
          </a:extLst>
        </xdr:cNvPr>
        <xdr:cNvSpPr/>
      </xdr:nvSpPr>
      <xdr:spPr>
        <a:xfrm>
          <a:off x="10038085" y="2392671"/>
          <a:ext cx="1396387" cy="1250608"/>
        </a:xfrm>
        <a:prstGeom prst="hexagon">
          <a:avLst/>
        </a:prstGeom>
        <a:solidFill>
          <a:srgbClr val="0043B9"/>
        </a:solidFill>
        <a:ln w="9525">
          <a:solidFill>
            <a:srgbClr val="FF69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406764</xdr:colOff>
      <xdr:row>8</xdr:row>
      <xdr:rowOff>18035</xdr:rowOff>
    </xdr:from>
    <xdr:to>
      <xdr:col>14</xdr:col>
      <xdr:colOff>107202</xdr:colOff>
      <xdr:row>23</xdr:row>
      <xdr:rowOff>109903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id="{6FCAB2BB-7166-0FD9-C676-17B606BBD0E3}"/>
            </a:ext>
          </a:extLst>
        </xdr:cNvPr>
        <xdr:cNvSpPr/>
      </xdr:nvSpPr>
      <xdr:spPr>
        <a:xfrm>
          <a:off x="2235564" y="1452388"/>
          <a:ext cx="6406038" cy="2781280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418701</xdr:colOff>
      <xdr:row>8</xdr:row>
      <xdr:rowOff>26029</xdr:rowOff>
    </xdr:from>
    <xdr:to>
      <xdr:col>14</xdr:col>
      <xdr:colOff>95265</xdr:colOff>
      <xdr:row>9</xdr:row>
      <xdr:rowOff>75519</xdr:rowOff>
    </xdr:to>
    <xdr:sp macro="" textlink="">
      <xdr:nvSpPr>
        <xdr:cNvPr id="34" name="Retângulo: Cantos Arredondados 33">
          <a:extLst>
            <a:ext uri="{FF2B5EF4-FFF2-40B4-BE49-F238E27FC236}">
              <a16:creationId xmlns:a16="http://schemas.microsoft.com/office/drawing/2014/main" id="{AD9BE3B3-B819-49AC-43E0-250B14EB726D}"/>
            </a:ext>
          </a:extLst>
        </xdr:cNvPr>
        <xdr:cNvSpPr/>
      </xdr:nvSpPr>
      <xdr:spPr>
        <a:xfrm>
          <a:off x="2247501" y="1460382"/>
          <a:ext cx="6382164" cy="228784"/>
        </a:xfrm>
        <a:prstGeom prst="roundRect">
          <a:avLst>
            <a:gd name="adj" fmla="val 31626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423438</xdr:colOff>
      <xdr:row>24</xdr:row>
      <xdr:rowOff>14336</xdr:rowOff>
    </xdr:from>
    <xdr:to>
      <xdr:col>10</xdr:col>
      <xdr:colOff>216830</xdr:colOff>
      <xdr:row>39</xdr:row>
      <xdr:rowOff>159952</xdr:rowOff>
    </xdr:to>
    <xdr:sp macro="" textlink="">
      <xdr:nvSpPr>
        <xdr:cNvPr id="36" name="Retângulo: Cantos Arredondados 35">
          <a:extLst>
            <a:ext uri="{FF2B5EF4-FFF2-40B4-BE49-F238E27FC236}">
              <a16:creationId xmlns:a16="http://schemas.microsoft.com/office/drawing/2014/main" id="{B15D8AB9-0926-ECD1-21B4-D639C5C16200}"/>
            </a:ext>
          </a:extLst>
        </xdr:cNvPr>
        <xdr:cNvSpPr/>
      </xdr:nvSpPr>
      <xdr:spPr>
        <a:xfrm>
          <a:off x="2252238" y="4403456"/>
          <a:ext cx="4060592" cy="2896436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441433</xdr:colOff>
      <xdr:row>24</xdr:row>
      <xdr:rowOff>22356</xdr:rowOff>
    </xdr:from>
    <xdr:to>
      <xdr:col>10</xdr:col>
      <xdr:colOff>199696</xdr:colOff>
      <xdr:row>25</xdr:row>
      <xdr:rowOff>72584</xdr:rowOff>
    </xdr:to>
    <xdr:sp macro="" textlink="">
      <xdr:nvSpPr>
        <xdr:cNvPr id="37" name="Retângulo: Cantos Arredondados 36">
          <a:extLst>
            <a:ext uri="{FF2B5EF4-FFF2-40B4-BE49-F238E27FC236}">
              <a16:creationId xmlns:a16="http://schemas.microsoft.com/office/drawing/2014/main" id="{C3C083F0-5352-2118-14DF-9D3C566A7B8A}"/>
            </a:ext>
          </a:extLst>
        </xdr:cNvPr>
        <xdr:cNvSpPr/>
      </xdr:nvSpPr>
      <xdr:spPr>
        <a:xfrm>
          <a:off x="2270233" y="4325415"/>
          <a:ext cx="4025463" cy="229522"/>
        </a:xfrm>
        <a:prstGeom prst="roundRect">
          <a:avLst>
            <a:gd name="adj" fmla="val 29372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251986</xdr:colOff>
      <xdr:row>24</xdr:row>
      <xdr:rowOff>14404</xdr:rowOff>
    </xdr:from>
    <xdr:to>
      <xdr:col>17</xdr:col>
      <xdr:colOff>38719</xdr:colOff>
      <xdr:row>39</xdr:row>
      <xdr:rowOff>160020</xdr:rowOff>
    </xdr:to>
    <xdr:sp macro="" textlink="">
      <xdr:nvSpPr>
        <xdr:cNvPr id="42" name="Retângulo: Cantos Arredondados 41">
          <a:extLst>
            <a:ext uri="{FF2B5EF4-FFF2-40B4-BE49-F238E27FC236}">
              <a16:creationId xmlns:a16="http://schemas.microsoft.com/office/drawing/2014/main" id="{F692F887-C840-B84A-CB94-A4B157D13637}"/>
            </a:ext>
          </a:extLst>
        </xdr:cNvPr>
        <xdr:cNvSpPr/>
      </xdr:nvSpPr>
      <xdr:spPr>
        <a:xfrm>
          <a:off x="6347986" y="4403524"/>
          <a:ext cx="4053933" cy="2896436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273269</xdr:colOff>
      <xdr:row>24</xdr:row>
      <xdr:rowOff>22424</xdr:rowOff>
    </xdr:from>
    <xdr:to>
      <xdr:col>17</xdr:col>
      <xdr:colOff>15767</xdr:colOff>
      <xdr:row>25</xdr:row>
      <xdr:rowOff>72652</xdr:rowOff>
    </xdr:to>
    <xdr:sp macro="" textlink="">
      <xdr:nvSpPr>
        <xdr:cNvPr id="43" name="Retângulo: Cantos Arredondados 42">
          <a:extLst>
            <a:ext uri="{FF2B5EF4-FFF2-40B4-BE49-F238E27FC236}">
              <a16:creationId xmlns:a16="http://schemas.microsoft.com/office/drawing/2014/main" id="{7BD209CF-59B0-798E-45DD-72928E50A690}"/>
            </a:ext>
          </a:extLst>
        </xdr:cNvPr>
        <xdr:cNvSpPr/>
      </xdr:nvSpPr>
      <xdr:spPr>
        <a:xfrm>
          <a:off x="6369269" y="4325483"/>
          <a:ext cx="4009698" cy="229522"/>
        </a:xfrm>
        <a:prstGeom prst="roundRect">
          <a:avLst>
            <a:gd name="adj" fmla="val 24899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71398</xdr:colOff>
      <xdr:row>24</xdr:row>
      <xdr:rowOff>11926</xdr:rowOff>
    </xdr:from>
    <xdr:to>
      <xdr:col>23</xdr:col>
      <xdr:colOff>281940</xdr:colOff>
      <xdr:row>39</xdr:row>
      <xdr:rowOff>157542</xdr:rowOff>
    </xdr:to>
    <xdr:sp macro="" textlink="">
      <xdr:nvSpPr>
        <xdr:cNvPr id="45" name="Retângulo: Cantos Arredondados 44">
          <a:extLst>
            <a:ext uri="{FF2B5EF4-FFF2-40B4-BE49-F238E27FC236}">
              <a16:creationId xmlns:a16="http://schemas.microsoft.com/office/drawing/2014/main" id="{D98368B6-D288-31C4-E0D2-CD2FF6AB3ECC}"/>
            </a:ext>
          </a:extLst>
        </xdr:cNvPr>
        <xdr:cNvSpPr/>
      </xdr:nvSpPr>
      <xdr:spPr>
        <a:xfrm>
          <a:off x="10434598" y="4401046"/>
          <a:ext cx="3868142" cy="2896436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89338</xdr:colOff>
      <xdr:row>24</xdr:row>
      <xdr:rowOff>19945</xdr:rowOff>
    </xdr:from>
    <xdr:to>
      <xdr:col>23</xdr:col>
      <xdr:colOff>273269</xdr:colOff>
      <xdr:row>25</xdr:row>
      <xdr:rowOff>75877</xdr:rowOff>
    </xdr:to>
    <xdr:sp macro="" textlink="">
      <xdr:nvSpPr>
        <xdr:cNvPr id="46" name="Retângulo: Cantos Arredondados 45">
          <a:extLst>
            <a:ext uri="{FF2B5EF4-FFF2-40B4-BE49-F238E27FC236}">
              <a16:creationId xmlns:a16="http://schemas.microsoft.com/office/drawing/2014/main" id="{72697338-6A54-7244-DE4D-31F96F6E8E60}"/>
            </a:ext>
          </a:extLst>
        </xdr:cNvPr>
        <xdr:cNvSpPr/>
      </xdr:nvSpPr>
      <xdr:spPr>
        <a:xfrm>
          <a:off x="10452538" y="4323004"/>
          <a:ext cx="3841531" cy="235226"/>
        </a:xfrm>
        <a:prstGeom prst="roundRect">
          <a:avLst>
            <a:gd name="adj" fmla="val 22662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563880</xdr:colOff>
      <xdr:row>10</xdr:row>
      <xdr:rowOff>142091</xdr:rowOff>
    </xdr:from>
    <xdr:to>
      <xdr:col>16</xdr:col>
      <xdr:colOff>426719</xdr:colOff>
      <xdr:row>15</xdr:row>
      <xdr:rowOff>62753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A57AB51D-44B9-A95E-93CE-094F565AC49A}"/>
            </a:ext>
          </a:extLst>
        </xdr:cNvPr>
        <xdr:cNvSpPr txBox="1"/>
      </xdr:nvSpPr>
      <xdr:spPr>
        <a:xfrm>
          <a:off x="9098280" y="1970891"/>
          <a:ext cx="1082039" cy="8350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 algn="ctr"/>
          <a:r>
            <a:rPr lang="pt-BR" sz="1200" b="1" i="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</a:rPr>
            <a:t>Conhece, Mas</a:t>
          </a:r>
        </a:p>
        <a:p>
          <a:pPr lvl="0" algn="ctr"/>
          <a:r>
            <a:rPr lang="pt-BR" sz="1200" b="1" i="0" baseline="0">
              <a:solidFill>
                <a:srgbClr val="0043B9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</a:rPr>
            <a:t>Não Utiliza</a:t>
          </a:r>
        </a:p>
        <a:p>
          <a:pPr algn="ctr"/>
          <a:endParaRPr lang="pt-BR" sz="1100" b="0" baseline="0">
            <a:solidFill>
              <a:schemeClr val="bg1"/>
            </a:solidFill>
            <a:latin typeface="LTVeto"/>
          </a:endParaRPr>
        </a:p>
        <a:p>
          <a:pPr algn="ctr"/>
          <a:endParaRPr lang="pt-BR" sz="1100" b="0">
            <a:solidFill>
              <a:schemeClr val="bg1"/>
            </a:solidFill>
            <a:latin typeface="LTVeto Regular" panose="02000606030000090003" pitchFamily="2" charset="0"/>
          </a:endParaRPr>
        </a:p>
      </xdr:txBody>
    </xdr:sp>
    <xdr:clientData/>
  </xdr:twoCellAnchor>
  <xdr:twoCellAnchor>
    <xdr:from>
      <xdr:col>15</xdr:col>
      <xdr:colOff>26505</xdr:colOff>
      <xdr:row>16</xdr:row>
      <xdr:rowOff>110730</xdr:rowOff>
    </xdr:from>
    <xdr:to>
      <xdr:col>16</xdr:col>
      <xdr:colOff>330311</xdr:colOff>
      <xdr:row>20</xdr:row>
      <xdr:rowOff>144780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7C29E088-824C-4C23-AA1F-F37842B216CF}"/>
            </a:ext>
          </a:extLst>
        </xdr:cNvPr>
        <xdr:cNvSpPr txBox="1"/>
      </xdr:nvSpPr>
      <xdr:spPr>
        <a:xfrm>
          <a:off x="9170505" y="3079217"/>
          <a:ext cx="913406" cy="7761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rgbClr val="0043B9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</a:rPr>
            <a:t>Não Conhece</a:t>
          </a:r>
          <a:endParaRPr lang="pt-BR" sz="1600" b="0" baseline="0">
            <a:solidFill>
              <a:srgbClr val="0043B9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Sassoon Sans Slope Std Medium" panose="020B07030201030A0203" pitchFamily="34" charset="0"/>
          </a:endParaRPr>
        </a:p>
        <a:p>
          <a:pPr algn="ctr"/>
          <a:endParaRPr lang="pt-BR" sz="1200" baseline="0">
            <a:latin typeface="LTVeto Regular" panose="02000606030000090003" pitchFamily="2" charset="0"/>
          </a:endParaRPr>
        </a:p>
        <a:p>
          <a:pPr algn="ctr"/>
          <a:endParaRPr lang="pt-BR" sz="1200">
            <a:latin typeface="LTVeto Regular" panose="02000606030000090003" pitchFamily="2" charset="0"/>
          </a:endParaRPr>
        </a:p>
      </xdr:txBody>
    </xdr:sp>
    <xdr:clientData/>
  </xdr:twoCellAnchor>
  <xdr:twoCellAnchor>
    <xdr:from>
      <xdr:col>16</xdr:col>
      <xdr:colOff>328748</xdr:colOff>
      <xdr:row>12</xdr:row>
      <xdr:rowOff>102326</xdr:rowOff>
    </xdr:from>
    <xdr:to>
      <xdr:col>18</xdr:col>
      <xdr:colOff>321128</xdr:colOff>
      <xdr:row>18</xdr:row>
      <xdr:rowOff>34118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049CE8FF-85B6-4320-97E7-421DF75C3FCD}"/>
            </a:ext>
          </a:extLst>
        </xdr:cNvPr>
        <xdr:cNvSpPr txBox="1"/>
      </xdr:nvSpPr>
      <xdr:spPr>
        <a:xfrm>
          <a:off x="10082348" y="2323012"/>
          <a:ext cx="1211580" cy="10421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="1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</a:rPr>
            <a:t>Conhece e </a:t>
          </a:r>
          <a:r>
            <a:rPr lang="pt-BR" sz="1800" b="1">
              <a:solidFill>
                <a:srgbClr val="FF69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</a:rPr>
            <a:t>Sempre Utiliza</a:t>
          </a:r>
          <a:endParaRPr lang="pt-BR" sz="1800" b="1" baseline="0">
            <a:solidFill>
              <a:srgbClr val="FF690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Sassoon Sans Slope Std Medium" panose="020B07030201030A0203" pitchFamily="34" charset="0"/>
          </a:endParaRPr>
        </a:p>
        <a:p>
          <a:pPr algn="ctr"/>
          <a:endParaRPr lang="pt-BR" sz="1400" baseline="0">
            <a:solidFill>
              <a:srgbClr val="FFB300"/>
            </a:solidFill>
            <a:latin typeface="LTVeto Regular" panose="02000606030000090003" pitchFamily="2" charset="0"/>
          </a:endParaRPr>
        </a:p>
        <a:p>
          <a:pPr algn="ctr"/>
          <a:endParaRPr lang="pt-BR" sz="1400">
            <a:solidFill>
              <a:srgbClr val="FFB300"/>
            </a:solidFill>
            <a:latin typeface="LTVeto Regular" panose="02000606030000090003" pitchFamily="2" charset="0"/>
          </a:endParaRPr>
        </a:p>
      </xdr:txBody>
    </xdr:sp>
    <xdr:clientData/>
  </xdr:twoCellAnchor>
  <xdr:twoCellAnchor>
    <xdr:from>
      <xdr:col>15</xdr:col>
      <xdr:colOff>54208</xdr:colOff>
      <xdr:row>19</xdr:row>
      <xdr:rowOff>123901</xdr:rowOff>
    </xdr:from>
    <xdr:to>
      <xdr:col>16</xdr:col>
      <xdr:colOff>330510</xdr:colOff>
      <xdr:row>21</xdr:row>
      <xdr:rowOff>30975</xdr:rowOff>
    </xdr:to>
    <xdr:sp macro="" textlink="'Tabela Dinânima'!N45">
      <xdr:nvSpPr>
        <xdr:cNvPr id="55" name="CaixaDeTexto 54">
          <a:extLst>
            <a:ext uri="{FF2B5EF4-FFF2-40B4-BE49-F238E27FC236}">
              <a16:creationId xmlns:a16="http://schemas.microsoft.com/office/drawing/2014/main" id="{D85DB043-204C-452F-A7ED-20D7048F7D2D}"/>
            </a:ext>
          </a:extLst>
        </xdr:cNvPr>
        <xdr:cNvSpPr txBox="1"/>
      </xdr:nvSpPr>
      <xdr:spPr>
        <a:xfrm>
          <a:off x="9230732" y="3655121"/>
          <a:ext cx="888071" cy="2787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0C265B0-E4D7-49F8-B6F0-063094EA61AC}" type="TxLink">
            <a:rPr lang="en-US" sz="1800" b="1" i="0" u="none" strike="noStrike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pPr algn="ctr"/>
            <a:t>37%</a:t>
          </a:fld>
          <a:endParaRPr lang="pt-BR" sz="2000" b="1"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15</xdr:col>
      <xdr:colOff>59474</xdr:colOff>
      <xdr:row>14</xdr:row>
      <xdr:rowOff>20753</xdr:rowOff>
    </xdr:from>
    <xdr:to>
      <xdr:col>16</xdr:col>
      <xdr:colOff>335776</xdr:colOff>
      <xdr:row>15</xdr:row>
      <xdr:rowOff>113680</xdr:rowOff>
    </xdr:to>
    <xdr:sp macro="" textlink="'Tabela Dinânima'!M45">
      <xdr:nvSpPr>
        <xdr:cNvPr id="57" name="CaixaDeTexto 56">
          <a:extLst>
            <a:ext uri="{FF2B5EF4-FFF2-40B4-BE49-F238E27FC236}">
              <a16:creationId xmlns:a16="http://schemas.microsoft.com/office/drawing/2014/main" id="{4467B762-2444-482C-B510-30BC927621A5}"/>
            </a:ext>
          </a:extLst>
        </xdr:cNvPr>
        <xdr:cNvSpPr txBox="1"/>
      </xdr:nvSpPr>
      <xdr:spPr>
        <a:xfrm>
          <a:off x="9235998" y="2622704"/>
          <a:ext cx="888071" cy="2787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5A62C92-D55F-49B1-A3F5-5C4C5D450C29}" type="TxLink">
            <a:rPr lang="en-US" sz="1800" b="1" i="0" u="none" strike="noStrike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pPr algn="ctr"/>
            <a:t>29%</a:t>
          </a:fld>
          <a:endParaRPr lang="pt-BR" sz="3200" b="1"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16</xdr:col>
      <xdr:colOff>495610</xdr:colOff>
      <xdr:row>17</xdr:row>
      <xdr:rowOff>118946</xdr:rowOff>
    </xdr:from>
    <xdr:to>
      <xdr:col>18</xdr:col>
      <xdr:colOff>232628</xdr:colOff>
      <xdr:row>19</xdr:row>
      <xdr:rowOff>-1</xdr:rowOff>
    </xdr:to>
    <xdr:sp macro="" textlink="'Tabela Dinânima'!L45">
      <xdr:nvSpPr>
        <xdr:cNvPr id="58" name="CaixaDeTexto 57">
          <a:extLst>
            <a:ext uri="{FF2B5EF4-FFF2-40B4-BE49-F238E27FC236}">
              <a16:creationId xmlns:a16="http://schemas.microsoft.com/office/drawing/2014/main" id="{9774A50E-01E0-4485-9FDB-31E11E381E8C}"/>
            </a:ext>
          </a:extLst>
        </xdr:cNvPr>
        <xdr:cNvSpPr txBox="1"/>
      </xdr:nvSpPr>
      <xdr:spPr>
        <a:xfrm>
          <a:off x="10283903" y="3278458"/>
          <a:ext cx="960554" cy="252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ACE7CD0-4EA5-4B1E-AE15-174AE02F865D}" type="TxLink">
            <a:rPr lang="en-US" sz="2400" b="1" i="0" u="none" strike="noStrike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pPr algn="ctr"/>
            <a:t>33%</a:t>
          </a:fld>
          <a:endParaRPr lang="pt-BR" sz="5400" b="1"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19</xdr:col>
      <xdr:colOff>217252</xdr:colOff>
      <xdr:row>11</xdr:row>
      <xdr:rowOff>36787</xdr:rowOff>
    </xdr:from>
    <xdr:to>
      <xdr:col>20</xdr:col>
      <xdr:colOff>78827</xdr:colOff>
      <xdr:row>13</xdr:row>
      <xdr:rowOff>1</xdr:rowOff>
    </xdr:to>
    <xdr:sp macro="" textlink="">
      <xdr:nvSpPr>
        <xdr:cNvPr id="21" name="Balão de Fala: Retângulo com Cantos Arredondados 20">
          <a:extLst>
            <a:ext uri="{FF2B5EF4-FFF2-40B4-BE49-F238E27FC236}">
              <a16:creationId xmlns:a16="http://schemas.microsoft.com/office/drawing/2014/main" id="{DE4A9407-605F-D2BD-0A10-5B98F9EA7B00}"/>
            </a:ext>
          </a:extLst>
        </xdr:cNvPr>
        <xdr:cNvSpPr/>
      </xdr:nvSpPr>
      <xdr:spPr>
        <a:xfrm>
          <a:off x="11799652" y="2060028"/>
          <a:ext cx="471175" cy="331076"/>
        </a:xfrm>
        <a:prstGeom prst="wedgeRoundRectCallout">
          <a:avLst>
            <a:gd name="adj1" fmla="val 29652"/>
            <a:gd name="adj2" fmla="val 70047"/>
            <a:gd name="adj3" fmla="val 16667"/>
          </a:avLst>
        </a:prstGeom>
        <a:solidFill>
          <a:schemeClr val="bg1">
            <a:alpha val="50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19</xdr:col>
      <xdr:colOff>166492</xdr:colOff>
      <xdr:row>11</xdr:row>
      <xdr:rowOff>15763</xdr:rowOff>
    </xdr:from>
    <xdr:to>
      <xdr:col>20</xdr:col>
      <xdr:colOff>126124</xdr:colOff>
      <xdr:row>13</xdr:row>
      <xdr:rowOff>26274</xdr:rowOff>
    </xdr:to>
    <xdr:grpSp>
      <xdr:nvGrpSpPr>
        <xdr:cNvPr id="23" name="Agrupar 22">
          <a:extLst>
            <a:ext uri="{FF2B5EF4-FFF2-40B4-BE49-F238E27FC236}">
              <a16:creationId xmlns:a16="http://schemas.microsoft.com/office/drawing/2014/main" id="{60B8B33E-A72B-08D2-8808-141B1E9CB18C}"/>
            </a:ext>
          </a:extLst>
        </xdr:cNvPr>
        <xdr:cNvGrpSpPr/>
      </xdr:nvGrpSpPr>
      <xdr:grpSpPr>
        <a:xfrm>
          <a:off x="11748892" y="2027443"/>
          <a:ext cx="569232" cy="376271"/>
          <a:chOff x="11601943" y="2175491"/>
          <a:chExt cx="579840" cy="369324"/>
        </a:xfrm>
      </xdr:grpSpPr>
      <xdr:sp macro="" textlink="'Tabela Dinânima'!Z39">
        <xdr:nvSpPr>
          <xdr:cNvPr id="22" name="CaixaDeTexto 21">
            <a:extLst>
              <a:ext uri="{FF2B5EF4-FFF2-40B4-BE49-F238E27FC236}">
                <a16:creationId xmlns:a16="http://schemas.microsoft.com/office/drawing/2014/main" id="{F97057B0-E691-458F-89DC-F22CA1F22E9F}"/>
              </a:ext>
            </a:extLst>
          </xdr:cNvPr>
          <xdr:cNvSpPr txBox="1"/>
        </xdr:nvSpPr>
        <xdr:spPr>
          <a:xfrm>
            <a:off x="11601943" y="2317131"/>
            <a:ext cx="563977" cy="2276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D87E550B-3BFF-4295-95B6-B341FA7D4BD5}" type="TxLink">
              <a:rPr lang="en-US" sz="1100" b="1" i="0" u="none" strike="noStrike">
                <a:solidFill>
                  <a:srgbClr val="0043B9"/>
                </a:solidFill>
                <a:effectLst>
                  <a:outerShdw blurRad="50800" dist="38100" dir="2700000" algn="tl" rotWithShape="0">
                    <a:prstClr val="black">
                      <a:alpha val="57000"/>
                    </a:prstClr>
                  </a:outerShdw>
                </a:effectLst>
                <a:latin typeface="Sassoon Sans Slope Std Medium" panose="020B07030201030A0203" pitchFamily="34" charset="0"/>
                <a:cs typeface="Calibri"/>
              </a:rPr>
              <a:pPr algn="ctr"/>
              <a:t>41</a:t>
            </a:fld>
            <a:endParaRPr lang="pt-BR" sz="1200" b="1">
              <a:solidFill>
                <a:srgbClr val="0043B9"/>
              </a:solidFill>
              <a:effectLst>
                <a:outerShdw blurRad="50800" dist="38100" dir="2700000" algn="tl" rotWithShape="0">
                  <a:prstClr val="black">
                    <a:alpha val="57000"/>
                  </a:prstClr>
                </a:outerShdw>
              </a:effectLst>
              <a:latin typeface="Sassoon Sans Slope Std Medium" panose="020B07030201030A0203" pitchFamily="34" charset="0"/>
            </a:endParaRPr>
          </a:p>
        </xdr:txBody>
      </xdr:sp>
      <xdr:sp macro="" textlink="">
        <xdr:nvSpPr>
          <xdr:cNvPr id="16" name="CaixaDeTexto 15">
            <a:extLst>
              <a:ext uri="{FF2B5EF4-FFF2-40B4-BE49-F238E27FC236}">
                <a16:creationId xmlns:a16="http://schemas.microsoft.com/office/drawing/2014/main" id="{DAA8DBFF-0F26-F50C-4D02-E164BD38DFF7}"/>
              </a:ext>
            </a:extLst>
          </xdr:cNvPr>
          <xdr:cNvSpPr txBox="1"/>
        </xdr:nvSpPr>
        <xdr:spPr>
          <a:xfrm>
            <a:off x="11617806" y="2175491"/>
            <a:ext cx="563977" cy="2276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20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83000"/>
                    </a:prstClr>
                  </a:outerShdw>
                </a:effectLst>
                <a:latin typeface="Sassoon Sans Slope Std Medium" panose="020B07030201030A0203" pitchFamily="34" charset="0"/>
              </a:rPr>
              <a:t>Norte</a:t>
            </a:r>
          </a:p>
        </xdr:txBody>
      </xdr:sp>
    </xdr:grpSp>
    <xdr:clientData/>
  </xdr:twoCellAnchor>
  <xdr:twoCellAnchor>
    <xdr:from>
      <xdr:col>21</xdr:col>
      <xdr:colOff>515426</xdr:colOff>
      <xdr:row>12</xdr:row>
      <xdr:rowOff>45698</xdr:rowOff>
    </xdr:from>
    <xdr:to>
      <xdr:col>23</xdr:col>
      <xdr:colOff>13252</xdr:colOff>
      <xdr:row>14</xdr:row>
      <xdr:rowOff>8912</xdr:rowOff>
    </xdr:to>
    <xdr:sp macro="" textlink="">
      <xdr:nvSpPr>
        <xdr:cNvPr id="26" name="Balão de Fala: Retângulo com Cantos Arredondados 25">
          <a:extLst>
            <a:ext uri="{FF2B5EF4-FFF2-40B4-BE49-F238E27FC236}">
              <a16:creationId xmlns:a16="http://schemas.microsoft.com/office/drawing/2014/main" id="{405C6F35-9FE9-4968-A024-C2F100B204E1}"/>
            </a:ext>
          </a:extLst>
        </xdr:cNvPr>
        <xdr:cNvSpPr/>
      </xdr:nvSpPr>
      <xdr:spPr>
        <a:xfrm>
          <a:off x="13317026" y="2252870"/>
          <a:ext cx="717026" cy="331076"/>
        </a:xfrm>
        <a:prstGeom prst="wedgeRoundRectCallout">
          <a:avLst>
            <a:gd name="adj1" fmla="val -29311"/>
            <a:gd name="adj2" fmla="val 68846"/>
            <a:gd name="adj3" fmla="val 16667"/>
          </a:avLst>
        </a:prstGeom>
        <a:solidFill>
          <a:schemeClr val="bg1">
            <a:alpha val="50000"/>
          </a:schemeClr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  <a:solidFill>
              <a:schemeClr val="lt1"/>
            </a:solidFill>
          </a:endParaRPr>
        </a:p>
      </xdr:txBody>
    </xdr:sp>
    <xdr:clientData/>
  </xdr:twoCellAnchor>
  <xdr:twoCellAnchor>
    <xdr:from>
      <xdr:col>21</xdr:col>
      <xdr:colOff>470453</xdr:colOff>
      <xdr:row>12</xdr:row>
      <xdr:rowOff>19194</xdr:rowOff>
    </xdr:from>
    <xdr:to>
      <xdr:col>23</xdr:col>
      <xdr:colOff>46383</xdr:colOff>
      <xdr:row>13</xdr:row>
      <xdr:rowOff>68898</xdr:rowOff>
    </xdr:to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E409823A-C9A6-4886-80AE-A92F459D9879}"/>
            </a:ext>
          </a:extLst>
        </xdr:cNvPr>
        <xdr:cNvSpPr txBox="1"/>
      </xdr:nvSpPr>
      <xdr:spPr>
        <a:xfrm>
          <a:off x="13272053" y="2245559"/>
          <a:ext cx="795130" cy="235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3000"/>
                  </a:prstClr>
                </a:outerShdw>
              </a:effectLst>
              <a:latin typeface="Sassoon Sans Slope Std Medium" panose="020B07030201030A0203" pitchFamily="34" charset="0"/>
            </a:rPr>
            <a:t>Nordeste</a:t>
          </a:r>
        </a:p>
      </xdr:txBody>
    </xdr:sp>
    <xdr:clientData/>
  </xdr:twoCellAnchor>
  <xdr:twoCellAnchor>
    <xdr:from>
      <xdr:col>21</xdr:col>
      <xdr:colOff>594939</xdr:colOff>
      <xdr:row>12</xdr:row>
      <xdr:rowOff>158341</xdr:rowOff>
    </xdr:from>
    <xdr:to>
      <xdr:col>22</xdr:col>
      <xdr:colOff>538998</xdr:colOff>
      <xdr:row>14</xdr:row>
      <xdr:rowOff>22515</xdr:rowOff>
    </xdr:to>
    <xdr:sp macro="" textlink="'Tabela Dinânima'!$Z$38">
      <xdr:nvSpPr>
        <xdr:cNvPr id="29" name="CaixaDeTexto 28">
          <a:extLst>
            <a:ext uri="{FF2B5EF4-FFF2-40B4-BE49-F238E27FC236}">
              <a16:creationId xmlns:a16="http://schemas.microsoft.com/office/drawing/2014/main" id="{618747A9-BFD2-4866-B0E4-A3CD1E8FBD91}"/>
            </a:ext>
          </a:extLst>
        </xdr:cNvPr>
        <xdr:cNvSpPr txBox="1"/>
      </xdr:nvSpPr>
      <xdr:spPr>
        <a:xfrm>
          <a:off x="13396539" y="2384706"/>
          <a:ext cx="553659" cy="235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A72B66C2-03BD-4131-83AF-D063D23C8B36}" type="TxLink">
            <a:rPr lang="en-US" sz="1100" b="1" i="0" u="none" strike="noStrike">
              <a:solidFill>
                <a:srgbClr val="FF6900"/>
              </a:solidFill>
              <a:effectLst>
                <a:outerShdw blurRad="50800" dist="38100" dir="2700000" algn="tl" rotWithShape="0">
                  <a:prstClr val="black">
                    <a:alpha val="88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pPr algn="ctr"/>
            <a:t>42</a:t>
          </a:fld>
          <a:endParaRPr lang="pt-BR" sz="1200" b="1">
            <a:solidFill>
              <a:srgbClr val="FF6900"/>
            </a:solidFill>
            <a:effectLst>
              <a:outerShdw blurRad="50800" dist="38100" dir="2700000" algn="tl" rotWithShape="0">
                <a:prstClr val="black">
                  <a:alpha val="88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19</xdr:col>
      <xdr:colOff>289032</xdr:colOff>
      <xdr:row>16</xdr:row>
      <xdr:rowOff>42042</xdr:rowOff>
    </xdr:from>
    <xdr:to>
      <xdr:col>20</xdr:col>
      <xdr:colOff>604346</xdr:colOff>
      <xdr:row>18</xdr:row>
      <xdr:rowOff>5256</xdr:rowOff>
    </xdr:to>
    <xdr:sp macro="" textlink="">
      <xdr:nvSpPr>
        <xdr:cNvPr id="31" name="Balão de Fala: Retângulo com Cantos Arredondados 30">
          <a:extLst>
            <a:ext uri="{FF2B5EF4-FFF2-40B4-BE49-F238E27FC236}">
              <a16:creationId xmlns:a16="http://schemas.microsoft.com/office/drawing/2014/main" id="{14254B5D-96A1-4ECC-AD1F-E3A021C72E7B}"/>
            </a:ext>
          </a:extLst>
        </xdr:cNvPr>
        <xdr:cNvSpPr/>
      </xdr:nvSpPr>
      <xdr:spPr>
        <a:xfrm>
          <a:off x="11871432" y="2984939"/>
          <a:ext cx="924914" cy="331076"/>
        </a:xfrm>
        <a:prstGeom prst="wedgeRoundRectCallout">
          <a:avLst>
            <a:gd name="adj1" fmla="val 30896"/>
            <a:gd name="adj2" fmla="val 68847"/>
            <a:gd name="adj3" fmla="val 16667"/>
          </a:avLst>
        </a:prstGeom>
        <a:solidFill>
          <a:schemeClr val="bg1">
            <a:alpha val="50000"/>
          </a:schemeClr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  <a:solidFill>
              <a:schemeClr val="lt1"/>
            </a:solidFill>
          </a:endParaRPr>
        </a:p>
      </xdr:txBody>
    </xdr:sp>
    <xdr:clientData/>
  </xdr:twoCellAnchor>
  <xdr:twoCellAnchor>
    <xdr:from>
      <xdr:col>19</xdr:col>
      <xdr:colOff>228715</xdr:colOff>
      <xdr:row>16</xdr:row>
      <xdr:rowOff>12111</xdr:rowOff>
    </xdr:from>
    <xdr:to>
      <xdr:col>21</xdr:col>
      <xdr:colOff>36786</xdr:colOff>
      <xdr:row>17</xdr:row>
      <xdr:rowOff>61815</xdr:rowOff>
    </xdr:to>
    <xdr:sp macro="" textlink="">
      <xdr:nvSpPr>
        <xdr:cNvPr id="38" name="CaixaDeTexto 37">
          <a:extLst>
            <a:ext uri="{FF2B5EF4-FFF2-40B4-BE49-F238E27FC236}">
              <a16:creationId xmlns:a16="http://schemas.microsoft.com/office/drawing/2014/main" id="{061428DA-06B6-4C1A-908A-CC05356588D7}"/>
            </a:ext>
          </a:extLst>
        </xdr:cNvPr>
        <xdr:cNvSpPr txBox="1"/>
      </xdr:nvSpPr>
      <xdr:spPr>
        <a:xfrm>
          <a:off x="11811115" y="2955008"/>
          <a:ext cx="1027271" cy="2336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3000"/>
                  </a:prstClr>
                </a:outerShdw>
              </a:effectLst>
              <a:latin typeface="Sassoon Sans Slope Std Medium" panose="020B07030201030A0203" pitchFamily="34" charset="0"/>
            </a:rPr>
            <a:t>Centro-Oeste</a:t>
          </a:r>
        </a:p>
      </xdr:txBody>
    </xdr:sp>
    <xdr:clientData/>
  </xdr:twoCellAnchor>
  <xdr:twoCellAnchor>
    <xdr:from>
      <xdr:col>19</xdr:col>
      <xdr:colOff>463560</xdr:colOff>
      <xdr:row>16</xdr:row>
      <xdr:rowOff>156512</xdr:rowOff>
    </xdr:from>
    <xdr:to>
      <xdr:col>20</xdr:col>
      <xdr:colOff>407619</xdr:colOff>
      <xdr:row>18</xdr:row>
      <xdr:rowOff>20686</xdr:rowOff>
    </xdr:to>
    <xdr:sp macro="" textlink="'Tabela Dinânima'!$Z$37">
      <xdr:nvSpPr>
        <xdr:cNvPr id="39" name="CaixaDeTexto 38">
          <a:extLst>
            <a:ext uri="{FF2B5EF4-FFF2-40B4-BE49-F238E27FC236}">
              <a16:creationId xmlns:a16="http://schemas.microsoft.com/office/drawing/2014/main" id="{7B9A8A22-F083-4172-8747-F9CAAC755AC8}"/>
            </a:ext>
          </a:extLst>
        </xdr:cNvPr>
        <xdr:cNvSpPr txBox="1"/>
      </xdr:nvSpPr>
      <xdr:spPr>
        <a:xfrm>
          <a:off x="12045960" y="3099409"/>
          <a:ext cx="553659" cy="2320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A3B9E10D-FFC6-4B3B-868B-FD029A8B8E88}" type="TxLink">
            <a:rPr lang="en-US" sz="1100" b="1" i="0" u="none" strike="noStrike">
              <a:solidFill>
                <a:srgbClr val="0043B9"/>
              </a:solidFill>
              <a:effectLst>
                <a:outerShdw blurRad="50800" dist="38100" dir="2700000" algn="tl" rotWithShape="0">
                  <a:prstClr val="black">
                    <a:alpha val="57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pPr algn="ctr"/>
            <a:t>42</a:t>
          </a:fld>
          <a:endParaRPr lang="pt-BR" sz="1200" b="1">
            <a:solidFill>
              <a:srgbClr val="0043B9"/>
            </a:solidFill>
            <a:effectLst>
              <a:outerShdw blurRad="50800" dist="38100" dir="2700000" algn="tl" rotWithShape="0">
                <a:prstClr val="black">
                  <a:alpha val="57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21</xdr:col>
      <xdr:colOff>352097</xdr:colOff>
      <xdr:row>17</xdr:row>
      <xdr:rowOff>71973</xdr:rowOff>
    </xdr:from>
    <xdr:to>
      <xdr:col>22</xdr:col>
      <xdr:colOff>310473</xdr:colOff>
      <xdr:row>19</xdr:row>
      <xdr:rowOff>35187</xdr:rowOff>
    </xdr:to>
    <xdr:sp macro="" textlink="">
      <xdr:nvSpPr>
        <xdr:cNvPr id="40" name="Balão de Fala: Retângulo com Cantos Arredondados 39">
          <a:extLst>
            <a:ext uri="{FF2B5EF4-FFF2-40B4-BE49-F238E27FC236}">
              <a16:creationId xmlns:a16="http://schemas.microsoft.com/office/drawing/2014/main" id="{804081F6-D4A7-4142-920B-C8FFAF69A93A}"/>
            </a:ext>
          </a:extLst>
        </xdr:cNvPr>
        <xdr:cNvSpPr/>
      </xdr:nvSpPr>
      <xdr:spPr>
        <a:xfrm>
          <a:off x="13153697" y="3198801"/>
          <a:ext cx="567976" cy="331076"/>
        </a:xfrm>
        <a:prstGeom prst="wedgeRoundRectCallout">
          <a:avLst>
            <a:gd name="adj1" fmla="val -43089"/>
            <a:gd name="adj2" fmla="val 68847"/>
            <a:gd name="adj3" fmla="val 16667"/>
          </a:avLst>
        </a:prstGeom>
        <a:solidFill>
          <a:schemeClr val="bg1">
            <a:alpha val="50000"/>
          </a:schemeClr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  <a:solidFill>
              <a:schemeClr val="lt1"/>
            </a:solidFill>
          </a:endParaRPr>
        </a:p>
      </xdr:txBody>
    </xdr:sp>
    <xdr:clientData/>
  </xdr:twoCellAnchor>
  <xdr:twoCellAnchor>
    <xdr:from>
      <xdr:col>21</xdr:col>
      <xdr:colOff>244480</xdr:colOff>
      <xdr:row>17</xdr:row>
      <xdr:rowOff>27876</xdr:rowOff>
    </xdr:from>
    <xdr:to>
      <xdr:col>22</xdr:col>
      <xdr:colOff>430010</xdr:colOff>
      <xdr:row>18</xdr:row>
      <xdr:rowOff>77580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B1CF6D38-F12D-410C-BE34-98FC3A691BF0}"/>
            </a:ext>
          </a:extLst>
        </xdr:cNvPr>
        <xdr:cNvSpPr txBox="1"/>
      </xdr:nvSpPr>
      <xdr:spPr>
        <a:xfrm>
          <a:off x="13046080" y="3154704"/>
          <a:ext cx="795130" cy="2336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3000"/>
                  </a:prstClr>
                </a:outerShdw>
              </a:effectLst>
              <a:latin typeface="Sassoon Sans Slope Std Medium" panose="020B07030201030A0203" pitchFamily="34" charset="0"/>
            </a:rPr>
            <a:t>Sudeste</a:t>
          </a:r>
        </a:p>
      </xdr:txBody>
    </xdr:sp>
    <xdr:clientData/>
  </xdr:twoCellAnchor>
  <xdr:twoCellAnchor>
    <xdr:from>
      <xdr:col>21</xdr:col>
      <xdr:colOff>368280</xdr:colOff>
      <xdr:row>18</xdr:row>
      <xdr:rowOff>14166</xdr:rowOff>
    </xdr:from>
    <xdr:to>
      <xdr:col>22</xdr:col>
      <xdr:colOff>312339</xdr:colOff>
      <xdr:row>19</xdr:row>
      <xdr:rowOff>62271</xdr:rowOff>
    </xdr:to>
    <xdr:sp macro="" textlink="'Tabela Dinânima'!R40">
      <xdr:nvSpPr>
        <xdr:cNvPr id="59" name="CaixaDeTexto 58">
          <a:extLst>
            <a:ext uri="{FF2B5EF4-FFF2-40B4-BE49-F238E27FC236}">
              <a16:creationId xmlns:a16="http://schemas.microsoft.com/office/drawing/2014/main" id="{B3F8AA26-EB0F-4A30-9997-1B9CFED85B22}"/>
            </a:ext>
          </a:extLst>
        </xdr:cNvPr>
        <xdr:cNvSpPr txBox="1"/>
      </xdr:nvSpPr>
      <xdr:spPr>
        <a:xfrm>
          <a:off x="13169880" y="3324925"/>
          <a:ext cx="553659" cy="2320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C35CAD52-799B-437F-BC46-675E3AC87E7F}" type="TxLink">
            <a:rPr lang="en-US" sz="1100" b="1" i="0" u="none" strike="noStrike">
              <a:solidFill>
                <a:srgbClr val="FF6900"/>
              </a:solidFill>
              <a:effectLst>
                <a:outerShdw blurRad="50800" dist="38100" dir="2700000" algn="tl" rotWithShape="0">
                  <a:prstClr val="black">
                    <a:alpha val="92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t>123</a:t>
          </a:fld>
          <a:endParaRPr lang="pt-BR" sz="1200" b="1">
            <a:solidFill>
              <a:srgbClr val="FF6900"/>
            </a:solidFill>
            <a:effectLst>
              <a:outerShdw blurRad="50800" dist="38100" dir="2700000" algn="tl" rotWithShape="0">
                <a:prstClr val="black">
                  <a:alpha val="92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20</xdr:col>
      <xdr:colOff>105979</xdr:colOff>
      <xdr:row>20</xdr:row>
      <xdr:rowOff>11653</xdr:rowOff>
    </xdr:from>
    <xdr:to>
      <xdr:col>20</xdr:col>
      <xdr:colOff>503583</xdr:colOff>
      <xdr:row>21</xdr:row>
      <xdr:rowOff>160398</xdr:rowOff>
    </xdr:to>
    <xdr:sp macro="" textlink="">
      <xdr:nvSpPr>
        <xdr:cNvPr id="60" name="Balão de Fala: Retângulo com Cantos Arredondados 59">
          <a:extLst>
            <a:ext uri="{FF2B5EF4-FFF2-40B4-BE49-F238E27FC236}">
              <a16:creationId xmlns:a16="http://schemas.microsoft.com/office/drawing/2014/main" id="{0C51E9EB-74C8-426E-835A-BFF9B8F9FE59}"/>
            </a:ext>
          </a:extLst>
        </xdr:cNvPr>
        <xdr:cNvSpPr/>
      </xdr:nvSpPr>
      <xdr:spPr>
        <a:xfrm>
          <a:off x="12297979" y="3722262"/>
          <a:ext cx="397604" cy="334275"/>
        </a:xfrm>
        <a:prstGeom prst="wedgeRoundRectCallout">
          <a:avLst>
            <a:gd name="adj1" fmla="val 37407"/>
            <a:gd name="adj2" fmla="val 68846"/>
            <a:gd name="adj3" fmla="val 16667"/>
          </a:avLst>
        </a:prstGeom>
        <a:solidFill>
          <a:schemeClr val="bg1">
            <a:alpha val="50000"/>
          </a:schemeClr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  <a:solidFill>
              <a:schemeClr val="lt1"/>
            </a:solidFill>
          </a:endParaRPr>
        </a:p>
      </xdr:txBody>
    </xdr:sp>
    <xdr:clientData/>
  </xdr:twoCellAnchor>
  <xdr:twoCellAnchor>
    <xdr:from>
      <xdr:col>20</xdr:col>
      <xdr:colOff>72201</xdr:colOff>
      <xdr:row>19</xdr:row>
      <xdr:rowOff>179592</xdr:rowOff>
    </xdr:from>
    <xdr:to>
      <xdr:col>20</xdr:col>
      <xdr:colOff>516834</xdr:colOff>
      <xdr:row>21</xdr:row>
      <xdr:rowOff>43766</xdr:rowOff>
    </xdr:to>
    <xdr:sp macro="" textlink="">
      <xdr:nvSpPr>
        <xdr:cNvPr id="61" name="CaixaDeTexto 60">
          <a:extLst>
            <a:ext uri="{FF2B5EF4-FFF2-40B4-BE49-F238E27FC236}">
              <a16:creationId xmlns:a16="http://schemas.microsoft.com/office/drawing/2014/main" id="{4FEDA124-C8FD-4082-8757-83A2CBB02A8D}"/>
            </a:ext>
          </a:extLst>
        </xdr:cNvPr>
        <xdr:cNvSpPr txBox="1"/>
      </xdr:nvSpPr>
      <xdr:spPr>
        <a:xfrm>
          <a:off x="12264201" y="3704670"/>
          <a:ext cx="444633" cy="235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3000"/>
                  </a:prstClr>
                </a:outerShdw>
              </a:effectLst>
              <a:latin typeface="Sassoon Sans Slope Std Medium" panose="020B07030201030A0203" pitchFamily="34" charset="0"/>
            </a:rPr>
            <a:t>Sul</a:t>
          </a:r>
        </a:p>
      </xdr:txBody>
    </xdr:sp>
    <xdr:clientData/>
  </xdr:twoCellAnchor>
  <xdr:twoCellAnchor>
    <xdr:from>
      <xdr:col>20</xdr:col>
      <xdr:colOff>138882</xdr:colOff>
      <xdr:row>20</xdr:row>
      <xdr:rowOff>130921</xdr:rowOff>
    </xdr:from>
    <xdr:to>
      <xdr:col>20</xdr:col>
      <xdr:colOff>470452</xdr:colOff>
      <xdr:row>21</xdr:row>
      <xdr:rowOff>180626</xdr:rowOff>
    </xdr:to>
    <xdr:sp macro="" textlink="'Tabela Dinânima'!Z41">
      <xdr:nvSpPr>
        <xdr:cNvPr id="62" name="CaixaDeTexto 61">
          <a:extLst>
            <a:ext uri="{FF2B5EF4-FFF2-40B4-BE49-F238E27FC236}">
              <a16:creationId xmlns:a16="http://schemas.microsoft.com/office/drawing/2014/main" id="{FE6FE330-4D3D-4D23-86AF-C3AF6A803573}"/>
            </a:ext>
          </a:extLst>
        </xdr:cNvPr>
        <xdr:cNvSpPr txBox="1"/>
      </xdr:nvSpPr>
      <xdr:spPr>
        <a:xfrm>
          <a:off x="12330882" y="3841530"/>
          <a:ext cx="331570" cy="235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9E4EA46E-3F08-42FC-BAB5-C533E6E64FE0}" type="TxLink">
            <a:rPr lang="en-US" sz="1100" b="0" i="0" u="none" strike="noStrike">
              <a:solidFill>
                <a:srgbClr val="0043B9"/>
              </a:solidFill>
              <a:effectLst>
                <a:outerShdw blurRad="50800" dist="38100" dir="2700000" algn="tl" rotWithShape="0">
                  <a:prstClr val="black">
                    <a:alpha val="57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pPr algn="ctr"/>
            <a:t>3</a:t>
          </a:fld>
          <a:endParaRPr lang="pt-BR" sz="1200" b="1">
            <a:solidFill>
              <a:srgbClr val="0043B9"/>
            </a:solidFill>
            <a:effectLst>
              <a:outerShdw blurRad="50800" dist="38100" dir="2700000" algn="tl" rotWithShape="0">
                <a:prstClr val="black">
                  <a:alpha val="57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3</xdr:col>
      <xdr:colOff>406763</xdr:colOff>
      <xdr:row>9</xdr:row>
      <xdr:rowOff>80682</xdr:rowOff>
    </xdr:from>
    <xdr:to>
      <xdr:col>14</xdr:col>
      <xdr:colOff>80682</xdr:colOff>
      <xdr:row>23</xdr:row>
      <xdr:rowOff>161363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7A79601F-226E-4ECC-A75B-13D5EF51D6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411081</xdr:colOff>
      <xdr:row>8</xdr:row>
      <xdr:rowOff>35442</xdr:rowOff>
    </xdr:from>
    <xdr:to>
      <xdr:col>8</xdr:col>
      <xdr:colOff>250333</xdr:colOff>
      <xdr:row>9</xdr:row>
      <xdr:rowOff>60380</xdr:rowOff>
    </xdr:to>
    <xdr:sp macro="" textlink="">
      <xdr:nvSpPr>
        <xdr:cNvPr id="65" name="CaixaDeTexto 64">
          <a:extLst>
            <a:ext uri="{FF2B5EF4-FFF2-40B4-BE49-F238E27FC236}">
              <a16:creationId xmlns:a16="http://schemas.microsoft.com/office/drawing/2014/main" id="{6A5DB463-5338-4E5A-A630-1AED3DCD80EB}"/>
            </a:ext>
          </a:extLst>
        </xdr:cNvPr>
        <xdr:cNvSpPr txBox="1"/>
      </xdr:nvSpPr>
      <xdr:spPr>
        <a:xfrm>
          <a:off x="2239881" y="1498482"/>
          <a:ext cx="2887252" cy="2078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1" i="0">
              <a:solidFill>
                <a:srgbClr val="FF6900"/>
              </a:solidFill>
              <a:latin typeface="Sassoon Sans Slope Std Medium" panose="020B07030201030A0203" pitchFamily="34" charset="0"/>
            </a:rPr>
            <a:t>Top-</a:t>
          </a:r>
          <a:r>
            <a:rPr lang="pt-BR" sz="1400" b="1" i="0" baseline="0">
              <a:solidFill>
                <a:srgbClr val="FF6900"/>
              </a:solidFill>
              <a:latin typeface="Sassoon Sans Slope Std Medium" panose="020B07030201030A0203" pitchFamily="34" charset="0"/>
            </a:rPr>
            <a:t>5</a:t>
          </a:r>
          <a:r>
            <a:rPr lang="pt-BR" sz="1400" b="0" i="0" baseline="0">
              <a:solidFill>
                <a:schemeClr val="bg1"/>
              </a:solidFill>
              <a:latin typeface="Sassoon Sans Slope Std Medium" panose="020B07030201030A0203" pitchFamily="34" charset="0"/>
            </a:rPr>
            <a:t> Postos de Gasolina no Brasil</a:t>
          </a:r>
          <a:endParaRPr lang="pt-BR" sz="1400" b="0" i="0">
            <a:solidFill>
              <a:srgbClr val="FF6900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0</xdr:col>
      <xdr:colOff>76200</xdr:colOff>
      <xdr:row>0</xdr:row>
      <xdr:rowOff>91440</xdr:rowOff>
    </xdr:from>
    <xdr:to>
      <xdr:col>3</xdr:col>
      <xdr:colOff>339522</xdr:colOff>
      <xdr:row>40</xdr:row>
      <xdr:rowOff>0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3A6C9C6F-D33B-B231-634B-AB9908B4A9D8}"/>
            </a:ext>
          </a:extLst>
        </xdr:cNvPr>
        <xdr:cNvGrpSpPr/>
      </xdr:nvGrpSpPr>
      <xdr:grpSpPr>
        <a:xfrm>
          <a:off x="76200" y="91440"/>
          <a:ext cx="2092122" cy="7231380"/>
          <a:chOff x="76200" y="91440"/>
          <a:chExt cx="2092122" cy="7089289"/>
        </a:xfrm>
      </xdr:grpSpPr>
      <xdr:sp macro="" textlink="">
        <xdr:nvSpPr>
          <xdr:cNvPr id="3" name="Retângulo: Cantos Arredondados 2">
            <a:extLst>
              <a:ext uri="{FF2B5EF4-FFF2-40B4-BE49-F238E27FC236}">
                <a16:creationId xmlns:a16="http://schemas.microsoft.com/office/drawing/2014/main" id="{2449ECC1-9764-ACAE-60D1-22261ADE9C9D}"/>
              </a:ext>
            </a:extLst>
          </xdr:cNvPr>
          <xdr:cNvSpPr/>
        </xdr:nvSpPr>
        <xdr:spPr>
          <a:xfrm>
            <a:off x="76200" y="179295"/>
            <a:ext cx="2072640" cy="6989780"/>
          </a:xfrm>
          <a:prstGeom prst="roundRect">
            <a:avLst>
              <a:gd name="adj" fmla="val 7108"/>
            </a:avLst>
          </a:prstGeom>
          <a:gradFill>
            <a:gsLst>
              <a:gs pos="0">
                <a:srgbClr val="FECC0C">
                  <a:alpha val="85000"/>
                </a:srgbClr>
              </a:gs>
              <a:gs pos="60000">
                <a:srgbClr val="8E8152">
                  <a:alpha val="85000"/>
                </a:srgbClr>
              </a:gs>
              <a:gs pos="30000">
                <a:srgbClr val="FFB300">
                  <a:alpha val="85000"/>
                </a:srgbClr>
              </a:gs>
              <a:gs pos="100000">
                <a:srgbClr val="0043B9">
                  <a:alpha val="85000"/>
                </a:srgbClr>
              </a:gs>
            </a:gsLst>
            <a:lin ang="9600000" scaled="0"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7" name="Imagem 6">
            <a:extLst>
              <a:ext uri="{FF2B5EF4-FFF2-40B4-BE49-F238E27FC236}">
                <a16:creationId xmlns:a16="http://schemas.microsoft.com/office/drawing/2014/main" id="{5F150B73-5685-14D3-E5F6-C23B96C20E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1920" y="91440"/>
            <a:ext cx="1983649" cy="1014805"/>
          </a:xfrm>
          <a:prstGeom prst="rect">
            <a:avLst/>
          </a:prstGeom>
        </xdr:spPr>
      </xdr:pic>
      <xdr:pic>
        <xdr:nvPicPr>
          <xdr:cNvPr id="9" name="Imagem 8">
            <a:extLst>
              <a:ext uri="{FF2B5EF4-FFF2-40B4-BE49-F238E27FC236}">
                <a16:creationId xmlns:a16="http://schemas.microsoft.com/office/drawing/2014/main" id="{A9920E19-C985-A8C6-1802-DD8F4BC3FC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82" y="5080897"/>
            <a:ext cx="2076740" cy="2099832"/>
          </a:xfrm>
          <a:prstGeom prst="rect">
            <a:avLst/>
          </a:prstGeom>
        </xdr:spPr>
      </xdr:pic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25" name="GÊNERO 1">
                <a:extLst>
                  <a:ext uri="{FF2B5EF4-FFF2-40B4-BE49-F238E27FC236}">
                    <a16:creationId xmlns:a16="http://schemas.microsoft.com/office/drawing/2014/main" id="{B5E7DD7C-92E4-485A-927B-50BE6F34C0F2}"/>
                  </a:ext>
                </a:extLst>
              </xdr:cNvPr>
              <xdr:cNvGraphicFramePr/>
            </xdr:nvGraphicFramePr>
            <xdr:xfrm>
              <a:off x="202347" y="1507791"/>
              <a:ext cx="1831750" cy="1145762"/>
            </xdr:xfrm>
            <a:graphic>
              <a:graphicData uri="http://schemas.microsoft.com/office/drawing/2010/slicer">
                <sle:slicer xmlns:sle="http://schemas.microsoft.com/office/drawing/2010/slicer" name="GÊNERO 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02347" y="1536179"/>
                <a:ext cx="1831750" cy="1168727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66" name="REGIÃO 1">
                <a:extLst>
                  <a:ext uri="{FF2B5EF4-FFF2-40B4-BE49-F238E27FC236}">
                    <a16:creationId xmlns:a16="http://schemas.microsoft.com/office/drawing/2014/main" id="{6162F815-5FA2-4D67-A3B7-F0726E85A57E}"/>
                  </a:ext>
                </a:extLst>
              </xdr:cNvPr>
              <xdr:cNvGraphicFramePr/>
            </xdr:nvGraphicFramePr>
            <xdr:xfrm>
              <a:off x="186337" y="2890863"/>
              <a:ext cx="1837272" cy="1654243"/>
            </xdr:xfrm>
            <a:graphic>
              <a:graphicData uri="http://schemas.microsoft.com/office/drawing/2010/slicer">
                <sle:slicer xmlns:sle="http://schemas.microsoft.com/office/drawing/2010/slicer" name="REGIÃO 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86337" y="2946972"/>
                <a:ext cx="1837272" cy="1687399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</xdr:grpSp>
    <xdr:clientData/>
  </xdr:twoCellAnchor>
  <xdr:twoCellAnchor>
    <xdr:from>
      <xdr:col>3</xdr:col>
      <xdr:colOff>176214</xdr:colOff>
      <xdr:row>24</xdr:row>
      <xdr:rowOff>80963</xdr:rowOff>
    </xdr:from>
    <xdr:to>
      <xdr:col>10</xdr:col>
      <xdr:colOff>309564</xdr:colOff>
      <xdr:row>40</xdr:row>
      <xdr:rowOff>142875</xdr:rowOff>
    </xdr:to>
    <xdr:graphicFrame macro="">
      <xdr:nvGraphicFramePr>
        <xdr:cNvPr id="67" name="Gráfico 66">
          <a:extLst>
            <a:ext uri="{FF2B5EF4-FFF2-40B4-BE49-F238E27FC236}">
              <a16:creationId xmlns:a16="http://schemas.microsoft.com/office/drawing/2014/main" id="{E58B5492-BD91-4527-B9DA-266FEC8E0F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444541</xdr:colOff>
      <xdr:row>24</xdr:row>
      <xdr:rowOff>40744</xdr:rowOff>
    </xdr:from>
    <xdr:to>
      <xdr:col>9</xdr:col>
      <xdr:colOff>404522</xdr:colOff>
      <xdr:row>25</xdr:row>
      <xdr:rowOff>39757</xdr:rowOff>
    </xdr:to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CADBD03C-FEF6-4328-AE94-90B5EC27BDD5}"/>
            </a:ext>
          </a:extLst>
        </xdr:cNvPr>
        <xdr:cNvSpPr txBox="1"/>
      </xdr:nvSpPr>
      <xdr:spPr>
        <a:xfrm>
          <a:off x="2273341" y="4429864"/>
          <a:ext cx="3617581" cy="1818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Principais Pontos</a:t>
          </a:r>
          <a:r>
            <a:rPr lang="pt-BR" sz="1400" b="0" i="0" baseline="0">
              <a:solidFill>
                <a:schemeClr val="bg1"/>
              </a:solidFill>
              <a:latin typeface="Sassoon Sans Slope Std Medium" panose="020B07030201030A0203" pitchFamily="34" charset="0"/>
            </a:rPr>
            <a:t> </a:t>
          </a:r>
          <a:r>
            <a:rPr lang="pt-BR" sz="1400" b="1" i="0" baseline="0">
              <a:solidFill>
                <a:srgbClr val="FF6900"/>
              </a:solidFill>
              <a:latin typeface="Sassoon Sans Slope Std Medium" panose="020B07030201030A0203" pitchFamily="34" charset="0"/>
            </a:rPr>
            <a:t>Diferênciais</a:t>
          </a:r>
          <a:r>
            <a:rPr lang="pt-BR" sz="1400" b="0" i="0" baseline="0">
              <a:solidFill>
                <a:srgbClr val="FF6900"/>
              </a:solidFill>
              <a:latin typeface="Sassoon Sans Slope Std Medium" panose="020B07030201030A0203" pitchFamily="34" charset="0"/>
            </a:rPr>
            <a:t> </a:t>
          </a:r>
          <a:r>
            <a:rPr lang="pt-BR" sz="1400" b="0" i="0" baseline="0">
              <a:solidFill>
                <a:schemeClr val="bg1"/>
              </a:solidFill>
              <a:latin typeface="Sassoon Sans Slope Std Medium" panose="020B07030201030A0203" pitchFamily="34" charset="0"/>
            </a:rPr>
            <a:t>de um Posto</a:t>
          </a:r>
          <a:endParaRPr lang="pt-BR" sz="1400" b="0" i="0">
            <a:solidFill>
              <a:schemeClr val="bg1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10</xdr:col>
      <xdr:colOff>251986</xdr:colOff>
      <xdr:row>25</xdr:row>
      <xdr:rowOff>44823</xdr:rowOff>
    </xdr:from>
    <xdr:to>
      <xdr:col>16</xdr:col>
      <xdr:colOff>600635</xdr:colOff>
      <xdr:row>40</xdr:row>
      <xdr:rowOff>17930</xdr:rowOff>
    </xdr:to>
    <xdr:graphicFrame macro="">
      <xdr:nvGraphicFramePr>
        <xdr:cNvPr id="73" name="Gráfico 72">
          <a:extLst>
            <a:ext uri="{FF2B5EF4-FFF2-40B4-BE49-F238E27FC236}">
              <a16:creationId xmlns:a16="http://schemas.microsoft.com/office/drawing/2014/main" id="{82BA64AA-95B0-457A-AB44-1D285056A2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71398</xdr:colOff>
      <xdr:row>24</xdr:row>
      <xdr:rowOff>152401</xdr:rowOff>
    </xdr:from>
    <xdr:to>
      <xdr:col>23</xdr:col>
      <xdr:colOff>224118</xdr:colOff>
      <xdr:row>39</xdr:row>
      <xdr:rowOff>142811</xdr:rowOff>
    </xdr:to>
    <xdr:graphicFrame macro="">
      <xdr:nvGraphicFramePr>
        <xdr:cNvPr id="74" name="Gráfico 73">
          <a:extLst>
            <a:ext uri="{FF2B5EF4-FFF2-40B4-BE49-F238E27FC236}">
              <a16:creationId xmlns:a16="http://schemas.microsoft.com/office/drawing/2014/main" id="{A03E6AE7-55FC-4CAC-B8F0-73BE808B25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260316</xdr:colOff>
      <xdr:row>24</xdr:row>
      <xdr:rowOff>38015</xdr:rowOff>
    </xdr:from>
    <xdr:to>
      <xdr:col>13</xdr:col>
      <xdr:colOff>451821</xdr:colOff>
      <xdr:row>25</xdr:row>
      <xdr:rowOff>44823</xdr:rowOff>
    </xdr:to>
    <xdr:sp macro="" textlink="">
      <xdr:nvSpPr>
        <xdr:cNvPr id="75" name="CaixaDeTexto 74">
          <a:extLst>
            <a:ext uri="{FF2B5EF4-FFF2-40B4-BE49-F238E27FC236}">
              <a16:creationId xmlns:a16="http://schemas.microsoft.com/office/drawing/2014/main" id="{71A4840E-7A1F-4173-B2A3-77E512D2DCE2}"/>
            </a:ext>
          </a:extLst>
        </xdr:cNvPr>
        <xdr:cNvSpPr txBox="1"/>
      </xdr:nvSpPr>
      <xdr:spPr>
        <a:xfrm>
          <a:off x="6356316" y="4427135"/>
          <a:ext cx="2020305" cy="1896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Abastecimento </a:t>
          </a:r>
          <a:r>
            <a:rPr lang="pt-BR" sz="1400" b="0" i="0">
              <a:solidFill>
                <a:srgbClr val="FF6900"/>
              </a:solidFill>
              <a:latin typeface="Sassoon Sans Slope Std Medium" panose="020B07030201030A0203" pitchFamily="34" charset="0"/>
            </a:rPr>
            <a:t>Semanal</a:t>
          </a:r>
        </a:p>
      </xdr:txBody>
    </xdr:sp>
    <xdr:clientData/>
  </xdr:twoCellAnchor>
  <xdr:twoCellAnchor>
    <xdr:from>
      <xdr:col>17</xdr:col>
      <xdr:colOff>99199</xdr:colOff>
      <xdr:row>24</xdr:row>
      <xdr:rowOff>46839</xdr:rowOff>
    </xdr:from>
    <xdr:to>
      <xdr:col>20</xdr:col>
      <xdr:colOff>290704</xdr:colOff>
      <xdr:row>25</xdr:row>
      <xdr:rowOff>53647</xdr:rowOff>
    </xdr:to>
    <xdr:sp macro="" textlink="">
      <xdr:nvSpPr>
        <xdr:cNvPr id="76" name="CaixaDeTexto 75">
          <a:extLst>
            <a:ext uri="{FF2B5EF4-FFF2-40B4-BE49-F238E27FC236}">
              <a16:creationId xmlns:a16="http://schemas.microsoft.com/office/drawing/2014/main" id="{96E5239C-7C44-4D88-8CD3-2EAFF3C3D7E5}"/>
            </a:ext>
          </a:extLst>
        </xdr:cNvPr>
        <xdr:cNvSpPr txBox="1"/>
      </xdr:nvSpPr>
      <xdr:spPr>
        <a:xfrm>
          <a:off x="10462399" y="4435959"/>
          <a:ext cx="2020305" cy="1896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 i="0">
              <a:solidFill>
                <a:srgbClr val="FF6900"/>
              </a:solidFill>
              <a:latin typeface="Sassoon Sans Slope Std Medium" panose="020B07030201030A0203" pitchFamily="34" charset="0"/>
            </a:rPr>
            <a:t>Recomendaria</a:t>
          </a:r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 o APP</a:t>
          </a:r>
          <a:endParaRPr lang="pt-BR" sz="1400" b="0" i="0">
            <a:solidFill>
              <a:srgbClr val="FF6900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3</xdr:col>
      <xdr:colOff>405426</xdr:colOff>
      <xdr:row>0</xdr:row>
      <xdr:rowOff>134471</xdr:rowOff>
    </xdr:from>
    <xdr:to>
      <xdr:col>23</xdr:col>
      <xdr:colOff>271202</xdr:colOff>
      <xdr:row>7</xdr:row>
      <xdr:rowOff>58063</xdr:rowOff>
    </xdr:to>
    <xdr:grpSp>
      <xdr:nvGrpSpPr>
        <xdr:cNvPr id="11" name="Agrupar 10">
          <a:extLst>
            <a:ext uri="{FF2B5EF4-FFF2-40B4-BE49-F238E27FC236}">
              <a16:creationId xmlns:a16="http://schemas.microsoft.com/office/drawing/2014/main" id="{768F94BA-132A-7103-FF4B-63B0109B452E}"/>
            </a:ext>
          </a:extLst>
        </xdr:cNvPr>
        <xdr:cNvGrpSpPr/>
      </xdr:nvGrpSpPr>
      <xdr:grpSpPr>
        <a:xfrm>
          <a:off x="2234226" y="134471"/>
          <a:ext cx="12057776" cy="1203752"/>
          <a:chOff x="2234226" y="134471"/>
          <a:chExt cx="12057776" cy="1178651"/>
        </a:xfrm>
      </xdr:grpSpPr>
      <xdr:sp macro="" textlink="">
        <xdr:nvSpPr>
          <xdr:cNvPr id="47" name="Retângulo: Cantos Arredondados 46">
            <a:extLst>
              <a:ext uri="{FF2B5EF4-FFF2-40B4-BE49-F238E27FC236}">
                <a16:creationId xmlns:a16="http://schemas.microsoft.com/office/drawing/2014/main" id="{68B0706B-B28F-428A-A152-5F3AAE6B0C2D}"/>
              </a:ext>
            </a:extLst>
          </xdr:cNvPr>
          <xdr:cNvSpPr/>
        </xdr:nvSpPr>
        <xdr:spPr>
          <a:xfrm>
            <a:off x="2234226" y="198637"/>
            <a:ext cx="2297250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8" name="Retângulo: Cantos Arredondados 47">
            <a:extLst>
              <a:ext uri="{FF2B5EF4-FFF2-40B4-BE49-F238E27FC236}">
                <a16:creationId xmlns:a16="http://schemas.microsoft.com/office/drawing/2014/main" id="{A3383809-6864-4C77-B26B-FB182971F87C}"/>
              </a:ext>
            </a:extLst>
          </xdr:cNvPr>
          <xdr:cNvSpPr/>
        </xdr:nvSpPr>
        <xdr:spPr>
          <a:xfrm>
            <a:off x="4672645" y="198637"/>
            <a:ext cx="2297250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9" name="Retângulo: Cantos Arredondados 48">
            <a:extLst>
              <a:ext uri="{FF2B5EF4-FFF2-40B4-BE49-F238E27FC236}">
                <a16:creationId xmlns:a16="http://schemas.microsoft.com/office/drawing/2014/main" id="{90962E86-6D35-41CC-8B9A-B4952622F4CC}"/>
              </a:ext>
            </a:extLst>
          </xdr:cNvPr>
          <xdr:cNvSpPr/>
        </xdr:nvSpPr>
        <xdr:spPr>
          <a:xfrm>
            <a:off x="7111064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0" name="Retângulo: Cantos Arredondados 49">
            <a:extLst>
              <a:ext uri="{FF2B5EF4-FFF2-40B4-BE49-F238E27FC236}">
                <a16:creationId xmlns:a16="http://schemas.microsoft.com/office/drawing/2014/main" id="{1C360A5A-4FBE-4615-8ADB-A2C32E81A7BE}"/>
              </a:ext>
            </a:extLst>
          </xdr:cNvPr>
          <xdr:cNvSpPr/>
        </xdr:nvSpPr>
        <xdr:spPr>
          <a:xfrm>
            <a:off x="11992468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12" name="Gráfico 11" descr="Grupo de homens com preenchimento sólido">
            <a:extLst>
              <a:ext uri="{FF2B5EF4-FFF2-40B4-BE49-F238E27FC236}">
                <a16:creationId xmlns:a16="http://schemas.microsoft.com/office/drawing/2014/main" id="{806F3AC9-54AA-4F5C-935C-8CFEACD127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0"/>
              </a:ext>
            </a:extLst>
          </a:blip>
          <a:stretch>
            <a:fillRect/>
          </a:stretch>
        </xdr:blipFill>
        <xdr:spPr>
          <a:xfrm>
            <a:off x="12121995" y="385482"/>
            <a:ext cx="630909" cy="634253"/>
          </a:xfrm>
          <a:prstGeom prst="rect">
            <a:avLst/>
          </a:prstGeom>
        </xdr:spPr>
      </xdr:pic>
      <xdr:sp macro="" textlink="">
        <xdr:nvSpPr>
          <xdr:cNvPr id="13" name="CaixaDeTexto 12">
            <a:extLst>
              <a:ext uri="{FF2B5EF4-FFF2-40B4-BE49-F238E27FC236}">
                <a16:creationId xmlns:a16="http://schemas.microsoft.com/office/drawing/2014/main" id="{050E6095-2EB1-4DAF-BD13-035455418CAC}"/>
              </a:ext>
            </a:extLst>
          </xdr:cNvPr>
          <xdr:cNvSpPr txBox="1"/>
        </xdr:nvSpPr>
        <xdr:spPr>
          <a:xfrm>
            <a:off x="12681248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Clientes</a:t>
            </a:r>
          </a:p>
        </xdr:txBody>
      </xdr:sp>
      <xdr:sp macro="" textlink="'Tabela Dinânima'!O45">
        <xdr:nvSpPr>
          <xdr:cNvPr id="63" name="CaixaDeTexto 62">
            <a:extLst>
              <a:ext uri="{FF2B5EF4-FFF2-40B4-BE49-F238E27FC236}">
                <a16:creationId xmlns:a16="http://schemas.microsoft.com/office/drawing/2014/main" id="{63AC4AD4-2A2D-4D8C-8401-6A4AEF1C6736}"/>
              </a:ext>
            </a:extLst>
          </xdr:cNvPr>
          <xdr:cNvSpPr txBox="1"/>
        </xdr:nvSpPr>
        <xdr:spPr>
          <a:xfrm>
            <a:off x="12699178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4D3E5B7-4116-4F8E-B180-323A66DBD376}" type="TxLink">
              <a:rPr lang="en-US" sz="3200" b="1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251</a:t>
            </a:fld>
            <a:endParaRPr lang="pt-BR" sz="54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">
        <xdr:nvSpPr>
          <xdr:cNvPr id="69" name="Retângulo: Cantos Arredondados 68">
            <a:extLst>
              <a:ext uri="{FF2B5EF4-FFF2-40B4-BE49-F238E27FC236}">
                <a16:creationId xmlns:a16="http://schemas.microsoft.com/office/drawing/2014/main" id="{B351853B-BEA9-46B3-A10F-D901CACD374C}"/>
              </a:ext>
            </a:extLst>
          </xdr:cNvPr>
          <xdr:cNvSpPr/>
        </xdr:nvSpPr>
        <xdr:spPr>
          <a:xfrm>
            <a:off x="9551766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77" name="CaixaDeTexto 76">
            <a:extLst>
              <a:ext uri="{FF2B5EF4-FFF2-40B4-BE49-F238E27FC236}">
                <a16:creationId xmlns:a16="http://schemas.microsoft.com/office/drawing/2014/main" id="{DF8FAB0B-78AB-472B-B197-27D6EE71858F}"/>
              </a:ext>
            </a:extLst>
          </xdr:cNvPr>
          <xdr:cNvSpPr txBox="1"/>
        </xdr:nvSpPr>
        <xdr:spPr>
          <a:xfrm>
            <a:off x="2843826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Carro</a:t>
            </a:r>
          </a:p>
        </xdr:txBody>
      </xdr:sp>
      <xdr:sp macro="" textlink="">
        <xdr:nvSpPr>
          <xdr:cNvPr id="78" name="CaixaDeTexto 77">
            <a:extLst>
              <a:ext uri="{FF2B5EF4-FFF2-40B4-BE49-F238E27FC236}">
                <a16:creationId xmlns:a16="http://schemas.microsoft.com/office/drawing/2014/main" id="{A97BAFA6-B9C7-43A0-AAAB-91D06FBA0EDC}"/>
              </a:ext>
            </a:extLst>
          </xdr:cNvPr>
          <xdr:cNvSpPr txBox="1"/>
        </xdr:nvSpPr>
        <xdr:spPr>
          <a:xfrm>
            <a:off x="5479450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Caminhão</a:t>
            </a:r>
          </a:p>
        </xdr:txBody>
      </xdr:sp>
      <xdr:sp macro="" textlink="">
        <xdr:nvSpPr>
          <xdr:cNvPr id="79" name="CaixaDeTexto 78">
            <a:extLst>
              <a:ext uri="{FF2B5EF4-FFF2-40B4-BE49-F238E27FC236}">
                <a16:creationId xmlns:a16="http://schemas.microsoft.com/office/drawing/2014/main" id="{641D8E3D-E1CD-41DF-9837-165240CFEAD6}"/>
              </a:ext>
            </a:extLst>
          </xdr:cNvPr>
          <xdr:cNvSpPr txBox="1"/>
        </xdr:nvSpPr>
        <xdr:spPr>
          <a:xfrm>
            <a:off x="7801307" y="308561"/>
            <a:ext cx="1539915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Motocicleta</a:t>
            </a:r>
          </a:p>
        </xdr:txBody>
      </xdr:sp>
      <xdr:sp macro="" textlink="">
        <xdr:nvSpPr>
          <xdr:cNvPr id="80" name="CaixaDeTexto 79">
            <a:extLst>
              <a:ext uri="{FF2B5EF4-FFF2-40B4-BE49-F238E27FC236}">
                <a16:creationId xmlns:a16="http://schemas.microsoft.com/office/drawing/2014/main" id="{7EEF8B86-972E-4B75-838B-739F5C4DDE92}"/>
              </a:ext>
            </a:extLst>
          </xdr:cNvPr>
          <xdr:cNvSpPr txBox="1"/>
        </xdr:nvSpPr>
        <xdr:spPr>
          <a:xfrm>
            <a:off x="10096273" y="134471"/>
            <a:ext cx="1871609" cy="69028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8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Trasp. </a:t>
            </a:r>
          </a:p>
          <a:p>
            <a:pPr algn="ctr"/>
            <a:r>
              <a:rPr lang="pt-BR" sz="18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Público</a:t>
            </a:r>
          </a:p>
        </xdr:txBody>
      </xdr:sp>
      <xdr:sp macro="" textlink="'Tabela Dinânima'!G14">
        <xdr:nvSpPr>
          <xdr:cNvPr id="81" name="CaixaDeTexto 80">
            <a:extLst>
              <a:ext uri="{FF2B5EF4-FFF2-40B4-BE49-F238E27FC236}">
                <a16:creationId xmlns:a16="http://schemas.microsoft.com/office/drawing/2014/main" id="{FC40056E-AC36-45F5-BF11-076393E10767}"/>
              </a:ext>
            </a:extLst>
          </xdr:cNvPr>
          <xdr:cNvSpPr txBox="1"/>
        </xdr:nvSpPr>
        <xdr:spPr>
          <a:xfrm>
            <a:off x="2879685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B25971CF-0F34-4386-BC8D-437C8E36BAA5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81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3">
        <xdr:nvSpPr>
          <xdr:cNvPr id="82" name="CaixaDeTexto 81">
            <a:extLst>
              <a:ext uri="{FF2B5EF4-FFF2-40B4-BE49-F238E27FC236}">
                <a16:creationId xmlns:a16="http://schemas.microsoft.com/office/drawing/2014/main" id="{54D05FC5-38DD-4143-A101-6E61ACBD67ED}"/>
              </a:ext>
            </a:extLst>
          </xdr:cNvPr>
          <xdr:cNvSpPr txBox="1"/>
        </xdr:nvSpPr>
        <xdr:spPr>
          <a:xfrm>
            <a:off x="5470486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CDC294E-C807-40D7-8D0C-5BE81C2174C7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65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5">
        <xdr:nvSpPr>
          <xdr:cNvPr id="83" name="CaixaDeTexto 82">
            <a:extLst>
              <a:ext uri="{FF2B5EF4-FFF2-40B4-BE49-F238E27FC236}">
                <a16:creationId xmlns:a16="http://schemas.microsoft.com/office/drawing/2014/main" id="{17B6168C-0E3F-419D-A89B-74C8C0D62D88}"/>
              </a:ext>
            </a:extLst>
          </xdr:cNvPr>
          <xdr:cNvSpPr txBox="1"/>
        </xdr:nvSpPr>
        <xdr:spPr>
          <a:xfrm>
            <a:off x="7837168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05D89E4-5FF7-49E1-A061-58D5C442DF39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42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6">
        <xdr:nvSpPr>
          <xdr:cNvPr id="84" name="CaixaDeTexto 83">
            <a:extLst>
              <a:ext uri="{FF2B5EF4-FFF2-40B4-BE49-F238E27FC236}">
                <a16:creationId xmlns:a16="http://schemas.microsoft.com/office/drawing/2014/main" id="{A0B89B90-2EC2-4C26-B1B1-A92A55DB5228}"/>
              </a:ext>
            </a:extLst>
          </xdr:cNvPr>
          <xdr:cNvSpPr txBox="1"/>
        </xdr:nvSpPr>
        <xdr:spPr>
          <a:xfrm>
            <a:off x="10302464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CB44AC8-8AB1-490B-8950-9A5EC1AFFA84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63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pic>
        <xdr:nvPicPr>
          <xdr:cNvPr id="86" name="Gráfico 85" descr="Carro com preenchimento sólido">
            <a:extLst>
              <a:ext uri="{FF2B5EF4-FFF2-40B4-BE49-F238E27FC236}">
                <a16:creationId xmlns:a16="http://schemas.microsoft.com/office/drawing/2014/main" id="{07F77D37-E066-930B-A3E3-5A498FCF96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2"/>
              </a:ext>
            </a:extLst>
          </a:blip>
          <a:stretch>
            <a:fillRect/>
          </a:stretch>
        </xdr:blipFill>
        <xdr:spPr>
          <a:xfrm>
            <a:off x="2357718" y="358588"/>
            <a:ext cx="806823" cy="806823"/>
          </a:xfrm>
          <a:prstGeom prst="rect">
            <a:avLst/>
          </a:prstGeom>
        </xdr:spPr>
      </xdr:pic>
      <xdr:pic>
        <xdr:nvPicPr>
          <xdr:cNvPr id="88" name="Gráfico 87" descr="Caminhão com preenchimento sólido">
            <a:extLst>
              <a:ext uri="{FF2B5EF4-FFF2-40B4-BE49-F238E27FC236}">
                <a16:creationId xmlns:a16="http://schemas.microsoft.com/office/drawing/2014/main" id="{A72E40A8-4577-1A1C-F147-43958F1D3C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4"/>
              </a:ext>
            </a:extLst>
          </a:blip>
          <a:stretch>
            <a:fillRect/>
          </a:stretch>
        </xdr:blipFill>
        <xdr:spPr>
          <a:xfrm>
            <a:off x="4778188" y="295835"/>
            <a:ext cx="914400" cy="914400"/>
          </a:xfrm>
          <a:prstGeom prst="rect">
            <a:avLst/>
          </a:prstGeom>
        </xdr:spPr>
      </xdr:pic>
      <xdr:pic>
        <xdr:nvPicPr>
          <xdr:cNvPr id="90" name="Gráfico 89" descr="Motocicleta com preenchimento sólido">
            <a:extLst>
              <a:ext uri="{FF2B5EF4-FFF2-40B4-BE49-F238E27FC236}">
                <a16:creationId xmlns:a16="http://schemas.microsoft.com/office/drawing/2014/main" id="{8E0DE1D9-F4CD-844E-CA11-1EB5087F86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6"/>
              </a:ext>
            </a:extLst>
          </a:blip>
          <a:stretch>
            <a:fillRect/>
          </a:stretch>
        </xdr:blipFill>
        <xdr:spPr>
          <a:xfrm>
            <a:off x="7135906" y="313764"/>
            <a:ext cx="815787" cy="815787"/>
          </a:xfrm>
          <a:prstGeom prst="rect">
            <a:avLst/>
          </a:prstGeom>
        </xdr:spPr>
      </xdr:pic>
      <xdr:pic>
        <xdr:nvPicPr>
          <xdr:cNvPr id="92" name="Gráfico 91" descr="Ônibus com preenchimento sólido">
            <a:extLst>
              <a:ext uri="{FF2B5EF4-FFF2-40B4-BE49-F238E27FC236}">
                <a16:creationId xmlns:a16="http://schemas.microsoft.com/office/drawing/2014/main" id="{2C0C6322-A7FF-C771-566A-6E2FAC0E43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8"/>
              </a:ext>
            </a:extLst>
          </a:blip>
          <a:stretch>
            <a:fillRect/>
          </a:stretch>
        </xdr:blipFill>
        <xdr:spPr>
          <a:xfrm>
            <a:off x="9672918" y="322729"/>
            <a:ext cx="851648" cy="851648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472440</xdr:colOff>
      <xdr:row>24</xdr:row>
      <xdr:rowOff>35423</xdr:rowOff>
    </xdr:from>
    <xdr:to>
      <xdr:col>16</xdr:col>
      <xdr:colOff>602507</xdr:colOff>
      <xdr:row>25</xdr:row>
      <xdr:rowOff>60960</xdr:rowOff>
    </xdr:to>
    <xdr:sp macro="" textlink="">
      <xdr:nvSpPr>
        <xdr:cNvPr id="14" name="Retângulo: Cantos Arredondados 13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75FB1EF3-6DC9-4B94-A58E-648D33016634}"/>
            </a:ext>
          </a:extLst>
        </xdr:cNvPr>
        <xdr:cNvSpPr/>
      </xdr:nvSpPr>
      <xdr:spPr>
        <a:xfrm>
          <a:off x="9616440" y="4424543"/>
          <a:ext cx="739667" cy="208417"/>
        </a:xfrm>
        <a:prstGeom prst="roundRect">
          <a:avLst>
            <a:gd name="adj" fmla="val 24899"/>
          </a:avLst>
        </a:prstGeom>
        <a:solidFill>
          <a:srgbClr val="FF69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100" b="1">
              <a:solidFill>
                <a:schemeClr val="bg1"/>
              </a:solidFill>
            </a:rPr>
            <a:t>Detalhes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426720</xdr:colOff>
      <xdr:row>41</xdr:row>
      <xdr:rowOff>0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AB91B9DE-E0BF-32D0-FA12-46B9A8CB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47520" cy="7505700"/>
        </a:xfrm>
        <a:prstGeom prst="rect">
          <a:avLst/>
        </a:prstGeom>
      </xdr:spPr>
    </xdr:pic>
    <xdr:clientData/>
  </xdr:twoCellAnchor>
  <xdr:twoCellAnchor>
    <xdr:from>
      <xdr:col>0</xdr:col>
      <xdr:colOff>87085</xdr:colOff>
      <xdr:row>0</xdr:row>
      <xdr:rowOff>54429</xdr:rowOff>
    </xdr:from>
    <xdr:to>
      <xdr:col>23</xdr:col>
      <xdr:colOff>381000</xdr:colOff>
      <xdr:row>40</xdr:row>
      <xdr:rowOff>121920</xdr:rowOff>
    </xdr:to>
    <xdr:sp macro="" textlink="">
      <xdr:nvSpPr>
        <xdr:cNvPr id="37" name="Retângulo: Cantos Arredondados 36">
          <a:extLst>
            <a:ext uri="{FF2B5EF4-FFF2-40B4-BE49-F238E27FC236}">
              <a16:creationId xmlns:a16="http://schemas.microsoft.com/office/drawing/2014/main" id="{A0C0C0D5-D7CA-4954-97DC-F429F264142C}"/>
            </a:ext>
          </a:extLst>
        </xdr:cNvPr>
        <xdr:cNvSpPr/>
      </xdr:nvSpPr>
      <xdr:spPr>
        <a:xfrm>
          <a:off x="87085" y="54429"/>
          <a:ext cx="14314715" cy="7390311"/>
        </a:xfrm>
        <a:prstGeom prst="roundRect">
          <a:avLst>
            <a:gd name="adj" fmla="val 2441"/>
          </a:avLst>
        </a:prstGeom>
        <a:solidFill>
          <a:srgbClr val="FFB300">
            <a:alpha val="27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152400</xdr:colOff>
      <xdr:row>0</xdr:row>
      <xdr:rowOff>32657</xdr:rowOff>
    </xdr:from>
    <xdr:to>
      <xdr:col>3</xdr:col>
      <xdr:colOff>415722</xdr:colOff>
      <xdr:row>40</xdr:row>
      <xdr:rowOff>45720</xdr:rowOff>
    </xdr:to>
    <xdr:grpSp>
      <xdr:nvGrpSpPr>
        <xdr:cNvPr id="31" name="Agrupar 30">
          <a:extLst>
            <a:ext uri="{FF2B5EF4-FFF2-40B4-BE49-F238E27FC236}">
              <a16:creationId xmlns:a16="http://schemas.microsoft.com/office/drawing/2014/main" id="{91FF293E-2560-4602-A40D-2BFD286E88F5}"/>
            </a:ext>
          </a:extLst>
        </xdr:cNvPr>
        <xdr:cNvGrpSpPr/>
      </xdr:nvGrpSpPr>
      <xdr:grpSpPr>
        <a:xfrm>
          <a:off x="152400" y="32657"/>
          <a:ext cx="2092122" cy="7335883"/>
          <a:chOff x="76200" y="91440"/>
          <a:chExt cx="2092122" cy="7089289"/>
        </a:xfrm>
      </xdr:grpSpPr>
      <xdr:sp macro="" textlink="">
        <xdr:nvSpPr>
          <xdr:cNvPr id="32" name="Retângulo: Cantos Arredondados 31">
            <a:extLst>
              <a:ext uri="{FF2B5EF4-FFF2-40B4-BE49-F238E27FC236}">
                <a16:creationId xmlns:a16="http://schemas.microsoft.com/office/drawing/2014/main" id="{9C40A223-B92D-B30D-E81B-3BCF8A4EFE03}"/>
              </a:ext>
            </a:extLst>
          </xdr:cNvPr>
          <xdr:cNvSpPr/>
        </xdr:nvSpPr>
        <xdr:spPr>
          <a:xfrm>
            <a:off x="76200" y="179295"/>
            <a:ext cx="2072640" cy="6989780"/>
          </a:xfrm>
          <a:prstGeom prst="roundRect">
            <a:avLst>
              <a:gd name="adj" fmla="val 7108"/>
            </a:avLst>
          </a:prstGeom>
          <a:gradFill>
            <a:gsLst>
              <a:gs pos="0">
                <a:srgbClr val="FECC0C">
                  <a:alpha val="85000"/>
                </a:srgbClr>
              </a:gs>
              <a:gs pos="60000">
                <a:srgbClr val="8E8152">
                  <a:alpha val="85000"/>
                </a:srgbClr>
              </a:gs>
              <a:gs pos="30000">
                <a:srgbClr val="FFB300">
                  <a:alpha val="85000"/>
                </a:srgbClr>
              </a:gs>
              <a:gs pos="100000">
                <a:srgbClr val="0043B9">
                  <a:alpha val="85000"/>
                </a:srgbClr>
              </a:gs>
            </a:gsLst>
            <a:lin ang="9600000" scaled="0"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33" name="Imagem 32">
            <a:extLst>
              <a:ext uri="{FF2B5EF4-FFF2-40B4-BE49-F238E27FC236}">
                <a16:creationId xmlns:a16="http://schemas.microsoft.com/office/drawing/2014/main" id="{1AB36030-CB46-B631-FD1F-519614EF74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1920" y="91440"/>
            <a:ext cx="1983649" cy="1014805"/>
          </a:xfrm>
          <a:prstGeom prst="rect">
            <a:avLst/>
          </a:prstGeom>
        </xdr:spPr>
      </xdr:pic>
      <xdr:pic>
        <xdr:nvPicPr>
          <xdr:cNvPr id="34" name="Imagem 33">
            <a:extLst>
              <a:ext uri="{FF2B5EF4-FFF2-40B4-BE49-F238E27FC236}">
                <a16:creationId xmlns:a16="http://schemas.microsoft.com/office/drawing/2014/main" id="{3493B70E-7259-FE6E-8344-C117355A93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82" y="5080897"/>
            <a:ext cx="2076740" cy="2099832"/>
          </a:xfrm>
          <a:prstGeom prst="rect">
            <a:avLst/>
          </a:prstGeom>
        </xdr:spPr>
      </xdr:pic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35" name="GÊNERO 2">
                <a:extLst>
                  <a:ext uri="{FF2B5EF4-FFF2-40B4-BE49-F238E27FC236}">
                    <a16:creationId xmlns:a16="http://schemas.microsoft.com/office/drawing/2014/main" id="{6467FCE0-7A6C-1000-4FC4-DC9BECA9D422}"/>
                  </a:ext>
                </a:extLst>
              </xdr:cNvPr>
              <xdr:cNvGraphicFramePr/>
            </xdr:nvGraphicFramePr>
            <xdr:xfrm>
              <a:off x="202347" y="1507791"/>
              <a:ext cx="1831750" cy="1145762"/>
            </xdr:xfrm>
            <a:graphic>
              <a:graphicData uri="http://schemas.microsoft.com/office/drawing/2010/slicer">
                <sle:slicer xmlns:sle="http://schemas.microsoft.com/office/drawing/2010/slicer" name="GÊNERO 2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78547" y="1498274"/>
                <a:ext cx="1831750" cy="1185616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36" name="REGIÃO 2">
                <a:extLst>
                  <a:ext uri="{FF2B5EF4-FFF2-40B4-BE49-F238E27FC236}">
                    <a16:creationId xmlns:a16="http://schemas.microsoft.com/office/drawing/2014/main" id="{8785047B-1C9F-8408-CB80-750E034AE565}"/>
                  </a:ext>
                </a:extLst>
              </xdr:cNvPr>
              <xdr:cNvGraphicFramePr/>
            </xdr:nvGraphicFramePr>
            <xdr:xfrm>
              <a:off x="186337" y="2890863"/>
              <a:ext cx="1837272" cy="1691610"/>
            </xdr:xfrm>
            <a:graphic>
              <a:graphicData uri="http://schemas.microsoft.com/office/drawing/2010/slicer">
                <sle:slicer xmlns:sle="http://schemas.microsoft.com/office/drawing/2010/slicer" name="REGIÃO 2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62537" y="2929455"/>
                <a:ext cx="1837272" cy="1750451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</xdr:grpSp>
    <xdr:clientData/>
  </xdr:twoCellAnchor>
  <xdr:twoCellAnchor>
    <xdr:from>
      <xdr:col>3</xdr:col>
      <xdr:colOff>495300</xdr:colOff>
      <xdr:row>0</xdr:row>
      <xdr:rowOff>91440</xdr:rowOff>
    </xdr:from>
    <xdr:to>
      <xdr:col>23</xdr:col>
      <xdr:colOff>361076</xdr:colOff>
      <xdr:row>6</xdr:row>
      <xdr:rowOff>172811</xdr:rowOff>
    </xdr:to>
    <xdr:grpSp>
      <xdr:nvGrpSpPr>
        <xdr:cNvPr id="40" name="Agrupar 39">
          <a:extLst>
            <a:ext uri="{FF2B5EF4-FFF2-40B4-BE49-F238E27FC236}">
              <a16:creationId xmlns:a16="http://schemas.microsoft.com/office/drawing/2014/main" id="{3EB353EF-12B6-4367-8A89-EF9F9FD63C21}"/>
            </a:ext>
          </a:extLst>
        </xdr:cNvPr>
        <xdr:cNvGrpSpPr/>
      </xdr:nvGrpSpPr>
      <xdr:grpSpPr>
        <a:xfrm>
          <a:off x="2324100" y="91440"/>
          <a:ext cx="12057776" cy="1178651"/>
          <a:chOff x="2234226" y="134471"/>
          <a:chExt cx="12057776" cy="1178651"/>
        </a:xfrm>
      </xdr:grpSpPr>
      <xdr:sp macro="" textlink="">
        <xdr:nvSpPr>
          <xdr:cNvPr id="41" name="Retângulo: Cantos Arredondados 40">
            <a:extLst>
              <a:ext uri="{FF2B5EF4-FFF2-40B4-BE49-F238E27FC236}">
                <a16:creationId xmlns:a16="http://schemas.microsoft.com/office/drawing/2014/main" id="{97D75308-2887-31A6-DB8D-AB696F9A9D28}"/>
              </a:ext>
            </a:extLst>
          </xdr:cNvPr>
          <xdr:cNvSpPr/>
        </xdr:nvSpPr>
        <xdr:spPr>
          <a:xfrm>
            <a:off x="2234226" y="198637"/>
            <a:ext cx="2297250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2" name="Retângulo: Cantos Arredondados 41">
            <a:extLst>
              <a:ext uri="{FF2B5EF4-FFF2-40B4-BE49-F238E27FC236}">
                <a16:creationId xmlns:a16="http://schemas.microsoft.com/office/drawing/2014/main" id="{A030461D-2DAB-DE11-3CC0-515E04CCA3CE}"/>
              </a:ext>
            </a:extLst>
          </xdr:cNvPr>
          <xdr:cNvSpPr/>
        </xdr:nvSpPr>
        <xdr:spPr>
          <a:xfrm>
            <a:off x="4672645" y="198637"/>
            <a:ext cx="2297250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3" name="Retângulo: Cantos Arredondados 42">
            <a:extLst>
              <a:ext uri="{FF2B5EF4-FFF2-40B4-BE49-F238E27FC236}">
                <a16:creationId xmlns:a16="http://schemas.microsoft.com/office/drawing/2014/main" id="{CF13D4C7-8747-8302-0919-FA2B57C67325}"/>
              </a:ext>
            </a:extLst>
          </xdr:cNvPr>
          <xdr:cNvSpPr/>
        </xdr:nvSpPr>
        <xdr:spPr>
          <a:xfrm>
            <a:off x="7111064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4" name="Retângulo: Cantos Arredondados 43">
            <a:extLst>
              <a:ext uri="{FF2B5EF4-FFF2-40B4-BE49-F238E27FC236}">
                <a16:creationId xmlns:a16="http://schemas.microsoft.com/office/drawing/2014/main" id="{01EC822D-134C-D20B-C520-02597EDB8583}"/>
              </a:ext>
            </a:extLst>
          </xdr:cNvPr>
          <xdr:cNvSpPr/>
        </xdr:nvSpPr>
        <xdr:spPr>
          <a:xfrm>
            <a:off x="11992468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45" name="Gráfico 44" descr="Grupo de homens com preenchimento sólido">
            <a:extLst>
              <a:ext uri="{FF2B5EF4-FFF2-40B4-BE49-F238E27FC236}">
                <a16:creationId xmlns:a16="http://schemas.microsoft.com/office/drawing/2014/main" id="{882D2449-6917-DA92-FB9A-D0265372A6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2121995" y="385482"/>
            <a:ext cx="630909" cy="634253"/>
          </a:xfrm>
          <a:prstGeom prst="rect">
            <a:avLst/>
          </a:prstGeom>
        </xdr:spPr>
      </xdr:pic>
      <xdr:sp macro="" textlink="">
        <xdr:nvSpPr>
          <xdr:cNvPr id="46" name="CaixaDeTexto 45">
            <a:extLst>
              <a:ext uri="{FF2B5EF4-FFF2-40B4-BE49-F238E27FC236}">
                <a16:creationId xmlns:a16="http://schemas.microsoft.com/office/drawing/2014/main" id="{03DC3F8E-7148-6169-65C0-1E3D8B0CED6D}"/>
              </a:ext>
            </a:extLst>
          </xdr:cNvPr>
          <xdr:cNvSpPr txBox="1"/>
        </xdr:nvSpPr>
        <xdr:spPr>
          <a:xfrm>
            <a:off x="12681248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Clientes</a:t>
            </a:r>
          </a:p>
        </xdr:txBody>
      </xdr:sp>
      <xdr:sp macro="" textlink="'Tabela Dinânima'!O45">
        <xdr:nvSpPr>
          <xdr:cNvPr id="47" name="CaixaDeTexto 46">
            <a:extLst>
              <a:ext uri="{FF2B5EF4-FFF2-40B4-BE49-F238E27FC236}">
                <a16:creationId xmlns:a16="http://schemas.microsoft.com/office/drawing/2014/main" id="{44453228-FA2E-C9A5-E8AC-BCD8BC99EF2C}"/>
              </a:ext>
            </a:extLst>
          </xdr:cNvPr>
          <xdr:cNvSpPr txBox="1"/>
        </xdr:nvSpPr>
        <xdr:spPr>
          <a:xfrm>
            <a:off x="12699178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4D3E5B7-4116-4F8E-B180-323A66DBD376}" type="TxLink">
              <a:rPr lang="en-US" sz="3200" b="1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251</a:t>
            </a:fld>
            <a:endParaRPr lang="pt-BR" sz="54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">
        <xdr:nvSpPr>
          <xdr:cNvPr id="48" name="Retângulo: Cantos Arredondados 47">
            <a:extLst>
              <a:ext uri="{FF2B5EF4-FFF2-40B4-BE49-F238E27FC236}">
                <a16:creationId xmlns:a16="http://schemas.microsoft.com/office/drawing/2014/main" id="{AB6888FA-EB2E-0E3D-BEDA-83B72BDDE52E}"/>
              </a:ext>
            </a:extLst>
          </xdr:cNvPr>
          <xdr:cNvSpPr/>
        </xdr:nvSpPr>
        <xdr:spPr>
          <a:xfrm>
            <a:off x="9551766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9" name="CaixaDeTexto 48">
            <a:extLst>
              <a:ext uri="{FF2B5EF4-FFF2-40B4-BE49-F238E27FC236}">
                <a16:creationId xmlns:a16="http://schemas.microsoft.com/office/drawing/2014/main" id="{A30AA66F-903D-58A7-30E7-4B7DA15F311C}"/>
              </a:ext>
            </a:extLst>
          </xdr:cNvPr>
          <xdr:cNvSpPr txBox="1"/>
        </xdr:nvSpPr>
        <xdr:spPr>
          <a:xfrm>
            <a:off x="2843826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Carro</a:t>
            </a:r>
          </a:p>
        </xdr:txBody>
      </xdr:sp>
      <xdr:sp macro="" textlink="">
        <xdr:nvSpPr>
          <xdr:cNvPr id="50" name="CaixaDeTexto 49">
            <a:extLst>
              <a:ext uri="{FF2B5EF4-FFF2-40B4-BE49-F238E27FC236}">
                <a16:creationId xmlns:a16="http://schemas.microsoft.com/office/drawing/2014/main" id="{01167FD0-9AFB-989A-BEAE-C0ABE4819D54}"/>
              </a:ext>
            </a:extLst>
          </xdr:cNvPr>
          <xdr:cNvSpPr txBox="1"/>
        </xdr:nvSpPr>
        <xdr:spPr>
          <a:xfrm>
            <a:off x="5479450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Caminhão</a:t>
            </a:r>
          </a:p>
        </xdr:txBody>
      </xdr:sp>
      <xdr:sp macro="" textlink="">
        <xdr:nvSpPr>
          <xdr:cNvPr id="51" name="CaixaDeTexto 50">
            <a:extLst>
              <a:ext uri="{FF2B5EF4-FFF2-40B4-BE49-F238E27FC236}">
                <a16:creationId xmlns:a16="http://schemas.microsoft.com/office/drawing/2014/main" id="{0F9840C8-8069-D7C1-2EC6-966F196BE571}"/>
              </a:ext>
            </a:extLst>
          </xdr:cNvPr>
          <xdr:cNvSpPr txBox="1"/>
        </xdr:nvSpPr>
        <xdr:spPr>
          <a:xfrm>
            <a:off x="7801307" y="308561"/>
            <a:ext cx="1539915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Motocicleta</a:t>
            </a:r>
          </a:p>
        </xdr:txBody>
      </xdr:sp>
      <xdr:sp macro="" textlink="">
        <xdr:nvSpPr>
          <xdr:cNvPr id="52" name="CaixaDeTexto 51">
            <a:extLst>
              <a:ext uri="{FF2B5EF4-FFF2-40B4-BE49-F238E27FC236}">
                <a16:creationId xmlns:a16="http://schemas.microsoft.com/office/drawing/2014/main" id="{773E7126-5081-E560-CA86-B2E7DD02E2D6}"/>
              </a:ext>
            </a:extLst>
          </xdr:cNvPr>
          <xdr:cNvSpPr txBox="1"/>
        </xdr:nvSpPr>
        <xdr:spPr>
          <a:xfrm>
            <a:off x="10096273" y="134471"/>
            <a:ext cx="1871609" cy="69028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8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Trasp. </a:t>
            </a:r>
          </a:p>
          <a:p>
            <a:pPr algn="ctr"/>
            <a:r>
              <a:rPr lang="pt-BR" sz="18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Público</a:t>
            </a:r>
          </a:p>
        </xdr:txBody>
      </xdr:sp>
      <xdr:sp macro="" textlink="'Tabela Dinânima'!G14">
        <xdr:nvSpPr>
          <xdr:cNvPr id="53" name="CaixaDeTexto 52">
            <a:extLst>
              <a:ext uri="{FF2B5EF4-FFF2-40B4-BE49-F238E27FC236}">
                <a16:creationId xmlns:a16="http://schemas.microsoft.com/office/drawing/2014/main" id="{E2841CDE-152F-36A7-D1DB-C157C31CA210}"/>
              </a:ext>
            </a:extLst>
          </xdr:cNvPr>
          <xdr:cNvSpPr txBox="1"/>
        </xdr:nvSpPr>
        <xdr:spPr>
          <a:xfrm>
            <a:off x="2879685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B25971CF-0F34-4386-BC8D-437C8E36BAA5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81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3">
        <xdr:nvSpPr>
          <xdr:cNvPr id="54" name="CaixaDeTexto 53">
            <a:extLst>
              <a:ext uri="{FF2B5EF4-FFF2-40B4-BE49-F238E27FC236}">
                <a16:creationId xmlns:a16="http://schemas.microsoft.com/office/drawing/2014/main" id="{0064D886-396F-3224-FC83-F7C9AC4A1FA9}"/>
              </a:ext>
            </a:extLst>
          </xdr:cNvPr>
          <xdr:cNvSpPr txBox="1"/>
        </xdr:nvSpPr>
        <xdr:spPr>
          <a:xfrm>
            <a:off x="5470486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CDC294E-C807-40D7-8D0C-5BE81C2174C7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65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5">
        <xdr:nvSpPr>
          <xdr:cNvPr id="55" name="CaixaDeTexto 54">
            <a:extLst>
              <a:ext uri="{FF2B5EF4-FFF2-40B4-BE49-F238E27FC236}">
                <a16:creationId xmlns:a16="http://schemas.microsoft.com/office/drawing/2014/main" id="{5F826141-7022-5FE5-C3E6-F61FA1E72624}"/>
              </a:ext>
            </a:extLst>
          </xdr:cNvPr>
          <xdr:cNvSpPr txBox="1"/>
        </xdr:nvSpPr>
        <xdr:spPr>
          <a:xfrm>
            <a:off x="7837168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05D89E4-5FF7-49E1-A061-58D5C442DF39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42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6">
        <xdr:nvSpPr>
          <xdr:cNvPr id="56" name="CaixaDeTexto 55">
            <a:extLst>
              <a:ext uri="{FF2B5EF4-FFF2-40B4-BE49-F238E27FC236}">
                <a16:creationId xmlns:a16="http://schemas.microsoft.com/office/drawing/2014/main" id="{4D6423F1-9479-E427-6BBC-6F0CE1A7EB04}"/>
              </a:ext>
            </a:extLst>
          </xdr:cNvPr>
          <xdr:cNvSpPr txBox="1"/>
        </xdr:nvSpPr>
        <xdr:spPr>
          <a:xfrm>
            <a:off x="10302464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CB44AC8-8AB1-490B-8950-9A5EC1AFFA84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63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pic>
        <xdr:nvPicPr>
          <xdr:cNvPr id="57" name="Gráfico 56" descr="Carro com preenchimento sólido">
            <a:extLst>
              <a:ext uri="{FF2B5EF4-FFF2-40B4-BE49-F238E27FC236}">
                <a16:creationId xmlns:a16="http://schemas.microsoft.com/office/drawing/2014/main" id="{C927E322-605D-CF8A-9177-6C172FCAC1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2357718" y="358588"/>
            <a:ext cx="806823" cy="806823"/>
          </a:xfrm>
          <a:prstGeom prst="rect">
            <a:avLst/>
          </a:prstGeom>
        </xdr:spPr>
      </xdr:pic>
      <xdr:pic>
        <xdr:nvPicPr>
          <xdr:cNvPr id="58" name="Gráfico 57" descr="Caminhão com preenchimento sólido">
            <a:extLst>
              <a:ext uri="{FF2B5EF4-FFF2-40B4-BE49-F238E27FC236}">
                <a16:creationId xmlns:a16="http://schemas.microsoft.com/office/drawing/2014/main" id="{5EC4F97B-D64F-70A4-25A6-8AB9BD2087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4778188" y="295835"/>
            <a:ext cx="914400" cy="914400"/>
          </a:xfrm>
          <a:prstGeom prst="rect">
            <a:avLst/>
          </a:prstGeom>
        </xdr:spPr>
      </xdr:pic>
      <xdr:pic>
        <xdr:nvPicPr>
          <xdr:cNvPr id="59" name="Gráfico 58" descr="Motocicleta com preenchimento sólido">
            <a:extLst>
              <a:ext uri="{FF2B5EF4-FFF2-40B4-BE49-F238E27FC236}">
                <a16:creationId xmlns:a16="http://schemas.microsoft.com/office/drawing/2014/main" id="{35A5973D-F9F3-F88C-0626-D61D844C4D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7135906" y="313764"/>
            <a:ext cx="815787" cy="815787"/>
          </a:xfrm>
          <a:prstGeom prst="rect">
            <a:avLst/>
          </a:prstGeom>
        </xdr:spPr>
      </xdr:pic>
      <xdr:pic>
        <xdr:nvPicPr>
          <xdr:cNvPr id="60" name="Gráfico 59" descr="Ônibus com preenchimento sólido">
            <a:extLst>
              <a:ext uri="{FF2B5EF4-FFF2-40B4-BE49-F238E27FC236}">
                <a16:creationId xmlns:a16="http://schemas.microsoft.com/office/drawing/2014/main" id="{F42ABD71-8758-12FC-3CA1-C7C7B5244B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3"/>
              </a:ext>
            </a:extLst>
          </a:blip>
          <a:stretch>
            <a:fillRect/>
          </a:stretch>
        </xdr:blipFill>
        <xdr:spPr>
          <a:xfrm>
            <a:off x="9672918" y="322729"/>
            <a:ext cx="851648" cy="851648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513095</xdr:colOff>
      <xdr:row>7</xdr:row>
      <xdr:rowOff>84909</xdr:rowOff>
    </xdr:from>
    <xdr:to>
      <xdr:col>14</xdr:col>
      <xdr:colOff>134471</xdr:colOff>
      <xdr:row>39</xdr:row>
      <xdr:rowOff>125506</xdr:rowOff>
    </xdr:to>
    <xdr:sp macro="" textlink="">
      <xdr:nvSpPr>
        <xdr:cNvPr id="61" name="Retângulo: Cantos Arredondados 60">
          <a:extLst>
            <a:ext uri="{FF2B5EF4-FFF2-40B4-BE49-F238E27FC236}">
              <a16:creationId xmlns:a16="http://schemas.microsoft.com/office/drawing/2014/main" id="{11AF7C56-A38B-45F1-A893-0418A81D4A54}"/>
            </a:ext>
          </a:extLst>
        </xdr:cNvPr>
        <xdr:cNvSpPr/>
      </xdr:nvSpPr>
      <xdr:spPr>
        <a:xfrm>
          <a:off x="2341895" y="1339968"/>
          <a:ext cx="6326976" cy="5786973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534377</xdr:colOff>
      <xdr:row>7</xdr:row>
      <xdr:rowOff>92928</xdr:rowOff>
    </xdr:from>
    <xdr:to>
      <xdr:col>14</xdr:col>
      <xdr:colOff>116540</xdr:colOff>
      <xdr:row>8</xdr:row>
      <xdr:rowOff>179293</xdr:rowOff>
    </xdr:to>
    <xdr:sp macro="" textlink="">
      <xdr:nvSpPr>
        <xdr:cNvPr id="62" name="Retângulo: Cantos Arredondados 61">
          <a:extLst>
            <a:ext uri="{FF2B5EF4-FFF2-40B4-BE49-F238E27FC236}">
              <a16:creationId xmlns:a16="http://schemas.microsoft.com/office/drawing/2014/main" id="{16CC64A3-9F41-49E7-9AC1-F65569E293C1}"/>
            </a:ext>
          </a:extLst>
        </xdr:cNvPr>
        <xdr:cNvSpPr/>
      </xdr:nvSpPr>
      <xdr:spPr>
        <a:xfrm>
          <a:off x="2363177" y="1347987"/>
          <a:ext cx="6287763" cy="265659"/>
        </a:xfrm>
        <a:prstGeom prst="roundRect">
          <a:avLst>
            <a:gd name="adj" fmla="val 41771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536665</xdr:colOff>
      <xdr:row>7</xdr:row>
      <xdr:rowOff>123760</xdr:rowOff>
    </xdr:from>
    <xdr:to>
      <xdr:col>7</xdr:col>
      <xdr:colOff>118570</xdr:colOff>
      <xdr:row>8</xdr:row>
      <xdr:rowOff>130568</xdr:rowOff>
    </xdr:to>
    <xdr:sp macro="" textlink="">
      <xdr:nvSpPr>
        <xdr:cNvPr id="63" name="CaixaDeTexto 62">
          <a:extLst>
            <a:ext uri="{FF2B5EF4-FFF2-40B4-BE49-F238E27FC236}">
              <a16:creationId xmlns:a16="http://schemas.microsoft.com/office/drawing/2014/main" id="{8AFFA12F-F1EF-4AC6-AC94-6F26E290DCDB}"/>
            </a:ext>
          </a:extLst>
        </xdr:cNvPr>
        <xdr:cNvSpPr txBox="1"/>
      </xdr:nvSpPr>
      <xdr:spPr>
        <a:xfrm>
          <a:off x="2365465" y="1403920"/>
          <a:ext cx="2020305" cy="1896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Abastecimento </a:t>
          </a:r>
          <a:r>
            <a:rPr lang="pt-BR" sz="1400" b="0" i="0">
              <a:solidFill>
                <a:srgbClr val="FF6900"/>
              </a:solidFill>
              <a:latin typeface="Sassoon Sans Slope Std Medium" panose="020B07030201030A0203" pitchFamily="34" charset="0"/>
            </a:rPr>
            <a:t>Semanal</a:t>
          </a:r>
        </a:p>
      </xdr:txBody>
    </xdr:sp>
    <xdr:clientData/>
  </xdr:twoCellAnchor>
  <xdr:twoCellAnchor>
    <xdr:from>
      <xdr:col>3</xdr:col>
      <xdr:colOff>505475</xdr:colOff>
      <xdr:row>8</xdr:row>
      <xdr:rowOff>46809</xdr:rowOff>
    </xdr:from>
    <xdr:to>
      <xdr:col>14</xdr:col>
      <xdr:colOff>143435</xdr:colOff>
      <xdr:row>39</xdr:row>
      <xdr:rowOff>161365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DDB0AE51-D0AA-4EA8-9B94-7B62C39337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245499</xdr:colOff>
      <xdr:row>7</xdr:row>
      <xdr:rowOff>102176</xdr:rowOff>
    </xdr:from>
    <xdr:to>
      <xdr:col>23</xdr:col>
      <xdr:colOff>320040</xdr:colOff>
      <xdr:row>24</xdr:row>
      <xdr:rowOff>7269</xdr:rowOff>
    </xdr:to>
    <xdr:sp macro="" textlink="">
      <xdr:nvSpPr>
        <xdr:cNvPr id="65" name="Retângulo: Cantos Arredondados 64">
          <a:extLst>
            <a:ext uri="{FF2B5EF4-FFF2-40B4-BE49-F238E27FC236}">
              <a16:creationId xmlns:a16="http://schemas.microsoft.com/office/drawing/2014/main" id="{9A72C115-6416-4A0E-AE14-65179487F756}"/>
            </a:ext>
          </a:extLst>
        </xdr:cNvPr>
        <xdr:cNvSpPr/>
      </xdr:nvSpPr>
      <xdr:spPr>
        <a:xfrm>
          <a:off x="8779899" y="1382336"/>
          <a:ext cx="5560941" cy="3014053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240743</xdr:colOff>
      <xdr:row>7</xdr:row>
      <xdr:rowOff>102168</xdr:rowOff>
    </xdr:from>
    <xdr:to>
      <xdr:col>23</xdr:col>
      <xdr:colOff>266700</xdr:colOff>
      <xdr:row>23</xdr:row>
      <xdr:rowOff>152400</xdr:rowOff>
    </xdr:to>
    <xdr:graphicFrame macro="">
      <xdr:nvGraphicFramePr>
        <xdr:cNvPr id="66" name="Gráfico 65">
          <a:extLst>
            <a:ext uri="{FF2B5EF4-FFF2-40B4-BE49-F238E27FC236}">
              <a16:creationId xmlns:a16="http://schemas.microsoft.com/office/drawing/2014/main" id="{A9F346AE-17CE-F56D-9040-A21E1F1C6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</xdr:col>
      <xdr:colOff>226224</xdr:colOff>
      <xdr:row>24</xdr:row>
      <xdr:rowOff>88882</xdr:rowOff>
    </xdr:from>
    <xdr:to>
      <xdr:col>23</xdr:col>
      <xdr:colOff>327660</xdr:colOff>
      <xdr:row>39</xdr:row>
      <xdr:rowOff>152400</xdr:rowOff>
    </xdr:to>
    <xdr:sp macro="" textlink="">
      <xdr:nvSpPr>
        <xdr:cNvPr id="68" name="Retângulo: Cantos Arredondados 67">
          <a:extLst>
            <a:ext uri="{FF2B5EF4-FFF2-40B4-BE49-F238E27FC236}">
              <a16:creationId xmlns:a16="http://schemas.microsoft.com/office/drawing/2014/main" id="{10016115-2990-4942-864D-1D4C3878A554}"/>
            </a:ext>
          </a:extLst>
        </xdr:cNvPr>
        <xdr:cNvSpPr/>
      </xdr:nvSpPr>
      <xdr:spPr>
        <a:xfrm>
          <a:off x="8760624" y="4478002"/>
          <a:ext cx="5587836" cy="2814338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247506</xdr:colOff>
      <xdr:row>24</xdr:row>
      <xdr:rowOff>96902</xdr:rowOff>
    </xdr:from>
    <xdr:to>
      <xdr:col>23</xdr:col>
      <xdr:colOff>265359</xdr:colOff>
      <xdr:row>25</xdr:row>
      <xdr:rowOff>133838</xdr:rowOff>
    </xdr:to>
    <xdr:sp macro="" textlink="">
      <xdr:nvSpPr>
        <xdr:cNvPr id="69" name="Retângulo: Cantos Arredondados 68">
          <a:extLst>
            <a:ext uri="{FF2B5EF4-FFF2-40B4-BE49-F238E27FC236}">
              <a16:creationId xmlns:a16="http://schemas.microsoft.com/office/drawing/2014/main" id="{8EE340DD-560D-43E2-8A50-EDEE2ABD7866}"/>
            </a:ext>
          </a:extLst>
        </xdr:cNvPr>
        <xdr:cNvSpPr/>
      </xdr:nvSpPr>
      <xdr:spPr>
        <a:xfrm>
          <a:off x="8781906" y="4399961"/>
          <a:ext cx="5504253" cy="216230"/>
        </a:xfrm>
        <a:prstGeom prst="roundRect">
          <a:avLst>
            <a:gd name="adj" fmla="val 24899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226223</xdr:colOff>
      <xdr:row>25</xdr:row>
      <xdr:rowOff>107575</xdr:rowOff>
    </xdr:from>
    <xdr:to>
      <xdr:col>23</xdr:col>
      <xdr:colOff>295834</xdr:colOff>
      <xdr:row>39</xdr:row>
      <xdr:rowOff>161364</xdr:rowOff>
    </xdr:to>
    <xdr:graphicFrame macro="">
      <xdr:nvGraphicFramePr>
        <xdr:cNvPr id="72" name="Gráfico 71">
          <a:extLst>
            <a:ext uri="{FF2B5EF4-FFF2-40B4-BE49-F238E27FC236}">
              <a16:creationId xmlns:a16="http://schemas.microsoft.com/office/drawing/2014/main" id="{A559FB9A-E34C-4112-9DFD-265F7DF6FD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255126</xdr:colOff>
      <xdr:row>24</xdr:row>
      <xdr:rowOff>117521</xdr:rowOff>
    </xdr:from>
    <xdr:to>
      <xdr:col>21</xdr:col>
      <xdr:colOff>363964</xdr:colOff>
      <xdr:row>25</xdr:row>
      <xdr:rowOff>107436</xdr:rowOff>
    </xdr:to>
    <xdr:sp macro="" textlink="">
      <xdr:nvSpPr>
        <xdr:cNvPr id="73" name="CaixaDeTexto 62">
          <a:extLst>
            <a:ext uri="{FF2B5EF4-FFF2-40B4-BE49-F238E27FC236}">
              <a16:creationId xmlns:a16="http://schemas.microsoft.com/office/drawing/2014/main" id="{A396B5E9-961A-50DE-D78C-49C649074E2D}"/>
            </a:ext>
          </a:extLst>
        </xdr:cNvPr>
        <xdr:cNvSpPr txBox="1"/>
      </xdr:nvSpPr>
      <xdr:spPr>
        <a:xfrm>
          <a:off x="8789526" y="4506641"/>
          <a:ext cx="4376038" cy="1727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Gasto Variádo por Veículo</a:t>
          </a:r>
          <a:endParaRPr lang="pt-BR" sz="1400" b="0" i="0">
            <a:solidFill>
              <a:srgbClr val="FF6900"/>
            </a:solidFill>
            <a:latin typeface="Sassoon Sans Slope Std Medium" panose="020B07030201030A0203" pitchFamily="34" charset="0"/>
          </a:endParaRP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0.00713</cdr:x>
      <cdr:y>0.00934</cdr:y>
    </cdr:from>
    <cdr:to>
      <cdr:x>0.99624</cdr:x>
      <cdr:y>0.08728</cdr:y>
    </cdr:to>
    <cdr:sp macro="" textlink="">
      <cdr:nvSpPr>
        <cdr:cNvPr id="2" name="Retângulo: Cantos Arredondados 1">
          <a:extLst xmlns:a="http://schemas.openxmlformats.org/drawingml/2006/main">
            <a:ext uri="{FF2B5EF4-FFF2-40B4-BE49-F238E27FC236}">
              <a16:creationId xmlns:a16="http://schemas.microsoft.com/office/drawing/2014/main" id="{16CC64A3-9F41-49E7-9AC1-F65569E293C1}"/>
            </a:ext>
          </a:extLst>
        </cdr:cNvPr>
        <cdr:cNvSpPr/>
      </cdr:nvSpPr>
      <cdr:spPr>
        <a:xfrm xmlns:a="http://schemas.openxmlformats.org/drawingml/2006/main">
          <a:off x="28902" y="28316"/>
          <a:ext cx="4009698" cy="236247"/>
        </a:xfrm>
        <a:prstGeom xmlns:a="http://schemas.openxmlformats.org/drawingml/2006/main" prst="roundRect">
          <a:avLst>
            <a:gd name="adj" fmla="val 24899"/>
          </a:avLst>
        </a:prstGeom>
        <a:solidFill xmlns:a="http://schemas.openxmlformats.org/drawingml/2006/main">
          <a:srgbClr val="0043B9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pt-BR" sz="1100"/>
        </a:p>
      </cdr:txBody>
    </cdr:sp>
  </cdr:relSizeAnchor>
  <cdr:relSizeAnchor xmlns:cdr="http://schemas.openxmlformats.org/drawingml/2006/chartDrawing">
    <cdr:from>
      <cdr:x>0.01253</cdr:x>
      <cdr:y>0.0222</cdr:y>
    </cdr:from>
    <cdr:to>
      <cdr:x>0.80639</cdr:x>
      <cdr:y>0.08025</cdr:y>
    </cdr:to>
    <cdr:sp macro="" textlink="">
      <cdr:nvSpPr>
        <cdr:cNvPr id="3" name="CaixaDeTexto 62">
          <a:extLst xmlns:a="http://schemas.openxmlformats.org/drawingml/2006/main">
            <a:ext uri="{FF2B5EF4-FFF2-40B4-BE49-F238E27FC236}">
              <a16:creationId xmlns:a16="http://schemas.microsoft.com/office/drawing/2014/main" id="{8AFFA12F-F1EF-4AC6-AC94-6F26E290DCDB}"/>
            </a:ext>
          </a:extLst>
        </cdr:cNvPr>
        <cdr:cNvSpPr txBox="1"/>
      </cdr:nvSpPr>
      <cdr:spPr>
        <a:xfrm xmlns:a="http://schemas.openxmlformats.org/drawingml/2006/main">
          <a:off x="50800" y="66391"/>
          <a:ext cx="3218180" cy="17363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Porcentagem</a:t>
          </a:r>
          <a:r>
            <a:rPr lang="pt-BR" sz="1400" b="0" i="0" baseline="0">
              <a:solidFill>
                <a:schemeClr val="bg1"/>
              </a:solidFill>
              <a:latin typeface="Sassoon Sans Slope Std Medium" panose="020B07030201030A0203" pitchFamily="34" charset="0"/>
            </a:rPr>
            <a:t> de Clientes por Posto</a:t>
          </a:r>
          <a:endParaRPr lang="pt-BR" sz="1400" b="0" i="0">
            <a:solidFill>
              <a:srgbClr val="FF6900"/>
            </a:solidFill>
            <a:latin typeface="Sassoon Sans Slope Std Medium" panose="020B07030201030A0203" pitchFamily="34" charset="0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457200</xdr:colOff>
      <xdr:row>39</xdr:row>
      <xdr:rowOff>141515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8C1BB8FF-C8B3-1125-0084-2FAA9E76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78000" cy="7369629"/>
        </a:xfrm>
        <a:prstGeom prst="rect">
          <a:avLst/>
        </a:prstGeom>
      </xdr:spPr>
    </xdr:pic>
    <xdr:clientData/>
  </xdr:twoCellAnchor>
  <xdr:twoCellAnchor>
    <xdr:from>
      <xdr:col>0</xdr:col>
      <xdr:colOff>65314</xdr:colOff>
      <xdr:row>0</xdr:row>
      <xdr:rowOff>76200</xdr:rowOff>
    </xdr:from>
    <xdr:to>
      <xdr:col>23</xdr:col>
      <xdr:colOff>390285</xdr:colOff>
      <xdr:row>39</xdr:row>
      <xdr:rowOff>81259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id="{DEA413A1-21E6-4B27-BCE3-E574D65176DE}"/>
            </a:ext>
          </a:extLst>
        </xdr:cNvPr>
        <xdr:cNvSpPr/>
      </xdr:nvSpPr>
      <xdr:spPr>
        <a:xfrm>
          <a:off x="65314" y="76200"/>
          <a:ext cx="14345771" cy="7233173"/>
        </a:xfrm>
        <a:prstGeom prst="roundRect">
          <a:avLst>
            <a:gd name="adj" fmla="val 2441"/>
          </a:avLst>
        </a:prstGeom>
        <a:solidFill>
          <a:srgbClr val="FFB300">
            <a:alpha val="27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65314</xdr:colOff>
      <xdr:row>0</xdr:row>
      <xdr:rowOff>76200</xdr:rowOff>
    </xdr:from>
    <xdr:to>
      <xdr:col>3</xdr:col>
      <xdr:colOff>328636</xdr:colOff>
      <xdr:row>39</xdr:row>
      <xdr:rowOff>79466</xdr:rowOff>
    </xdr:to>
    <xdr:grpSp>
      <xdr:nvGrpSpPr>
        <xdr:cNvPr id="34" name="Agrupar 33">
          <a:extLst>
            <a:ext uri="{FF2B5EF4-FFF2-40B4-BE49-F238E27FC236}">
              <a16:creationId xmlns:a16="http://schemas.microsoft.com/office/drawing/2014/main" id="{A09621B9-426F-43EB-994A-346B5A5A346C}"/>
            </a:ext>
          </a:extLst>
        </xdr:cNvPr>
        <xdr:cNvGrpSpPr/>
      </xdr:nvGrpSpPr>
      <xdr:grpSpPr>
        <a:xfrm>
          <a:off x="65314" y="76200"/>
          <a:ext cx="2092122" cy="7231380"/>
          <a:chOff x="76200" y="91440"/>
          <a:chExt cx="2092122" cy="7089289"/>
        </a:xfrm>
      </xdr:grpSpPr>
      <xdr:sp macro="" textlink="">
        <xdr:nvSpPr>
          <xdr:cNvPr id="35" name="Retângulo: Cantos Arredondados 34">
            <a:extLst>
              <a:ext uri="{FF2B5EF4-FFF2-40B4-BE49-F238E27FC236}">
                <a16:creationId xmlns:a16="http://schemas.microsoft.com/office/drawing/2014/main" id="{CBAC7476-012F-54B8-96EE-DCD59C89CC54}"/>
              </a:ext>
            </a:extLst>
          </xdr:cNvPr>
          <xdr:cNvSpPr/>
        </xdr:nvSpPr>
        <xdr:spPr>
          <a:xfrm>
            <a:off x="76200" y="179295"/>
            <a:ext cx="2072640" cy="6989780"/>
          </a:xfrm>
          <a:prstGeom prst="roundRect">
            <a:avLst>
              <a:gd name="adj" fmla="val 7108"/>
            </a:avLst>
          </a:prstGeom>
          <a:gradFill>
            <a:gsLst>
              <a:gs pos="0">
                <a:srgbClr val="FECC0C">
                  <a:alpha val="85000"/>
                </a:srgbClr>
              </a:gs>
              <a:gs pos="60000">
                <a:srgbClr val="8E8152">
                  <a:alpha val="85000"/>
                </a:srgbClr>
              </a:gs>
              <a:gs pos="30000">
                <a:srgbClr val="FFB300">
                  <a:alpha val="85000"/>
                </a:srgbClr>
              </a:gs>
              <a:gs pos="100000">
                <a:srgbClr val="0043B9">
                  <a:alpha val="85000"/>
                </a:srgbClr>
              </a:gs>
            </a:gsLst>
            <a:lin ang="9600000" scaled="0"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36" name="Imagem 35">
            <a:extLst>
              <a:ext uri="{FF2B5EF4-FFF2-40B4-BE49-F238E27FC236}">
                <a16:creationId xmlns:a16="http://schemas.microsoft.com/office/drawing/2014/main" id="{17A37B85-E667-4D27-88D6-FB5223E532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1920" y="91440"/>
            <a:ext cx="1983649" cy="1014805"/>
          </a:xfrm>
          <a:prstGeom prst="rect">
            <a:avLst/>
          </a:prstGeom>
        </xdr:spPr>
      </xdr:pic>
      <xdr:pic>
        <xdr:nvPicPr>
          <xdr:cNvPr id="37" name="Imagem 36">
            <a:extLst>
              <a:ext uri="{FF2B5EF4-FFF2-40B4-BE49-F238E27FC236}">
                <a16:creationId xmlns:a16="http://schemas.microsoft.com/office/drawing/2014/main" id="{9A03E8F6-3205-FD0B-7D2C-F8CDA141C4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82" y="5080897"/>
            <a:ext cx="2076740" cy="2099832"/>
          </a:xfrm>
          <a:prstGeom prst="rect">
            <a:avLst/>
          </a:prstGeom>
        </xdr:spPr>
      </xdr:pic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38" name="GÊNERO 3">
                <a:extLst>
                  <a:ext uri="{FF2B5EF4-FFF2-40B4-BE49-F238E27FC236}">
                    <a16:creationId xmlns:a16="http://schemas.microsoft.com/office/drawing/2014/main" id="{63BEC031-B9ED-A733-8FF5-0D85016016F9}"/>
                  </a:ext>
                </a:extLst>
              </xdr:cNvPr>
              <xdr:cNvGraphicFramePr/>
            </xdr:nvGraphicFramePr>
            <xdr:xfrm>
              <a:off x="202347" y="1507791"/>
              <a:ext cx="1831750" cy="1145762"/>
            </xdr:xfrm>
            <a:graphic>
              <a:graphicData uri="http://schemas.microsoft.com/office/drawing/2010/slicer">
                <sle:slicer xmlns:sle="http://schemas.microsoft.com/office/drawing/2010/slicer" name="GÊNERO 3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91461" y="1520939"/>
                <a:ext cx="1831750" cy="1168727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39" name="REGIÃO 3">
                <a:extLst>
                  <a:ext uri="{FF2B5EF4-FFF2-40B4-BE49-F238E27FC236}">
                    <a16:creationId xmlns:a16="http://schemas.microsoft.com/office/drawing/2014/main" id="{B712E2D4-8C35-DFC1-5C64-A5CA2E379797}"/>
                  </a:ext>
                </a:extLst>
              </xdr:cNvPr>
              <xdr:cNvGraphicFramePr/>
            </xdr:nvGraphicFramePr>
            <xdr:xfrm>
              <a:off x="186337" y="2890863"/>
              <a:ext cx="1837272" cy="1654243"/>
            </xdr:xfrm>
            <a:graphic>
              <a:graphicData uri="http://schemas.microsoft.com/office/drawing/2010/slicer">
                <sle:slicer xmlns:sle="http://schemas.microsoft.com/office/drawing/2010/slicer" name="REGIÃO 3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75451" y="2931732"/>
                <a:ext cx="1837272" cy="1687399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</xdr:grpSp>
    <xdr:clientData/>
  </xdr:twoCellAnchor>
  <xdr:twoCellAnchor>
    <xdr:from>
      <xdr:col>3</xdr:col>
      <xdr:colOff>394540</xdr:colOff>
      <xdr:row>0</xdr:row>
      <xdr:rowOff>119231</xdr:rowOff>
    </xdr:from>
    <xdr:to>
      <xdr:col>23</xdr:col>
      <xdr:colOff>260316</xdr:colOff>
      <xdr:row>7</xdr:row>
      <xdr:rowOff>27583</xdr:rowOff>
    </xdr:to>
    <xdr:grpSp>
      <xdr:nvGrpSpPr>
        <xdr:cNvPr id="40" name="Agrupar 39">
          <a:extLst>
            <a:ext uri="{FF2B5EF4-FFF2-40B4-BE49-F238E27FC236}">
              <a16:creationId xmlns:a16="http://schemas.microsoft.com/office/drawing/2014/main" id="{6EE546D6-452B-46C9-B894-4F1DE9131BDF}"/>
            </a:ext>
          </a:extLst>
        </xdr:cNvPr>
        <xdr:cNvGrpSpPr/>
      </xdr:nvGrpSpPr>
      <xdr:grpSpPr>
        <a:xfrm>
          <a:off x="2223340" y="119231"/>
          <a:ext cx="12057776" cy="1203752"/>
          <a:chOff x="2234226" y="134471"/>
          <a:chExt cx="12057776" cy="1178651"/>
        </a:xfrm>
      </xdr:grpSpPr>
      <xdr:sp macro="" textlink="">
        <xdr:nvSpPr>
          <xdr:cNvPr id="41" name="Retângulo: Cantos Arredondados 40">
            <a:extLst>
              <a:ext uri="{FF2B5EF4-FFF2-40B4-BE49-F238E27FC236}">
                <a16:creationId xmlns:a16="http://schemas.microsoft.com/office/drawing/2014/main" id="{59761754-AA9E-3924-613F-795801489907}"/>
              </a:ext>
            </a:extLst>
          </xdr:cNvPr>
          <xdr:cNvSpPr/>
        </xdr:nvSpPr>
        <xdr:spPr>
          <a:xfrm>
            <a:off x="2234226" y="198637"/>
            <a:ext cx="2297250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2" name="Retângulo: Cantos Arredondados 41">
            <a:extLst>
              <a:ext uri="{FF2B5EF4-FFF2-40B4-BE49-F238E27FC236}">
                <a16:creationId xmlns:a16="http://schemas.microsoft.com/office/drawing/2014/main" id="{957C159F-C6FE-45CC-7F9B-B3DAC46B1BF3}"/>
              </a:ext>
            </a:extLst>
          </xdr:cNvPr>
          <xdr:cNvSpPr/>
        </xdr:nvSpPr>
        <xdr:spPr>
          <a:xfrm>
            <a:off x="4672645" y="198637"/>
            <a:ext cx="2297250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3" name="Retângulo: Cantos Arredondados 42">
            <a:extLst>
              <a:ext uri="{FF2B5EF4-FFF2-40B4-BE49-F238E27FC236}">
                <a16:creationId xmlns:a16="http://schemas.microsoft.com/office/drawing/2014/main" id="{3404F857-E037-E6A5-2F52-E407296AA7AD}"/>
              </a:ext>
            </a:extLst>
          </xdr:cNvPr>
          <xdr:cNvSpPr/>
        </xdr:nvSpPr>
        <xdr:spPr>
          <a:xfrm>
            <a:off x="7111064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4" name="Retângulo: Cantos Arredondados 43">
            <a:extLst>
              <a:ext uri="{FF2B5EF4-FFF2-40B4-BE49-F238E27FC236}">
                <a16:creationId xmlns:a16="http://schemas.microsoft.com/office/drawing/2014/main" id="{7909D1D2-D1ED-43B7-B39C-15CF99CC302C}"/>
              </a:ext>
            </a:extLst>
          </xdr:cNvPr>
          <xdr:cNvSpPr/>
        </xdr:nvSpPr>
        <xdr:spPr>
          <a:xfrm>
            <a:off x="11992468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45" name="Gráfico 44" descr="Grupo de homens com preenchimento sólido">
            <a:extLst>
              <a:ext uri="{FF2B5EF4-FFF2-40B4-BE49-F238E27FC236}">
                <a16:creationId xmlns:a16="http://schemas.microsoft.com/office/drawing/2014/main" id="{F818E390-4530-E8DF-3CAD-8D9C4C3354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2121995" y="385482"/>
            <a:ext cx="630909" cy="634253"/>
          </a:xfrm>
          <a:prstGeom prst="rect">
            <a:avLst/>
          </a:prstGeom>
        </xdr:spPr>
      </xdr:pic>
      <xdr:sp macro="" textlink="">
        <xdr:nvSpPr>
          <xdr:cNvPr id="46" name="CaixaDeTexto 45">
            <a:extLst>
              <a:ext uri="{FF2B5EF4-FFF2-40B4-BE49-F238E27FC236}">
                <a16:creationId xmlns:a16="http://schemas.microsoft.com/office/drawing/2014/main" id="{7EF7947C-FBE9-6517-98C3-A1F47585693A}"/>
              </a:ext>
            </a:extLst>
          </xdr:cNvPr>
          <xdr:cNvSpPr txBox="1"/>
        </xdr:nvSpPr>
        <xdr:spPr>
          <a:xfrm>
            <a:off x="12681248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Clientes</a:t>
            </a:r>
          </a:p>
        </xdr:txBody>
      </xdr:sp>
      <xdr:sp macro="" textlink="'Tabela Dinânima'!O45">
        <xdr:nvSpPr>
          <xdr:cNvPr id="47" name="CaixaDeTexto 46">
            <a:extLst>
              <a:ext uri="{FF2B5EF4-FFF2-40B4-BE49-F238E27FC236}">
                <a16:creationId xmlns:a16="http://schemas.microsoft.com/office/drawing/2014/main" id="{1AB621CB-132A-740B-5026-A8F82EF6BEC6}"/>
              </a:ext>
            </a:extLst>
          </xdr:cNvPr>
          <xdr:cNvSpPr txBox="1"/>
        </xdr:nvSpPr>
        <xdr:spPr>
          <a:xfrm>
            <a:off x="12699178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4D3E5B7-4116-4F8E-B180-323A66DBD376}" type="TxLink">
              <a:rPr lang="en-US" sz="3200" b="1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251</a:t>
            </a:fld>
            <a:endParaRPr lang="pt-BR" sz="54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">
        <xdr:nvSpPr>
          <xdr:cNvPr id="48" name="Retângulo: Cantos Arredondados 47">
            <a:extLst>
              <a:ext uri="{FF2B5EF4-FFF2-40B4-BE49-F238E27FC236}">
                <a16:creationId xmlns:a16="http://schemas.microsoft.com/office/drawing/2014/main" id="{E04CDE69-226D-D5FE-85F9-6412E366B610}"/>
              </a:ext>
            </a:extLst>
          </xdr:cNvPr>
          <xdr:cNvSpPr/>
        </xdr:nvSpPr>
        <xdr:spPr>
          <a:xfrm>
            <a:off x="9551766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9" name="CaixaDeTexto 48">
            <a:extLst>
              <a:ext uri="{FF2B5EF4-FFF2-40B4-BE49-F238E27FC236}">
                <a16:creationId xmlns:a16="http://schemas.microsoft.com/office/drawing/2014/main" id="{4A55AA12-C3F9-79A9-0514-7CB1E74CD620}"/>
              </a:ext>
            </a:extLst>
          </xdr:cNvPr>
          <xdr:cNvSpPr txBox="1"/>
        </xdr:nvSpPr>
        <xdr:spPr>
          <a:xfrm>
            <a:off x="2843826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Carro</a:t>
            </a:r>
          </a:p>
        </xdr:txBody>
      </xdr:sp>
      <xdr:sp macro="" textlink="">
        <xdr:nvSpPr>
          <xdr:cNvPr id="50" name="CaixaDeTexto 49">
            <a:extLst>
              <a:ext uri="{FF2B5EF4-FFF2-40B4-BE49-F238E27FC236}">
                <a16:creationId xmlns:a16="http://schemas.microsoft.com/office/drawing/2014/main" id="{D826241E-A5BB-C9E7-394E-84BD0A4E1656}"/>
              </a:ext>
            </a:extLst>
          </xdr:cNvPr>
          <xdr:cNvSpPr txBox="1"/>
        </xdr:nvSpPr>
        <xdr:spPr>
          <a:xfrm>
            <a:off x="5479450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Caminhão</a:t>
            </a:r>
          </a:p>
        </xdr:txBody>
      </xdr:sp>
      <xdr:sp macro="" textlink="">
        <xdr:nvSpPr>
          <xdr:cNvPr id="51" name="CaixaDeTexto 50">
            <a:extLst>
              <a:ext uri="{FF2B5EF4-FFF2-40B4-BE49-F238E27FC236}">
                <a16:creationId xmlns:a16="http://schemas.microsoft.com/office/drawing/2014/main" id="{563BE408-1362-CA53-14C8-5B8CA7A1082C}"/>
              </a:ext>
            </a:extLst>
          </xdr:cNvPr>
          <xdr:cNvSpPr txBox="1"/>
        </xdr:nvSpPr>
        <xdr:spPr>
          <a:xfrm>
            <a:off x="7801307" y="308561"/>
            <a:ext cx="1539915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Motocicleta</a:t>
            </a:r>
          </a:p>
        </xdr:txBody>
      </xdr:sp>
      <xdr:sp macro="" textlink="">
        <xdr:nvSpPr>
          <xdr:cNvPr id="52" name="CaixaDeTexto 51">
            <a:extLst>
              <a:ext uri="{FF2B5EF4-FFF2-40B4-BE49-F238E27FC236}">
                <a16:creationId xmlns:a16="http://schemas.microsoft.com/office/drawing/2014/main" id="{F5D40A2D-500F-3739-9BEA-467D9A711155}"/>
              </a:ext>
            </a:extLst>
          </xdr:cNvPr>
          <xdr:cNvSpPr txBox="1"/>
        </xdr:nvSpPr>
        <xdr:spPr>
          <a:xfrm>
            <a:off x="10096273" y="134471"/>
            <a:ext cx="1871609" cy="69028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8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Trasp. </a:t>
            </a:r>
          </a:p>
          <a:p>
            <a:pPr algn="ctr"/>
            <a:r>
              <a:rPr lang="pt-BR" sz="18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Público</a:t>
            </a:r>
          </a:p>
        </xdr:txBody>
      </xdr:sp>
      <xdr:sp macro="" textlink="'Tabela Dinânima'!G14">
        <xdr:nvSpPr>
          <xdr:cNvPr id="53" name="CaixaDeTexto 52">
            <a:extLst>
              <a:ext uri="{FF2B5EF4-FFF2-40B4-BE49-F238E27FC236}">
                <a16:creationId xmlns:a16="http://schemas.microsoft.com/office/drawing/2014/main" id="{E9DAEB68-BA19-0DF6-69C7-1EC875C2F458}"/>
              </a:ext>
            </a:extLst>
          </xdr:cNvPr>
          <xdr:cNvSpPr txBox="1"/>
        </xdr:nvSpPr>
        <xdr:spPr>
          <a:xfrm>
            <a:off x="2879685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B25971CF-0F34-4386-BC8D-437C8E36BAA5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81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3">
        <xdr:nvSpPr>
          <xdr:cNvPr id="54" name="CaixaDeTexto 53">
            <a:extLst>
              <a:ext uri="{FF2B5EF4-FFF2-40B4-BE49-F238E27FC236}">
                <a16:creationId xmlns:a16="http://schemas.microsoft.com/office/drawing/2014/main" id="{0A4CC6D2-879F-30F8-8FCA-6BBCF7B434EB}"/>
              </a:ext>
            </a:extLst>
          </xdr:cNvPr>
          <xdr:cNvSpPr txBox="1"/>
        </xdr:nvSpPr>
        <xdr:spPr>
          <a:xfrm>
            <a:off x="5470486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CDC294E-C807-40D7-8D0C-5BE81C2174C7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65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5">
        <xdr:nvSpPr>
          <xdr:cNvPr id="55" name="CaixaDeTexto 54">
            <a:extLst>
              <a:ext uri="{FF2B5EF4-FFF2-40B4-BE49-F238E27FC236}">
                <a16:creationId xmlns:a16="http://schemas.microsoft.com/office/drawing/2014/main" id="{79464E6C-C6A5-7279-D4DD-EE49437AF403}"/>
              </a:ext>
            </a:extLst>
          </xdr:cNvPr>
          <xdr:cNvSpPr txBox="1"/>
        </xdr:nvSpPr>
        <xdr:spPr>
          <a:xfrm>
            <a:off x="7837168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05D89E4-5FF7-49E1-A061-58D5C442DF39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42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6">
        <xdr:nvSpPr>
          <xdr:cNvPr id="56" name="CaixaDeTexto 55">
            <a:extLst>
              <a:ext uri="{FF2B5EF4-FFF2-40B4-BE49-F238E27FC236}">
                <a16:creationId xmlns:a16="http://schemas.microsoft.com/office/drawing/2014/main" id="{6654FE91-BF60-404B-780C-1A662CF19738}"/>
              </a:ext>
            </a:extLst>
          </xdr:cNvPr>
          <xdr:cNvSpPr txBox="1"/>
        </xdr:nvSpPr>
        <xdr:spPr>
          <a:xfrm>
            <a:off x="10302464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CB44AC8-8AB1-490B-8950-9A5EC1AFFA84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63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pic>
        <xdr:nvPicPr>
          <xdr:cNvPr id="57" name="Gráfico 56" descr="Carro com preenchimento sólido">
            <a:extLst>
              <a:ext uri="{FF2B5EF4-FFF2-40B4-BE49-F238E27FC236}">
                <a16:creationId xmlns:a16="http://schemas.microsoft.com/office/drawing/2014/main" id="{1BD0F857-7B9B-4469-9FF3-982EA9EE6A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2357718" y="358588"/>
            <a:ext cx="806823" cy="806823"/>
          </a:xfrm>
          <a:prstGeom prst="rect">
            <a:avLst/>
          </a:prstGeom>
        </xdr:spPr>
      </xdr:pic>
      <xdr:pic>
        <xdr:nvPicPr>
          <xdr:cNvPr id="58" name="Gráfico 57" descr="Caminhão com preenchimento sólido">
            <a:extLst>
              <a:ext uri="{FF2B5EF4-FFF2-40B4-BE49-F238E27FC236}">
                <a16:creationId xmlns:a16="http://schemas.microsoft.com/office/drawing/2014/main" id="{5D4CA0C8-DEEC-E95E-D2F4-02BB0827E6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4778188" y="295835"/>
            <a:ext cx="914400" cy="914400"/>
          </a:xfrm>
          <a:prstGeom prst="rect">
            <a:avLst/>
          </a:prstGeom>
        </xdr:spPr>
      </xdr:pic>
      <xdr:pic>
        <xdr:nvPicPr>
          <xdr:cNvPr id="59" name="Gráfico 58" descr="Motocicleta com preenchimento sólido">
            <a:extLst>
              <a:ext uri="{FF2B5EF4-FFF2-40B4-BE49-F238E27FC236}">
                <a16:creationId xmlns:a16="http://schemas.microsoft.com/office/drawing/2014/main" id="{DEB3E094-D4B4-2FB5-4851-A8987FD8CF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7135906" y="313764"/>
            <a:ext cx="815787" cy="815787"/>
          </a:xfrm>
          <a:prstGeom prst="rect">
            <a:avLst/>
          </a:prstGeom>
        </xdr:spPr>
      </xdr:pic>
      <xdr:pic>
        <xdr:nvPicPr>
          <xdr:cNvPr id="60" name="Gráfico 59" descr="Ônibus com preenchimento sólido">
            <a:extLst>
              <a:ext uri="{FF2B5EF4-FFF2-40B4-BE49-F238E27FC236}">
                <a16:creationId xmlns:a16="http://schemas.microsoft.com/office/drawing/2014/main" id="{38D4D203-C6FF-75DE-21D1-8DF054AF40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3"/>
              </a:ext>
            </a:extLst>
          </a:blip>
          <a:stretch>
            <a:fillRect/>
          </a:stretch>
        </xdr:blipFill>
        <xdr:spPr>
          <a:xfrm>
            <a:off x="9672918" y="322729"/>
            <a:ext cx="851648" cy="851648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424542</xdr:colOff>
      <xdr:row>7</xdr:row>
      <xdr:rowOff>141514</xdr:rowOff>
    </xdr:from>
    <xdr:to>
      <xdr:col>13</xdr:col>
      <xdr:colOff>261257</xdr:colOff>
      <xdr:row>39</xdr:row>
      <xdr:rowOff>0</xdr:rowOff>
    </xdr:to>
    <xdr:sp macro="" textlink="">
      <xdr:nvSpPr>
        <xdr:cNvPr id="61" name="Retângulo: Cantos Arredondados 60">
          <a:extLst>
            <a:ext uri="{FF2B5EF4-FFF2-40B4-BE49-F238E27FC236}">
              <a16:creationId xmlns:a16="http://schemas.microsoft.com/office/drawing/2014/main" id="{798FBE1B-7157-4623-BD9E-B4D8DC3E92B5}"/>
            </a:ext>
          </a:extLst>
        </xdr:cNvPr>
        <xdr:cNvSpPr/>
      </xdr:nvSpPr>
      <xdr:spPr>
        <a:xfrm>
          <a:off x="2253342" y="1436914"/>
          <a:ext cx="5932715" cy="5791200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457200</xdr:colOff>
      <xdr:row>7</xdr:row>
      <xdr:rowOff>152400</xdr:rowOff>
    </xdr:from>
    <xdr:to>
      <xdr:col>13</xdr:col>
      <xdr:colOff>250845</xdr:colOff>
      <xdr:row>9</xdr:row>
      <xdr:rowOff>130629</xdr:rowOff>
    </xdr:to>
    <xdr:sp macro="" textlink="">
      <xdr:nvSpPr>
        <xdr:cNvPr id="62" name="Retângulo: Cantos Arredondados 61">
          <a:extLst>
            <a:ext uri="{FF2B5EF4-FFF2-40B4-BE49-F238E27FC236}">
              <a16:creationId xmlns:a16="http://schemas.microsoft.com/office/drawing/2014/main" id="{E38FFB43-4EDA-4D36-ACE9-5E6315D7E8B0}"/>
            </a:ext>
          </a:extLst>
        </xdr:cNvPr>
        <xdr:cNvSpPr/>
      </xdr:nvSpPr>
      <xdr:spPr>
        <a:xfrm>
          <a:off x="2286000" y="1447800"/>
          <a:ext cx="5889645" cy="348343"/>
        </a:xfrm>
        <a:prstGeom prst="roundRect">
          <a:avLst>
            <a:gd name="adj" fmla="val 35060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400">
              <a:solidFill>
                <a:schemeClr val="bg1"/>
              </a:solidFill>
              <a:latin typeface="Sassoon Sans Slope Std Medium" panose="020B07030201030A0203" pitchFamily="34" charset="0"/>
            </a:rPr>
            <a:t>Porcentagem</a:t>
          </a:r>
          <a:r>
            <a:rPr lang="pt-BR" sz="1400" baseline="0">
              <a:solidFill>
                <a:schemeClr val="bg1"/>
              </a:solidFill>
              <a:latin typeface="Sassoon Sans Slope Std Medium" panose="020B07030201030A0203" pitchFamily="34" charset="0"/>
            </a:rPr>
            <a:t> de </a:t>
          </a:r>
          <a:r>
            <a:rPr lang="pt-BR" sz="1400" baseline="0">
              <a:solidFill>
                <a:srgbClr val="FF6900"/>
              </a:solidFill>
              <a:latin typeface="Sassoon Sans Slope Std Medium" panose="020B07030201030A0203" pitchFamily="34" charset="0"/>
            </a:rPr>
            <a:t>Recomendações</a:t>
          </a:r>
          <a:r>
            <a:rPr lang="pt-BR" sz="1400" baseline="0">
              <a:solidFill>
                <a:schemeClr val="bg1"/>
              </a:solidFill>
              <a:latin typeface="Sassoon Sans Slope Std Medium" panose="020B07030201030A0203" pitchFamily="34" charset="0"/>
            </a:rPr>
            <a:t> do APP</a:t>
          </a:r>
          <a:endParaRPr lang="pt-BR" sz="1400">
            <a:solidFill>
              <a:schemeClr val="bg1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3</xdr:col>
      <xdr:colOff>468085</xdr:colOff>
      <xdr:row>9</xdr:row>
      <xdr:rowOff>130629</xdr:rowOff>
    </xdr:from>
    <xdr:to>
      <xdr:col>13</xdr:col>
      <xdr:colOff>555170</xdr:colOff>
      <xdr:row>38</xdr:row>
      <xdr:rowOff>163286</xdr:rowOff>
    </xdr:to>
    <xdr:graphicFrame macro="">
      <xdr:nvGraphicFramePr>
        <xdr:cNvPr id="63" name="Gráfico 62">
          <a:extLst>
            <a:ext uri="{FF2B5EF4-FFF2-40B4-BE49-F238E27FC236}">
              <a16:creationId xmlns:a16="http://schemas.microsoft.com/office/drawing/2014/main" id="{D0C4F951-0DBB-4ACA-9720-261BFD2186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359228</xdr:colOff>
      <xdr:row>7</xdr:row>
      <xdr:rowOff>152401</xdr:rowOff>
    </xdr:from>
    <xdr:to>
      <xdr:col>23</xdr:col>
      <xdr:colOff>337458</xdr:colOff>
      <xdr:row>21</xdr:row>
      <xdr:rowOff>141515</xdr:rowOff>
    </xdr:to>
    <xdr:sp macro="" textlink="">
      <xdr:nvSpPr>
        <xdr:cNvPr id="64" name="Retângulo: Cantos Arredondados 63">
          <a:extLst>
            <a:ext uri="{FF2B5EF4-FFF2-40B4-BE49-F238E27FC236}">
              <a16:creationId xmlns:a16="http://schemas.microsoft.com/office/drawing/2014/main" id="{502D4CFA-7F7C-4F15-9519-568B47B97B9B}"/>
            </a:ext>
          </a:extLst>
        </xdr:cNvPr>
        <xdr:cNvSpPr/>
      </xdr:nvSpPr>
      <xdr:spPr>
        <a:xfrm>
          <a:off x="8284028" y="1447801"/>
          <a:ext cx="6074230" cy="2579914"/>
        </a:xfrm>
        <a:prstGeom prst="roundRect">
          <a:avLst>
            <a:gd name="adj" fmla="val 2441"/>
          </a:avLst>
        </a:prstGeom>
        <a:solidFill>
          <a:srgbClr val="FECC0C">
            <a:alpha val="95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391886</xdr:colOff>
      <xdr:row>7</xdr:row>
      <xdr:rowOff>163286</xdr:rowOff>
    </xdr:from>
    <xdr:to>
      <xdr:col>23</xdr:col>
      <xdr:colOff>304800</xdr:colOff>
      <xdr:row>9</xdr:row>
      <xdr:rowOff>141515</xdr:rowOff>
    </xdr:to>
    <xdr:sp macro="" textlink="">
      <xdr:nvSpPr>
        <xdr:cNvPr id="65" name="Retângulo: Cantos Arredondados 64">
          <a:extLst>
            <a:ext uri="{FF2B5EF4-FFF2-40B4-BE49-F238E27FC236}">
              <a16:creationId xmlns:a16="http://schemas.microsoft.com/office/drawing/2014/main" id="{B40C42D4-B469-4E61-A37A-6938A11E08D2}"/>
            </a:ext>
          </a:extLst>
        </xdr:cNvPr>
        <xdr:cNvSpPr/>
      </xdr:nvSpPr>
      <xdr:spPr>
        <a:xfrm>
          <a:off x="8316686" y="1458686"/>
          <a:ext cx="6008914" cy="348343"/>
        </a:xfrm>
        <a:prstGeom prst="roundRect">
          <a:avLst>
            <a:gd name="adj" fmla="val 35060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400">
              <a:solidFill>
                <a:schemeClr val="bg1"/>
              </a:solidFill>
              <a:latin typeface="Sassoon Sans Slope Std Medium" panose="020B07030201030A0203" pitchFamily="34" charset="0"/>
            </a:rPr>
            <a:t>Porcentagem</a:t>
          </a:r>
          <a:r>
            <a:rPr lang="pt-BR" sz="1400" baseline="0">
              <a:solidFill>
                <a:schemeClr val="bg1"/>
              </a:solidFill>
              <a:latin typeface="Sassoon Sans Slope Std Medium" panose="020B07030201030A0203" pitchFamily="34" charset="0"/>
            </a:rPr>
            <a:t> de </a:t>
          </a:r>
          <a:r>
            <a:rPr lang="pt-BR" sz="1400" baseline="0">
              <a:solidFill>
                <a:srgbClr val="FF6900"/>
              </a:solidFill>
              <a:latin typeface="Sassoon Sans Slope Std Medium" panose="020B07030201030A0203" pitchFamily="34" charset="0"/>
            </a:rPr>
            <a:t>Recomendações</a:t>
          </a:r>
          <a:r>
            <a:rPr lang="pt-BR" sz="1400" baseline="0">
              <a:solidFill>
                <a:schemeClr val="bg1"/>
              </a:solidFill>
              <a:latin typeface="Sassoon Sans Slope Std Medium" panose="020B07030201030A0203" pitchFamily="34" charset="0"/>
            </a:rPr>
            <a:t> do APP</a:t>
          </a:r>
          <a:endParaRPr lang="pt-BR" sz="1400">
            <a:solidFill>
              <a:schemeClr val="bg1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13</xdr:col>
      <xdr:colOff>370114</xdr:colOff>
      <xdr:row>9</xdr:row>
      <xdr:rowOff>108859</xdr:rowOff>
    </xdr:from>
    <xdr:to>
      <xdr:col>23</xdr:col>
      <xdr:colOff>272143</xdr:colOff>
      <xdr:row>22</xdr:row>
      <xdr:rowOff>108857</xdr:rowOff>
    </xdr:to>
    <xdr:graphicFrame macro="">
      <xdr:nvGraphicFramePr>
        <xdr:cNvPr id="66" name="Gráfico 65">
          <a:extLst>
            <a:ext uri="{FF2B5EF4-FFF2-40B4-BE49-F238E27FC236}">
              <a16:creationId xmlns:a16="http://schemas.microsoft.com/office/drawing/2014/main" id="{345AA5B4-9134-41F9-9A2A-C5D1A913F2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359229</xdr:colOff>
      <xdr:row>22</xdr:row>
      <xdr:rowOff>65315</xdr:rowOff>
    </xdr:from>
    <xdr:to>
      <xdr:col>23</xdr:col>
      <xdr:colOff>337459</xdr:colOff>
      <xdr:row>39</xdr:row>
      <xdr:rowOff>10886</xdr:rowOff>
    </xdr:to>
    <xdr:sp macro="" textlink="">
      <xdr:nvSpPr>
        <xdr:cNvPr id="67" name="Retângulo: Cantos Arredondados 66">
          <a:extLst>
            <a:ext uri="{FF2B5EF4-FFF2-40B4-BE49-F238E27FC236}">
              <a16:creationId xmlns:a16="http://schemas.microsoft.com/office/drawing/2014/main" id="{1865DF4E-3CB2-47E0-AC17-280EB5ADDE6F}"/>
            </a:ext>
          </a:extLst>
        </xdr:cNvPr>
        <xdr:cNvSpPr/>
      </xdr:nvSpPr>
      <xdr:spPr>
        <a:xfrm>
          <a:off x="8284029" y="4136572"/>
          <a:ext cx="6074230" cy="3102428"/>
        </a:xfrm>
        <a:prstGeom prst="roundRect">
          <a:avLst>
            <a:gd name="adj" fmla="val 2441"/>
          </a:avLst>
        </a:prstGeom>
        <a:solidFill>
          <a:srgbClr val="FECC0C">
            <a:alpha val="95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391887</xdr:colOff>
      <xdr:row>22</xdr:row>
      <xdr:rowOff>76200</xdr:rowOff>
    </xdr:from>
    <xdr:to>
      <xdr:col>23</xdr:col>
      <xdr:colOff>304801</xdr:colOff>
      <xdr:row>24</xdr:row>
      <xdr:rowOff>124979</xdr:rowOff>
    </xdr:to>
    <xdr:sp macro="" textlink="">
      <xdr:nvSpPr>
        <xdr:cNvPr id="68" name="Retângulo: Cantos Arredondados 67">
          <a:extLst>
            <a:ext uri="{FF2B5EF4-FFF2-40B4-BE49-F238E27FC236}">
              <a16:creationId xmlns:a16="http://schemas.microsoft.com/office/drawing/2014/main" id="{78B28D74-1245-4893-A803-8D15E3B2D61C}"/>
            </a:ext>
          </a:extLst>
        </xdr:cNvPr>
        <xdr:cNvSpPr/>
      </xdr:nvSpPr>
      <xdr:spPr>
        <a:xfrm>
          <a:off x="8316687" y="4147457"/>
          <a:ext cx="6008914" cy="418893"/>
        </a:xfrm>
        <a:prstGeom prst="roundRect">
          <a:avLst>
            <a:gd name="adj" fmla="val 35060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400">
              <a:solidFill>
                <a:schemeClr val="bg1"/>
              </a:solidFill>
              <a:latin typeface="Sassoon Sans Slope Std Medium" panose="020B07030201030A0203" pitchFamily="34" charset="0"/>
            </a:rPr>
            <a:t>Porcentagem</a:t>
          </a:r>
          <a:r>
            <a:rPr lang="pt-BR" sz="1400" baseline="0">
              <a:solidFill>
                <a:schemeClr val="bg1"/>
              </a:solidFill>
              <a:latin typeface="Sassoon Sans Slope Std Medium" panose="020B07030201030A0203" pitchFamily="34" charset="0"/>
            </a:rPr>
            <a:t> de </a:t>
          </a:r>
          <a:r>
            <a:rPr lang="pt-BR" sz="1400" baseline="0">
              <a:solidFill>
                <a:srgbClr val="FF6900"/>
              </a:solidFill>
              <a:latin typeface="Sassoon Sans Slope Std Medium" panose="020B07030201030A0203" pitchFamily="34" charset="0"/>
            </a:rPr>
            <a:t>Recomendações</a:t>
          </a:r>
          <a:r>
            <a:rPr lang="pt-BR" sz="1400" baseline="0">
              <a:solidFill>
                <a:schemeClr val="bg1"/>
              </a:solidFill>
              <a:latin typeface="Sassoon Sans Slope Std Medium" panose="020B07030201030A0203" pitchFamily="34" charset="0"/>
            </a:rPr>
            <a:t> do APP</a:t>
          </a:r>
          <a:endParaRPr lang="pt-BR" sz="1400">
            <a:solidFill>
              <a:schemeClr val="bg1"/>
            </a:solidFill>
            <a:latin typeface="Sassoon Sans Slope Std Medium" panose="020B07030201030A0203" pitchFamily="34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403860</xdr:colOff>
      <xdr:row>41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2C9C1E0-EF23-41E6-8C42-81E1C5501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24660" cy="7505700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1</xdr:row>
      <xdr:rowOff>0</xdr:rowOff>
    </xdr:from>
    <xdr:to>
      <xdr:col>3</xdr:col>
      <xdr:colOff>320040</xdr:colOff>
      <xdr:row>40</xdr:row>
      <xdr:rowOff>45720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FBA48A2E-E4BD-4D93-B442-903053031724}"/>
            </a:ext>
          </a:extLst>
        </xdr:cNvPr>
        <xdr:cNvSpPr/>
      </xdr:nvSpPr>
      <xdr:spPr>
        <a:xfrm>
          <a:off x="76200" y="182880"/>
          <a:ext cx="2072640" cy="7185660"/>
        </a:xfrm>
        <a:prstGeom prst="roundRect">
          <a:avLst>
            <a:gd name="adj" fmla="val 7108"/>
          </a:avLst>
        </a:prstGeom>
        <a:gradFill>
          <a:gsLst>
            <a:gs pos="0">
              <a:srgbClr val="FECC0C">
                <a:alpha val="85000"/>
              </a:srgbClr>
            </a:gs>
            <a:gs pos="60000">
              <a:srgbClr val="8E8152">
                <a:alpha val="85000"/>
              </a:srgbClr>
            </a:gs>
            <a:gs pos="30000">
              <a:srgbClr val="FFB300">
                <a:alpha val="85000"/>
              </a:srgbClr>
            </a:gs>
            <a:gs pos="100000">
              <a:srgbClr val="0043B9">
                <a:alpha val="85000"/>
              </a:srgbClr>
            </a:gs>
          </a:gsLst>
          <a:lin ang="96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121920</xdr:colOff>
      <xdr:row>0</xdr:row>
      <xdr:rowOff>91440</xdr:rowOff>
    </xdr:from>
    <xdr:to>
      <xdr:col>3</xdr:col>
      <xdr:colOff>276769</xdr:colOff>
      <xdr:row>6</xdr:row>
      <xdr:rowOff>30480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4BC10EA-FD06-4C71-8223-58CB61F79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" y="91440"/>
          <a:ext cx="1983649" cy="1036320"/>
        </a:xfrm>
        <a:prstGeom prst="rect">
          <a:avLst/>
        </a:prstGeom>
      </xdr:spPr>
    </xdr:pic>
    <xdr:clientData/>
  </xdr:twoCellAnchor>
  <xdr:twoCellAnchor editAs="oneCell">
    <xdr:from>
      <xdr:col>0</xdr:col>
      <xdr:colOff>28829</xdr:colOff>
      <xdr:row>28</xdr:row>
      <xdr:rowOff>60662</xdr:rowOff>
    </xdr:from>
    <xdr:to>
      <xdr:col>3</xdr:col>
      <xdr:colOff>276769</xdr:colOff>
      <xdr:row>40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F7E2128-95A7-400E-B283-CD9CCE04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29" y="5181302"/>
          <a:ext cx="2076740" cy="2141518"/>
        </a:xfrm>
        <a:prstGeom prst="rect">
          <a:avLst/>
        </a:prstGeom>
      </xdr:spPr>
    </xdr:pic>
    <xdr:clientData/>
  </xdr:twoCellAnchor>
  <xdr:twoCellAnchor>
    <xdr:from>
      <xdr:col>3</xdr:col>
      <xdr:colOff>374650</xdr:colOff>
      <xdr:row>7</xdr:row>
      <xdr:rowOff>127000</xdr:rowOff>
    </xdr:from>
    <xdr:to>
      <xdr:col>23</xdr:col>
      <xdr:colOff>342900</xdr:colOff>
      <xdr:row>40</xdr:row>
      <xdr:rowOff>46182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8CEAF94F-A49E-454E-96F8-4745431E7F48}"/>
            </a:ext>
          </a:extLst>
        </xdr:cNvPr>
        <xdr:cNvSpPr/>
      </xdr:nvSpPr>
      <xdr:spPr>
        <a:xfrm>
          <a:off x="2203450" y="1407160"/>
          <a:ext cx="12160250" cy="5961842"/>
        </a:xfrm>
        <a:prstGeom prst="roundRect">
          <a:avLst>
            <a:gd name="adj" fmla="val 2441"/>
          </a:avLst>
        </a:prstGeom>
        <a:gradFill flip="none" rotWithShape="1">
          <a:gsLst>
            <a:gs pos="0">
              <a:srgbClr val="FECC0C">
                <a:alpha val="85000"/>
              </a:srgbClr>
            </a:gs>
            <a:gs pos="60000">
              <a:srgbClr val="8E8152">
                <a:alpha val="85000"/>
              </a:srgbClr>
            </a:gs>
            <a:gs pos="30000">
              <a:srgbClr val="FFB300">
                <a:alpha val="85000"/>
              </a:srgbClr>
            </a:gs>
            <a:gs pos="100000">
              <a:srgbClr val="0043B9">
                <a:alpha val="85000"/>
              </a:srgbClr>
            </a:gs>
          </a:gsLst>
          <a:lin ang="5400000" scaled="0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173183</xdr:colOff>
      <xdr:row>8</xdr:row>
      <xdr:rowOff>11548</xdr:rowOff>
    </xdr:from>
    <xdr:to>
      <xdr:col>23</xdr:col>
      <xdr:colOff>281940</xdr:colOff>
      <xdr:row>23</xdr:row>
      <xdr:rowOff>103416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E0FCE1D1-4B59-4945-A9B9-2B7CCC50626F}"/>
            </a:ext>
          </a:extLst>
        </xdr:cNvPr>
        <xdr:cNvGrpSpPr/>
      </xdr:nvGrpSpPr>
      <xdr:grpSpPr>
        <a:xfrm>
          <a:off x="8707583" y="1474588"/>
          <a:ext cx="5595157" cy="2835068"/>
          <a:chOff x="8739909" y="1489365"/>
          <a:chExt cx="5795818" cy="3175000"/>
        </a:xfrm>
        <a:solidFill>
          <a:srgbClr val="FECC0C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8" name="Retângulo: Cantos Arredondados 7">
            <a:extLst>
              <a:ext uri="{FF2B5EF4-FFF2-40B4-BE49-F238E27FC236}">
                <a16:creationId xmlns:a16="http://schemas.microsoft.com/office/drawing/2014/main" id="{FEC4F8F1-5F1B-8D93-3462-E10B29CE7EDE}"/>
              </a:ext>
            </a:extLst>
          </xdr:cNvPr>
          <xdr:cNvSpPr/>
        </xdr:nvSpPr>
        <xdr:spPr>
          <a:xfrm>
            <a:off x="8739909" y="1489365"/>
            <a:ext cx="5795818" cy="3175000"/>
          </a:xfrm>
          <a:prstGeom prst="roundRect">
            <a:avLst>
              <a:gd name="adj" fmla="val 2441"/>
            </a:avLst>
          </a:prstGeom>
          <a:solidFill>
            <a:srgbClr val="FECC0C">
              <a:alpha val="8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9" name="Retângulo: Cantos Arredondados 8">
            <a:extLst>
              <a:ext uri="{FF2B5EF4-FFF2-40B4-BE49-F238E27FC236}">
                <a16:creationId xmlns:a16="http://schemas.microsoft.com/office/drawing/2014/main" id="{E300C0ED-8518-4925-E662-6939D947DCE0}"/>
              </a:ext>
            </a:extLst>
          </xdr:cNvPr>
          <xdr:cNvSpPr/>
        </xdr:nvSpPr>
        <xdr:spPr>
          <a:xfrm>
            <a:off x="8750709" y="1498491"/>
            <a:ext cx="5774218" cy="261172"/>
          </a:xfrm>
          <a:prstGeom prst="roundRect">
            <a:avLst>
              <a:gd name="adj" fmla="val 22662"/>
            </a:avLst>
          </a:prstGeom>
          <a:solidFill>
            <a:srgbClr val="0043B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14</xdr:col>
      <xdr:colOff>173887</xdr:colOff>
      <xdr:row>7</xdr:row>
      <xdr:rowOff>157748</xdr:rowOff>
    </xdr:from>
    <xdr:to>
      <xdr:col>18</xdr:col>
      <xdr:colOff>101363</xdr:colOff>
      <xdr:row>9</xdr:row>
      <xdr:rowOff>46463</xdr:rowOff>
    </xdr:to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42F56145-962E-4780-9123-AB8C6A5EA97B}"/>
            </a:ext>
          </a:extLst>
        </xdr:cNvPr>
        <xdr:cNvSpPr txBox="1"/>
      </xdr:nvSpPr>
      <xdr:spPr>
        <a:xfrm>
          <a:off x="8708287" y="1437908"/>
          <a:ext cx="2365876" cy="25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0" i="1">
              <a:solidFill>
                <a:schemeClr val="bg1"/>
              </a:solidFill>
              <a:latin typeface="LTVeto Regular" panose="02000606030000090003" pitchFamily="2" charset="0"/>
            </a:rPr>
            <a:t>Análise Regional </a:t>
          </a:r>
          <a:r>
            <a:rPr lang="pt-BR" sz="1400" b="1" i="1">
              <a:solidFill>
                <a:srgbClr val="FF6900"/>
              </a:solidFill>
              <a:latin typeface="LTVeto Regular" panose="02000606030000090003" pitchFamily="2" charset="0"/>
            </a:rPr>
            <a:t>abastece-aí</a:t>
          </a:r>
        </a:p>
      </xdr:txBody>
    </xdr:sp>
    <xdr:clientData/>
  </xdr:twoCellAnchor>
  <xdr:twoCellAnchor editAs="oneCell">
    <xdr:from>
      <xdr:col>18</xdr:col>
      <xdr:colOff>280329</xdr:colOff>
      <xdr:row>9</xdr:row>
      <xdr:rowOff>156481</xdr:rowOff>
    </xdr:from>
    <xdr:to>
      <xdr:col>23</xdr:col>
      <xdr:colOff>253059</xdr:colOff>
      <xdr:row>23</xdr:row>
      <xdr:rowOff>72572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79C21AB2-8B97-4BDA-9366-9653EDC12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3129" y="1802401"/>
          <a:ext cx="3020730" cy="2476411"/>
        </a:xfrm>
        <a:prstGeom prst="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14</xdr:col>
      <xdr:colOff>582982</xdr:colOff>
      <xdr:row>10</xdr:row>
      <xdr:rowOff>159440</xdr:rowOff>
    </xdr:from>
    <xdr:to>
      <xdr:col>16</xdr:col>
      <xdr:colOff>398646</xdr:colOff>
      <xdr:row>15</xdr:row>
      <xdr:rowOff>161450</xdr:rowOff>
    </xdr:to>
    <xdr:sp macro="" textlink="">
      <xdr:nvSpPr>
        <xdr:cNvPr id="12" name="Hexágono 11">
          <a:extLst>
            <a:ext uri="{FF2B5EF4-FFF2-40B4-BE49-F238E27FC236}">
              <a16:creationId xmlns:a16="http://schemas.microsoft.com/office/drawing/2014/main" id="{77B6E795-D469-4446-95B9-73397DB217FB}"/>
            </a:ext>
          </a:extLst>
        </xdr:cNvPr>
        <xdr:cNvSpPr/>
      </xdr:nvSpPr>
      <xdr:spPr>
        <a:xfrm>
          <a:off x="9117382" y="1988240"/>
          <a:ext cx="1034864" cy="916410"/>
        </a:xfrm>
        <a:prstGeom prst="hexagon">
          <a:avLst/>
        </a:prstGeom>
        <a:solidFill>
          <a:srgbClr val="FFB300"/>
        </a:solidFill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582982</xdr:colOff>
      <xdr:row>16</xdr:row>
      <xdr:rowOff>80252</xdr:rowOff>
    </xdr:from>
    <xdr:to>
      <xdr:col>16</xdr:col>
      <xdr:colOff>398646</xdr:colOff>
      <xdr:row>21</xdr:row>
      <xdr:rowOff>82262</xdr:rowOff>
    </xdr:to>
    <xdr:sp macro="" textlink="">
      <xdr:nvSpPr>
        <xdr:cNvPr id="13" name="Hexágono 12">
          <a:extLst>
            <a:ext uri="{FF2B5EF4-FFF2-40B4-BE49-F238E27FC236}">
              <a16:creationId xmlns:a16="http://schemas.microsoft.com/office/drawing/2014/main" id="{4E8F7737-2CA4-4F0E-B1D1-232D8E1D3AFA}"/>
            </a:ext>
          </a:extLst>
        </xdr:cNvPr>
        <xdr:cNvSpPr/>
      </xdr:nvSpPr>
      <xdr:spPr>
        <a:xfrm>
          <a:off x="9117382" y="3006332"/>
          <a:ext cx="1034864" cy="916410"/>
        </a:xfrm>
        <a:prstGeom prst="hexagon">
          <a:avLst/>
        </a:prstGeom>
        <a:solidFill>
          <a:srgbClr val="FFB300"/>
        </a:solidFill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249792</xdr:colOff>
      <xdr:row>12</xdr:row>
      <xdr:rowOff>162427</xdr:rowOff>
    </xdr:from>
    <xdr:to>
      <xdr:col>18</xdr:col>
      <xdr:colOff>422643</xdr:colOff>
      <xdr:row>19</xdr:row>
      <xdr:rowOff>112059</xdr:rowOff>
    </xdr:to>
    <xdr:sp macro="" textlink="">
      <xdr:nvSpPr>
        <xdr:cNvPr id="14" name="Hexágono 13">
          <a:extLst>
            <a:ext uri="{FF2B5EF4-FFF2-40B4-BE49-F238E27FC236}">
              <a16:creationId xmlns:a16="http://schemas.microsoft.com/office/drawing/2014/main" id="{19807C9B-75AC-432C-AE3C-740948051CE0}"/>
            </a:ext>
          </a:extLst>
        </xdr:cNvPr>
        <xdr:cNvSpPr/>
      </xdr:nvSpPr>
      <xdr:spPr>
        <a:xfrm>
          <a:off x="10003392" y="2356987"/>
          <a:ext cx="1392051" cy="1229792"/>
        </a:xfrm>
        <a:prstGeom prst="hexagon">
          <a:avLst/>
        </a:prstGeom>
        <a:solidFill>
          <a:srgbClr val="0043B9"/>
        </a:solidFill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433658</xdr:colOff>
      <xdr:row>8</xdr:row>
      <xdr:rowOff>9070</xdr:rowOff>
    </xdr:from>
    <xdr:to>
      <xdr:col>14</xdr:col>
      <xdr:colOff>134096</xdr:colOff>
      <xdr:row>23</xdr:row>
      <xdr:rowOff>100938</xdr:rowOff>
    </xdr:to>
    <xdr:grpSp>
      <xdr:nvGrpSpPr>
        <xdr:cNvPr id="15" name="Agrupar 14">
          <a:extLst>
            <a:ext uri="{FF2B5EF4-FFF2-40B4-BE49-F238E27FC236}">
              <a16:creationId xmlns:a16="http://schemas.microsoft.com/office/drawing/2014/main" id="{F3A7483A-6F46-4FC6-AC1E-C6FECBF1FC5F}"/>
            </a:ext>
          </a:extLst>
        </xdr:cNvPr>
        <xdr:cNvGrpSpPr/>
      </xdr:nvGrpSpPr>
      <xdr:grpSpPr>
        <a:xfrm>
          <a:off x="2262458" y="1472110"/>
          <a:ext cx="6406038" cy="2835068"/>
          <a:chOff x="8739909" y="1489365"/>
          <a:chExt cx="5795818" cy="3175000"/>
        </a:xfrm>
        <a:solidFill>
          <a:srgbClr val="FECC0C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6" name="Retângulo: Cantos Arredondados 15">
            <a:extLst>
              <a:ext uri="{FF2B5EF4-FFF2-40B4-BE49-F238E27FC236}">
                <a16:creationId xmlns:a16="http://schemas.microsoft.com/office/drawing/2014/main" id="{4E395D73-F7CE-6C30-A1BC-37FE85C8C4BF}"/>
              </a:ext>
            </a:extLst>
          </xdr:cNvPr>
          <xdr:cNvSpPr/>
        </xdr:nvSpPr>
        <xdr:spPr>
          <a:xfrm>
            <a:off x="8739909" y="1489365"/>
            <a:ext cx="5795818" cy="3175000"/>
          </a:xfrm>
          <a:prstGeom prst="roundRect">
            <a:avLst>
              <a:gd name="adj" fmla="val 2441"/>
            </a:avLst>
          </a:prstGeom>
          <a:solidFill>
            <a:srgbClr val="FECC0C">
              <a:alpha val="8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7" name="Retângulo: Cantos Arredondados 16">
            <a:extLst>
              <a:ext uri="{FF2B5EF4-FFF2-40B4-BE49-F238E27FC236}">
                <a16:creationId xmlns:a16="http://schemas.microsoft.com/office/drawing/2014/main" id="{48089BFF-D836-2887-5EA8-23AF5CB7475F}"/>
              </a:ext>
            </a:extLst>
          </xdr:cNvPr>
          <xdr:cNvSpPr/>
        </xdr:nvSpPr>
        <xdr:spPr>
          <a:xfrm>
            <a:off x="8750709" y="1498491"/>
            <a:ext cx="5774218" cy="261172"/>
          </a:xfrm>
          <a:prstGeom prst="roundRect">
            <a:avLst>
              <a:gd name="adj" fmla="val 22662"/>
            </a:avLst>
          </a:prstGeom>
          <a:solidFill>
            <a:srgbClr val="0043B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3</xdr:col>
      <xdr:colOff>423438</xdr:colOff>
      <xdr:row>24</xdr:row>
      <xdr:rowOff>14336</xdr:rowOff>
    </xdr:from>
    <xdr:to>
      <xdr:col>10</xdr:col>
      <xdr:colOff>216830</xdr:colOff>
      <xdr:row>39</xdr:row>
      <xdr:rowOff>106204</xdr:rowOff>
    </xdr:to>
    <xdr:grpSp>
      <xdr:nvGrpSpPr>
        <xdr:cNvPr id="18" name="Agrupar 17">
          <a:extLst>
            <a:ext uri="{FF2B5EF4-FFF2-40B4-BE49-F238E27FC236}">
              <a16:creationId xmlns:a16="http://schemas.microsoft.com/office/drawing/2014/main" id="{1AD272A6-3B3D-4225-8833-69F459BCB0FF}"/>
            </a:ext>
          </a:extLst>
        </xdr:cNvPr>
        <xdr:cNvGrpSpPr/>
      </xdr:nvGrpSpPr>
      <xdr:grpSpPr>
        <a:xfrm>
          <a:off x="2252238" y="4403456"/>
          <a:ext cx="4060592" cy="2842688"/>
          <a:chOff x="8739909" y="1489365"/>
          <a:chExt cx="5795818" cy="3175000"/>
        </a:xfrm>
        <a:solidFill>
          <a:srgbClr val="FECC0C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9" name="Retângulo: Cantos Arredondados 18">
            <a:extLst>
              <a:ext uri="{FF2B5EF4-FFF2-40B4-BE49-F238E27FC236}">
                <a16:creationId xmlns:a16="http://schemas.microsoft.com/office/drawing/2014/main" id="{B318B1E8-450F-A0F1-92C4-9002C1D838B3}"/>
              </a:ext>
            </a:extLst>
          </xdr:cNvPr>
          <xdr:cNvSpPr/>
        </xdr:nvSpPr>
        <xdr:spPr>
          <a:xfrm>
            <a:off x="8739909" y="1489365"/>
            <a:ext cx="5795818" cy="3175000"/>
          </a:xfrm>
          <a:prstGeom prst="roundRect">
            <a:avLst>
              <a:gd name="adj" fmla="val 2441"/>
            </a:avLst>
          </a:prstGeom>
          <a:solidFill>
            <a:srgbClr val="FECC0C">
              <a:alpha val="8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0" name="Retângulo: Cantos Arredondados 19">
            <a:extLst>
              <a:ext uri="{FF2B5EF4-FFF2-40B4-BE49-F238E27FC236}">
                <a16:creationId xmlns:a16="http://schemas.microsoft.com/office/drawing/2014/main" id="{C38B6BE5-D55D-130B-E026-5BDB88DE7F1C}"/>
              </a:ext>
            </a:extLst>
          </xdr:cNvPr>
          <xdr:cNvSpPr/>
        </xdr:nvSpPr>
        <xdr:spPr>
          <a:xfrm>
            <a:off x="8750709" y="1498491"/>
            <a:ext cx="5774218" cy="261172"/>
          </a:xfrm>
          <a:prstGeom prst="roundRect">
            <a:avLst>
              <a:gd name="adj" fmla="val 22662"/>
            </a:avLst>
          </a:prstGeom>
          <a:solidFill>
            <a:srgbClr val="0043B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10</xdr:col>
      <xdr:colOff>251986</xdr:colOff>
      <xdr:row>24</xdr:row>
      <xdr:rowOff>14404</xdr:rowOff>
    </xdr:from>
    <xdr:to>
      <xdr:col>17</xdr:col>
      <xdr:colOff>38719</xdr:colOff>
      <xdr:row>39</xdr:row>
      <xdr:rowOff>106272</xdr:rowOff>
    </xdr:to>
    <xdr:grpSp>
      <xdr:nvGrpSpPr>
        <xdr:cNvPr id="21" name="Agrupar 20">
          <a:extLst>
            <a:ext uri="{FF2B5EF4-FFF2-40B4-BE49-F238E27FC236}">
              <a16:creationId xmlns:a16="http://schemas.microsoft.com/office/drawing/2014/main" id="{B5AB70CB-9480-4F4D-9AA9-A2EDC5D00439}"/>
            </a:ext>
          </a:extLst>
        </xdr:cNvPr>
        <xdr:cNvGrpSpPr/>
      </xdr:nvGrpSpPr>
      <xdr:grpSpPr>
        <a:xfrm>
          <a:off x="6347986" y="4403524"/>
          <a:ext cx="4053933" cy="2842688"/>
          <a:chOff x="8739909" y="1489365"/>
          <a:chExt cx="5795818" cy="3175000"/>
        </a:xfrm>
        <a:solidFill>
          <a:srgbClr val="FECC0C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2" name="Retângulo: Cantos Arredondados 21">
            <a:extLst>
              <a:ext uri="{FF2B5EF4-FFF2-40B4-BE49-F238E27FC236}">
                <a16:creationId xmlns:a16="http://schemas.microsoft.com/office/drawing/2014/main" id="{82ACB272-6356-697D-8E07-DD061129E34F}"/>
              </a:ext>
            </a:extLst>
          </xdr:cNvPr>
          <xdr:cNvSpPr/>
        </xdr:nvSpPr>
        <xdr:spPr>
          <a:xfrm>
            <a:off x="8739909" y="1489365"/>
            <a:ext cx="5795818" cy="3175000"/>
          </a:xfrm>
          <a:prstGeom prst="roundRect">
            <a:avLst>
              <a:gd name="adj" fmla="val 2441"/>
            </a:avLst>
          </a:prstGeom>
          <a:solidFill>
            <a:srgbClr val="FECC0C">
              <a:alpha val="8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3" name="Retângulo: Cantos Arredondados 22">
            <a:extLst>
              <a:ext uri="{FF2B5EF4-FFF2-40B4-BE49-F238E27FC236}">
                <a16:creationId xmlns:a16="http://schemas.microsoft.com/office/drawing/2014/main" id="{F588047E-184F-BAE6-B1FF-2314F1609425}"/>
              </a:ext>
            </a:extLst>
          </xdr:cNvPr>
          <xdr:cNvSpPr/>
        </xdr:nvSpPr>
        <xdr:spPr>
          <a:xfrm>
            <a:off x="8750709" y="1498491"/>
            <a:ext cx="5774218" cy="261172"/>
          </a:xfrm>
          <a:prstGeom prst="roundRect">
            <a:avLst>
              <a:gd name="adj" fmla="val 22662"/>
            </a:avLst>
          </a:prstGeom>
          <a:solidFill>
            <a:srgbClr val="0043B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17</xdr:col>
      <xdr:colOff>71398</xdr:colOff>
      <xdr:row>24</xdr:row>
      <xdr:rowOff>11926</xdr:rowOff>
    </xdr:from>
    <xdr:to>
      <xdr:col>23</xdr:col>
      <xdr:colOff>281940</xdr:colOff>
      <xdr:row>39</xdr:row>
      <xdr:rowOff>103794</xdr:rowOff>
    </xdr:to>
    <xdr:grpSp>
      <xdr:nvGrpSpPr>
        <xdr:cNvPr id="24" name="Agrupar 23">
          <a:extLst>
            <a:ext uri="{FF2B5EF4-FFF2-40B4-BE49-F238E27FC236}">
              <a16:creationId xmlns:a16="http://schemas.microsoft.com/office/drawing/2014/main" id="{549882D4-A47C-4AA5-B853-808AB2594697}"/>
            </a:ext>
          </a:extLst>
        </xdr:cNvPr>
        <xdr:cNvGrpSpPr/>
      </xdr:nvGrpSpPr>
      <xdr:grpSpPr>
        <a:xfrm>
          <a:off x="10434598" y="4401046"/>
          <a:ext cx="3868142" cy="2842688"/>
          <a:chOff x="8739910" y="1489365"/>
          <a:chExt cx="5667791" cy="3175000"/>
        </a:xfrm>
        <a:solidFill>
          <a:srgbClr val="FECC0C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5" name="Retângulo: Cantos Arredondados 24">
            <a:extLst>
              <a:ext uri="{FF2B5EF4-FFF2-40B4-BE49-F238E27FC236}">
                <a16:creationId xmlns:a16="http://schemas.microsoft.com/office/drawing/2014/main" id="{6E468EDC-860D-4D8F-08EE-F634A387AB17}"/>
              </a:ext>
            </a:extLst>
          </xdr:cNvPr>
          <xdr:cNvSpPr/>
        </xdr:nvSpPr>
        <xdr:spPr>
          <a:xfrm>
            <a:off x="8739910" y="1489365"/>
            <a:ext cx="5667791" cy="3175000"/>
          </a:xfrm>
          <a:prstGeom prst="roundRect">
            <a:avLst>
              <a:gd name="adj" fmla="val 2441"/>
            </a:avLst>
          </a:prstGeom>
          <a:solidFill>
            <a:srgbClr val="FECC0C">
              <a:alpha val="8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6" name="Retângulo: Cantos Arredondados 25">
            <a:extLst>
              <a:ext uri="{FF2B5EF4-FFF2-40B4-BE49-F238E27FC236}">
                <a16:creationId xmlns:a16="http://schemas.microsoft.com/office/drawing/2014/main" id="{842CF5FA-73E3-A63F-7023-EE1C2C0A10B6}"/>
              </a:ext>
            </a:extLst>
          </xdr:cNvPr>
          <xdr:cNvSpPr/>
        </xdr:nvSpPr>
        <xdr:spPr>
          <a:xfrm>
            <a:off x="8750709" y="1498490"/>
            <a:ext cx="5645827" cy="267662"/>
          </a:xfrm>
          <a:prstGeom prst="roundRect">
            <a:avLst>
              <a:gd name="adj" fmla="val 22662"/>
            </a:avLst>
          </a:prstGeom>
          <a:solidFill>
            <a:srgbClr val="0043B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3</xdr:col>
      <xdr:colOff>427618</xdr:colOff>
      <xdr:row>1</xdr:row>
      <xdr:rowOff>15488</xdr:rowOff>
    </xdr:from>
    <xdr:to>
      <xdr:col>7</xdr:col>
      <xdr:colOff>170366</xdr:colOff>
      <xdr:row>7</xdr:row>
      <xdr:rowOff>54208</xdr:rowOff>
    </xdr:to>
    <xdr:sp macro="" textlink="">
      <xdr:nvSpPr>
        <xdr:cNvPr id="27" name="Retângulo: Cantos Arredondados 26">
          <a:extLst>
            <a:ext uri="{FF2B5EF4-FFF2-40B4-BE49-F238E27FC236}">
              <a16:creationId xmlns:a16="http://schemas.microsoft.com/office/drawing/2014/main" id="{AF069F4F-223E-4603-9296-76E751B7D9AE}"/>
            </a:ext>
          </a:extLst>
        </xdr:cNvPr>
        <xdr:cNvSpPr/>
      </xdr:nvSpPr>
      <xdr:spPr>
        <a:xfrm>
          <a:off x="2256418" y="198368"/>
          <a:ext cx="2181148" cy="1136000"/>
        </a:xfrm>
        <a:prstGeom prst="roundRect">
          <a:avLst>
            <a:gd name="adj" fmla="val 13291"/>
          </a:avLst>
        </a:prstGeom>
        <a:solidFill>
          <a:srgbClr val="0043B9">
            <a:alpha val="9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278006</xdr:colOff>
      <xdr:row>1</xdr:row>
      <xdr:rowOff>5267</xdr:rowOff>
    </xdr:from>
    <xdr:to>
      <xdr:col>11</xdr:col>
      <xdr:colOff>20754</xdr:colOff>
      <xdr:row>7</xdr:row>
      <xdr:rowOff>43987</xdr:rowOff>
    </xdr:to>
    <xdr:sp macro="" textlink="">
      <xdr:nvSpPr>
        <xdr:cNvPr id="28" name="Retângulo: Cantos Arredondados 27">
          <a:extLst>
            <a:ext uri="{FF2B5EF4-FFF2-40B4-BE49-F238E27FC236}">
              <a16:creationId xmlns:a16="http://schemas.microsoft.com/office/drawing/2014/main" id="{CC717BB8-224F-41F4-BAF9-F92EB1141D0F}"/>
            </a:ext>
          </a:extLst>
        </xdr:cNvPr>
        <xdr:cNvSpPr/>
      </xdr:nvSpPr>
      <xdr:spPr>
        <a:xfrm>
          <a:off x="4545206" y="188147"/>
          <a:ext cx="2181148" cy="1136000"/>
        </a:xfrm>
        <a:prstGeom prst="roundRect">
          <a:avLst>
            <a:gd name="adj" fmla="val 13291"/>
          </a:avLst>
        </a:prstGeom>
        <a:solidFill>
          <a:srgbClr val="0043B9">
            <a:alpha val="9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136137</xdr:colOff>
      <xdr:row>1</xdr:row>
      <xdr:rowOff>10533</xdr:rowOff>
    </xdr:from>
    <xdr:to>
      <xdr:col>14</xdr:col>
      <xdr:colOff>490653</xdr:colOff>
      <xdr:row>7</xdr:row>
      <xdr:rowOff>49253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4162BD57-3480-4F64-962F-1F03B9E4E3C2}"/>
            </a:ext>
          </a:extLst>
        </xdr:cNvPr>
        <xdr:cNvSpPr/>
      </xdr:nvSpPr>
      <xdr:spPr>
        <a:xfrm>
          <a:off x="6841737" y="193413"/>
          <a:ext cx="2183316" cy="1136000"/>
        </a:xfrm>
        <a:prstGeom prst="roundRect">
          <a:avLst>
            <a:gd name="adj" fmla="val 13291"/>
          </a:avLst>
        </a:prstGeom>
        <a:solidFill>
          <a:srgbClr val="0043B9">
            <a:alpha val="9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2013</xdr:colOff>
      <xdr:row>1</xdr:row>
      <xdr:rowOff>8055</xdr:rowOff>
    </xdr:from>
    <xdr:to>
      <xdr:col>18</xdr:col>
      <xdr:colOff>356529</xdr:colOff>
      <xdr:row>7</xdr:row>
      <xdr:rowOff>46775</xdr:rowOff>
    </xdr:to>
    <xdr:sp macro="" textlink="">
      <xdr:nvSpPr>
        <xdr:cNvPr id="30" name="Retângulo: Cantos Arredondados 29">
          <a:extLst>
            <a:ext uri="{FF2B5EF4-FFF2-40B4-BE49-F238E27FC236}">
              <a16:creationId xmlns:a16="http://schemas.microsoft.com/office/drawing/2014/main" id="{A824E6A9-19CA-4B0F-AFB1-E7B25A877582}"/>
            </a:ext>
          </a:extLst>
        </xdr:cNvPr>
        <xdr:cNvSpPr/>
      </xdr:nvSpPr>
      <xdr:spPr>
        <a:xfrm>
          <a:off x="9146013" y="190935"/>
          <a:ext cx="2183316" cy="1136000"/>
        </a:xfrm>
        <a:prstGeom prst="roundRect">
          <a:avLst>
            <a:gd name="adj" fmla="val 13291"/>
          </a:avLst>
        </a:prstGeom>
        <a:solidFill>
          <a:srgbClr val="0043B9">
            <a:alpha val="9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sao Cunha Santos" refreshedDate="45064.67363715278" createdVersion="8" refreshedVersion="8" minRefreshableVersion="3" recordCount="5" xr:uid="{2BE44A82-BACF-41C3-BEE6-CD3552833EC9}">
  <cacheSource type="worksheet">
    <worksheetSource name="Postos"/>
  </cacheSource>
  <cacheFields count="19">
    <cacheField name="ID" numFmtId="0">
      <sharedItems containsSemiMixedTypes="0" containsString="0" containsNumber="1" containsInteger="1" minValue="1" maxValue="1" count="1">
        <n v="1"/>
      </sharedItems>
    </cacheField>
    <cacheField name="IDADE" numFmtId="0">
      <sharedItems count="5">
        <s v="50"/>
        <s v="35"/>
        <s v="34"/>
        <s v="61"/>
        <s v="36"/>
      </sharedItems>
    </cacheField>
    <cacheField name="GÊNERO" numFmtId="0">
      <sharedItems/>
    </cacheField>
    <cacheField name="REGIÃO" numFmtId="0">
      <sharedItems count="4">
        <s v="Sudeste"/>
        <s v="Nordeste"/>
        <s v="Sul"/>
        <s v="Centro-Oeste"/>
      </sharedItems>
    </cacheField>
    <cacheField name="MEIO DE LOCOMOÇÃO" numFmtId="0">
      <sharedItems count="4">
        <s v="Carro"/>
        <s v="Moto"/>
        <s v="Caminhão"/>
        <s v="Coletivo"/>
      </sharedItems>
    </cacheField>
    <cacheField name="FREQUENCIA DE ABASTECIMENTO" numFmtId="0">
      <sharedItems count="2">
        <s v="Mais que 3 vezes na semana"/>
        <s v="1 vez por semana"/>
      </sharedItems>
    </cacheField>
    <cacheField name="KM / DIA" numFmtId="0">
      <sharedItems containsSemiMixedTypes="0" containsString="0" containsNumber="1" containsInteger="1" minValue="5" maxValue="10" count="3">
        <n v="10"/>
        <n v="5"/>
        <n v="8"/>
      </sharedItems>
    </cacheField>
    <cacheField name="VALORES UTILIZADOS NO ABASTECIMENTO" numFmtId="0">
      <sharedItems count="2">
        <s v="Mais de 100 reais"/>
        <s v="Entre 50 e 100 reais"/>
      </sharedItems>
    </cacheField>
    <cacheField name="POSTO DE GASOLINA" numFmtId="0">
      <sharedItems count="1">
        <s v="Ipiranga"/>
      </sharedItems>
    </cacheField>
    <cacheField name="POSTO DE GASOLINA 2" numFmtId="0">
      <sharedItems containsBlank="1" count="2">
        <s v="Shell"/>
        <m/>
      </sharedItems>
    </cacheField>
    <cacheField name="POSTO DE GASOLINA 3" numFmtId="0">
      <sharedItems containsBlank="1" count="2">
        <s v="Rede Graal"/>
        <m/>
      </sharedItems>
    </cacheField>
    <cacheField name="FREQUENCIA DE UTILIZAÇÃO DO APP" numFmtId="0">
      <sharedItems count="3">
        <s v="Sempre utilizo"/>
        <s v="As vezes utilizo"/>
        <s v="Nunca utilizei"/>
      </sharedItems>
    </cacheField>
    <cacheField name="CONHECE O APP &quot;ABASTECE AÍ&quot;" numFmtId="0">
      <sharedItems/>
    </cacheField>
    <cacheField name="BENEFÍCIOS 1" numFmtId="0">
      <sharedItems/>
    </cacheField>
    <cacheField name="BENEFÍCIOS 2" numFmtId="0">
      <sharedItems containsBlank="1"/>
    </cacheField>
    <cacheField name="BENEFÍCIOS 3" numFmtId="0">
      <sharedItems containsBlank="1"/>
    </cacheField>
    <cacheField name="BARREIRA DE UTILIZAÇÃO DO APP" numFmtId="0">
      <sharedItems/>
    </cacheField>
    <cacheField name="FATORES DE UTILIZAÇÃO" numFmtId="0">
      <sharedItems/>
    </cacheField>
    <cacheField name="RECOMENAÇÃO DE 1 A 5" numFmtId="0">
      <sharedItems containsSemiMixedTypes="0" containsString="0" containsNumber="1" containsInteger="1" minValue="3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sao Cunha Santos" refreshedDate="45065.587763541669" createdVersion="8" refreshedVersion="8" minRefreshableVersion="3" recordCount="321" xr:uid="{DF017CD0-D1E7-4647-968B-EA6DF6890353}">
  <cacheSource type="worksheet">
    <worksheetSource name="Table15"/>
  </cacheSource>
  <cacheFields count="30">
    <cacheField name="ID" numFmtId="0">
      <sharedItems containsString="0" containsBlank="1" containsNumber="1" containsInteger="1" minValue="1" maxValue="1" count="2">
        <n v="1"/>
        <m/>
      </sharedItems>
    </cacheField>
    <cacheField name="IDADE" numFmtId="0">
      <sharedItems containsBlank="1" containsMixedTypes="1" containsNumber="1" containsInteger="1" minValue="18" maxValue="69"/>
    </cacheField>
    <cacheField name="GÊNERO" numFmtId="0">
      <sharedItems containsBlank="1" count="4">
        <s v="Masculino"/>
        <s v="Feminino"/>
        <s v="Prefiro não responder"/>
        <m/>
      </sharedItems>
    </cacheField>
    <cacheField name="REGIÃO" numFmtId="0">
      <sharedItems containsBlank="1" count="6">
        <s v="Sudeste"/>
        <s v="Nordeste"/>
        <s v="Centro-Oeste"/>
        <s v="Sul"/>
        <s v="Norte"/>
        <m/>
      </sharedItems>
    </cacheField>
    <cacheField name="MEIO DE LOCOMOÇÃO" numFmtId="0">
      <sharedItems containsBlank="1" count="5">
        <s v="Carro"/>
        <s v="Transporte público"/>
        <s v="Caminhão"/>
        <s v="Motocicleta"/>
        <m/>
      </sharedItems>
    </cacheField>
    <cacheField name="FRAQUENCIA DE ABASTECIMENTO" numFmtId="0">
      <sharedItems containsBlank="1" count="5">
        <s v="Mais que 3 vezes na semana"/>
        <s v="1 vez por semana"/>
        <s v="2 a 3 vezes na semana"/>
        <s v="2 a 3 vezes por semana"/>
        <m/>
      </sharedItems>
    </cacheField>
    <cacheField name="KM/DIA" numFmtId="0">
      <sharedItems containsString="0" containsBlank="1" containsNumber="1" containsInteger="1" minValue="1" maxValue="10" count="11">
        <n v="10"/>
        <n v="5"/>
        <n v="8"/>
        <n v="1"/>
        <n v="6"/>
        <n v="2"/>
        <n v="7"/>
        <n v="4"/>
        <n v="3"/>
        <n v="9"/>
        <m/>
      </sharedItems>
    </cacheField>
    <cacheField name="GASTO COM COMBUSTIVEL" numFmtId="0">
      <sharedItems containsBlank="1" count="5">
        <s v="Mais de 100 reais"/>
        <s v="Entre 50 e 100 reais"/>
        <s v="Entre 20 e 50 reais"/>
        <s v="Menos de 20 reais"/>
        <m/>
      </sharedItems>
    </cacheField>
    <cacheField name="POSTO 1" numFmtId="0">
      <sharedItems containsBlank="1" count="10">
        <s v="Ipiranga"/>
        <s v="Shell"/>
        <s v="Setee"/>
        <s v="Petrobras"/>
        <s v="Boxxter"/>
        <s v="Ale"/>
        <s v="Rede Graal"/>
        <s v="Rede Sim"/>
        <s v="Setta"/>
        <m/>
      </sharedItems>
    </cacheField>
    <cacheField name="POSTO 2" numFmtId="0">
      <sharedItems containsBlank="1" count="9">
        <s v="Shell"/>
        <m/>
        <s v="Larco"/>
        <s v="Setta"/>
        <s v="Setee"/>
        <s v="Sim"/>
        <s v="Rede Sim"/>
        <s v="Ale"/>
        <s v="Boxxter"/>
      </sharedItems>
    </cacheField>
    <cacheField name="POSTO 3" numFmtId="0">
      <sharedItems containsBlank="1" count="8">
        <s v="Rede Graal"/>
        <m/>
        <s v="Larco"/>
        <s v="Setta"/>
        <s v="Setee"/>
        <s v="Boxxter"/>
        <s v="Ale"/>
        <s v="Petrobras"/>
      </sharedItems>
    </cacheField>
    <cacheField name="POSTO 4" numFmtId="0">
      <sharedItems containsBlank="1" count="6">
        <m/>
        <s v="Larco"/>
        <s v="Setta"/>
        <s v="Rede Sim"/>
        <s v="Petrobras"/>
        <s v="Rede Graal"/>
      </sharedItems>
    </cacheField>
    <cacheField name="POSTO 5" numFmtId="0">
      <sharedItems containsBlank="1"/>
    </cacheField>
    <cacheField name="POSTO 6" numFmtId="0">
      <sharedItems containsBlank="1"/>
    </cacheField>
    <cacheField name="POSTO 7" numFmtId="0">
      <sharedItems containsBlank="1"/>
    </cacheField>
    <cacheField name="POSTO 8" numFmtId="0">
      <sharedItems containsBlank="1"/>
    </cacheField>
    <cacheField name="PRINCIPAIS PONTOS 1" numFmtId="0">
      <sharedItems containsBlank="1" count="8">
        <s v="Descontos via app"/>
        <s v="Qualidade da gasolina"/>
        <s v="Bandeira do posto"/>
        <s v="Possibilidade de lavagem do veículo"/>
        <s v="Atendimento ágil e cordial"/>
        <s v="Fácil acesso em seu trajeto diário"/>
        <s v="Loja de conveniência"/>
        <m/>
      </sharedItems>
    </cacheField>
    <cacheField name="PRINCIPAIS PONTOS 2" numFmtId="0">
      <sharedItems containsBlank="1" count="8">
        <s v="Facilidade de pagamento (Sem Parar, PIX ou via App)"/>
        <s v="Fácil acesso em seu trajeto diário"/>
        <s v="Bandeira do posto"/>
        <m/>
        <s v="Qualidade da gasolina"/>
        <s v="Atendimento ágil e cordial"/>
        <s v="Possibilidade de lavagem do veículo"/>
        <s v="Loja de conveniência"/>
      </sharedItems>
    </cacheField>
    <cacheField name="PRINCIPAIS PONTOS 3" numFmtId="0">
      <sharedItems containsBlank="1" count="4">
        <m/>
        <s v="Descontos via app"/>
        <s v="Facilidade de pagamento (Sem Parar, PIX ou via App)"/>
        <s v="Atendimento ágil e cordial"/>
      </sharedItems>
    </cacheField>
    <cacheField name="FREQUENCIA DE UTILIZAÇÃO APP" numFmtId="0">
      <sharedItems containsBlank="1" count="4">
        <s v="Sempre utilizo"/>
        <s v="As vezes utilizo"/>
        <s v="Nunca utilizei"/>
        <m/>
      </sharedItems>
    </cacheField>
    <cacheField name="CONHECE APP ABASTECE AI?" numFmtId="0">
      <sharedItems containsBlank="1" count="4">
        <s v="Conheço e sempre utilizo"/>
        <s v="Conheço mas não utilizo"/>
        <s v="Não conheço"/>
        <m/>
      </sharedItems>
    </cacheField>
    <cacheField name="BENEFÍCIOS DO APP 1" numFmtId="0">
      <sharedItems containsBlank="1"/>
    </cacheField>
    <cacheField name="BENEFÍCIOS DO APP 2" numFmtId="0">
      <sharedItems containsBlank="1"/>
    </cacheField>
    <cacheField name="BENEFÍCIOS DO APP 3" numFmtId="0">
      <sharedItems containsBlank="1"/>
    </cacheField>
    <cacheField name="BENEFÍCIOS DO APP 4" numFmtId="0">
      <sharedItems containsBlank="1"/>
    </cacheField>
    <cacheField name="Qual a principal barreira para a utilização de um aplicativo para ganhar benefícios em postos de abastecimento?" numFmtId="0">
      <sharedItems containsBlank="1" count="5">
        <s v="Variedade de Apps para os diferentes postos"/>
        <s v="Não oferecer a alternativa para o cliente ao abastecer"/>
        <s v="Pouca divulgação"/>
        <s v="Poucos benefícios"/>
        <m/>
      </sharedItems>
    </cacheField>
    <cacheField name="Quais são os principais fatores que o levam a escolher o posto Ipiranga para abastecer seu veículo?" numFmtId="0">
      <sharedItems containsBlank="1" count="132">
        <s v="Qualidade do combustível"/>
        <s v="A utilização do app, e qualidade de combustível, e preço competitivo"/>
        <s v="Segurança em um combustível de qualidade "/>
        <s v="Qualidade do combustível "/>
        <s v="Proximidade com a minha residência. Preço bom da gasolina."/>
        <s v="Localização "/>
        <s v="Confiabilidade e preço."/>
        <s v="Rede confiável "/>
        <s v="Próximo a minha casa "/>
        <s v="Melhor localizado "/>
        <s v="Propaganda "/>
        <s v="Proximo a minha residência. "/>
        <s v="Qualidade "/>
        <s v="Qualidade e educação dos frentistas"/>
        <s v="preço do combustivel"/>
        <s v="Perto da minha residência "/>
        <s v="Qualidade e serviços. "/>
        <s v="Pela bandeira"/>
        <s v="Gasolina de qualidade "/>
        <s v="Nenhum"/>
        <s v="Preço e localização."/>
        <s v="Qualidade no combustível "/>
        <s v="Não abasteço no Ipiranga ! "/>
        <s v="Qualidade do combustível ."/>
        <s v="Preço "/>
        <s v="Nenhuma"/>
        <s v="Marca de qualidade"/>
        <m/>
        <s v="Qualidade"/>
        <s v="Boa gasolina"/>
        <s v="Nenhim"/>
        <s v="Qualidade e a aceitação de app."/>
        <s v="Preço competitivo."/>
        <s v="Localização conveniente."/>
        <s v="Qualidade do combustível."/>
        <s v="Programa de fidelidade atrativo."/>
        <s v="Variedade de serviços oferecidos."/>
        <s v="Horário estendido de funcionamento."/>
        <s v="Atendimento rápido e eficiente."/>
        <s v="Segurança nas instalações."/>
        <s v="Ampla disponibilidade de bombas."/>
        <s v="Conveniência de pagamento."/>
        <s v="Limpeza e organização do posto."/>
        <s v="Confiança na marca Ipiranga."/>
        <s v="Aceitação de cartões de crédito/débito."/>
        <s v="Descontos promocionais."/>
        <s v="Possibilidade de acumular milhas."/>
        <s v="Parcerias com empresas e benefícios adicionais."/>
        <s v="Abastecimento com aditivos."/>
        <s v="Amplo estacionamento disponível."/>
        <s v="Serviços de troca de óleo."/>
        <s v="Loja de conveniência bem abastecida."/>
        <s v="Possibilidade de realizar pagamentos de contas."/>
        <s v="Disponibilidade de ar e água para os pneus."/>
        <s v="Qualidade do atendimento dos funcionários."/>
        <s v="Possibilidade de lavar o veículo no local."/>
        <s v="Presença de seguranças no posto."/>
        <s v="Facilidade de acesso para diferentes tipos de veículos."/>
        <s v="Abastecimento rápido."/>
        <s v="Aceitação de vales-combustível."/>
        <s v="Promoções sazonais."/>
        <s v="Ambiente agradável e confortável."/>
        <s v="Possibilidade de acumular pontos em programas de recompensa."/>
        <s v="Comodidades para motoristas, como banheiros limpos."/>
        <s v="Opções de combustíveis especiais, como etanol aditivado."/>
        <s v="Presença de postos de troca de pneus."/>
        <s v="Opções de pagamento por aplicativo."/>
        <s v="Presença de funcionários treinados e capacitados."/>
        <s v="Opções de combustíveis para diferentes necessidades."/>
        <s v="Abastecimento rápido e eficiente."/>
        <s v="Posto bem iluminado durante a noite."/>
        <s v="Disponibilidade de loja de autopeças."/>
        <s v="Aceitação de vales-refeição."/>
        <s v="Disponibilidade de serviços de mecânica básica."/>
        <s v="Uso de tecnologia avançada no abastecimento."/>
        <s v="Oferta de produtos de limpeza automotiva."/>
        <s v="Disponibilidade de ar comprimido para pneus."/>
        <s v="Disponibilidade de recargas para veículos elétricos."/>
        <s v="Opções de pagamento parcelado."/>
        <s v="Disponibilidade de postos com lojas de conveniência 24 horas."/>
        <s v="Existência de postos com áreas de descanso para motoristas."/>
        <s v="Conexão Wi-Fi gratuita no posto."/>
        <s v="Facilidade de acesso aos serviços do posto."/>
        <s v="Postos com espaços para descanso de animais de estimação."/>
        <s v="Disponibilidade de abastecimento de gás natural."/>
        <s v="Postos com áreas de lazer para crianças."/>
        <s v="Aceitação de pagamento via aplicativos de carteira digital."/>
        <s v="Disponibilidade de banheiros adaptados para pessoas com deficiência."/>
        <s v="Presença de caixas eletrônicos no posto."/>
        <s v="Opções de combustíveis ecológicos."/>
        <s v="Postos com áreas de alimentação."/>
        <s v="Opções de combustíveis para veículos pesados."/>
        <s v="Disponibilidade de assistência para troca de pneus."/>
        <s v="Presença de áreas para lavagem de veículos."/>
        <s v="Disponibilidade de carrinhos para transportar compras na loja de conveniência."/>
        <s v="Postos com farmácias ou drogarias."/>
        <s v="Opções de combustíveis aditivados para melhor desempenho."/>
        <s v="Presença de postos com serviços de lava-rápido."/>
        <s v="Disponibilidade de serviços de transporte público próximos ao posto."/>
        <s v="Facilidade de localização e identificação do posto."/>
        <s v="Opções de combustíveis para veículos antigos."/>
        <s v="Disponibilidade de serviços de troca de filtros de veículos."/>
        <s v="Aceitação de pagamento via QR Code."/>
        <s v="Postos com áreas para refeições ao ar livre."/>
        <s v="Opções de combustíveis para veículos de competição."/>
        <s v="Presença de áreas de carregamento para veículos híbridos."/>
        <s v="Disponibilidade de serviços de manutenção automotiva."/>
        <s v="Postos com áreas para descanso de motociclistas."/>
        <s v="Aceitação de pagamento por aproximação."/>
        <s v="Disponibilidade de postos com áreas de entretenimento."/>
        <s v="Opções de combustíveis para veículos de grande porte."/>
        <s v="Presença de postos com serviços de lava a jato."/>
        <s v="Disponibilidade de serviços de alinhamento e balanceamento de veículos."/>
        <s v="Facilidade de encontrar vagas de estacionamento no posto."/>
        <s v="Opções de combustíveis para veículos esportivos."/>
        <s v="Postos com áreas para recreação infantil."/>
        <s v="Aceitação de pagamento via aplicativos de entrega de comida."/>
        <s v="Disponibilidade de postos com áreas de descanso para caminhoneiros."/>
        <s v="Opções de combustíveis para veículos de luxo."/>
        <s v="Presença de postos com serviços de polimento de veículos."/>
        <s v="Disponibilidade de serviços de inspeção veicular."/>
        <s v="Postos com áreas para encontro de clubes de carros antigos."/>
        <s v="Aceitação de pagamento com criptomoedas."/>
        <s v="Disponibilidade de postos com serviços de troca de baterias de veículos elétricos."/>
        <s v="Opções de combustíveis para veículos de transporte público."/>
        <s v="Presença de postos com serviços de troca de correias automotivas."/>
        <s v="Disponibilidade de serviços de despachante para veículos."/>
        <s v="Postos com áreas para realização de eventos automotivos."/>
        <s v="Aceitação de pagamento via pagamento móvel."/>
        <s v="Disponibilidade de postos com serviços de funilaria e pintura."/>
        <s v="Opções de combustíveis para veículos de coleção."/>
        <s v="Presença de postos com serviços de aluguel de veículos."/>
      </sharedItems>
    </cacheField>
    <cacheField name="Descreva sua experiência geral com o aplicativo do posto Ipiranga, incluindo o que você gosta e o que acha que pode ser melhorado." numFmtId="0">
      <sharedItems containsBlank="1" count="70">
        <s v="O aplicativo as vezes trava principalmente na conclusão para o pagamento"/>
        <s v="Eu gosto da proposta do app, e não gosto da estabilidade do app"/>
        <m/>
        <s v="Mais postos em minha região "/>
        <s v="A facilidade do app, porém ele precisa melhorar a conexão e ser mais estável "/>
        <s v="Não quero ter mais aplicativo. Não gosto de aplicativo. "/>
        <s v="Não utilizo "/>
        <s v="Acho burocrático e muito chato usar aplicativos para obter descontos. Não acho que seja uma medida atraente de fidelização."/>
        <s v="Nunca usei"/>
        <s v="Precisaria de mais descontos "/>
        <s v="Ótimo atendimento "/>
        <s v="Valores "/>
        <s v="Não tenho."/>
        <s v="Não o uso muito "/>
        <s v="Tive dificuldades de login"/>
        <s v="Não utilizo"/>
        <s v="Não uso o aplicativo. "/>
        <s v="Não uso app"/>
        <s v="Dar um desconto maior "/>
        <s v="Prática e rápida "/>
        <s v="Nenhuma"/>
        <s v="Não o uso. Porém vou experimentar!"/>
        <s v="Nunca tive"/>
        <s v="Nunca utilizei, pois não abasteço no Ipiranga ! "/>
        <s v="Não utilizo o aplicativo "/>
        <s v="Bom preço  com qualidade"/>
        <s v="Não uso"/>
        <s v="Não aplicável"/>
        <s v="Rápido e seguro "/>
        <s v="Desconto"/>
        <s v="Minha experiência geral com o aplicativo do posto Ipiranga tem sido excelente."/>
        <s v="Gosto da facilidade de uso do aplicativo do posto Ipiranga."/>
        <s v="Acho o aplicativo do posto Ipiranga muito prático e conveniente."/>
        <s v="Gosto da rapidez e eficiência ao realizar pagamentos pelo aplicativo do posto Ipiranga."/>
        <s v="Acho ótimo poder acumular pontos e desfrutar de benefícios através do aplicativo do posto Ipiranga."/>
        <s v="Gosto da possibilidade de localizar postos Ipiranga próximos utilizando o aplicativo."/>
        <s v="O aplicativo do posto Ipiranga me permite gerenciar melhor meus gastos com combustível."/>
        <s v="Acho ótimo receber notificações sobre promoções e descontos exclusivos pelo aplicativo do posto Ipiranga."/>
        <s v="Gosto da variedade de serviços disponíveis no aplicativo do posto Ipiranga."/>
        <s v="A experiência de abastecer meu veículo usando o aplicativo do posto Ipiranga é muito conveniente e ágil."/>
        <s v="Gosto da interface intuitiva e amigável do aplicativo do posto Ipiranga."/>
        <s v="A possibilidade de acumular milhas e trocá-las por recompensas é um dos pontos fortes do aplicativo do posto Ipiranga."/>
        <s v="Acho o aplicativo do posto Ipiranga muito útil para acompanhar o histórico de abastecimentos e gastos."/>
        <s v="Gosto da opção de pré-autorização de pagamento disponível no aplicativo do posto Ipiranga."/>
        <s v="Acho excelente poder encontrar informações detalhadas sobre cada posto Ipiranga através do aplicativo."/>
        <s v="O aplicativo do posto Ipiranga me ajuda a planejar melhor minhas viagens, identificando os postos ao longo do caminho."/>
        <s v="Gosto da praticidade de poder solicitar serviços adicionais, como troca de óleo, diretamente pelo aplicativo do posto Ipiranga."/>
        <s v="A opção de pagamento via QR Code oferecida pelo aplicativo do posto Ipiranga é muito conveniente."/>
        <s v="Gosto da possibilidade de personalizar minhas preferências e receber ofertas personalizadas pelo aplicativo do posto Ipiranga."/>
        <s v="O aplicativo do posto Ipiranga me ajuda a economizar tempo e evitar filas nos postos de combustível."/>
        <s v="Minha experiência geral com o aplicativo do posto Ipiranga tem sido decepcionante."/>
        <s v="Acho o aplicativo do posto Ipiranga confuso e de difícil navegação."/>
        <s v="O aplicativo do posto Ipiranga poderia ser mais intuitivo e fácil de usar."/>
        <s v="A eficiência do aplicativo do posto Ipiranga deixa a desejar, especialmente ao realizar pagamentos."/>
        <s v="Sinto falta de mais benefícios e recompensas atrativas oferecidos pelo aplicativo do posto Ipiranga."/>
        <s v="O aplicativo do posto Ipiranga nem sempre encontra os postos próximos corretamente."/>
        <s v="A gestão dos gastos com combustível através do aplicativo do posto Ipiranga é pouco clara e confusa."/>
        <s v="A falta de notificações relevantes sobre promoções e descontos no aplicativo do posto Ipiranga é frustrante."/>
        <s v="A variedade de serviços disponíveis no aplicativo do posto Ipiranga é limitada e poderia ser expandida."/>
        <s v="A experiência de abastecer meu veículo usando o aplicativo do posto Ipiranga é frequentemente lenta e problemática."/>
        <s v="O design e a usabilidade do aplicativo do posto Ipiranga deixam a desejar."/>
        <s v="A acumulação de milhas e benefícios através do aplicativo do posto Ipiranga é pouco vantajosa."/>
        <s v="Encontrar informações detalhadas sobre cada posto Ipiranga através do aplicativo é uma tarefa difícil."/>
        <s v="O aplicativo do posto Ipiranga falha em fornecer um histórico preciso de abastecimentos e gastos."/>
        <s v="A pré-autorização de pagamento disponível no aplicativo do posto Ipiranga nem sempre funciona corretamente."/>
        <s v="O aplicativo do posto Ipiranga não oferece recursos úteis para planejar viagens ou identificar postos ao longo do caminho."/>
        <s v="A opção de solicitar serviços adicionais, como troca de óleo, pelo aplicativo do posto Ipiranga é pouco eficiente."/>
        <s v="A opção de pagamento via QR Code oferecida pelo aplicativo do posto Ipiranga apresenta problemas de compatibilidade."/>
        <s v="O aplicativo do posto Ipiranga não utiliza adequadamente minhas preferências para oferecer ofertas personalizadas."/>
        <s v="O tempo de resposta do aplicativo do posto Ipiranga é lento, o que resulta em atrasos e inconveniências."/>
      </sharedItems>
    </cacheField>
    <cacheField name="Quais são os principais benefícios que você espera obter ao utilizar aplicativos de postos de gasolina?" numFmtId="0">
      <sharedItems containsBlank="1" count="142">
        <s v="Desconto"/>
        <s v="desconto no combustível "/>
        <m/>
        <s v="Descontos"/>
        <s v="Desconto nos preços"/>
        <s v="Não gosto de aplicativo. Prefiro o desconto na bomba!"/>
        <s v="Descontos e serviços "/>
        <s v="Não acho que deveriam existir. Dar apenas o CPF deveria bastar."/>
        <s v="Desconto grandes mais de 20 reais"/>
        <s v="Desconto "/>
        <s v="Prêmios "/>
        <s v="Desconto."/>
        <s v="desconto no preco"/>
        <s v="Qualidade do combustível, atendimento, benefícios ao consumidor. "/>
        <s v="Menores preços "/>
        <s v="Economia "/>
        <s v="Agilidade no pagamento "/>
        <s v="Pagar menos pela gasolina"/>
        <s v="Desconto considerável "/>
        <s v="Menor preço "/>
        <s v="Não sei"/>
        <s v="Preço "/>
        <s v="Facilidade e conveniência no pagamento."/>
        <s v="Acesso a promoções e descontos exclusivos."/>
        <s v="Acumulação de pontos ou milhas para recompensas."/>
        <s v="Localização rápida e fácil de postos de gasolina próximos."/>
        <s v="Controle e acompanhamento dos gastos com combustível."/>
        <s v="Notificações sobre preços e promoções atualizadas."/>
        <s v="Possibilidade de pré-autorização de pagamento."/>
        <s v="Acesso a serviços adicionais, como troca de óleo ou lavagem de veículos."/>
        <s v="Histórico detalhado de abastecimentos."/>
        <s v="Redução do tempo de espera nas filas do posto de gasolina."/>
        <s v="Possibilidade de pagamento sem precisar sair do veículo."/>
        <s v="Informações sobre a qualidade do combustível oferecido."/>
        <s v="Opções de pagamento diversificadas, como cartões de crédito, débito ou carteiras digitais."/>
        <s v="Recomendações personalizadas com base nos hábitos de abastecimento."/>
        <s v="Mapas de navegação integrados para encontrar o posto mais próximo."/>
        <s v="Informações sobre serviços e comodidades oferecidos nos postos."/>
        <s v="Acesso a programas de fidelidade e vantagens exclusivas."/>
        <s v="Recebimento de cupons ou vouchers para produtos e serviços."/>
        <s v="Compatibilidade com assistentes de voz para facilitar o uso enquanto dirige."/>
        <s v="Possibilidade de agendar serviços de manutenção ou troca de pneus."/>
        <s v="Integração com outros aplicativos relacionados a veículos, como assistência 24 horas."/>
        <s v="Acesso a informações sobre postos com combustíveis especiais ou aditivados."/>
        <s v="Ofertas personalizadas com base nos interesses do usuário."/>
        <s v="Acesso a informações sobre a disponibilidade de vagas de estacionamento nos postos."/>
        <s v="Alertas sobre postos com preços mais baixos em determinada região."/>
        <s v="Acompanhamento do consumo de combustível e eficiência do veículo."/>
        <s v="Possibilidade de compartilhar informações e avaliações sobre postos de gasolina."/>
        <s v="Recursos de segurança, como avaliação da iluminação e presença de câmeras nos postos."/>
        <s v="Notificações sobre manutenção preventiva do veículo."/>
        <s v="Acesso a informações sobre postos com opções de recarga para veículos elétricos."/>
        <s v="Opções de pagamento em parcelas ou crédito para abastecimentos."/>
        <s v="Integração com programas de cashback para receber reembolsos em compras nos postos."/>
        <s v="Acesso a informações sobre postos com serviços de troca de óleo rápido."/>
        <s v="Notificações sobre campanhas de responsabilidade ambiental dos postos."/>
        <s v="Possibilidade de agendar horários de abastecimento em postos movimentados."/>
        <s v="Recursos de navegação por voz até o posto de gasolina selecionado."/>
        <s v="Acesso a informações sobre postos com estrutura adequada para veículos pesados."/>
        <s v="Alertas sobre postos com oferta de combustíveis com melhor rendimento."/>
        <s v="Recursos de realidade aumentada para facilitar a localização dos postos."/>
        <s v="Acesso a informações sobre postos com serviços de assistência mecânica."/>
        <s v="Recomendações de postos com horário estendido de funcionamento."/>
        <s v="Notificações sobre postos com serviços de lavagem a seco ou limpeza interna de veículos."/>
        <s v="Informações sobre postos com estações de recarga para veículos a gás natural."/>
        <s v="Opções de pagamento utilizando pontos de programas de fidelidade."/>
        <s v="Acesso a informações sobre postos com estrutura para atendimento de veículos de emergência."/>
        <s v="Notificações sobre postos com serviços de alinhamento e balanceamento de pneus."/>
        <s v="Recursos de gamificação para tornar a experiência de abastecer mais divertida."/>
        <s v="Acesso a informações sobre postos com serviços de troca de bateria para veículos elétricos."/>
        <s v="Alertas sobre postos com promoções relâmpago ou ofertas por tempo limitado."/>
        <s v="Possibilidade de agendar abastecimentos periódicos de forma automática."/>
        <s v="Recomendações de postos com áreas de descanso e alimentação para longas viagens."/>
        <s v="Notificações sobre postos com serviços de inspeção veicular."/>
        <s v="Informações sobre postos com estrutura para atendimento de veículos adaptados."/>
        <s v="Opções de pagamento com desconto para abastecimentos em determinados horários."/>
        <s v="Acesso a informações sobre postos com serviços de troca de pneus."/>
        <s v="Alertas sobre postos com preços mais baixos durante horários de menor movimento."/>
        <s v="Recursos de realidade virtual para visualizar a estrutura e serviços dos postos."/>
        <s v="Acesso a informações sobre postos com serviços de aluguel de veículos."/>
        <s v="Notificações sobre postos com serviços de manutenção de ar-condicionado automotivo."/>
        <s v="Recomendações de postos com áreas de descanso para motoristas profissionais."/>
        <s v="Alertas sobre postos com serviços de funilaria e pintura."/>
        <s v="Informações sobre postos com estrutura para atendimento de veículos de coleção."/>
        <s v="Opções de pagamento utilizando criptomoedas."/>
        <s v="Acesso a informações sobre postos com serviços de recarga para bicicletas elétricas."/>
        <s v="Notificações sobre postos com serviços de despachante veicular."/>
        <s v="Recursos de tradução para facilitar a utilização do aplicativo em outros idiomas."/>
        <s v="Alertas sobre postos com serviços de troca de correias automotivas."/>
        <s v="Acesso a informações sobre postos com serviços de recarga de ar-condicionado."/>
        <s v="Recomendações de postos com áreas de recreação infantil."/>
        <s v="Notificações sobre postos com serviços de aluguel de patinetes elétricos."/>
        <s v="Informações sobre postos com estrutura para atendimento de veículos de competição."/>
        <s v="Opções de pagamento utilizando vouchers ou cartões-presente."/>
        <s v="Acesso a informações sobre postos com serviços de alinhamento de direção."/>
        <s v="Alertas sobre postos com serviços de polimento automotivo."/>
        <s v="Recursos de orientação para abastecimento de veículos movidos a etanol ou flex."/>
        <s v="Notificações sobre postos com serviços de higienização de veículos."/>
        <s v="Recomendações de postos com áreas de descanso para motociclistas."/>
        <s v="Alertas sobre postos com serviços de balanceamento de rodas."/>
        <s v="Informações sobre postos com estrutura para atendimento de veículos de luxo."/>
        <s v="Opções de pagamento utilizando cartões de vale-refeição."/>
        <s v="Acesso a informações sobre postos com serviços de troca de filtros automotivos."/>
        <s v="Notificações sobre postos com serviços de polimento de faróis."/>
        <s v="Recursos de recomendação de postos com atendimento multilíngue."/>
        <s v="Alertas sobre postos com serviços de revitalização de pintura."/>
        <s v="Informações sobre postos com estrutura para atendimento de veículos off-road."/>
        <s v="Opções de pagamento utilizando aplicativos de carteira digital específicos."/>
        <s v="Acesso a informações sobre postos com serviços de troca de velas de ignição."/>
        <s v="Notificações sobre postos com serviços de martelinho de ouro."/>
        <s v="Recomendações de postos com áreas de descanso para viajantes com animais de estimação."/>
        <s v="Alertas sobre postos com serviços de recuperação de para-brisas trincados."/>
        <s v="Informações sobre postos com estrutura para atendimento de veículos antigos."/>
        <s v="Opções de pagamento utilizando sistemas de pagamento por aproximação."/>
        <s v="Acesso a informações sobre postos com serviços de troca de amortecedores."/>
        <s v="Notificações sobre postos com serviços de limpeza de bancos automotivos."/>
        <s v="Recursos de avaliação e comparação de postos de gasolina por outros usuários."/>
        <s v="Alertas sobre postos com serviços de recarga de extintores veiculares."/>
        <s v="Informações sobre postos com estrutura para atendimento de veículos comerciais."/>
        <s v="Opções de pagamento utilizando códigos QR."/>
        <s v="Acesso a informações sobre postos com serviços de troca de correias dentadas."/>
        <s v="Notificações sobre postos com serviços de higienização de ar-condicionado."/>
        <s v="Recomendações de postos com áreas de descanso para famílias com crianças."/>
        <s v="Alertas sobre postos com serviços de recarga de baterias veiculares."/>
        <s v="Informações sobre postos com estrutura para atendimento de veículos adaptados para pessoas com deficiência."/>
        <s v="Opções de pagamento utilizando aplicativos de pagamentos peer-to-peer."/>
        <s v="Acesso a informações sobre postos com serviços de troca de escapamentos automotivos."/>
        <s v="Notificações sobre postos com serviços de limpeza de motor."/>
        <s v="Recursos de busca por postos com atendimento 24 horas."/>
        <s v="Alertas sobre postos com serviços de recarga de pneus com nitrogênio."/>
        <s v="Informações sobre postos com estrutura para atendimento de veículos de turismo."/>
        <s v="Opções de pagamento utilizando sistemas de pagamento por reconhecimento facial."/>
        <s v="Acesso a informações sobre postos com serviços de troca de palhetas de limpadores de para-brisas."/>
        <s v="Notificações sobre postos com serviços de revitalização de couro automotivo."/>
        <s v="Recomendações de postos com áreas de descanso para ciclistas."/>
        <s v="Alertas sobre postos com serviços de recuperação de rodas amassadas."/>
        <s v="Informações sobre postos com estrutura para atendimento de veículos de transporte de cargas."/>
        <s v="Opções de pagamento utilizando pulseiras ou dispositivos vestíveis."/>
        <s v="Acesso a informações sobre postos com serviços de troca de rolamentos automotivos."/>
        <s v="Notificações sobre postos com serviços de cristalização de pintura automotiva."/>
        <s v="Recursos de busca por postos com acessibilidade para pessoas com mobilidade reduzida."/>
        <s v="Alertas sobre postos com serviços de recuperação de pintura riscada."/>
      </sharedItems>
    </cacheField>
    <cacheField name="Por fim você recomendaria um aplicativo de descontos para abastecimento e serviços em postos de combustível para para amigos e familiares? " numFmtId="0">
      <sharedItems containsString="0" containsBlank="1" containsNumber="1" containsInteger="1" minValue="1" maxValue="5" count="6">
        <n v="4"/>
        <n v="3"/>
        <n v="5"/>
        <n v="1"/>
        <n v="2"/>
        <m/>
      </sharedItems>
    </cacheField>
  </cacheFields>
  <extLst>
    <ext xmlns:x14="http://schemas.microsoft.com/office/spreadsheetml/2009/9/main" uri="{725AE2AE-9491-48be-B2B4-4EB974FC3084}">
      <x14:pivotCacheDefinition pivotCacheId="145290389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x v="0"/>
    <s v="Masculino"/>
    <x v="0"/>
    <x v="0"/>
    <x v="0"/>
    <x v="0"/>
    <x v="0"/>
    <x v="0"/>
    <x v="0"/>
    <x v="0"/>
    <x v="0"/>
    <s v="Conheço e sempre utilizo"/>
    <s v="Descontos"/>
    <m/>
    <m/>
    <s v="Variedade de Apps para os diferentes postos"/>
    <s v="Qualidade do combustível"/>
    <n v="4"/>
  </r>
  <r>
    <x v="0"/>
    <x v="1"/>
    <s v="Masculino"/>
    <x v="1"/>
    <x v="1"/>
    <x v="1"/>
    <x v="1"/>
    <x v="0"/>
    <x v="0"/>
    <x v="0"/>
    <x v="1"/>
    <x v="1"/>
    <s v="Conheço e sempre utilizo"/>
    <s v="Descontos"/>
    <s v="Cashback"/>
    <s v="Serviços gratuitos"/>
    <s v="Não oferecer a alternativa para o cliente ao abastecer"/>
    <s v="A utilização do app, e qualidade de combustível, e preço competitivo"/>
    <n v="3"/>
  </r>
  <r>
    <x v="0"/>
    <x v="2"/>
    <s v="Feminino"/>
    <x v="2"/>
    <x v="2"/>
    <x v="1"/>
    <x v="2"/>
    <x v="0"/>
    <x v="0"/>
    <x v="1"/>
    <x v="1"/>
    <x v="2"/>
    <s v="Conheço mas não utilizo"/>
    <s v="Descontos"/>
    <s v="Cashback"/>
    <s v="Serviços gratuitos"/>
    <s v="Variedade de Apps para os diferentes postos"/>
    <s v="Segurança em um combustível de qualidade "/>
    <n v="4"/>
  </r>
  <r>
    <x v="0"/>
    <x v="3"/>
    <s v="Masculino"/>
    <x v="3"/>
    <x v="0"/>
    <x v="0"/>
    <x v="0"/>
    <x v="1"/>
    <x v="0"/>
    <x v="1"/>
    <x v="1"/>
    <x v="2"/>
    <s v="Conheço mas não utilizo"/>
    <s v="Descontos"/>
    <m/>
    <m/>
    <s v="Pouca divulgação"/>
    <s v="Qualidade do combustível "/>
    <n v="5"/>
  </r>
  <r>
    <x v="0"/>
    <x v="4"/>
    <s v="Masculino"/>
    <x v="1"/>
    <x v="3"/>
    <x v="1"/>
    <x v="1"/>
    <x v="0"/>
    <x v="0"/>
    <x v="0"/>
    <x v="1"/>
    <x v="1"/>
    <s v="Conheço e sempre utilizo"/>
    <s v="Descontos"/>
    <s v="Cashback"/>
    <s v="Serviços gratuitos"/>
    <s v="Não oferecer a alternativa para o cliente ao abastecer"/>
    <s v="A utilização do app, e qualidade de combustível, e preço competitivo"/>
    <n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1">
  <r>
    <x v="0"/>
    <s v="50"/>
    <x v="0"/>
    <x v="0"/>
    <x v="0"/>
    <x v="0"/>
    <x v="0"/>
    <x v="0"/>
    <x v="0"/>
    <x v="0"/>
    <x v="0"/>
    <x v="0"/>
    <m/>
    <m/>
    <m/>
    <m/>
    <x v="0"/>
    <x v="0"/>
    <x v="0"/>
    <x v="0"/>
    <x v="0"/>
    <s v="Descontos"/>
    <m/>
    <m/>
    <m/>
    <x v="0"/>
    <x v="0"/>
    <x v="0"/>
    <x v="0"/>
    <x v="0"/>
  </r>
  <r>
    <x v="0"/>
    <s v="35"/>
    <x v="0"/>
    <x v="0"/>
    <x v="0"/>
    <x v="1"/>
    <x v="1"/>
    <x v="0"/>
    <x v="0"/>
    <x v="0"/>
    <x v="1"/>
    <x v="0"/>
    <m/>
    <m/>
    <m/>
    <m/>
    <x v="1"/>
    <x v="1"/>
    <x v="1"/>
    <x v="1"/>
    <x v="0"/>
    <s v="Descontos"/>
    <s v="Cashback"/>
    <s v="Serviços gratuitos"/>
    <m/>
    <x v="1"/>
    <x v="1"/>
    <x v="1"/>
    <x v="1"/>
    <x v="1"/>
  </r>
  <r>
    <x v="0"/>
    <s v="34"/>
    <x v="1"/>
    <x v="0"/>
    <x v="0"/>
    <x v="1"/>
    <x v="2"/>
    <x v="0"/>
    <x v="0"/>
    <x v="1"/>
    <x v="1"/>
    <x v="0"/>
    <m/>
    <m/>
    <m/>
    <m/>
    <x v="1"/>
    <x v="2"/>
    <x v="0"/>
    <x v="2"/>
    <x v="1"/>
    <s v="Descontos"/>
    <s v="Cashback"/>
    <s v="Serviços gratuitos"/>
    <m/>
    <x v="0"/>
    <x v="2"/>
    <x v="2"/>
    <x v="2"/>
    <x v="0"/>
  </r>
  <r>
    <x v="0"/>
    <s v="61"/>
    <x v="0"/>
    <x v="0"/>
    <x v="0"/>
    <x v="0"/>
    <x v="0"/>
    <x v="1"/>
    <x v="0"/>
    <x v="1"/>
    <x v="1"/>
    <x v="0"/>
    <m/>
    <m/>
    <m/>
    <m/>
    <x v="1"/>
    <x v="3"/>
    <x v="0"/>
    <x v="2"/>
    <x v="1"/>
    <s v="Descontos"/>
    <m/>
    <m/>
    <m/>
    <x v="2"/>
    <x v="3"/>
    <x v="3"/>
    <x v="3"/>
    <x v="2"/>
  </r>
  <r>
    <x v="0"/>
    <s v="35"/>
    <x v="0"/>
    <x v="0"/>
    <x v="0"/>
    <x v="1"/>
    <x v="1"/>
    <x v="0"/>
    <x v="0"/>
    <x v="1"/>
    <x v="1"/>
    <x v="0"/>
    <m/>
    <m/>
    <m/>
    <m/>
    <x v="1"/>
    <x v="1"/>
    <x v="0"/>
    <x v="1"/>
    <x v="0"/>
    <s v="Descontos"/>
    <s v="Serviços gratuitos"/>
    <m/>
    <m/>
    <x v="0"/>
    <x v="3"/>
    <x v="4"/>
    <x v="4"/>
    <x v="0"/>
  </r>
  <r>
    <x v="0"/>
    <s v="57"/>
    <x v="1"/>
    <x v="0"/>
    <x v="1"/>
    <x v="1"/>
    <x v="3"/>
    <x v="0"/>
    <x v="1"/>
    <x v="1"/>
    <x v="1"/>
    <x v="0"/>
    <m/>
    <m/>
    <m/>
    <m/>
    <x v="2"/>
    <x v="4"/>
    <x v="0"/>
    <x v="2"/>
    <x v="1"/>
    <s v="Descontos"/>
    <m/>
    <m/>
    <m/>
    <x v="3"/>
    <x v="4"/>
    <x v="5"/>
    <x v="5"/>
    <x v="3"/>
  </r>
  <r>
    <x v="0"/>
    <s v="42"/>
    <x v="1"/>
    <x v="0"/>
    <x v="0"/>
    <x v="1"/>
    <x v="3"/>
    <x v="0"/>
    <x v="0"/>
    <x v="1"/>
    <x v="1"/>
    <x v="0"/>
    <m/>
    <m/>
    <m/>
    <m/>
    <x v="2"/>
    <x v="4"/>
    <x v="0"/>
    <x v="2"/>
    <x v="2"/>
    <s v="Descontos"/>
    <s v="Serviços gratuitos"/>
    <m/>
    <m/>
    <x v="3"/>
    <x v="5"/>
    <x v="6"/>
    <x v="6"/>
    <x v="0"/>
  </r>
  <r>
    <x v="0"/>
    <s v="57"/>
    <x v="0"/>
    <x v="0"/>
    <x v="0"/>
    <x v="2"/>
    <x v="4"/>
    <x v="0"/>
    <x v="2"/>
    <x v="1"/>
    <x v="1"/>
    <x v="0"/>
    <m/>
    <m/>
    <m/>
    <m/>
    <x v="2"/>
    <x v="4"/>
    <x v="0"/>
    <x v="1"/>
    <x v="1"/>
    <s v="Descontos"/>
    <m/>
    <m/>
    <m/>
    <x v="0"/>
    <x v="6"/>
    <x v="7"/>
    <x v="7"/>
    <x v="3"/>
  </r>
  <r>
    <x v="0"/>
    <s v="42"/>
    <x v="1"/>
    <x v="0"/>
    <x v="0"/>
    <x v="1"/>
    <x v="3"/>
    <x v="0"/>
    <x v="1"/>
    <x v="1"/>
    <x v="1"/>
    <x v="0"/>
    <m/>
    <m/>
    <m/>
    <m/>
    <x v="2"/>
    <x v="3"/>
    <x v="0"/>
    <x v="2"/>
    <x v="2"/>
    <s v="Descontos"/>
    <m/>
    <m/>
    <m/>
    <x v="3"/>
    <x v="7"/>
    <x v="8"/>
    <x v="8"/>
    <x v="2"/>
  </r>
  <r>
    <x v="0"/>
    <s v="28"/>
    <x v="1"/>
    <x v="0"/>
    <x v="0"/>
    <x v="0"/>
    <x v="5"/>
    <x v="2"/>
    <x v="0"/>
    <x v="1"/>
    <x v="1"/>
    <x v="0"/>
    <m/>
    <m/>
    <m/>
    <m/>
    <x v="2"/>
    <x v="5"/>
    <x v="0"/>
    <x v="1"/>
    <x v="0"/>
    <s v="Descontos"/>
    <m/>
    <m/>
    <m/>
    <x v="3"/>
    <x v="8"/>
    <x v="9"/>
    <x v="9"/>
    <x v="1"/>
  </r>
  <r>
    <x v="0"/>
    <s v="53"/>
    <x v="0"/>
    <x v="0"/>
    <x v="2"/>
    <x v="0"/>
    <x v="0"/>
    <x v="0"/>
    <x v="0"/>
    <x v="2"/>
    <x v="1"/>
    <x v="0"/>
    <m/>
    <m/>
    <m/>
    <m/>
    <x v="2"/>
    <x v="5"/>
    <x v="0"/>
    <x v="2"/>
    <x v="2"/>
    <s v="Descontos"/>
    <s v="Cashback"/>
    <s v="Serviços gratuitos"/>
    <m/>
    <x v="3"/>
    <x v="9"/>
    <x v="10"/>
    <x v="3"/>
    <x v="0"/>
  </r>
  <r>
    <x v="0"/>
    <s v="40"/>
    <x v="1"/>
    <x v="1"/>
    <x v="1"/>
    <x v="1"/>
    <x v="3"/>
    <x v="3"/>
    <x v="0"/>
    <x v="3"/>
    <x v="1"/>
    <x v="0"/>
    <m/>
    <m/>
    <m/>
    <m/>
    <x v="1"/>
    <x v="5"/>
    <x v="0"/>
    <x v="2"/>
    <x v="2"/>
    <s v="Descontos"/>
    <s v="Cashback"/>
    <s v="Prêmios"/>
    <m/>
    <x v="1"/>
    <x v="10"/>
    <x v="11"/>
    <x v="10"/>
    <x v="0"/>
  </r>
  <r>
    <x v="0"/>
    <s v="65"/>
    <x v="1"/>
    <x v="0"/>
    <x v="0"/>
    <x v="1"/>
    <x v="5"/>
    <x v="2"/>
    <x v="0"/>
    <x v="1"/>
    <x v="1"/>
    <x v="0"/>
    <m/>
    <m/>
    <m/>
    <m/>
    <x v="2"/>
    <x v="4"/>
    <x v="0"/>
    <x v="2"/>
    <x v="1"/>
    <s v="Descontos"/>
    <s v="Serviços gratuitos"/>
    <m/>
    <s v="Cashback"/>
    <x v="1"/>
    <x v="11"/>
    <x v="12"/>
    <x v="11"/>
    <x v="2"/>
  </r>
  <r>
    <x v="0"/>
    <s v="35"/>
    <x v="1"/>
    <x v="0"/>
    <x v="0"/>
    <x v="1"/>
    <x v="6"/>
    <x v="1"/>
    <x v="3"/>
    <x v="1"/>
    <x v="1"/>
    <x v="0"/>
    <m/>
    <m/>
    <m/>
    <m/>
    <x v="1"/>
    <x v="3"/>
    <x v="0"/>
    <x v="2"/>
    <x v="2"/>
    <s v="Descontos"/>
    <s v="Cashback"/>
    <m/>
    <m/>
    <x v="3"/>
    <x v="12"/>
    <x v="6"/>
    <x v="9"/>
    <x v="2"/>
  </r>
  <r>
    <x v="0"/>
    <s v="33"/>
    <x v="0"/>
    <x v="2"/>
    <x v="0"/>
    <x v="2"/>
    <x v="7"/>
    <x v="2"/>
    <x v="1"/>
    <x v="1"/>
    <x v="1"/>
    <x v="0"/>
    <m/>
    <m/>
    <m/>
    <m/>
    <x v="2"/>
    <x v="4"/>
    <x v="0"/>
    <x v="1"/>
    <x v="1"/>
    <s v="Descontos"/>
    <m/>
    <m/>
    <m/>
    <x v="0"/>
    <x v="13"/>
    <x v="13"/>
    <x v="9"/>
    <x v="0"/>
  </r>
  <r>
    <x v="0"/>
    <s v="65"/>
    <x v="0"/>
    <x v="0"/>
    <x v="0"/>
    <x v="1"/>
    <x v="3"/>
    <x v="0"/>
    <x v="1"/>
    <x v="1"/>
    <x v="1"/>
    <x v="0"/>
    <m/>
    <m/>
    <m/>
    <m/>
    <x v="2"/>
    <x v="4"/>
    <x v="0"/>
    <x v="2"/>
    <x v="1"/>
    <s v="Descontos"/>
    <s v="Cashback"/>
    <s v="Serviços gratuitos"/>
    <m/>
    <x v="3"/>
    <x v="14"/>
    <x v="14"/>
    <x v="12"/>
    <x v="1"/>
  </r>
  <r>
    <x v="0"/>
    <s v="50"/>
    <x v="1"/>
    <x v="0"/>
    <x v="0"/>
    <x v="1"/>
    <x v="5"/>
    <x v="1"/>
    <x v="0"/>
    <x v="1"/>
    <x v="1"/>
    <x v="0"/>
    <m/>
    <m/>
    <m/>
    <m/>
    <x v="2"/>
    <x v="4"/>
    <x v="0"/>
    <x v="2"/>
    <x v="1"/>
    <s v="Descontos"/>
    <s v="Serviços gratuitos"/>
    <m/>
    <m/>
    <x v="2"/>
    <x v="15"/>
    <x v="15"/>
    <x v="0"/>
    <x v="2"/>
  </r>
  <r>
    <x v="0"/>
    <s v="69"/>
    <x v="1"/>
    <x v="0"/>
    <x v="0"/>
    <x v="1"/>
    <x v="3"/>
    <x v="1"/>
    <x v="3"/>
    <x v="1"/>
    <x v="1"/>
    <x v="0"/>
    <m/>
    <m/>
    <m/>
    <m/>
    <x v="1"/>
    <x v="1"/>
    <x v="2"/>
    <x v="2"/>
    <x v="2"/>
    <s v="Descontos"/>
    <s v="Cashback"/>
    <s v="Serviços gratuitos"/>
    <m/>
    <x v="2"/>
    <x v="16"/>
    <x v="16"/>
    <x v="13"/>
    <x v="2"/>
  </r>
  <r>
    <x v="0"/>
    <s v="São paulo"/>
    <x v="0"/>
    <x v="0"/>
    <x v="0"/>
    <x v="2"/>
    <x v="0"/>
    <x v="0"/>
    <x v="1"/>
    <x v="1"/>
    <x v="1"/>
    <x v="0"/>
    <m/>
    <m/>
    <m/>
    <m/>
    <x v="2"/>
    <x v="3"/>
    <x v="0"/>
    <x v="2"/>
    <x v="1"/>
    <s v="Serviços gratuitos"/>
    <m/>
    <m/>
    <m/>
    <x v="3"/>
    <x v="17"/>
    <x v="17"/>
    <x v="14"/>
    <x v="2"/>
  </r>
  <r>
    <x v="0"/>
    <s v="29"/>
    <x v="0"/>
    <x v="0"/>
    <x v="0"/>
    <x v="1"/>
    <x v="7"/>
    <x v="0"/>
    <x v="2"/>
    <x v="1"/>
    <x v="1"/>
    <x v="0"/>
    <m/>
    <m/>
    <m/>
    <m/>
    <x v="1"/>
    <x v="2"/>
    <x v="1"/>
    <x v="1"/>
    <x v="0"/>
    <s v="Descontos"/>
    <s v="Cashback"/>
    <m/>
    <m/>
    <x v="3"/>
    <x v="18"/>
    <x v="18"/>
    <x v="0"/>
    <x v="0"/>
  </r>
  <r>
    <x v="0"/>
    <s v="42"/>
    <x v="0"/>
    <x v="3"/>
    <x v="0"/>
    <x v="1"/>
    <x v="7"/>
    <x v="0"/>
    <x v="3"/>
    <x v="1"/>
    <x v="1"/>
    <x v="0"/>
    <m/>
    <m/>
    <m/>
    <m/>
    <x v="0"/>
    <x v="1"/>
    <x v="0"/>
    <x v="2"/>
    <x v="2"/>
    <s v="Descontos"/>
    <m/>
    <m/>
    <m/>
    <x v="0"/>
    <x v="5"/>
    <x v="19"/>
    <x v="15"/>
    <x v="2"/>
  </r>
  <r>
    <x v="0"/>
    <s v="33"/>
    <x v="0"/>
    <x v="0"/>
    <x v="1"/>
    <x v="1"/>
    <x v="8"/>
    <x v="3"/>
    <x v="1"/>
    <x v="1"/>
    <x v="1"/>
    <x v="0"/>
    <m/>
    <m/>
    <m/>
    <m/>
    <x v="2"/>
    <x v="4"/>
    <x v="3"/>
    <x v="0"/>
    <x v="1"/>
    <s v="Serviços gratuitos"/>
    <m/>
    <s v="Cashback"/>
    <s v="Descontos"/>
    <x v="2"/>
    <x v="19"/>
    <x v="20"/>
    <x v="16"/>
    <x v="1"/>
  </r>
  <r>
    <x v="0"/>
    <s v="60"/>
    <x v="1"/>
    <x v="3"/>
    <x v="0"/>
    <x v="1"/>
    <x v="8"/>
    <x v="1"/>
    <x v="3"/>
    <x v="1"/>
    <x v="1"/>
    <x v="0"/>
    <m/>
    <m/>
    <m/>
    <m/>
    <x v="3"/>
    <x v="5"/>
    <x v="0"/>
    <x v="2"/>
    <x v="1"/>
    <s v="Descontos"/>
    <s v="Serviços gratuitos"/>
    <m/>
    <s v="Sorteios"/>
    <x v="1"/>
    <x v="20"/>
    <x v="21"/>
    <x v="17"/>
    <x v="2"/>
  </r>
  <r>
    <x v="0"/>
    <s v="40 anos"/>
    <x v="0"/>
    <x v="0"/>
    <x v="0"/>
    <x v="1"/>
    <x v="0"/>
    <x v="0"/>
    <x v="0"/>
    <x v="1"/>
    <x v="1"/>
    <x v="0"/>
    <m/>
    <m/>
    <m/>
    <m/>
    <x v="1"/>
    <x v="3"/>
    <x v="0"/>
    <x v="2"/>
    <x v="2"/>
    <s v="Serviços gratuitos"/>
    <m/>
    <m/>
    <m/>
    <x v="3"/>
    <x v="21"/>
    <x v="22"/>
    <x v="18"/>
    <x v="3"/>
  </r>
  <r>
    <x v="0"/>
    <s v="26"/>
    <x v="0"/>
    <x v="0"/>
    <x v="3"/>
    <x v="1"/>
    <x v="5"/>
    <x v="3"/>
    <x v="1"/>
    <x v="1"/>
    <x v="1"/>
    <x v="0"/>
    <m/>
    <m/>
    <m/>
    <m/>
    <x v="1"/>
    <x v="3"/>
    <x v="0"/>
    <x v="0"/>
    <x v="1"/>
    <s v="Descontos"/>
    <m/>
    <m/>
    <m/>
    <x v="1"/>
    <x v="22"/>
    <x v="23"/>
    <x v="1"/>
    <x v="2"/>
  </r>
  <r>
    <x v="0"/>
    <s v="59"/>
    <x v="1"/>
    <x v="0"/>
    <x v="0"/>
    <x v="1"/>
    <x v="3"/>
    <x v="1"/>
    <x v="0"/>
    <x v="1"/>
    <x v="1"/>
    <x v="0"/>
    <m/>
    <m/>
    <m/>
    <m/>
    <x v="4"/>
    <x v="2"/>
    <x v="0"/>
    <x v="2"/>
    <x v="2"/>
    <s v="Serviços gratuitos"/>
    <m/>
    <s v="Descontos"/>
    <s v="Cashback"/>
    <x v="2"/>
    <x v="23"/>
    <x v="24"/>
    <x v="9"/>
    <x v="1"/>
  </r>
  <r>
    <x v="0"/>
    <s v="59"/>
    <x v="0"/>
    <x v="0"/>
    <x v="0"/>
    <x v="1"/>
    <x v="3"/>
    <x v="0"/>
    <x v="0"/>
    <x v="1"/>
    <x v="1"/>
    <x v="0"/>
    <m/>
    <m/>
    <m/>
    <m/>
    <x v="1"/>
    <x v="3"/>
    <x v="0"/>
    <x v="2"/>
    <x v="2"/>
    <s v="Descontos"/>
    <m/>
    <m/>
    <m/>
    <x v="1"/>
    <x v="12"/>
    <x v="2"/>
    <x v="9"/>
    <x v="0"/>
  </r>
  <r>
    <x v="0"/>
    <s v="57"/>
    <x v="1"/>
    <x v="0"/>
    <x v="0"/>
    <x v="1"/>
    <x v="5"/>
    <x v="2"/>
    <x v="0"/>
    <x v="1"/>
    <x v="1"/>
    <x v="0"/>
    <m/>
    <m/>
    <m/>
    <m/>
    <x v="0"/>
    <x v="3"/>
    <x v="0"/>
    <x v="0"/>
    <x v="0"/>
    <s v="Descontos"/>
    <s v="Cashback"/>
    <s v="Serviços gratuitos"/>
    <m/>
    <x v="1"/>
    <x v="24"/>
    <x v="25"/>
    <x v="19"/>
    <x v="2"/>
  </r>
  <r>
    <x v="0"/>
    <s v="32"/>
    <x v="0"/>
    <x v="0"/>
    <x v="0"/>
    <x v="1"/>
    <x v="3"/>
    <x v="1"/>
    <x v="0"/>
    <x v="1"/>
    <x v="1"/>
    <x v="0"/>
    <m/>
    <m/>
    <m/>
    <m/>
    <x v="1"/>
    <x v="3"/>
    <x v="0"/>
    <x v="2"/>
    <x v="2"/>
    <s v="Descontos"/>
    <s v="Serviços gratuitos"/>
    <m/>
    <s v="Prêmios"/>
    <x v="0"/>
    <x v="12"/>
    <x v="26"/>
    <x v="9"/>
    <x v="2"/>
  </r>
  <r>
    <x v="0"/>
    <s v="54"/>
    <x v="0"/>
    <x v="0"/>
    <x v="0"/>
    <x v="1"/>
    <x v="3"/>
    <x v="2"/>
    <x v="1"/>
    <x v="1"/>
    <x v="1"/>
    <x v="0"/>
    <m/>
    <m/>
    <m/>
    <m/>
    <x v="2"/>
    <x v="3"/>
    <x v="0"/>
    <x v="1"/>
    <x v="1"/>
    <s v="Prêmios"/>
    <m/>
    <m/>
    <m/>
    <x v="0"/>
    <x v="25"/>
    <x v="20"/>
    <x v="20"/>
    <x v="0"/>
  </r>
  <r>
    <x v="0"/>
    <s v="34"/>
    <x v="0"/>
    <x v="0"/>
    <x v="0"/>
    <x v="1"/>
    <x v="3"/>
    <x v="0"/>
    <x v="0"/>
    <x v="1"/>
    <x v="1"/>
    <x v="0"/>
    <m/>
    <m/>
    <m/>
    <m/>
    <x v="2"/>
    <x v="3"/>
    <x v="0"/>
    <x v="2"/>
    <x v="2"/>
    <s v="Descontos"/>
    <s v="Cashback"/>
    <s v="Serviços gratuitos"/>
    <m/>
    <x v="0"/>
    <x v="26"/>
    <x v="27"/>
    <x v="3"/>
    <x v="2"/>
  </r>
  <r>
    <x v="0"/>
    <s v="49"/>
    <x v="1"/>
    <x v="3"/>
    <x v="1"/>
    <x v="2"/>
    <x v="3"/>
    <x v="2"/>
    <x v="0"/>
    <x v="1"/>
    <x v="1"/>
    <x v="0"/>
    <m/>
    <m/>
    <m/>
    <m/>
    <x v="1"/>
    <x v="3"/>
    <x v="0"/>
    <x v="2"/>
    <x v="2"/>
    <s v="Descontos"/>
    <m/>
    <m/>
    <m/>
    <x v="3"/>
    <x v="27"/>
    <x v="2"/>
    <x v="2"/>
    <x v="2"/>
  </r>
  <r>
    <x v="0"/>
    <s v="52"/>
    <x v="1"/>
    <x v="0"/>
    <x v="0"/>
    <x v="1"/>
    <x v="3"/>
    <x v="1"/>
    <x v="1"/>
    <x v="1"/>
    <x v="1"/>
    <x v="0"/>
    <m/>
    <m/>
    <m/>
    <m/>
    <x v="2"/>
    <x v="3"/>
    <x v="0"/>
    <x v="2"/>
    <x v="2"/>
    <s v="Descontos"/>
    <m/>
    <m/>
    <m/>
    <x v="3"/>
    <x v="5"/>
    <x v="28"/>
    <x v="3"/>
    <x v="2"/>
  </r>
  <r>
    <x v="0"/>
    <s v="59"/>
    <x v="1"/>
    <x v="0"/>
    <x v="0"/>
    <x v="1"/>
    <x v="3"/>
    <x v="1"/>
    <x v="0"/>
    <x v="1"/>
    <x v="1"/>
    <x v="0"/>
    <m/>
    <m/>
    <m/>
    <m/>
    <x v="2"/>
    <x v="3"/>
    <x v="0"/>
    <x v="2"/>
    <x v="2"/>
    <s v="Descontos"/>
    <s v="Prêmios"/>
    <s v="Serviços gratuitos"/>
    <m/>
    <x v="2"/>
    <x v="28"/>
    <x v="2"/>
    <x v="3"/>
    <x v="1"/>
  </r>
  <r>
    <x v="0"/>
    <s v="35"/>
    <x v="1"/>
    <x v="0"/>
    <x v="0"/>
    <x v="1"/>
    <x v="8"/>
    <x v="1"/>
    <x v="0"/>
    <x v="1"/>
    <x v="1"/>
    <x v="0"/>
    <m/>
    <m/>
    <m/>
    <m/>
    <x v="2"/>
    <x v="3"/>
    <x v="0"/>
    <x v="1"/>
    <x v="1"/>
    <s v="Descontos"/>
    <s v="Cashback"/>
    <s v="Serviços gratuitos"/>
    <m/>
    <x v="2"/>
    <x v="29"/>
    <x v="29"/>
    <x v="21"/>
    <x v="2"/>
  </r>
  <r>
    <x v="0"/>
    <s v="44"/>
    <x v="0"/>
    <x v="0"/>
    <x v="0"/>
    <x v="1"/>
    <x v="5"/>
    <x v="1"/>
    <x v="1"/>
    <x v="1"/>
    <x v="1"/>
    <x v="0"/>
    <m/>
    <m/>
    <m/>
    <m/>
    <x v="1"/>
    <x v="3"/>
    <x v="0"/>
    <x v="2"/>
    <x v="2"/>
    <s v="Descontos"/>
    <m/>
    <m/>
    <m/>
    <x v="3"/>
    <x v="30"/>
    <x v="22"/>
    <x v="0"/>
    <x v="3"/>
  </r>
  <r>
    <x v="0"/>
    <s v="48"/>
    <x v="0"/>
    <x v="0"/>
    <x v="0"/>
    <x v="2"/>
    <x v="0"/>
    <x v="0"/>
    <x v="0"/>
    <x v="1"/>
    <x v="1"/>
    <x v="0"/>
    <m/>
    <m/>
    <m/>
    <m/>
    <x v="5"/>
    <x v="3"/>
    <x v="0"/>
    <x v="1"/>
    <x v="0"/>
    <s v="Descontos"/>
    <m/>
    <m/>
    <m/>
    <x v="0"/>
    <x v="31"/>
    <x v="29"/>
    <x v="9"/>
    <x v="0"/>
  </r>
  <r>
    <x v="0"/>
    <n v="51"/>
    <x v="2"/>
    <x v="0"/>
    <x v="2"/>
    <x v="1"/>
    <x v="2"/>
    <x v="2"/>
    <x v="0"/>
    <x v="1"/>
    <x v="1"/>
    <x v="0"/>
    <m/>
    <m/>
    <m/>
    <m/>
    <x v="2"/>
    <x v="3"/>
    <x v="0"/>
    <x v="2"/>
    <x v="1"/>
    <s v="Cashback"/>
    <m/>
    <m/>
    <m/>
    <x v="0"/>
    <x v="32"/>
    <x v="30"/>
    <x v="22"/>
    <x v="4"/>
  </r>
  <r>
    <x v="0"/>
    <n v="67"/>
    <x v="0"/>
    <x v="2"/>
    <x v="0"/>
    <x v="1"/>
    <x v="2"/>
    <x v="1"/>
    <x v="0"/>
    <x v="1"/>
    <x v="1"/>
    <x v="0"/>
    <m/>
    <m/>
    <m/>
    <m/>
    <x v="1"/>
    <x v="3"/>
    <x v="0"/>
    <x v="0"/>
    <x v="0"/>
    <s v="Cashback"/>
    <m/>
    <m/>
    <m/>
    <x v="3"/>
    <x v="33"/>
    <x v="31"/>
    <x v="23"/>
    <x v="0"/>
  </r>
  <r>
    <x v="0"/>
    <n v="51"/>
    <x v="1"/>
    <x v="1"/>
    <x v="2"/>
    <x v="0"/>
    <x v="5"/>
    <x v="1"/>
    <x v="0"/>
    <x v="3"/>
    <x v="2"/>
    <x v="0"/>
    <m/>
    <m/>
    <m/>
    <m/>
    <x v="4"/>
    <x v="3"/>
    <x v="0"/>
    <x v="1"/>
    <x v="2"/>
    <s v="Serviços gratuitos"/>
    <m/>
    <m/>
    <m/>
    <x v="2"/>
    <x v="34"/>
    <x v="32"/>
    <x v="24"/>
    <x v="4"/>
  </r>
  <r>
    <x v="0"/>
    <n v="62"/>
    <x v="0"/>
    <x v="0"/>
    <x v="3"/>
    <x v="3"/>
    <x v="9"/>
    <x v="1"/>
    <x v="4"/>
    <x v="1"/>
    <x v="1"/>
    <x v="0"/>
    <m/>
    <m/>
    <m/>
    <m/>
    <x v="4"/>
    <x v="6"/>
    <x v="0"/>
    <x v="2"/>
    <x v="2"/>
    <s v="Cashback"/>
    <m/>
    <m/>
    <m/>
    <x v="3"/>
    <x v="35"/>
    <x v="33"/>
    <x v="25"/>
    <x v="1"/>
  </r>
  <r>
    <x v="0"/>
    <n v="42"/>
    <x v="2"/>
    <x v="2"/>
    <x v="3"/>
    <x v="1"/>
    <x v="4"/>
    <x v="1"/>
    <x v="3"/>
    <x v="2"/>
    <x v="1"/>
    <x v="0"/>
    <m/>
    <m/>
    <m/>
    <m/>
    <x v="1"/>
    <x v="3"/>
    <x v="0"/>
    <x v="0"/>
    <x v="2"/>
    <s v="Cashback"/>
    <m/>
    <m/>
    <m/>
    <x v="0"/>
    <x v="36"/>
    <x v="34"/>
    <x v="26"/>
    <x v="1"/>
  </r>
  <r>
    <x v="0"/>
    <n v="55"/>
    <x v="1"/>
    <x v="0"/>
    <x v="3"/>
    <x v="3"/>
    <x v="1"/>
    <x v="2"/>
    <x v="5"/>
    <x v="1"/>
    <x v="1"/>
    <x v="0"/>
    <m/>
    <m/>
    <m/>
    <m/>
    <x v="2"/>
    <x v="3"/>
    <x v="0"/>
    <x v="2"/>
    <x v="1"/>
    <s v="Serviços gratuitos"/>
    <m/>
    <m/>
    <m/>
    <x v="0"/>
    <x v="37"/>
    <x v="35"/>
    <x v="27"/>
    <x v="1"/>
  </r>
  <r>
    <x v="0"/>
    <n v="53"/>
    <x v="2"/>
    <x v="2"/>
    <x v="1"/>
    <x v="0"/>
    <x v="4"/>
    <x v="1"/>
    <x v="1"/>
    <x v="1"/>
    <x v="1"/>
    <x v="0"/>
    <m/>
    <m/>
    <m/>
    <m/>
    <x v="1"/>
    <x v="3"/>
    <x v="0"/>
    <x v="2"/>
    <x v="2"/>
    <s v="Cashback"/>
    <m/>
    <m/>
    <m/>
    <x v="2"/>
    <x v="38"/>
    <x v="36"/>
    <x v="28"/>
    <x v="2"/>
  </r>
  <r>
    <x v="0"/>
    <n v="68"/>
    <x v="2"/>
    <x v="0"/>
    <x v="1"/>
    <x v="3"/>
    <x v="3"/>
    <x v="2"/>
    <x v="1"/>
    <x v="1"/>
    <x v="1"/>
    <x v="0"/>
    <m/>
    <m/>
    <m/>
    <m/>
    <x v="2"/>
    <x v="3"/>
    <x v="0"/>
    <x v="1"/>
    <x v="1"/>
    <s v="Cashback"/>
    <m/>
    <m/>
    <m/>
    <x v="3"/>
    <x v="39"/>
    <x v="37"/>
    <x v="29"/>
    <x v="2"/>
  </r>
  <r>
    <x v="0"/>
    <n v="52"/>
    <x v="2"/>
    <x v="0"/>
    <x v="2"/>
    <x v="0"/>
    <x v="0"/>
    <x v="3"/>
    <x v="4"/>
    <x v="1"/>
    <x v="1"/>
    <x v="0"/>
    <m/>
    <m/>
    <m/>
    <m/>
    <x v="2"/>
    <x v="3"/>
    <x v="0"/>
    <x v="2"/>
    <x v="2"/>
    <s v="Serviços gratuitos"/>
    <m/>
    <m/>
    <m/>
    <x v="3"/>
    <x v="40"/>
    <x v="38"/>
    <x v="30"/>
    <x v="2"/>
  </r>
  <r>
    <x v="0"/>
    <n v="50"/>
    <x v="0"/>
    <x v="1"/>
    <x v="3"/>
    <x v="3"/>
    <x v="1"/>
    <x v="2"/>
    <x v="1"/>
    <x v="3"/>
    <x v="1"/>
    <x v="0"/>
    <m/>
    <m/>
    <m/>
    <m/>
    <x v="2"/>
    <x v="3"/>
    <x v="0"/>
    <x v="2"/>
    <x v="0"/>
    <s v="Cashback"/>
    <m/>
    <m/>
    <m/>
    <x v="1"/>
    <x v="41"/>
    <x v="39"/>
    <x v="31"/>
    <x v="3"/>
  </r>
  <r>
    <x v="0"/>
    <n v="44"/>
    <x v="1"/>
    <x v="4"/>
    <x v="0"/>
    <x v="1"/>
    <x v="4"/>
    <x v="3"/>
    <x v="3"/>
    <x v="1"/>
    <x v="1"/>
    <x v="0"/>
    <m/>
    <m/>
    <m/>
    <m/>
    <x v="1"/>
    <x v="3"/>
    <x v="0"/>
    <x v="1"/>
    <x v="1"/>
    <s v="Cashback"/>
    <m/>
    <m/>
    <m/>
    <x v="3"/>
    <x v="42"/>
    <x v="40"/>
    <x v="32"/>
    <x v="4"/>
  </r>
  <r>
    <x v="0"/>
    <n v="69"/>
    <x v="1"/>
    <x v="2"/>
    <x v="1"/>
    <x v="3"/>
    <x v="4"/>
    <x v="3"/>
    <x v="1"/>
    <x v="1"/>
    <x v="1"/>
    <x v="0"/>
    <m/>
    <m/>
    <m/>
    <m/>
    <x v="2"/>
    <x v="3"/>
    <x v="0"/>
    <x v="2"/>
    <x v="0"/>
    <s v="Serviços gratuitos"/>
    <m/>
    <m/>
    <m/>
    <x v="0"/>
    <x v="43"/>
    <x v="41"/>
    <x v="33"/>
    <x v="1"/>
  </r>
  <r>
    <x v="0"/>
    <n v="45"/>
    <x v="0"/>
    <x v="0"/>
    <x v="3"/>
    <x v="3"/>
    <x v="8"/>
    <x v="0"/>
    <x v="1"/>
    <x v="1"/>
    <x v="1"/>
    <x v="0"/>
    <m/>
    <m/>
    <m/>
    <m/>
    <x v="1"/>
    <x v="3"/>
    <x v="0"/>
    <x v="2"/>
    <x v="0"/>
    <s v="Cashback"/>
    <m/>
    <m/>
    <m/>
    <x v="1"/>
    <x v="44"/>
    <x v="42"/>
    <x v="34"/>
    <x v="2"/>
  </r>
  <r>
    <x v="0"/>
    <n v="37"/>
    <x v="1"/>
    <x v="1"/>
    <x v="3"/>
    <x v="3"/>
    <x v="7"/>
    <x v="0"/>
    <x v="1"/>
    <x v="1"/>
    <x v="1"/>
    <x v="0"/>
    <m/>
    <m/>
    <m/>
    <m/>
    <x v="0"/>
    <x v="3"/>
    <x v="0"/>
    <x v="0"/>
    <x v="0"/>
    <s v="Prêmios"/>
    <m/>
    <m/>
    <m/>
    <x v="3"/>
    <x v="45"/>
    <x v="43"/>
    <x v="35"/>
    <x v="1"/>
  </r>
  <r>
    <x v="0"/>
    <n v="23"/>
    <x v="0"/>
    <x v="0"/>
    <x v="2"/>
    <x v="1"/>
    <x v="1"/>
    <x v="2"/>
    <x v="1"/>
    <x v="3"/>
    <x v="2"/>
    <x v="0"/>
    <m/>
    <m/>
    <m/>
    <m/>
    <x v="2"/>
    <x v="3"/>
    <x v="0"/>
    <x v="1"/>
    <x v="2"/>
    <s v="Cashback"/>
    <m/>
    <m/>
    <m/>
    <x v="3"/>
    <x v="46"/>
    <x v="44"/>
    <x v="36"/>
    <x v="1"/>
  </r>
  <r>
    <x v="0"/>
    <n v="55"/>
    <x v="1"/>
    <x v="1"/>
    <x v="2"/>
    <x v="3"/>
    <x v="6"/>
    <x v="2"/>
    <x v="6"/>
    <x v="1"/>
    <x v="1"/>
    <x v="0"/>
    <m/>
    <m/>
    <m/>
    <m/>
    <x v="3"/>
    <x v="3"/>
    <x v="0"/>
    <x v="0"/>
    <x v="0"/>
    <s v="Cashback"/>
    <m/>
    <m/>
    <m/>
    <x v="0"/>
    <x v="47"/>
    <x v="45"/>
    <x v="37"/>
    <x v="0"/>
  </r>
  <r>
    <x v="0"/>
    <n v="30"/>
    <x v="1"/>
    <x v="1"/>
    <x v="1"/>
    <x v="1"/>
    <x v="6"/>
    <x v="1"/>
    <x v="4"/>
    <x v="1"/>
    <x v="1"/>
    <x v="0"/>
    <m/>
    <m/>
    <m/>
    <m/>
    <x v="1"/>
    <x v="3"/>
    <x v="0"/>
    <x v="0"/>
    <x v="1"/>
    <s v="Serviços gratuitos"/>
    <m/>
    <m/>
    <m/>
    <x v="3"/>
    <x v="48"/>
    <x v="46"/>
    <x v="38"/>
    <x v="4"/>
  </r>
  <r>
    <x v="0"/>
    <n v="46"/>
    <x v="1"/>
    <x v="2"/>
    <x v="3"/>
    <x v="3"/>
    <x v="6"/>
    <x v="3"/>
    <x v="3"/>
    <x v="1"/>
    <x v="1"/>
    <x v="0"/>
    <m/>
    <m/>
    <m/>
    <m/>
    <x v="1"/>
    <x v="3"/>
    <x v="0"/>
    <x v="1"/>
    <x v="0"/>
    <s v="Cashback"/>
    <m/>
    <m/>
    <m/>
    <x v="2"/>
    <x v="49"/>
    <x v="47"/>
    <x v="39"/>
    <x v="0"/>
  </r>
  <r>
    <x v="0"/>
    <n v="61"/>
    <x v="0"/>
    <x v="4"/>
    <x v="1"/>
    <x v="0"/>
    <x v="3"/>
    <x v="2"/>
    <x v="1"/>
    <x v="1"/>
    <x v="1"/>
    <x v="0"/>
    <m/>
    <m/>
    <m/>
    <m/>
    <x v="4"/>
    <x v="3"/>
    <x v="0"/>
    <x v="0"/>
    <x v="2"/>
    <s v="Prêmios"/>
    <m/>
    <m/>
    <m/>
    <x v="0"/>
    <x v="50"/>
    <x v="48"/>
    <x v="40"/>
    <x v="3"/>
  </r>
  <r>
    <x v="0"/>
    <n v="58"/>
    <x v="0"/>
    <x v="2"/>
    <x v="3"/>
    <x v="3"/>
    <x v="6"/>
    <x v="3"/>
    <x v="4"/>
    <x v="1"/>
    <x v="1"/>
    <x v="0"/>
    <m/>
    <m/>
    <m/>
    <m/>
    <x v="1"/>
    <x v="3"/>
    <x v="0"/>
    <x v="0"/>
    <x v="0"/>
    <s v="Descontos"/>
    <m/>
    <m/>
    <m/>
    <x v="0"/>
    <x v="51"/>
    <x v="49"/>
    <x v="41"/>
    <x v="3"/>
  </r>
  <r>
    <x v="0"/>
    <n v="65"/>
    <x v="0"/>
    <x v="0"/>
    <x v="0"/>
    <x v="3"/>
    <x v="9"/>
    <x v="1"/>
    <x v="1"/>
    <x v="4"/>
    <x v="2"/>
    <x v="0"/>
    <m/>
    <m/>
    <m/>
    <m/>
    <x v="0"/>
    <x v="3"/>
    <x v="0"/>
    <x v="1"/>
    <x v="2"/>
    <s v="Descontos"/>
    <m/>
    <m/>
    <m/>
    <x v="0"/>
    <x v="52"/>
    <x v="50"/>
    <x v="42"/>
    <x v="0"/>
  </r>
  <r>
    <x v="0"/>
    <n v="61"/>
    <x v="0"/>
    <x v="4"/>
    <x v="1"/>
    <x v="1"/>
    <x v="0"/>
    <x v="0"/>
    <x v="4"/>
    <x v="4"/>
    <x v="3"/>
    <x v="0"/>
    <m/>
    <m/>
    <m/>
    <m/>
    <x v="1"/>
    <x v="3"/>
    <x v="0"/>
    <x v="2"/>
    <x v="0"/>
    <s v="Descontos"/>
    <m/>
    <m/>
    <m/>
    <x v="2"/>
    <x v="53"/>
    <x v="51"/>
    <x v="43"/>
    <x v="2"/>
  </r>
  <r>
    <x v="0"/>
    <n v="63"/>
    <x v="1"/>
    <x v="2"/>
    <x v="3"/>
    <x v="1"/>
    <x v="2"/>
    <x v="3"/>
    <x v="1"/>
    <x v="4"/>
    <x v="1"/>
    <x v="0"/>
    <m/>
    <m/>
    <m/>
    <m/>
    <x v="1"/>
    <x v="3"/>
    <x v="0"/>
    <x v="1"/>
    <x v="2"/>
    <s v="Descontos"/>
    <m/>
    <m/>
    <m/>
    <x v="3"/>
    <x v="54"/>
    <x v="52"/>
    <x v="44"/>
    <x v="0"/>
  </r>
  <r>
    <x v="0"/>
    <n v="52"/>
    <x v="0"/>
    <x v="0"/>
    <x v="1"/>
    <x v="1"/>
    <x v="7"/>
    <x v="1"/>
    <x v="1"/>
    <x v="1"/>
    <x v="1"/>
    <x v="0"/>
    <m/>
    <m/>
    <m/>
    <m/>
    <x v="2"/>
    <x v="3"/>
    <x v="0"/>
    <x v="0"/>
    <x v="0"/>
    <s v="Cashback"/>
    <m/>
    <m/>
    <m/>
    <x v="2"/>
    <x v="55"/>
    <x v="53"/>
    <x v="45"/>
    <x v="1"/>
  </r>
  <r>
    <x v="0"/>
    <n v="68"/>
    <x v="0"/>
    <x v="0"/>
    <x v="3"/>
    <x v="3"/>
    <x v="2"/>
    <x v="1"/>
    <x v="1"/>
    <x v="4"/>
    <x v="3"/>
    <x v="1"/>
    <m/>
    <m/>
    <m/>
    <m/>
    <x v="1"/>
    <x v="3"/>
    <x v="0"/>
    <x v="2"/>
    <x v="0"/>
    <s v="Cashback"/>
    <m/>
    <m/>
    <m/>
    <x v="3"/>
    <x v="56"/>
    <x v="54"/>
    <x v="46"/>
    <x v="0"/>
  </r>
  <r>
    <x v="0"/>
    <n v="56"/>
    <x v="2"/>
    <x v="1"/>
    <x v="3"/>
    <x v="1"/>
    <x v="5"/>
    <x v="2"/>
    <x v="1"/>
    <x v="4"/>
    <x v="1"/>
    <x v="0"/>
    <m/>
    <m/>
    <m/>
    <m/>
    <x v="2"/>
    <x v="3"/>
    <x v="0"/>
    <x v="1"/>
    <x v="0"/>
    <s v="Serviços gratuitos"/>
    <m/>
    <m/>
    <m/>
    <x v="2"/>
    <x v="57"/>
    <x v="55"/>
    <x v="47"/>
    <x v="1"/>
  </r>
  <r>
    <x v="0"/>
    <n v="43"/>
    <x v="0"/>
    <x v="0"/>
    <x v="2"/>
    <x v="0"/>
    <x v="5"/>
    <x v="1"/>
    <x v="1"/>
    <x v="3"/>
    <x v="1"/>
    <x v="0"/>
    <m/>
    <m/>
    <m/>
    <m/>
    <x v="2"/>
    <x v="3"/>
    <x v="0"/>
    <x v="2"/>
    <x v="1"/>
    <s v="Cashback"/>
    <m/>
    <m/>
    <m/>
    <x v="2"/>
    <x v="58"/>
    <x v="56"/>
    <x v="48"/>
    <x v="1"/>
  </r>
  <r>
    <x v="0"/>
    <n v="48"/>
    <x v="1"/>
    <x v="2"/>
    <x v="0"/>
    <x v="1"/>
    <x v="4"/>
    <x v="3"/>
    <x v="3"/>
    <x v="1"/>
    <x v="1"/>
    <x v="0"/>
    <m/>
    <m/>
    <m/>
    <m/>
    <x v="2"/>
    <x v="3"/>
    <x v="0"/>
    <x v="2"/>
    <x v="1"/>
    <s v="Prêmios"/>
    <m/>
    <m/>
    <m/>
    <x v="0"/>
    <x v="59"/>
    <x v="57"/>
    <x v="49"/>
    <x v="2"/>
  </r>
  <r>
    <x v="0"/>
    <n v="60"/>
    <x v="0"/>
    <x v="1"/>
    <x v="2"/>
    <x v="0"/>
    <x v="6"/>
    <x v="1"/>
    <x v="1"/>
    <x v="2"/>
    <x v="1"/>
    <x v="0"/>
    <m/>
    <m/>
    <m/>
    <m/>
    <x v="1"/>
    <x v="3"/>
    <x v="0"/>
    <x v="1"/>
    <x v="0"/>
    <s v="Cashback"/>
    <m/>
    <m/>
    <m/>
    <x v="1"/>
    <x v="60"/>
    <x v="58"/>
    <x v="50"/>
    <x v="0"/>
  </r>
  <r>
    <x v="0"/>
    <n v="42"/>
    <x v="2"/>
    <x v="0"/>
    <x v="2"/>
    <x v="1"/>
    <x v="1"/>
    <x v="2"/>
    <x v="1"/>
    <x v="1"/>
    <x v="1"/>
    <x v="0"/>
    <m/>
    <m/>
    <m/>
    <m/>
    <x v="2"/>
    <x v="3"/>
    <x v="0"/>
    <x v="1"/>
    <x v="2"/>
    <s v="Cashback"/>
    <m/>
    <m/>
    <m/>
    <x v="1"/>
    <x v="61"/>
    <x v="59"/>
    <x v="51"/>
    <x v="0"/>
  </r>
  <r>
    <x v="0"/>
    <n v="58"/>
    <x v="0"/>
    <x v="4"/>
    <x v="2"/>
    <x v="0"/>
    <x v="3"/>
    <x v="1"/>
    <x v="1"/>
    <x v="1"/>
    <x v="1"/>
    <x v="0"/>
    <m/>
    <m/>
    <m/>
    <m/>
    <x v="1"/>
    <x v="3"/>
    <x v="0"/>
    <x v="2"/>
    <x v="2"/>
    <s v="Serviços gratuitos"/>
    <m/>
    <m/>
    <m/>
    <x v="0"/>
    <x v="62"/>
    <x v="60"/>
    <x v="52"/>
    <x v="2"/>
  </r>
  <r>
    <x v="0"/>
    <n v="67"/>
    <x v="2"/>
    <x v="2"/>
    <x v="0"/>
    <x v="1"/>
    <x v="2"/>
    <x v="0"/>
    <x v="4"/>
    <x v="4"/>
    <x v="1"/>
    <x v="0"/>
    <m/>
    <m/>
    <m/>
    <m/>
    <x v="0"/>
    <x v="3"/>
    <x v="0"/>
    <x v="2"/>
    <x v="1"/>
    <s v="Cashback"/>
    <m/>
    <m/>
    <m/>
    <x v="3"/>
    <x v="63"/>
    <x v="61"/>
    <x v="53"/>
    <x v="0"/>
  </r>
  <r>
    <x v="0"/>
    <n v="68"/>
    <x v="1"/>
    <x v="4"/>
    <x v="0"/>
    <x v="3"/>
    <x v="4"/>
    <x v="0"/>
    <x v="5"/>
    <x v="1"/>
    <x v="1"/>
    <x v="0"/>
    <m/>
    <m/>
    <m/>
    <m/>
    <x v="2"/>
    <x v="3"/>
    <x v="0"/>
    <x v="2"/>
    <x v="0"/>
    <s v="Prêmios"/>
    <m/>
    <m/>
    <m/>
    <x v="3"/>
    <x v="64"/>
    <x v="62"/>
    <x v="54"/>
    <x v="0"/>
  </r>
  <r>
    <x v="0"/>
    <n v="34"/>
    <x v="2"/>
    <x v="1"/>
    <x v="0"/>
    <x v="1"/>
    <x v="0"/>
    <x v="1"/>
    <x v="4"/>
    <x v="1"/>
    <x v="1"/>
    <x v="0"/>
    <m/>
    <m/>
    <m/>
    <m/>
    <x v="3"/>
    <x v="3"/>
    <x v="0"/>
    <x v="0"/>
    <x v="0"/>
    <s v="Descontos"/>
    <m/>
    <m/>
    <m/>
    <x v="2"/>
    <x v="65"/>
    <x v="63"/>
    <x v="55"/>
    <x v="3"/>
  </r>
  <r>
    <x v="0"/>
    <n v="24"/>
    <x v="1"/>
    <x v="0"/>
    <x v="2"/>
    <x v="1"/>
    <x v="8"/>
    <x v="2"/>
    <x v="4"/>
    <x v="1"/>
    <x v="1"/>
    <x v="0"/>
    <m/>
    <m/>
    <m/>
    <m/>
    <x v="1"/>
    <x v="3"/>
    <x v="0"/>
    <x v="0"/>
    <x v="0"/>
    <s v="Descontos"/>
    <m/>
    <m/>
    <m/>
    <x v="3"/>
    <x v="66"/>
    <x v="64"/>
    <x v="56"/>
    <x v="0"/>
  </r>
  <r>
    <x v="0"/>
    <n v="50"/>
    <x v="1"/>
    <x v="4"/>
    <x v="0"/>
    <x v="3"/>
    <x v="1"/>
    <x v="0"/>
    <x v="1"/>
    <x v="1"/>
    <x v="1"/>
    <x v="0"/>
    <m/>
    <m/>
    <m/>
    <m/>
    <x v="1"/>
    <x v="3"/>
    <x v="0"/>
    <x v="1"/>
    <x v="1"/>
    <s v="Cashback"/>
    <m/>
    <m/>
    <m/>
    <x v="2"/>
    <x v="67"/>
    <x v="65"/>
    <x v="57"/>
    <x v="0"/>
  </r>
  <r>
    <x v="0"/>
    <n v="51"/>
    <x v="1"/>
    <x v="0"/>
    <x v="1"/>
    <x v="0"/>
    <x v="4"/>
    <x v="3"/>
    <x v="3"/>
    <x v="1"/>
    <x v="1"/>
    <x v="0"/>
    <m/>
    <m/>
    <m/>
    <m/>
    <x v="4"/>
    <x v="3"/>
    <x v="0"/>
    <x v="1"/>
    <x v="1"/>
    <s v="Cashback"/>
    <m/>
    <m/>
    <m/>
    <x v="0"/>
    <x v="68"/>
    <x v="66"/>
    <x v="58"/>
    <x v="2"/>
  </r>
  <r>
    <x v="0"/>
    <n v="62"/>
    <x v="2"/>
    <x v="4"/>
    <x v="2"/>
    <x v="0"/>
    <x v="8"/>
    <x v="1"/>
    <x v="1"/>
    <x v="1"/>
    <x v="1"/>
    <x v="0"/>
    <m/>
    <m/>
    <m/>
    <m/>
    <x v="1"/>
    <x v="3"/>
    <x v="0"/>
    <x v="0"/>
    <x v="1"/>
    <s v="Serviços gratuitos"/>
    <m/>
    <m/>
    <m/>
    <x v="0"/>
    <x v="69"/>
    <x v="67"/>
    <x v="59"/>
    <x v="4"/>
  </r>
  <r>
    <x v="0"/>
    <n v="30"/>
    <x v="0"/>
    <x v="0"/>
    <x v="1"/>
    <x v="3"/>
    <x v="4"/>
    <x v="1"/>
    <x v="4"/>
    <x v="1"/>
    <x v="1"/>
    <x v="0"/>
    <m/>
    <m/>
    <m/>
    <m/>
    <x v="0"/>
    <x v="3"/>
    <x v="0"/>
    <x v="0"/>
    <x v="2"/>
    <s v="Cashback"/>
    <m/>
    <m/>
    <m/>
    <x v="2"/>
    <x v="70"/>
    <x v="68"/>
    <x v="60"/>
    <x v="4"/>
  </r>
  <r>
    <x v="0"/>
    <n v="69"/>
    <x v="2"/>
    <x v="2"/>
    <x v="1"/>
    <x v="1"/>
    <x v="2"/>
    <x v="3"/>
    <x v="1"/>
    <x v="1"/>
    <x v="1"/>
    <x v="0"/>
    <m/>
    <m/>
    <m/>
    <m/>
    <x v="1"/>
    <x v="3"/>
    <x v="0"/>
    <x v="2"/>
    <x v="0"/>
    <s v="Prêmios"/>
    <m/>
    <m/>
    <m/>
    <x v="3"/>
    <x v="71"/>
    <x v="69"/>
    <x v="61"/>
    <x v="1"/>
  </r>
  <r>
    <x v="0"/>
    <n v="20"/>
    <x v="0"/>
    <x v="0"/>
    <x v="1"/>
    <x v="0"/>
    <x v="7"/>
    <x v="3"/>
    <x v="1"/>
    <x v="1"/>
    <x v="1"/>
    <x v="0"/>
    <m/>
    <m/>
    <m/>
    <m/>
    <x v="1"/>
    <x v="3"/>
    <x v="0"/>
    <x v="2"/>
    <x v="2"/>
    <s v="Cashback"/>
    <m/>
    <m/>
    <m/>
    <x v="3"/>
    <x v="72"/>
    <x v="2"/>
    <x v="62"/>
    <x v="4"/>
  </r>
  <r>
    <x v="0"/>
    <n v="28"/>
    <x v="0"/>
    <x v="0"/>
    <x v="3"/>
    <x v="3"/>
    <x v="7"/>
    <x v="2"/>
    <x v="1"/>
    <x v="1"/>
    <x v="1"/>
    <x v="0"/>
    <m/>
    <m/>
    <m/>
    <m/>
    <x v="2"/>
    <x v="3"/>
    <x v="0"/>
    <x v="0"/>
    <x v="1"/>
    <s v="Cashback"/>
    <m/>
    <m/>
    <m/>
    <x v="1"/>
    <x v="73"/>
    <x v="2"/>
    <x v="63"/>
    <x v="2"/>
  </r>
  <r>
    <x v="0"/>
    <n v="37"/>
    <x v="0"/>
    <x v="2"/>
    <x v="3"/>
    <x v="0"/>
    <x v="1"/>
    <x v="2"/>
    <x v="1"/>
    <x v="1"/>
    <x v="1"/>
    <x v="0"/>
    <m/>
    <m/>
    <m/>
    <m/>
    <x v="1"/>
    <x v="3"/>
    <x v="0"/>
    <x v="2"/>
    <x v="1"/>
    <s v="Serviços gratuitos"/>
    <m/>
    <m/>
    <m/>
    <x v="1"/>
    <x v="74"/>
    <x v="2"/>
    <x v="64"/>
    <x v="1"/>
  </r>
  <r>
    <x v="0"/>
    <n v="64"/>
    <x v="1"/>
    <x v="0"/>
    <x v="0"/>
    <x v="0"/>
    <x v="2"/>
    <x v="0"/>
    <x v="4"/>
    <x v="2"/>
    <x v="1"/>
    <x v="0"/>
    <m/>
    <m/>
    <m/>
    <m/>
    <x v="2"/>
    <x v="3"/>
    <x v="0"/>
    <x v="2"/>
    <x v="2"/>
    <s v="Cashback"/>
    <m/>
    <m/>
    <m/>
    <x v="2"/>
    <x v="75"/>
    <x v="2"/>
    <x v="65"/>
    <x v="3"/>
  </r>
  <r>
    <x v="0"/>
    <n v="41"/>
    <x v="0"/>
    <x v="4"/>
    <x v="1"/>
    <x v="3"/>
    <x v="3"/>
    <x v="3"/>
    <x v="4"/>
    <x v="1"/>
    <x v="1"/>
    <x v="0"/>
    <m/>
    <m/>
    <m/>
    <m/>
    <x v="2"/>
    <x v="3"/>
    <x v="0"/>
    <x v="2"/>
    <x v="1"/>
    <s v="Prêmios"/>
    <m/>
    <m/>
    <m/>
    <x v="2"/>
    <x v="76"/>
    <x v="2"/>
    <x v="66"/>
    <x v="4"/>
  </r>
  <r>
    <x v="0"/>
    <n v="32"/>
    <x v="2"/>
    <x v="2"/>
    <x v="0"/>
    <x v="3"/>
    <x v="9"/>
    <x v="3"/>
    <x v="2"/>
    <x v="1"/>
    <x v="1"/>
    <x v="0"/>
    <m/>
    <m/>
    <m/>
    <m/>
    <x v="2"/>
    <x v="3"/>
    <x v="0"/>
    <x v="1"/>
    <x v="2"/>
    <s v="Descontos"/>
    <m/>
    <m/>
    <m/>
    <x v="2"/>
    <x v="77"/>
    <x v="2"/>
    <x v="67"/>
    <x v="4"/>
  </r>
  <r>
    <x v="0"/>
    <n v="43"/>
    <x v="2"/>
    <x v="1"/>
    <x v="2"/>
    <x v="0"/>
    <x v="6"/>
    <x v="1"/>
    <x v="1"/>
    <x v="2"/>
    <x v="1"/>
    <x v="0"/>
    <m/>
    <m/>
    <m/>
    <m/>
    <x v="1"/>
    <x v="3"/>
    <x v="0"/>
    <x v="0"/>
    <x v="0"/>
    <s v="Cashback"/>
    <m/>
    <m/>
    <m/>
    <x v="0"/>
    <x v="78"/>
    <x v="2"/>
    <x v="68"/>
    <x v="1"/>
  </r>
  <r>
    <x v="0"/>
    <n v="26"/>
    <x v="1"/>
    <x v="0"/>
    <x v="0"/>
    <x v="1"/>
    <x v="2"/>
    <x v="1"/>
    <x v="1"/>
    <x v="1"/>
    <x v="1"/>
    <x v="0"/>
    <m/>
    <m/>
    <m/>
    <m/>
    <x v="2"/>
    <x v="3"/>
    <x v="0"/>
    <x v="1"/>
    <x v="1"/>
    <s v="Cashback"/>
    <m/>
    <m/>
    <m/>
    <x v="0"/>
    <x v="79"/>
    <x v="2"/>
    <x v="69"/>
    <x v="2"/>
  </r>
  <r>
    <x v="0"/>
    <n v="35"/>
    <x v="0"/>
    <x v="2"/>
    <x v="1"/>
    <x v="3"/>
    <x v="4"/>
    <x v="2"/>
    <x v="1"/>
    <x v="1"/>
    <x v="1"/>
    <x v="0"/>
    <m/>
    <m/>
    <m/>
    <m/>
    <x v="1"/>
    <x v="3"/>
    <x v="0"/>
    <x v="1"/>
    <x v="0"/>
    <s v="Serviços gratuitos"/>
    <m/>
    <m/>
    <m/>
    <x v="2"/>
    <x v="80"/>
    <x v="2"/>
    <x v="70"/>
    <x v="2"/>
  </r>
  <r>
    <x v="0"/>
    <n v="64"/>
    <x v="2"/>
    <x v="1"/>
    <x v="2"/>
    <x v="0"/>
    <x v="5"/>
    <x v="2"/>
    <x v="1"/>
    <x v="1"/>
    <x v="1"/>
    <x v="0"/>
    <m/>
    <m/>
    <m/>
    <m/>
    <x v="0"/>
    <x v="3"/>
    <x v="0"/>
    <x v="0"/>
    <x v="1"/>
    <s v="Cashback"/>
    <m/>
    <m/>
    <m/>
    <x v="1"/>
    <x v="81"/>
    <x v="2"/>
    <x v="71"/>
    <x v="0"/>
  </r>
  <r>
    <x v="0"/>
    <n v="28"/>
    <x v="0"/>
    <x v="1"/>
    <x v="2"/>
    <x v="1"/>
    <x v="0"/>
    <x v="2"/>
    <x v="4"/>
    <x v="1"/>
    <x v="1"/>
    <x v="0"/>
    <m/>
    <m/>
    <m/>
    <m/>
    <x v="2"/>
    <x v="3"/>
    <x v="0"/>
    <x v="1"/>
    <x v="2"/>
    <s v="Prêmios"/>
    <m/>
    <m/>
    <m/>
    <x v="3"/>
    <x v="82"/>
    <x v="2"/>
    <x v="72"/>
    <x v="0"/>
  </r>
  <r>
    <x v="0"/>
    <n v="59"/>
    <x v="1"/>
    <x v="4"/>
    <x v="0"/>
    <x v="0"/>
    <x v="1"/>
    <x v="3"/>
    <x v="3"/>
    <x v="1"/>
    <x v="1"/>
    <x v="0"/>
    <m/>
    <m/>
    <m/>
    <m/>
    <x v="3"/>
    <x v="3"/>
    <x v="0"/>
    <x v="1"/>
    <x v="1"/>
    <s v="Cashback"/>
    <m/>
    <m/>
    <m/>
    <x v="0"/>
    <x v="83"/>
    <x v="2"/>
    <x v="73"/>
    <x v="2"/>
  </r>
  <r>
    <x v="0"/>
    <n v="54"/>
    <x v="2"/>
    <x v="4"/>
    <x v="0"/>
    <x v="1"/>
    <x v="3"/>
    <x v="1"/>
    <x v="1"/>
    <x v="1"/>
    <x v="1"/>
    <x v="0"/>
    <m/>
    <m/>
    <m/>
    <m/>
    <x v="1"/>
    <x v="3"/>
    <x v="0"/>
    <x v="2"/>
    <x v="0"/>
    <s v="Cashback"/>
    <m/>
    <m/>
    <m/>
    <x v="3"/>
    <x v="84"/>
    <x v="2"/>
    <x v="74"/>
    <x v="3"/>
  </r>
  <r>
    <x v="0"/>
    <n v="47"/>
    <x v="0"/>
    <x v="0"/>
    <x v="2"/>
    <x v="1"/>
    <x v="3"/>
    <x v="0"/>
    <x v="4"/>
    <x v="1"/>
    <x v="1"/>
    <x v="0"/>
    <m/>
    <m/>
    <m/>
    <m/>
    <x v="1"/>
    <x v="3"/>
    <x v="0"/>
    <x v="2"/>
    <x v="2"/>
    <s v="Serviços gratuitos"/>
    <m/>
    <m/>
    <m/>
    <x v="2"/>
    <x v="85"/>
    <x v="2"/>
    <x v="75"/>
    <x v="4"/>
  </r>
  <r>
    <x v="0"/>
    <n v="68"/>
    <x v="0"/>
    <x v="1"/>
    <x v="1"/>
    <x v="3"/>
    <x v="5"/>
    <x v="1"/>
    <x v="1"/>
    <x v="1"/>
    <x v="1"/>
    <x v="0"/>
    <m/>
    <m/>
    <m/>
    <m/>
    <x v="4"/>
    <x v="3"/>
    <x v="0"/>
    <x v="1"/>
    <x v="2"/>
    <s v="Cashback"/>
    <m/>
    <m/>
    <m/>
    <x v="3"/>
    <x v="86"/>
    <x v="2"/>
    <x v="76"/>
    <x v="0"/>
  </r>
  <r>
    <x v="0"/>
    <n v="53"/>
    <x v="2"/>
    <x v="1"/>
    <x v="1"/>
    <x v="1"/>
    <x v="1"/>
    <x v="0"/>
    <x v="5"/>
    <x v="1"/>
    <x v="1"/>
    <x v="0"/>
    <m/>
    <m/>
    <m/>
    <m/>
    <x v="1"/>
    <x v="3"/>
    <x v="0"/>
    <x v="1"/>
    <x v="0"/>
    <s v="Prêmios"/>
    <m/>
    <m/>
    <m/>
    <x v="0"/>
    <x v="87"/>
    <x v="2"/>
    <x v="77"/>
    <x v="3"/>
  </r>
  <r>
    <x v="0"/>
    <n v="27"/>
    <x v="1"/>
    <x v="1"/>
    <x v="1"/>
    <x v="3"/>
    <x v="3"/>
    <x v="2"/>
    <x v="1"/>
    <x v="1"/>
    <x v="1"/>
    <x v="0"/>
    <m/>
    <m/>
    <m/>
    <m/>
    <x v="0"/>
    <x v="3"/>
    <x v="0"/>
    <x v="2"/>
    <x v="2"/>
    <s v="Descontos"/>
    <m/>
    <m/>
    <m/>
    <x v="0"/>
    <x v="88"/>
    <x v="2"/>
    <x v="78"/>
    <x v="4"/>
  </r>
  <r>
    <x v="0"/>
    <n v="68"/>
    <x v="1"/>
    <x v="1"/>
    <x v="2"/>
    <x v="0"/>
    <x v="1"/>
    <x v="1"/>
    <x v="4"/>
    <x v="1"/>
    <x v="1"/>
    <x v="0"/>
    <m/>
    <m/>
    <m/>
    <m/>
    <x v="1"/>
    <x v="3"/>
    <x v="0"/>
    <x v="0"/>
    <x v="2"/>
    <s v="Cashback"/>
    <m/>
    <m/>
    <m/>
    <x v="1"/>
    <x v="89"/>
    <x v="2"/>
    <x v="79"/>
    <x v="0"/>
  </r>
  <r>
    <x v="0"/>
    <n v="39"/>
    <x v="1"/>
    <x v="1"/>
    <x v="2"/>
    <x v="3"/>
    <x v="1"/>
    <x v="1"/>
    <x v="4"/>
    <x v="1"/>
    <x v="1"/>
    <x v="0"/>
    <m/>
    <m/>
    <m/>
    <m/>
    <x v="1"/>
    <x v="3"/>
    <x v="0"/>
    <x v="1"/>
    <x v="2"/>
    <s v="Cashback"/>
    <m/>
    <m/>
    <m/>
    <x v="2"/>
    <x v="90"/>
    <x v="2"/>
    <x v="80"/>
    <x v="2"/>
  </r>
  <r>
    <x v="0"/>
    <n v="27"/>
    <x v="1"/>
    <x v="0"/>
    <x v="2"/>
    <x v="3"/>
    <x v="0"/>
    <x v="0"/>
    <x v="3"/>
    <x v="1"/>
    <x v="1"/>
    <x v="0"/>
    <m/>
    <m/>
    <m/>
    <m/>
    <x v="2"/>
    <x v="3"/>
    <x v="0"/>
    <x v="2"/>
    <x v="1"/>
    <s v="Serviços gratuitos"/>
    <m/>
    <m/>
    <m/>
    <x v="3"/>
    <x v="91"/>
    <x v="2"/>
    <x v="81"/>
    <x v="2"/>
  </r>
  <r>
    <x v="0"/>
    <n v="18"/>
    <x v="1"/>
    <x v="0"/>
    <x v="3"/>
    <x v="1"/>
    <x v="6"/>
    <x v="1"/>
    <x v="7"/>
    <x v="1"/>
    <x v="1"/>
    <x v="0"/>
    <m/>
    <m/>
    <m/>
    <m/>
    <x v="1"/>
    <x v="3"/>
    <x v="0"/>
    <x v="2"/>
    <x v="2"/>
    <s v="Cashback"/>
    <m/>
    <m/>
    <m/>
    <x v="2"/>
    <x v="92"/>
    <x v="2"/>
    <x v="82"/>
    <x v="3"/>
  </r>
  <r>
    <x v="0"/>
    <n v="42"/>
    <x v="2"/>
    <x v="4"/>
    <x v="2"/>
    <x v="0"/>
    <x v="6"/>
    <x v="3"/>
    <x v="3"/>
    <x v="1"/>
    <x v="1"/>
    <x v="0"/>
    <m/>
    <m/>
    <m/>
    <m/>
    <x v="2"/>
    <x v="3"/>
    <x v="0"/>
    <x v="0"/>
    <x v="1"/>
    <s v="Prêmios"/>
    <m/>
    <m/>
    <m/>
    <x v="3"/>
    <x v="93"/>
    <x v="2"/>
    <x v="83"/>
    <x v="2"/>
  </r>
  <r>
    <x v="0"/>
    <n v="64"/>
    <x v="2"/>
    <x v="0"/>
    <x v="2"/>
    <x v="0"/>
    <x v="4"/>
    <x v="2"/>
    <x v="5"/>
    <x v="1"/>
    <x v="1"/>
    <x v="0"/>
    <m/>
    <m/>
    <m/>
    <m/>
    <x v="2"/>
    <x v="3"/>
    <x v="0"/>
    <x v="2"/>
    <x v="1"/>
    <s v="Cashback"/>
    <m/>
    <m/>
    <m/>
    <x v="3"/>
    <x v="94"/>
    <x v="2"/>
    <x v="84"/>
    <x v="4"/>
  </r>
  <r>
    <x v="0"/>
    <n v="51"/>
    <x v="2"/>
    <x v="0"/>
    <x v="1"/>
    <x v="3"/>
    <x v="3"/>
    <x v="0"/>
    <x v="4"/>
    <x v="1"/>
    <x v="1"/>
    <x v="0"/>
    <m/>
    <m/>
    <m/>
    <m/>
    <x v="2"/>
    <x v="3"/>
    <x v="0"/>
    <x v="2"/>
    <x v="2"/>
    <s v="Cashback"/>
    <m/>
    <m/>
    <m/>
    <x v="3"/>
    <x v="95"/>
    <x v="2"/>
    <x v="85"/>
    <x v="4"/>
  </r>
  <r>
    <x v="0"/>
    <n v="33"/>
    <x v="1"/>
    <x v="0"/>
    <x v="0"/>
    <x v="0"/>
    <x v="0"/>
    <x v="3"/>
    <x v="7"/>
    <x v="1"/>
    <x v="1"/>
    <x v="0"/>
    <m/>
    <m/>
    <m/>
    <m/>
    <x v="1"/>
    <x v="3"/>
    <x v="0"/>
    <x v="0"/>
    <x v="1"/>
    <s v="Serviços gratuitos"/>
    <m/>
    <m/>
    <m/>
    <x v="0"/>
    <x v="96"/>
    <x v="2"/>
    <x v="86"/>
    <x v="3"/>
  </r>
  <r>
    <x v="0"/>
    <n v="67"/>
    <x v="0"/>
    <x v="0"/>
    <x v="1"/>
    <x v="0"/>
    <x v="2"/>
    <x v="1"/>
    <x v="1"/>
    <x v="1"/>
    <x v="1"/>
    <x v="0"/>
    <m/>
    <m/>
    <m/>
    <m/>
    <x v="2"/>
    <x v="3"/>
    <x v="0"/>
    <x v="2"/>
    <x v="2"/>
    <s v="Cashback"/>
    <m/>
    <m/>
    <m/>
    <x v="0"/>
    <x v="97"/>
    <x v="2"/>
    <x v="87"/>
    <x v="3"/>
  </r>
  <r>
    <x v="0"/>
    <n v="42"/>
    <x v="2"/>
    <x v="2"/>
    <x v="3"/>
    <x v="3"/>
    <x v="7"/>
    <x v="0"/>
    <x v="4"/>
    <x v="1"/>
    <x v="1"/>
    <x v="0"/>
    <m/>
    <m/>
    <m/>
    <m/>
    <x v="1"/>
    <x v="3"/>
    <x v="0"/>
    <x v="2"/>
    <x v="0"/>
    <s v="Prêmios"/>
    <m/>
    <m/>
    <m/>
    <x v="0"/>
    <x v="98"/>
    <x v="2"/>
    <x v="88"/>
    <x v="4"/>
  </r>
  <r>
    <x v="0"/>
    <n v="29"/>
    <x v="2"/>
    <x v="0"/>
    <x v="2"/>
    <x v="0"/>
    <x v="1"/>
    <x v="0"/>
    <x v="1"/>
    <x v="1"/>
    <x v="1"/>
    <x v="0"/>
    <m/>
    <m/>
    <m/>
    <m/>
    <x v="0"/>
    <x v="3"/>
    <x v="0"/>
    <x v="1"/>
    <x v="1"/>
    <s v="Descontos"/>
    <m/>
    <m/>
    <m/>
    <x v="2"/>
    <x v="99"/>
    <x v="2"/>
    <x v="89"/>
    <x v="4"/>
  </r>
  <r>
    <x v="0"/>
    <n v="50"/>
    <x v="1"/>
    <x v="0"/>
    <x v="2"/>
    <x v="1"/>
    <x v="9"/>
    <x v="1"/>
    <x v="1"/>
    <x v="1"/>
    <x v="1"/>
    <x v="0"/>
    <m/>
    <m/>
    <m/>
    <m/>
    <x v="2"/>
    <x v="3"/>
    <x v="0"/>
    <x v="1"/>
    <x v="2"/>
    <s v="Descontos"/>
    <m/>
    <m/>
    <m/>
    <x v="3"/>
    <x v="100"/>
    <x v="2"/>
    <x v="90"/>
    <x v="4"/>
  </r>
  <r>
    <x v="0"/>
    <n v="28"/>
    <x v="1"/>
    <x v="4"/>
    <x v="0"/>
    <x v="0"/>
    <x v="6"/>
    <x v="1"/>
    <x v="4"/>
    <x v="1"/>
    <x v="1"/>
    <x v="0"/>
    <m/>
    <m/>
    <m/>
    <m/>
    <x v="3"/>
    <x v="3"/>
    <x v="0"/>
    <x v="2"/>
    <x v="2"/>
    <s v="Cashback"/>
    <m/>
    <m/>
    <m/>
    <x v="0"/>
    <x v="101"/>
    <x v="2"/>
    <x v="91"/>
    <x v="3"/>
  </r>
  <r>
    <x v="0"/>
    <n v="50"/>
    <x v="2"/>
    <x v="1"/>
    <x v="0"/>
    <x v="0"/>
    <x v="7"/>
    <x v="2"/>
    <x v="1"/>
    <x v="1"/>
    <x v="1"/>
    <x v="0"/>
    <m/>
    <m/>
    <m/>
    <m/>
    <x v="1"/>
    <x v="3"/>
    <x v="0"/>
    <x v="2"/>
    <x v="1"/>
    <s v="Cashback"/>
    <m/>
    <m/>
    <m/>
    <x v="2"/>
    <x v="102"/>
    <x v="2"/>
    <x v="92"/>
    <x v="0"/>
  </r>
  <r>
    <x v="0"/>
    <n v="55"/>
    <x v="1"/>
    <x v="2"/>
    <x v="0"/>
    <x v="1"/>
    <x v="4"/>
    <x v="2"/>
    <x v="1"/>
    <x v="1"/>
    <x v="1"/>
    <x v="0"/>
    <m/>
    <m/>
    <m/>
    <m/>
    <x v="1"/>
    <x v="3"/>
    <x v="0"/>
    <x v="0"/>
    <x v="1"/>
    <s v="Serviços gratuitos"/>
    <m/>
    <m/>
    <m/>
    <x v="1"/>
    <x v="103"/>
    <x v="2"/>
    <x v="93"/>
    <x v="1"/>
  </r>
  <r>
    <x v="0"/>
    <n v="35"/>
    <x v="0"/>
    <x v="2"/>
    <x v="0"/>
    <x v="3"/>
    <x v="4"/>
    <x v="0"/>
    <x v="1"/>
    <x v="4"/>
    <x v="3"/>
    <x v="0"/>
    <m/>
    <m/>
    <m/>
    <m/>
    <x v="4"/>
    <x v="3"/>
    <x v="0"/>
    <x v="0"/>
    <x v="0"/>
    <s v="Cashback"/>
    <m/>
    <m/>
    <m/>
    <x v="3"/>
    <x v="104"/>
    <x v="2"/>
    <x v="94"/>
    <x v="4"/>
  </r>
  <r>
    <x v="0"/>
    <n v="54"/>
    <x v="2"/>
    <x v="4"/>
    <x v="1"/>
    <x v="0"/>
    <x v="4"/>
    <x v="2"/>
    <x v="1"/>
    <x v="2"/>
    <x v="1"/>
    <x v="0"/>
    <m/>
    <m/>
    <m/>
    <m/>
    <x v="1"/>
    <x v="3"/>
    <x v="0"/>
    <x v="0"/>
    <x v="1"/>
    <s v="Prêmios"/>
    <m/>
    <m/>
    <m/>
    <x v="1"/>
    <x v="105"/>
    <x v="2"/>
    <x v="95"/>
    <x v="2"/>
  </r>
  <r>
    <x v="0"/>
    <n v="39"/>
    <x v="2"/>
    <x v="2"/>
    <x v="1"/>
    <x v="0"/>
    <x v="1"/>
    <x v="2"/>
    <x v="4"/>
    <x v="1"/>
    <x v="1"/>
    <x v="0"/>
    <m/>
    <m/>
    <m/>
    <m/>
    <x v="0"/>
    <x v="3"/>
    <x v="0"/>
    <x v="1"/>
    <x v="0"/>
    <s v="Cashback"/>
    <m/>
    <m/>
    <m/>
    <x v="2"/>
    <x v="106"/>
    <x v="2"/>
    <x v="96"/>
    <x v="1"/>
  </r>
  <r>
    <x v="0"/>
    <n v="53"/>
    <x v="0"/>
    <x v="4"/>
    <x v="1"/>
    <x v="0"/>
    <x v="9"/>
    <x v="2"/>
    <x v="1"/>
    <x v="4"/>
    <x v="2"/>
    <x v="0"/>
    <m/>
    <m/>
    <m/>
    <m/>
    <x v="1"/>
    <x v="3"/>
    <x v="0"/>
    <x v="1"/>
    <x v="0"/>
    <s v="Cashback"/>
    <m/>
    <m/>
    <m/>
    <x v="0"/>
    <x v="107"/>
    <x v="2"/>
    <x v="97"/>
    <x v="1"/>
  </r>
  <r>
    <x v="0"/>
    <n v="37"/>
    <x v="1"/>
    <x v="0"/>
    <x v="2"/>
    <x v="0"/>
    <x v="6"/>
    <x v="2"/>
    <x v="1"/>
    <x v="1"/>
    <x v="1"/>
    <x v="0"/>
    <m/>
    <m/>
    <m/>
    <m/>
    <x v="1"/>
    <x v="3"/>
    <x v="0"/>
    <x v="1"/>
    <x v="1"/>
    <s v="Serviços gratuitos"/>
    <m/>
    <m/>
    <m/>
    <x v="2"/>
    <x v="108"/>
    <x v="2"/>
    <x v="98"/>
    <x v="0"/>
  </r>
  <r>
    <x v="0"/>
    <n v="50"/>
    <x v="2"/>
    <x v="0"/>
    <x v="2"/>
    <x v="3"/>
    <x v="7"/>
    <x v="1"/>
    <x v="1"/>
    <x v="1"/>
    <x v="1"/>
    <x v="0"/>
    <m/>
    <m/>
    <m/>
    <m/>
    <x v="2"/>
    <x v="3"/>
    <x v="0"/>
    <x v="2"/>
    <x v="1"/>
    <s v="Cashback"/>
    <m/>
    <m/>
    <m/>
    <x v="0"/>
    <x v="109"/>
    <x v="2"/>
    <x v="99"/>
    <x v="3"/>
  </r>
  <r>
    <x v="0"/>
    <n v="50"/>
    <x v="2"/>
    <x v="2"/>
    <x v="2"/>
    <x v="0"/>
    <x v="9"/>
    <x v="0"/>
    <x v="1"/>
    <x v="1"/>
    <x v="1"/>
    <x v="0"/>
    <m/>
    <m/>
    <m/>
    <m/>
    <x v="1"/>
    <x v="3"/>
    <x v="0"/>
    <x v="1"/>
    <x v="2"/>
    <s v="Prêmios"/>
    <m/>
    <m/>
    <m/>
    <x v="3"/>
    <x v="110"/>
    <x v="2"/>
    <x v="100"/>
    <x v="1"/>
  </r>
  <r>
    <x v="0"/>
    <n v="58"/>
    <x v="2"/>
    <x v="0"/>
    <x v="3"/>
    <x v="3"/>
    <x v="4"/>
    <x v="1"/>
    <x v="4"/>
    <x v="1"/>
    <x v="1"/>
    <x v="0"/>
    <m/>
    <m/>
    <m/>
    <m/>
    <x v="2"/>
    <x v="3"/>
    <x v="0"/>
    <x v="1"/>
    <x v="0"/>
    <s v="Descontos"/>
    <m/>
    <m/>
    <m/>
    <x v="2"/>
    <x v="111"/>
    <x v="2"/>
    <x v="101"/>
    <x v="4"/>
  </r>
  <r>
    <x v="0"/>
    <n v="55"/>
    <x v="1"/>
    <x v="2"/>
    <x v="3"/>
    <x v="3"/>
    <x v="0"/>
    <x v="0"/>
    <x v="1"/>
    <x v="5"/>
    <x v="4"/>
    <x v="1"/>
    <m/>
    <m/>
    <m/>
    <m/>
    <x v="2"/>
    <x v="3"/>
    <x v="0"/>
    <x v="2"/>
    <x v="0"/>
    <s v="Cashback"/>
    <m/>
    <m/>
    <m/>
    <x v="0"/>
    <x v="112"/>
    <x v="2"/>
    <x v="102"/>
    <x v="3"/>
  </r>
  <r>
    <x v="0"/>
    <n v="46"/>
    <x v="2"/>
    <x v="4"/>
    <x v="0"/>
    <x v="0"/>
    <x v="6"/>
    <x v="1"/>
    <x v="1"/>
    <x v="1"/>
    <x v="1"/>
    <x v="0"/>
    <m/>
    <m/>
    <m/>
    <m/>
    <x v="2"/>
    <x v="3"/>
    <x v="0"/>
    <x v="0"/>
    <x v="2"/>
    <s v="Cashback"/>
    <m/>
    <m/>
    <m/>
    <x v="1"/>
    <x v="113"/>
    <x v="2"/>
    <x v="103"/>
    <x v="3"/>
  </r>
  <r>
    <x v="0"/>
    <n v="45"/>
    <x v="2"/>
    <x v="0"/>
    <x v="0"/>
    <x v="3"/>
    <x v="4"/>
    <x v="0"/>
    <x v="1"/>
    <x v="1"/>
    <x v="1"/>
    <x v="0"/>
    <m/>
    <m/>
    <m/>
    <m/>
    <x v="1"/>
    <x v="3"/>
    <x v="0"/>
    <x v="0"/>
    <x v="2"/>
    <s v="Serviços gratuitos"/>
    <m/>
    <m/>
    <m/>
    <x v="3"/>
    <x v="114"/>
    <x v="2"/>
    <x v="104"/>
    <x v="0"/>
  </r>
  <r>
    <x v="0"/>
    <n v="69"/>
    <x v="1"/>
    <x v="0"/>
    <x v="0"/>
    <x v="1"/>
    <x v="0"/>
    <x v="2"/>
    <x v="4"/>
    <x v="1"/>
    <x v="1"/>
    <x v="0"/>
    <m/>
    <m/>
    <m/>
    <m/>
    <x v="2"/>
    <x v="3"/>
    <x v="0"/>
    <x v="1"/>
    <x v="2"/>
    <s v="Cashback"/>
    <m/>
    <m/>
    <m/>
    <x v="0"/>
    <x v="115"/>
    <x v="2"/>
    <x v="105"/>
    <x v="4"/>
  </r>
  <r>
    <x v="0"/>
    <n v="22"/>
    <x v="1"/>
    <x v="4"/>
    <x v="1"/>
    <x v="3"/>
    <x v="7"/>
    <x v="2"/>
    <x v="5"/>
    <x v="1"/>
    <x v="1"/>
    <x v="0"/>
    <m/>
    <m/>
    <m/>
    <m/>
    <x v="1"/>
    <x v="3"/>
    <x v="0"/>
    <x v="1"/>
    <x v="0"/>
    <s v="Prêmios"/>
    <m/>
    <m/>
    <m/>
    <x v="2"/>
    <x v="116"/>
    <x v="2"/>
    <x v="106"/>
    <x v="2"/>
  </r>
  <r>
    <x v="0"/>
    <n v="44"/>
    <x v="1"/>
    <x v="4"/>
    <x v="0"/>
    <x v="0"/>
    <x v="4"/>
    <x v="1"/>
    <x v="4"/>
    <x v="1"/>
    <x v="1"/>
    <x v="0"/>
    <m/>
    <m/>
    <m/>
    <m/>
    <x v="0"/>
    <x v="3"/>
    <x v="0"/>
    <x v="2"/>
    <x v="2"/>
    <s v="Cashback"/>
    <m/>
    <m/>
    <m/>
    <x v="2"/>
    <x v="117"/>
    <x v="2"/>
    <x v="107"/>
    <x v="0"/>
  </r>
  <r>
    <x v="0"/>
    <n v="53"/>
    <x v="0"/>
    <x v="4"/>
    <x v="2"/>
    <x v="1"/>
    <x v="2"/>
    <x v="3"/>
    <x v="1"/>
    <x v="1"/>
    <x v="1"/>
    <x v="0"/>
    <m/>
    <m/>
    <m/>
    <m/>
    <x v="2"/>
    <x v="3"/>
    <x v="0"/>
    <x v="0"/>
    <x v="1"/>
    <s v="Cashback"/>
    <m/>
    <m/>
    <m/>
    <x v="2"/>
    <x v="118"/>
    <x v="2"/>
    <x v="108"/>
    <x v="1"/>
  </r>
  <r>
    <x v="0"/>
    <n v="52"/>
    <x v="1"/>
    <x v="1"/>
    <x v="2"/>
    <x v="1"/>
    <x v="8"/>
    <x v="3"/>
    <x v="4"/>
    <x v="1"/>
    <x v="1"/>
    <x v="0"/>
    <m/>
    <m/>
    <m/>
    <m/>
    <x v="3"/>
    <x v="3"/>
    <x v="0"/>
    <x v="2"/>
    <x v="0"/>
    <s v="Serviços gratuitos"/>
    <m/>
    <m/>
    <m/>
    <x v="1"/>
    <x v="119"/>
    <x v="2"/>
    <x v="109"/>
    <x v="3"/>
  </r>
  <r>
    <x v="0"/>
    <n v="28"/>
    <x v="0"/>
    <x v="0"/>
    <x v="1"/>
    <x v="1"/>
    <x v="7"/>
    <x v="2"/>
    <x v="1"/>
    <x v="2"/>
    <x v="1"/>
    <x v="0"/>
    <m/>
    <m/>
    <m/>
    <m/>
    <x v="1"/>
    <x v="3"/>
    <x v="0"/>
    <x v="2"/>
    <x v="2"/>
    <s v="Cashback"/>
    <m/>
    <m/>
    <m/>
    <x v="1"/>
    <x v="120"/>
    <x v="2"/>
    <x v="110"/>
    <x v="1"/>
  </r>
  <r>
    <x v="0"/>
    <n v="40"/>
    <x v="0"/>
    <x v="2"/>
    <x v="0"/>
    <x v="0"/>
    <x v="9"/>
    <x v="1"/>
    <x v="1"/>
    <x v="1"/>
    <x v="1"/>
    <x v="0"/>
    <m/>
    <m/>
    <m/>
    <m/>
    <x v="1"/>
    <x v="3"/>
    <x v="0"/>
    <x v="2"/>
    <x v="2"/>
    <s v="Prêmios"/>
    <m/>
    <m/>
    <m/>
    <x v="2"/>
    <x v="121"/>
    <x v="2"/>
    <x v="111"/>
    <x v="2"/>
  </r>
  <r>
    <x v="0"/>
    <n v="55"/>
    <x v="2"/>
    <x v="2"/>
    <x v="3"/>
    <x v="3"/>
    <x v="0"/>
    <x v="3"/>
    <x v="5"/>
    <x v="1"/>
    <x v="1"/>
    <x v="0"/>
    <m/>
    <m/>
    <m/>
    <m/>
    <x v="4"/>
    <x v="3"/>
    <x v="0"/>
    <x v="2"/>
    <x v="0"/>
    <s v="Descontos"/>
    <m/>
    <m/>
    <m/>
    <x v="1"/>
    <x v="122"/>
    <x v="2"/>
    <x v="112"/>
    <x v="2"/>
  </r>
  <r>
    <x v="0"/>
    <n v="43"/>
    <x v="2"/>
    <x v="1"/>
    <x v="2"/>
    <x v="0"/>
    <x v="5"/>
    <x v="1"/>
    <x v="1"/>
    <x v="1"/>
    <x v="1"/>
    <x v="0"/>
    <m/>
    <m/>
    <m/>
    <m/>
    <x v="1"/>
    <x v="3"/>
    <x v="0"/>
    <x v="0"/>
    <x v="2"/>
    <s v="Descontos"/>
    <m/>
    <m/>
    <m/>
    <x v="0"/>
    <x v="123"/>
    <x v="2"/>
    <x v="113"/>
    <x v="4"/>
  </r>
  <r>
    <x v="0"/>
    <n v="22"/>
    <x v="0"/>
    <x v="4"/>
    <x v="3"/>
    <x v="1"/>
    <x v="7"/>
    <x v="1"/>
    <x v="1"/>
    <x v="1"/>
    <x v="1"/>
    <x v="0"/>
    <m/>
    <m/>
    <m/>
    <m/>
    <x v="0"/>
    <x v="3"/>
    <x v="0"/>
    <x v="0"/>
    <x v="0"/>
    <s v="Descontos"/>
    <m/>
    <m/>
    <m/>
    <x v="3"/>
    <x v="124"/>
    <x v="2"/>
    <x v="114"/>
    <x v="2"/>
  </r>
  <r>
    <x v="0"/>
    <n v="69"/>
    <x v="1"/>
    <x v="4"/>
    <x v="2"/>
    <x v="3"/>
    <x v="6"/>
    <x v="2"/>
    <x v="1"/>
    <x v="1"/>
    <x v="1"/>
    <x v="0"/>
    <m/>
    <m/>
    <m/>
    <m/>
    <x v="1"/>
    <x v="3"/>
    <x v="0"/>
    <x v="1"/>
    <x v="2"/>
    <s v="Descontos"/>
    <m/>
    <m/>
    <m/>
    <x v="1"/>
    <x v="125"/>
    <x v="2"/>
    <x v="115"/>
    <x v="4"/>
  </r>
  <r>
    <x v="0"/>
    <n v="29"/>
    <x v="2"/>
    <x v="1"/>
    <x v="1"/>
    <x v="0"/>
    <x v="1"/>
    <x v="3"/>
    <x v="5"/>
    <x v="1"/>
    <x v="1"/>
    <x v="0"/>
    <m/>
    <m/>
    <m/>
    <m/>
    <x v="1"/>
    <x v="3"/>
    <x v="0"/>
    <x v="2"/>
    <x v="2"/>
    <s v="Cashback"/>
    <m/>
    <m/>
    <m/>
    <x v="0"/>
    <x v="126"/>
    <x v="2"/>
    <x v="116"/>
    <x v="3"/>
  </r>
  <r>
    <x v="0"/>
    <n v="56"/>
    <x v="0"/>
    <x v="0"/>
    <x v="0"/>
    <x v="0"/>
    <x v="8"/>
    <x v="0"/>
    <x v="1"/>
    <x v="1"/>
    <x v="1"/>
    <x v="0"/>
    <m/>
    <m/>
    <m/>
    <m/>
    <x v="2"/>
    <x v="3"/>
    <x v="0"/>
    <x v="2"/>
    <x v="1"/>
    <s v="Cashback"/>
    <m/>
    <m/>
    <m/>
    <x v="2"/>
    <x v="127"/>
    <x v="2"/>
    <x v="117"/>
    <x v="3"/>
  </r>
  <r>
    <x v="0"/>
    <n v="54"/>
    <x v="2"/>
    <x v="2"/>
    <x v="1"/>
    <x v="0"/>
    <x v="0"/>
    <x v="0"/>
    <x v="1"/>
    <x v="1"/>
    <x v="1"/>
    <x v="0"/>
    <m/>
    <m/>
    <m/>
    <m/>
    <x v="1"/>
    <x v="3"/>
    <x v="0"/>
    <x v="0"/>
    <x v="0"/>
    <s v="Serviços gratuitos"/>
    <m/>
    <m/>
    <m/>
    <x v="0"/>
    <x v="128"/>
    <x v="2"/>
    <x v="118"/>
    <x v="0"/>
  </r>
  <r>
    <x v="0"/>
    <n v="33"/>
    <x v="1"/>
    <x v="4"/>
    <x v="2"/>
    <x v="0"/>
    <x v="5"/>
    <x v="2"/>
    <x v="4"/>
    <x v="1"/>
    <x v="1"/>
    <x v="0"/>
    <m/>
    <m/>
    <m/>
    <m/>
    <x v="2"/>
    <x v="3"/>
    <x v="0"/>
    <x v="2"/>
    <x v="0"/>
    <s v="Cashback"/>
    <m/>
    <m/>
    <m/>
    <x v="3"/>
    <x v="129"/>
    <x v="2"/>
    <x v="119"/>
    <x v="3"/>
  </r>
  <r>
    <x v="0"/>
    <n v="40"/>
    <x v="1"/>
    <x v="4"/>
    <x v="1"/>
    <x v="0"/>
    <x v="6"/>
    <x v="1"/>
    <x v="1"/>
    <x v="1"/>
    <x v="1"/>
    <x v="0"/>
    <m/>
    <m/>
    <m/>
    <m/>
    <x v="2"/>
    <x v="3"/>
    <x v="0"/>
    <x v="1"/>
    <x v="2"/>
    <s v="Prêmios"/>
    <m/>
    <m/>
    <m/>
    <x v="0"/>
    <x v="130"/>
    <x v="2"/>
    <x v="120"/>
    <x v="3"/>
  </r>
  <r>
    <x v="0"/>
    <n v="51"/>
    <x v="2"/>
    <x v="4"/>
    <x v="0"/>
    <x v="3"/>
    <x v="6"/>
    <x v="1"/>
    <x v="1"/>
    <x v="2"/>
    <x v="1"/>
    <x v="0"/>
    <m/>
    <m/>
    <m/>
    <m/>
    <x v="2"/>
    <x v="3"/>
    <x v="0"/>
    <x v="1"/>
    <x v="1"/>
    <s v="Cashback"/>
    <m/>
    <m/>
    <m/>
    <x v="1"/>
    <x v="131"/>
    <x v="2"/>
    <x v="121"/>
    <x v="0"/>
  </r>
  <r>
    <x v="0"/>
    <n v="65"/>
    <x v="2"/>
    <x v="0"/>
    <x v="2"/>
    <x v="3"/>
    <x v="0"/>
    <x v="1"/>
    <x v="5"/>
    <x v="1"/>
    <x v="1"/>
    <x v="0"/>
    <m/>
    <m/>
    <m/>
    <m/>
    <x v="1"/>
    <x v="3"/>
    <x v="0"/>
    <x v="1"/>
    <x v="2"/>
    <s v="Cashback"/>
    <m/>
    <m/>
    <m/>
    <x v="3"/>
    <x v="27"/>
    <x v="2"/>
    <x v="122"/>
    <x v="1"/>
  </r>
  <r>
    <x v="0"/>
    <n v="57"/>
    <x v="2"/>
    <x v="2"/>
    <x v="0"/>
    <x v="1"/>
    <x v="6"/>
    <x v="0"/>
    <x v="3"/>
    <x v="1"/>
    <x v="1"/>
    <x v="0"/>
    <m/>
    <m/>
    <m/>
    <m/>
    <x v="2"/>
    <x v="3"/>
    <x v="0"/>
    <x v="0"/>
    <x v="1"/>
    <s v="Serviços gratuitos"/>
    <m/>
    <m/>
    <m/>
    <x v="2"/>
    <x v="27"/>
    <x v="2"/>
    <x v="123"/>
    <x v="2"/>
  </r>
  <r>
    <x v="0"/>
    <n v="31"/>
    <x v="2"/>
    <x v="0"/>
    <x v="1"/>
    <x v="1"/>
    <x v="4"/>
    <x v="1"/>
    <x v="1"/>
    <x v="1"/>
    <x v="1"/>
    <x v="0"/>
    <m/>
    <m/>
    <m/>
    <m/>
    <x v="1"/>
    <x v="3"/>
    <x v="0"/>
    <x v="1"/>
    <x v="0"/>
    <s v="Cashback"/>
    <m/>
    <m/>
    <m/>
    <x v="1"/>
    <x v="27"/>
    <x v="2"/>
    <x v="124"/>
    <x v="0"/>
  </r>
  <r>
    <x v="0"/>
    <n v="33"/>
    <x v="2"/>
    <x v="0"/>
    <x v="2"/>
    <x v="1"/>
    <x v="8"/>
    <x v="0"/>
    <x v="3"/>
    <x v="1"/>
    <x v="1"/>
    <x v="0"/>
    <m/>
    <m/>
    <m/>
    <m/>
    <x v="0"/>
    <x v="3"/>
    <x v="0"/>
    <x v="0"/>
    <x v="0"/>
    <s v="Prêmios"/>
    <m/>
    <m/>
    <m/>
    <x v="1"/>
    <x v="27"/>
    <x v="2"/>
    <x v="125"/>
    <x v="0"/>
  </r>
  <r>
    <x v="0"/>
    <n v="50"/>
    <x v="2"/>
    <x v="0"/>
    <x v="1"/>
    <x v="0"/>
    <x v="9"/>
    <x v="2"/>
    <x v="1"/>
    <x v="1"/>
    <x v="1"/>
    <x v="0"/>
    <m/>
    <m/>
    <m/>
    <m/>
    <x v="2"/>
    <x v="3"/>
    <x v="0"/>
    <x v="2"/>
    <x v="2"/>
    <s v="Descontos"/>
    <m/>
    <m/>
    <m/>
    <x v="2"/>
    <x v="27"/>
    <x v="2"/>
    <x v="126"/>
    <x v="2"/>
  </r>
  <r>
    <x v="0"/>
    <n v="36"/>
    <x v="1"/>
    <x v="2"/>
    <x v="3"/>
    <x v="1"/>
    <x v="6"/>
    <x v="1"/>
    <x v="8"/>
    <x v="1"/>
    <x v="1"/>
    <x v="0"/>
    <m/>
    <m/>
    <m/>
    <m/>
    <x v="3"/>
    <x v="3"/>
    <x v="0"/>
    <x v="2"/>
    <x v="1"/>
    <s v="Descontos"/>
    <m/>
    <m/>
    <m/>
    <x v="0"/>
    <x v="27"/>
    <x v="2"/>
    <x v="127"/>
    <x v="3"/>
  </r>
  <r>
    <x v="0"/>
    <n v="45"/>
    <x v="0"/>
    <x v="2"/>
    <x v="2"/>
    <x v="3"/>
    <x v="0"/>
    <x v="1"/>
    <x v="4"/>
    <x v="3"/>
    <x v="2"/>
    <x v="0"/>
    <m/>
    <m/>
    <m/>
    <m/>
    <x v="1"/>
    <x v="3"/>
    <x v="0"/>
    <x v="0"/>
    <x v="1"/>
    <s v="Cashback"/>
    <m/>
    <m/>
    <m/>
    <x v="3"/>
    <x v="27"/>
    <x v="2"/>
    <x v="128"/>
    <x v="0"/>
  </r>
  <r>
    <x v="0"/>
    <n v="61"/>
    <x v="2"/>
    <x v="0"/>
    <x v="1"/>
    <x v="0"/>
    <x v="3"/>
    <x v="1"/>
    <x v="1"/>
    <x v="1"/>
    <x v="1"/>
    <x v="0"/>
    <m/>
    <m/>
    <m/>
    <m/>
    <x v="1"/>
    <x v="3"/>
    <x v="0"/>
    <x v="2"/>
    <x v="1"/>
    <s v="Cashback"/>
    <m/>
    <m/>
    <m/>
    <x v="2"/>
    <x v="27"/>
    <x v="2"/>
    <x v="129"/>
    <x v="0"/>
  </r>
  <r>
    <x v="0"/>
    <n v="25"/>
    <x v="2"/>
    <x v="4"/>
    <x v="2"/>
    <x v="3"/>
    <x v="9"/>
    <x v="2"/>
    <x v="1"/>
    <x v="2"/>
    <x v="1"/>
    <x v="0"/>
    <m/>
    <m/>
    <m/>
    <m/>
    <x v="4"/>
    <x v="3"/>
    <x v="0"/>
    <x v="2"/>
    <x v="2"/>
    <s v="Serviços gratuitos"/>
    <m/>
    <m/>
    <m/>
    <x v="2"/>
    <x v="27"/>
    <x v="2"/>
    <x v="130"/>
    <x v="1"/>
  </r>
  <r>
    <x v="0"/>
    <n v="68"/>
    <x v="0"/>
    <x v="0"/>
    <x v="1"/>
    <x v="3"/>
    <x v="5"/>
    <x v="1"/>
    <x v="1"/>
    <x v="1"/>
    <x v="1"/>
    <x v="0"/>
    <m/>
    <m/>
    <m/>
    <m/>
    <x v="1"/>
    <x v="3"/>
    <x v="0"/>
    <x v="1"/>
    <x v="2"/>
    <s v="Cashback"/>
    <m/>
    <m/>
    <m/>
    <x v="3"/>
    <x v="27"/>
    <x v="2"/>
    <x v="131"/>
    <x v="0"/>
  </r>
  <r>
    <x v="0"/>
    <n v="27"/>
    <x v="1"/>
    <x v="2"/>
    <x v="0"/>
    <x v="0"/>
    <x v="2"/>
    <x v="0"/>
    <x v="4"/>
    <x v="1"/>
    <x v="1"/>
    <x v="0"/>
    <m/>
    <m/>
    <m/>
    <m/>
    <x v="0"/>
    <x v="3"/>
    <x v="0"/>
    <x v="2"/>
    <x v="2"/>
    <s v="Prêmios"/>
    <m/>
    <m/>
    <m/>
    <x v="0"/>
    <x v="27"/>
    <x v="2"/>
    <x v="132"/>
    <x v="4"/>
  </r>
  <r>
    <x v="0"/>
    <n v="23"/>
    <x v="1"/>
    <x v="0"/>
    <x v="2"/>
    <x v="1"/>
    <x v="8"/>
    <x v="2"/>
    <x v="4"/>
    <x v="1"/>
    <x v="1"/>
    <x v="0"/>
    <m/>
    <m/>
    <m/>
    <m/>
    <x v="1"/>
    <x v="3"/>
    <x v="0"/>
    <x v="2"/>
    <x v="0"/>
    <s v="Cashback"/>
    <m/>
    <m/>
    <m/>
    <x v="1"/>
    <x v="27"/>
    <x v="2"/>
    <x v="133"/>
    <x v="1"/>
  </r>
  <r>
    <x v="0"/>
    <n v="42"/>
    <x v="2"/>
    <x v="0"/>
    <x v="1"/>
    <x v="1"/>
    <x v="0"/>
    <x v="2"/>
    <x v="1"/>
    <x v="1"/>
    <x v="1"/>
    <x v="0"/>
    <m/>
    <m/>
    <m/>
    <m/>
    <x v="6"/>
    <x v="3"/>
    <x v="0"/>
    <x v="1"/>
    <x v="2"/>
    <s v="Cashback"/>
    <m/>
    <m/>
    <m/>
    <x v="2"/>
    <x v="27"/>
    <x v="2"/>
    <x v="134"/>
    <x v="1"/>
  </r>
  <r>
    <x v="0"/>
    <n v="30"/>
    <x v="2"/>
    <x v="0"/>
    <x v="2"/>
    <x v="1"/>
    <x v="0"/>
    <x v="1"/>
    <x v="1"/>
    <x v="1"/>
    <x v="1"/>
    <x v="0"/>
    <m/>
    <m/>
    <m/>
    <m/>
    <x v="1"/>
    <x v="3"/>
    <x v="0"/>
    <x v="2"/>
    <x v="2"/>
    <s v="Serviços gratuitos"/>
    <m/>
    <m/>
    <m/>
    <x v="3"/>
    <x v="27"/>
    <x v="2"/>
    <x v="135"/>
    <x v="0"/>
  </r>
  <r>
    <x v="0"/>
    <n v="36"/>
    <x v="1"/>
    <x v="0"/>
    <x v="1"/>
    <x v="1"/>
    <x v="9"/>
    <x v="3"/>
    <x v="1"/>
    <x v="1"/>
    <x v="1"/>
    <x v="0"/>
    <m/>
    <m/>
    <m/>
    <m/>
    <x v="2"/>
    <x v="3"/>
    <x v="0"/>
    <x v="0"/>
    <x v="1"/>
    <s v="Cashback"/>
    <m/>
    <m/>
    <m/>
    <x v="1"/>
    <x v="27"/>
    <x v="2"/>
    <x v="136"/>
    <x v="0"/>
  </r>
  <r>
    <x v="0"/>
    <n v="41"/>
    <x v="1"/>
    <x v="0"/>
    <x v="0"/>
    <x v="3"/>
    <x v="0"/>
    <x v="1"/>
    <x v="1"/>
    <x v="1"/>
    <x v="1"/>
    <x v="0"/>
    <m/>
    <m/>
    <m/>
    <m/>
    <x v="1"/>
    <x v="3"/>
    <x v="0"/>
    <x v="0"/>
    <x v="1"/>
    <s v="Prêmios"/>
    <m/>
    <m/>
    <m/>
    <x v="0"/>
    <x v="27"/>
    <x v="2"/>
    <x v="137"/>
    <x v="1"/>
  </r>
  <r>
    <x v="0"/>
    <n v="37"/>
    <x v="1"/>
    <x v="1"/>
    <x v="1"/>
    <x v="3"/>
    <x v="2"/>
    <x v="1"/>
    <x v="3"/>
    <x v="1"/>
    <x v="1"/>
    <x v="0"/>
    <m/>
    <m/>
    <m/>
    <m/>
    <x v="2"/>
    <x v="3"/>
    <x v="0"/>
    <x v="2"/>
    <x v="0"/>
    <s v="Descontos"/>
    <m/>
    <m/>
    <m/>
    <x v="3"/>
    <x v="27"/>
    <x v="2"/>
    <x v="138"/>
    <x v="0"/>
  </r>
  <r>
    <x v="0"/>
    <n v="53"/>
    <x v="0"/>
    <x v="0"/>
    <x v="2"/>
    <x v="0"/>
    <x v="1"/>
    <x v="3"/>
    <x v="4"/>
    <x v="1"/>
    <x v="1"/>
    <x v="0"/>
    <m/>
    <m/>
    <m/>
    <m/>
    <x v="2"/>
    <x v="3"/>
    <x v="0"/>
    <x v="2"/>
    <x v="0"/>
    <s v="Descontos"/>
    <m/>
    <m/>
    <m/>
    <x v="0"/>
    <x v="27"/>
    <x v="2"/>
    <x v="139"/>
    <x v="0"/>
  </r>
  <r>
    <x v="0"/>
    <n v="46"/>
    <x v="0"/>
    <x v="2"/>
    <x v="0"/>
    <x v="3"/>
    <x v="0"/>
    <x v="1"/>
    <x v="1"/>
    <x v="1"/>
    <x v="1"/>
    <x v="0"/>
    <m/>
    <m/>
    <m/>
    <m/>
    <x v="2"/>
    <x v="3"/>
    <x v="0"/>
    <x v="2"/>
    <x v="2"/>
    <s v="Cashback"/>
    <m/>
    <m/>
    <m/>
    <x v="2"/>
    <x v="27"/>
    <x v="2"/>
    <x v="140"/>
    <x v="3"/>
  </r>
  <r>
    <x v="0"/>
    <n v="32"/>
    <x v="2"/>
    <x v="0"/>
    <x v="1"/>
    <x v="0"/>
    <x v="6"/>
    <x v="1"/>
    <x v="4"/>
    <x v="1"/>
    <x v="1"/>
    <x v="0"/>
    <m/>
    <m/>
    <m/>
    <m/>
    <x v="1"/>
    <x v="3"/>
    <x v="0"/>
    <x v="1"/>
    <x v="2"/>
    <s v="Cashback"/>
    <m/>
    <m/>
    <m/>
    <x v="2"/>
    <x v="27"/>
    <x v="2"/>
    <x v="141"/>
    <x v="0"/>
  </r>
  <r>
    <x v="0"/>
    <n v="18"/>
    <x v="0"/>
    <x v="4"/>
    <x v="1"/>
    <x v="0"/>
    <x v="5"/>
    <x v="3"/>
    <x v="1"/>
    <x v="1"/>
    <x v="1"/>
    <x v="0"/>
    <m/>
    <m/>
    <m/>
    <m/>
    <x v="2"/>
    <x v="3"/>
    <x v="0"/>
    <x v="0"/>
    <x v="1"/>
    <s v="Serviços gratuitos"/>
    <m/>
    <m/>
    <m/>
    <x v="2"/>
    <x v="27"/>
    <x v="2"/>
    <x v="2"/>
    <x v="1"/>
  </r>
  <r>
    <x v="0"/>
    <n v="68"/>
    <x v="2"/>
    <x v="0"/>
    <x v="2"/>
    <x v="3"/>
    <x v="3"/>
    <x v="2"/>
    <x v="4"/>
    <x v="1"/>
    <x v="1"/>
    <x v="0"/>
    <m/>
    <m/>
    <m/>
    <m/>
    <x v="1"/>
    <x v="3"/>
    <x v="0"/>
    <x v="0"/>
    <x v="2"/>
    <s v="Cashback"/>
    <m/>
    <m/>
    <m/>
    <x v="0"/>
    <x v="27"/>
    <x v="2"/>
    <x v="2"/>
    <x v="4"/>
  </r>
  <r>
    <x v="0"/>
    <n v="53"/>
    <x v="0"/>
    <x v="1"/>
    <x v="3"/>
    <x v="0"/>
    <x v="8"/>
    <x v="3"/>
    <x v="3"/>
    <x v="1"/>
    <x v="1"/>
    <x v="0"/>
    <m/>
    <m/>
    <m/>
    <m/>
    <x v="0"/>
    <x v="3"/>
    <x v="0"/>
    <x v="0"/>
    <x v="0"/>
    <s v="Prêmios"/>
    <m/>
    <m/>
    <m/>
    <x v="1"/>
    <x v="27"/>
    <x v="2"/>
    <x v="2"/>
    <x v="2"/>
  </r>
  <r>
    <x v="0"/>
    <n v="41"/>
    <x v="0"/>
    <x v="0"/>
    <x v="1"/>
    <x v="3"/>
    <x v="4"/>
    <x v="3"/>
    <x v="5"/>
    <x v="1"/>
    <x v="1"/>
    <x v="0"/>
    <m/>
    <m/>
    <m/>
    <m/>
    <x v="2"/>
    <x v="3"/>
    <x v="0"/>
    <x v="2"/>
    <x v="1"/>
    <s v="Cashback"/>
    <m/>
    <m/>
    <m/>
    <x v="1"/>
    <x v="27"/>
    <x v="2"/>
    <x v="2"/>
    <x v="4"/>
  </r>
  <r>
    <x v="0"/>
    <n v="28"/>
    <x v="2"/>
    <x v="0"/>
    <x v="1"/>
    <x v="1"/>
    <x v="4"/>
    <x v="1"/>
    <x v="1"/>
    <x v="4"/>
    <x v="3"/>
    <x v="0"/>
    <m/>
    <m/>
    <m/>
    <m/>
    <x v="3"/>
    <x v="3"/>
    <x v="0"/>
    <x v="1"/>
    <x v="2"/>
    <s v="Cashback"/>
    <m/>
    <m/>
    <m/>
    <x v="1"/>
    <x v="27"/>
    <x v="2"/>
    <x v="2"/>
    <x v="0"/>
  </r>
  <r>
    <x v="0"/>
    <n v="69"/>
    <x v="0"/>
    <x v="0"/>
    <x v="3"/>
    <x v="1"/>
    <x v="7"/>
    <x v="3"/>
    <x v="4"/>
    <x v="1"/>
    <x v="1"/>
    <x v="0"/>
    <m/>
    <m/>
    <m/>
    <m/>
    <x v="1"/>
    <x v="3"/>
    <x v="0"/>
    <x v="0"/>
    <x v="2"/>
    <s v="Serviços gratuitos"/>
    <m/>
    <m/>
    <m/>
    <x v="0"/>
    <x v="27"/>
    <x v="2"/>
    <x v="2"/>
    <x v="2"/>
  </r>
  <r>
    <x v="0"/>
    <n v="32"/>
    <x v="0"/>
    <x v="4"/>
    <x v="3"/>
    <x v="0"/>
    <x v="6"/>
    <x v="1"/>
    <x v="3"/>
    <x v="3"/>
    <x v="2"/>
    <x v="0"/>
    <m/>
    <m/>
    <m/>
    <m/>
    <x v="1"/>
    <x v="3"/>
    <x v="0"/>
    <x v="2"/>
    <x v="2"/>
    <s v="Cashback"/>
    <m/>
    <m/>
    <m/>
    <x v="3"/>
    <x v="27"/>
    <x v="2"/>
    <x v="2"/>
    <x v="1"/>
  </r>
  <r>
    <x v="0"/>
    <n v="26"/>
    <x v="1"/>
    <x v="0"/>
    <x v="1"/>
    <x v="0"/>
    <x v="9"/>
    <x v="2"/>
    <x v="4"/>
    <x v="1"/>
    <x v="1"/>
    <x v="0"/>
    <m/>
    <m/>
    <m/>
    <m/>
    <x v="4"/>
    <x v="3"/>
    <x v="0"/>
    <x v="2"/>
    <x v="0"/>
    <s v="Prêmios"/>
    <m/>
    <m/>
    <m/>
    <x v="2"/>
    <x v="27"/>
    <x v="2"/>
    <x v="2"/>
    <x v="1"/>
  </r>
  <r>
    <x v="0"/>
    <n v="39"/>
    <x v="0"/>
    <x v="1"/>
    <x v="3"/>
    <x v="3"/>
    <x v="6"/>
    <x v="3"/>
    <x v="1"/>
    <x v="4"/>
    <x v="3"/>
    <x v="2"/>
    <s v="Larco"/>
    <m/>
    <m/>
    <m/>
    <x v="1"/>
    <x v="3"/>
    <x v="0"/>
    <x v="2"/>
    <x v="1"/>
    <s v="Descontos"/>
    <m/>
    <m/>
    <m/>
    <x v="0"/>
    <x v="27"/>
    <x v="2"/>
    <x v="2"/>
    <x v="1"/>
  </r>
  <r>
    <x v="0"/>
    <n v="64"/>
    <x v="1"/>
    <x v="4"/>
    <x v="0"/>
    <x v="0"/>
    <x v="4"/>
    <x v="3"/>
    <x v="1"/>
    <x v="4"/>
    <x v="2"/>
    <x v="0"/>
    <m/>
    <m/>
    <m/>
    <m/>
    <x v="0"/>
    <x v="3"/>
    <x v="0"/>
    <x v="1"/>
    <x v="0"/>
    <s v="Cashback"/>
    <m/>
    <m/>
    <m/>
    <x v="3"/>
    <x v="27"/>
    <x v="2"/>
    <x v="2"/>
    <x v="1"/>
  </r>
  <r>
    <x v="0"/>
    <n v="67"/>
    <x v="1"/>
    <x v="2"/>
    <x v="3"/>
    <x v="3"/>
    <x v="0"/>
    <x v="2"/>
    <x v="1"/>
    <x v="2"/>
    <x v="1"/>
    <x v="0"/>
    <m/>
    <m/>
    <m/>
    <m/>
    <x v="1"/>
    <x v="3"/>
    <x v="0"/>
    <x v="2"/>
    <x v="0"/>
    <s v="Cashback"/>
    <m/>
    <m/>
    <m/>
    <x v="3"/>
    <x v="27"/>
    <x v="2"/>
    <x v="2"/>
    <x v="2"/>
  </r>
  <r>
    <x v="0"/>
    <n v="50"/>
    <x v="2"/>
    <x v="1"/>
    <x v="0"/>
    <x v="1"/>
    <x v="0"/>
    <x v="2"/>
    <x v="3"/>
    <x v="1"/>
    <x v="1"/>
    <x v="0"/>
    <m/>
    <m/>
    <m/>
    <m/>
    <x v="1"/>
    <x v="3"/>
    <x v="0"/>
    <x v="2"/>
    <x v="0"/>
    <s v="Serviços gratuitos"/>
    <m/>
    <m/>
    <m/>
    <x v="3"/>
    <x v="27"/>
    <x v="2"/>
    <x v="2"/>
    <x v="1"/>
  </r>
  <r>
    <x v="0"/>
    <n v="22"/>
    <x v="0"/>
    <x v="4"/>
    <x v="1"/>
    <x v="3"/>
    <x v="5"/>
    <x v="1"/>
    <x v="5"/>
    <x v="1"/>
    <x v="1"/>
    <x v="0"/>
    <m/>
    <m/>
    <m/>
    <m/>
    <x v="2"/>
    <x v="3"/>
    <x v="0"/>
    <x v="1"/>
    <x v="2"/>
    <s v="Cashback"/>
    <m/>
    <m/>
    <m/>
    <x v="1"/>
    <x v="27"/>
    <x v="2"/>
    <x v="2"/>
    <x v="2"/>
  </r>
  <r>
    <x v="0"/>
    <n v="39"/>
    <x v="0"/>
    <x v="2"/>
    <x v="1"/>
    <x v="0"/>
    <x v="5"/>
    <x v="0"/>
    <x v="6"/>
    <x v="1"/>
    <x v="1"/>
    <x v="0"/>
    <m/>
    <m/>
    <m/>
    <m/>
    <x v="1"/>
    <x v="3"/>
    <x v="0"/>
    <x v="2"/>
    <x v="1"/>
    <s v="Prêmios"/>
    <m/>
    <m/>
    <m/>
    <x v="1"/>
    <x v="27"/>
    <x v="2"/>
    <x v="2"/>
    <x v="0"/>
  </r>
  <r>
    <x v="0"/>
    <n v="30"/>
    <x v="2"/>
    <x v="2"/>
    <x v="1"/>
    <x v="1"/>
    <x v="4"/>
    <x v="3"/>
    <x v="3"/>
    <x v="1"/>
    <x v="1"/>
    <x v="0"/>
    <m/>
    <m/>
    <m/>
    <m/>
    <x v="2"/>
    <x v="3"/>
    <x v="0"/>
    <x v="0"/>
    <x v="2"/>
    <s v="Cashback"/>
    <m/>
    <m/>
    <m/>
    <x v="3"/>
    <x v="27"/>
    <x v="2"/>
    <x v="2"/>
    <x v="2"/>
  </r>
  <r>
    <x v="0"/>
    <n v="29"/>
    <x v="2"/>
    <x v="1"/>
    <x v="0"/>
    <x v="0"/>
    <x v="8"/>
    <x v="3"/>
    <x v="4"/>
    <x v="1"/>
    <x v="1"/>
    <x v="0"/>
    <m/>
    <m/>
    <m/>
    <m/>
    <x v="2"/>
    <x v="3"/>
    <x v="0"/>
    <x v="0"/>
    <x v="0"/>
    <s v="Cashback"/>
    <m/>
    <m/>
    <m/>
    <x v="1"/>
    <x v="27"/>
    <x v="2"/>
    <x v="2"/>
    <x v="1"/>
  </r>
  <r>
    <x v="0"/>
    <n v="20"/>
    <x v="1"/>
    <x v="0"/>
    <x v="2"/>
    <x v="0"/>
    <x v="1"/>
    <x v="0"/>
    <x v="1"/>
    <x v="4"/>
    <x v="3"/>
    <x v="1"/>
    <m/>
    <m/>
    <m/>
    <m/>
    <x v="2"/>
    <x v="3"/>
    <x v="0"/>
    <x v="2"/>
    <x v="1"/>
    <s v="Serviços gratuitos"/>
    <m/>
    <m/>
    <m/>
    <x v="3"/>
    <x v="27"/>
    <x v="2"/>
    <x v="2"/>
    <x v="4"/>
  </r>
  <r>
    <x v="0"/>
    <n v="61"/>
    <x v="1"/>
    <x v="2"/>
    <x v="0"/>
    <x v="0"/>
    <x v="5"/>
    <x v="1"/>
    <x v="1"/>
    <x v="4"/>
    <x v="2"/>
    <x v="0"/>
    <m/>
    <m/>
    <m/>
    <m/>
    <x v="1"/>
    <x v="3"/>
    <x v="0"/>
    <x v="2"/>
    <x v="1"/>
    <s v="Cashback"/>
    <m/>
    <m/>
    <m/>
    <x v="3"/>
    <x v="27"/>
    <x v="2"/>
    <x v="2"/>
    <x v="2"/>
  </r>
  <r>
    <x v="0"/>
    <n v="47"/>
    <x v="2"/>
    <x v="4"/>
    <x v="2"/>
    <x v="3"/>
    <x v="9"/>
    <x v="0"/>
    <x v="3"/>
    <x v="1"/>
    <x v="1"/>
    <x v="0"/>
    <m/>
    <m/>
    <m/>
    <m/>
    <x v="2"/>
    <x v="3"/>
    <x v="0"/>
    <x v="2"/>
    <x v="0"/>
    <s v="Prêmios"/>
    <m/>
    <m/>
    <m/>
    <x v="0"/>
    <x v="27"/>
    <x v="2"/>
    <x v="2"/>
    <x v="4"/>
  </r>
  <r>
    <x v="0"/>
    <n v="19"/>
    <x v="0"/>
    <x v="1"/>
    <x v="2"/>
    <x v="3"/>
    <x v="2"/>
    <x v="3"/>
    <x v="3"/>
    <x v="1"/>
    <x v="1"/>
    <x v="0"/>
    <m/>
    <m/>
    <m/>
    <m/>
    <x v="1"/>
    <x v="3"/>
    <x v="0"/>
    <x v="1"/>
    <x v="0"/>
    <s v="Descontos"/>
    <m/>
    <m/>
    <m/>
    <x v="0"/>
    <x v="27"/>
    <x v="2"/>
    <x v="2"/>
    <x v="2"/>
  </r>
  <r>
    <x v="0"/>
    <n v="39"/>
    <x v="2"/>
    <x v="0"/>
    <x v="3"/>
    <x v="1"/>
    <x v="1"/>
    <x v="1"/>
    <x v="4"/>
    <x v="1"/>
    <x v="1"/>
    <x v="0"/>
    <m/>
    <m/>
    <m/>
    <m/>
    <x v="0"/>
    <x v="3"/>
    <x v="0"/>
    <x v="0"/>
    <x v="0"/>
    <s v="Cashback"/>
    <m/>
    <m/>
    <m/>
    <x v="1"/>
    <x v="27"/>
    <x v="2"/>
    <x v="2"/>
    <x v="3"/>
  </r>
  <r>
    <x v="0"/>
    <n v="52"/>
    <x v="0"/>
    <x v="0"/>
    <x v="2"/>
    <x v="0"/>
    <x v="6"/>
    <x v="2"/>
    <x v="1"/>
    <x v="1"/>
    <x v="1"/>
    <x v="0"/>
    <m/>
    <m/>
    <m/>
    <m/>
    <x v="2"/>
    <x v="3"/>
    <x v="0"/>
    <x v="0"/>
    <x v="0"/>
    <s v="Cashback"/>
    <m/>
    <m/>
    <m/>
    <x v="1"/>
    <x v="27"/>
    <x v="2"/>
    <x v="2"/>
    <x v="3"/>
  </r>
  <r>
    <x v="0"/>
    <n v="53"/>
    <x v="0"/>
    <x v="0"/>
    <x v="0"/>
    <x v="0"/>
    <x v="8"/>
    <x v="0"/>
    <x v="1"/>
    <x v="1"/>
    <x v="1"/>
    <x v="0"/>
    <m/>
    <m/>
    <m/>
    <m/>
    <x v="3"/>
    <x v="3"/>
    <x v="0"/>
    <x v="1"/>
    <x v="1"/>
    <s v="Serviços gratuitos"/>
    <m/>
    <m/>
    <m/>
    <x v="2"/>
    <x v="27"/>
    <x v="2"/>
    <x v="2"/>
    <x v="4"/>
  </r>
  <r>
    <x v="0"/>
    <n v="52"/>
    <x v="1"/>
    <x v="0"/>
    <x v="1"/>
    <x v="3"/>
    <x v="5"/>
    <x v="1"/>
    <x v="1"/>
    <x v="1"/>
    <x v="1"/>
    <x v="0"/>
    <m/>
    <m/>
    <m/>
    <m/>
    <x v="1"/>
    <x v="3"/>
    <x v="0"/>
    <x v="1"/>
    <x v="2"/>
    <s v="Cashback"/>
    <m/>
    <m/>
    <m/>
    <x v="2"/>
    <x v="27"/>
    <x v="2"/>
    <x v="2"/>
    <x v="2"/>
  </r>
  <r>
    <x v="0"/>
    <n v="34"/>
    <x v="2"/>
    <x v="0"/>
    <x v="3"/>
    <x v="0"/>
    <x v="6"/>
    <x v="2"/>
    <x v="1"/>
    <x v="1"/>
    <x v="1"/>
    <x v="0"/>
    <m/>
    <m/>
    <m/>
    <m/>
    <x v="1"/>
    <x v="3"/>
    <x v="0"/>
    <x v="2"/>
    <x v="0"/>
    <s v="Prêmios"/>
    <m/>
    <m/>
    <m/>
    <x v="0"/>
    <x v="27"/>
    <x v="2"/>
    <x v="2"/>
    <x v="0"/>
  </r>
  <r>
    <x v="0"/>
    <n v="43"/>
    <x v="1"/>
    <x v="0"/>
    <x v="0"/>
    <x v="1"/>
    <x v="7"/>
    <x v="2"/>
    <x v="1"/>
    <x v="1"/>
    <x v="1"/>
    <x v="0"/>
    <m/>
    <m/>
    <m/>
    <m/>
    <x v="4"/>
    <x v="3"/>
    <x v="0"/>
    <x v="2"/>
    <x v="1"/>
    <s v="Cashback"/>
    <m/>
    <m/>
    <m/>
    <x v="2"/>
    <x v="27"/>
    <x v="2"/>
    <x v="2"/>
    <x v="3"/>
  </r>
  <r>
    <x v="0"/>
    <n v="48"/>
    <x v="1"/>
    <x v="2"/>
    <x v="1"/>
    <x v="1"/>
    <x v="3"/>
    <x v="2"/>
    <x v="1"/>
    <x v="1"/>
    <x v="1"/>
    <x v="0"/>
    <m/>
    <m/>
    <m/>
    <m/>
    <x v="1"/>
    <x v="3"/>
    <x v="0"/>
    <x v="2"/>
    <x v="0"/>
    <s v="Cashback"/>
    <m/>
    <m/>
    <m/>
    <x v="0"/>
    <x v="27"/>
    <x v="2"/>
    <x v="2"/>
    <x v="2"/>
  </r>
  <r>
    <x v="0"/>
    <n v="45"/>
    <x v="0"/>
    <x v="1"/>
    <x v="1"/>
    <x v="0"/>
    <x v="6"/>
    <x v="3"/>
    <x v="4"/>
    <x v="1"/>
    <x v="1"/>
    <x v="0"/>
    <m/>
    <m/>
    <m/>
    <m/>
    <x v="0"/>
    <x v="3"/>
    <x v="0"/>
    <x v="0"/>
    <x v="2"/>
    <s v="Serviços gratuitos"/>
    <m/>
    <m/>
    <m/>
    <x v="0"/>
    <x v="27"/>
    <x v="2"/>
    <x v="2"/>
    <x v="3"/>
  </r>
  <r>
    <x v="0"/>
    <n v="43"/>
    <x v="2"/>
    <x v="0"/>
    <x v="1"/>
    <x v="0"/>
    <x v="1"/>
    <x v="0"/>
    <x v="1"/>
    <x v="4"/>
    <x v="3"/>
    <x v="0"/>
    <m/>
    <m/>
    <m/>
    <m/>
    <x v="1"/>
    <x v="3"/>
    <x v="0"/>
    <x v="0"/>
    <x v="0"/>
    <s v="Cashback"/>
    <m/>
    <m/>
    <m/>
    <x v="3"/>
    <x v="27"/>
    <x v="2"/>
    <x v="2"/>
    <x v="1"/>
  </r>
  <r>
    <x v="0"/>
    <n v="49"/>
    <x v="0"/>
    <x v="0"/>
    <x v="3"/>
    <x v="0"/>
    <x v="7"/>
    <x v="3"/>
    <x v="1"/>
    <x v="4"/>
    <x v="1"/>
    <x v="0"/>
    <m/>
    <m/>
    <m/>
    <m/>
    <x v="1"/>
    <x v="3"/>
    <x v="0"/>
    <x v="1"/>
    <x v="1"/>
    <s v="Prêmios"/>
    <m/>
    <m/>
    <m/>
    <x v="1"/>
    <x v="27"/>
    <x v="2"/>
    <x v="2"/>
    <x v="1"/>
  </r>
  <r>
    <x v="0"/>
    <n v="21"/>
    <x v="1"/>
    <x v="1"/>
    <x v="1"/>
    <x v="3"/>
    <x v="8"/>
    <x v="1"/>
    <x v="1"/>
    <x v="1"/>
    <x v="1"/>
    <x v="0"/>
    <m/>
    <m/>
    <m/>
    <m/>
    <x v="2"/>
    <x v="3"/>
    <x v="0"/>
    <x v="0"/>
    <x v="0"/>
    <s v="Descontos"/>
    <m/>
    <m/>
    <m/>
    <x v="0"/>
    <x v="27"/>
    <x v="2"/>
    <x v="2"/>
    <x v="3"/>
  </r>
  <r>
    <x v="0"/>
    <n v="24"/>
    <x v="2"/>
    <x v="0"/>
    <x v="2"/>
    <x v="0"/>
    <x v="2"/>
    <x v="2"/>
    <x v="3"/>
    <x v="1"/>
    <x v="1"/>
    <x v="0"/>
    <m/>
    <m/>
    <m/>
    <m/>
    <x v="1"/>
    <x v="3"/>
    <x v="0"/>
    <x v="2"/>
    <x v="0"/>
    <s v="Cashback"/>
    <m/>
    <m/>
    <m/>
    <x v="3"/>
    <x v="27"/>
    <x v="2"/>
    <x v="2"/>
    <x v="3"/>
  </r>
  <r>
    <x v="0"/>
    <n v="37"/>
    <x v="2"/>
    <x v="0"/>
    <x v="0"/>
    <x v="0"/>
    <x v="8"/>
    <x v="1"/>
    <x v="1"/>
    <x v="3"/>
    <x v="2"/>
    <x v="0"/>
    <m/>
    <m/>
    <m/>
    <m/>
    <x v="2"/>
    <x v="3"/>
    <x v="0"/>
    <x v="2"/>
    <x v="0"/>
    <s v="Cashback"/>
    <m/>
    <m/>
    <m/>
    <x v="1"/>
    <x v="27"/>
    <x v="2"/>
    <x v="2"/>
    <x v="4"/>
  </r>
  <r>
    <x v="0"/>
    <n v="33"/>
    <x v="0"/>
    <x v="0"/>
    <x v="1"/>
    <x v="0"/>
    <x v="6"/>
    <x v="3"/>
    <x v="1"/>
    <x v="4"/>
    <x v="3"/>
    <x v="0"/>
    <m/>
    <m/>
    <m/>
    <m/>
    <x v="2"/>
    <x v="3"/>
    <x v="0"/>
    <x v="2"/>
    <x v="1"/>
    <s v="Serviços gratuitos"/>
    <m/>
    <m/>
    <m/>
    <x v="3"/>
    <x v="27"/>
    <x v="2"/>
    <x v="2"/>
    <x v="2"/>
  </r>
  <r>
    <x v="0"/>
    <n v="55"/>
    <x v="2"/>
    <x v="0"/>
    <x v="0"/>
    <x v="0"/>
    <x v="9"/>
    <x v="0"/>
    <x v="3"/>
    <x v="2"/>
    <x v="1"/>
    <x v="0"/>
    <m/>
    <m/>
    <m/>
    <m/>
    <x v="2"/>
    <x v="3"/>
    <x v="0"/>
    <x v="1"/>
    <x v="2"/>
    <s v="Cashback"/>
    <m/>
    <m/>
    <m/>
    <x v="1"/>
    <x v="27"/>
    <x v="2"/>
    <x v="2"/>
    <x v="4"/>
  </r>
  <r>
    <x v="0"/>
    <n v="20"/>
    <x v="1"/>
    <x v="4"/>
    <x v="3"/>
    <x v="3"/>
    <x v="6"/>
    <x v="3"/>
    <x v="3"/>
    <x v="1"/>
    <x v="1"/>
    <x v="0"/>
    <m/>
    <m/>
    <m/>
    <m/>
    <x v="1"/>
    <x v="3"/>
    <x v="0"/>
    <x v="0"/>
    <x v="2"/>
    <s v="Prêmios"/>
    <m/>
    <m/>
    <m/>
    <x v="3"/>
    <x v="27"/>
    <x v="2"/>
    <x v="2"/>
    <x v="2"/>
  </r>
  <r>
    <x v="0"/>
    <n v="42"/>
    <x v="0"/>
    <x v="1"/>
    <x v="2"/>
    <x v="3"/>
    <x v="9"/>
    <x v="1"/>
    <x v="7"/>
    <x v="1"/>
    <x v="1"/>
    <x v="0"/>
    <m/>
    <m/>
    <m/>
    <m/>
    <x v="2"/>
    <x v="3"/>
    <x v="0"/>
    <x v="1"/>
    <x v="0"/>
    <s v="Cashback"/>
    <m/>
    <m/>
    <m/>
    <x v="3"/>
    <x v="27"/>
    <x v="2"/>
    <x v="2"/>
    <x v="3"/>
  </r>
  <r>
    <x v="0"/>
    <n v="39"/>
    <x v="0"/>
    <x v="4"/>
    <x v="3"/>
    <x v="3"/>
    <x v="1"/>
    <x v="0"/>
    <x v="3"/>
    <x v="1"/>
    <x v="1"/>
    <x v="0"/>
    <m/>
    <m/>
    <m/>
    <m/>
    <x v="1"/>
    <x v="3"/>
    <x v="0"/>
    <x v="2"/>
    <x v="0"/>
    <s v="Cashback"/>
    <m/>
    <m/>
    <m/>
    <x v="2"/>
    <x v="27"/>
    <x v="2"/>
    <x v="2"/>
    <x v="0"/>
  </r>
  <r>
    <x v="0"/>
    <n v="54"/>
    <x v="0"/>
    <x v="2"/>
    <x v="3"/>
    <x v="0"/>
    <x v="7"/>
    <x v="2"/>
    <x v="4"/>
    <x v="1"/>
    <x v="1"/>
    <x v="0"/>
    <m/>
    <m/>
    <m/>
    <m/>
    <x v="0"/>
    <x v="3"/>
    <x v="0"/>
    <x v="2"/>
    <x v="0"/>
    <s v="Serviços gratuitos"/>
    <m/>
    <m/>
    <m/>
    <x v="3"/>
    <x v="27"/>
    <x v="2"/>
    <x v="2"/>
    <x v="4"/>
  </r>
  <r>
    <x v="0"/>
    <n v="22"/>
    <x v="1"/>
    <x v="0"/>
    <x v="2"/>
    <x v="1"/>
    <x v="1"/>
    <x v="2"/>
    <x v="5"/>
    <x v="1"/>
    <x v="1"/>
    <x v="0"/>
    <m/>
    <m/>
    <m/>
    <m/>
    <x v="2"/>
    <x v="3"/>
    <x v="0"/>
    <x v="2"/>
    <x v="0"/>
    <s v="Cashback"/>
    <m/>
    <m/>
    <m/>
    <x v="2"/>
    <x v="27"/>
    <x v="2"/>
    <x v="2"/>
    <x v="3"/>
  </r>
  <r>
    <x v="0"/>
    <n v="36"/>
    <x v="2"/>
    <x v="0"/>
    <x v="1"/>
    <x v="1"/>
    <x v="3"/>
    <x v="0"/>
    <x v="4"/>
    <x v="1"/>
    <x v="1"/>
    <x v="0"/>
    <m/>
    <m/>
    <m/>
    <m/>
    <x v="3"/>
    <x v="3"/>
    <x v="0"/>
    <x v="1"/>
    <x v="2"/>
    <s v="Prêmios"/>
    <m/>
    <m/>
    <m/>
    <x v="0"/>
    <x v="27"/>
    <x v="2"/>
    <x v="2"/>
    <x v="3"/>
  </r>
  <r>
    <x v="0"/>
    <n v="55"/>
    <x v="1"/>
    <x v="0"/>
    <x v="1"/>
    <x v="1"/>
    <x v="6"/>
    <x v="1"/>
    <x v="1"/>
    <x v="2"/>
    <x v="1"/>
    <x v="0"/>
    <m/>
    <m/>
    <m/>
    <m/>
    <x v="1"/>
    <x v="3"/>
    <x v="0"/>
    <x v="1"/>
    <x v="1"/>
    <s v="Descontos"/>
    <m/>
    <m/>
    <m/>
    <x v="3"/>
    <x v="27"/>
    <x v="2"/>
    <x v="2"/>
    <x v="1"/>
  </r>
  <r>
    <x v="0"/>
    <n v="49"/>
    <x v="0"/>
    <x v="0"/>
    <x v="0"/>
    <x v="0"/>
    <x v="8"/>
    <x v="3"/>
    <x v="5"/>
    <x v="1"/>
    <x v="1"/>
    <x v="0"/>
    <m/>
    <m/>
    <m/>
    <m/>
    <x v="1"/>
    <x v="3"/>
    <x v="0"/>
    <x v="0"/>
    <x v="2"/>
    <s v="Descontos"/>
    <m/>
    <m/>
    <m/>
    <x v="3"/>
    <x v="27"/>
    <x v="2"/>
    <x v="2"/>
    <x v="3"/>
  </r>
  <r>
    <x v="0"/>
    <n v="59"/>
    <x v="0"/>
    <x v="1"/>
    <x v="2"/>
    <x v="3"/>
    <x v="6"/>
    <x v="0"/>
    <x v="1"/>
    <x v="1"/>
    <x v="1"/>
    <x v="0"/>
    <m/>
    <m/>
    <m/>
    <m/>
    <x v="4"/>
    <x v="3"/>
    <x v="0"/>
    <x v="1"/>
    <x v="0"/>
    <s v="Descontos"/>
    <m/>
    <m/>
    <m/>
    <x v="1"/>
    <x v="27"/>
    <x v="2"/>
    <x v="2"/>
    <x v="4"/>
  </r>
  <r>
    <x v="0"/>
    <n v="22"/>
    <x v="2"/>
    <x v="2"/>
    <x v="1"/>
    <x v="0"/>
    <x v="9"/>
    <x v="1"/>
    <x v="1"/>
    <x v="1"/>
    <x v="1"/>
    <x v="0"/>
    <m/>
    <m/>
    <m/>
    <m/>
    <x v="1"/>
    <x v="3"/>
    <x v="0"/>
    <x v="1"/>
    <x v="2"/>
    <s v="Cashback"/>
    <m/>
    <m/>
    <m/>
    <x v="0"/>
    <x v="27"/>
    <x v="2"/>
    <x v="2"/>
    <x v="0"/>
  </r>
  <r>
    <x v="0"/>
    <n v="66"/>
    <x v="1"/>
    <x v="1"/>
    <x v="2"/>
    <x v="1"/>
    <x v="6"/>
    <x v="1"/>
    <x v="1"/>
    <x v="5"/>
    <x v="2"/>
    <x v="0"/>
    <m/>
    <m/>
    <m/>
    <m/>
    <x v="0"/>
    <x v="3"/>
    <x v="0"/>
    <x v="1"/>
    <x v="2"/>
    <s v="Cashback"/>
    <m/>
    <m/>
    <m/>
    <x v="0"/>
    <x v="27"/>
    <x v="2"/>
    <x v="2"/>
    <x v="3"/>
  </r>
  <r>
    <x v="0"/>
    <n v="49"/>
    <x v="0"/>
    <x v="4"/>
    <x v="2"/>
    <x v="3"/>
    <x v="8"/>
    <x v="1"/>
    <x v="1"/>
    <x v="1"/>
    <x v="1"/>
    <x v="0"/>
    <m/>
    <m/>
    <m/>
    <m/>
    <x v="1"/>
    <x v="3"/>
    <x v="0"/>
    <x v="2"/>
    <x v="2"/>
    <s v="Serviços gratuitos"/>
    <m/>
    <m/>
    <m/>
    <x v="3"/>
    <x v="27"/>
    <x v="2"/>
    <x v="2"/>
    <x v="0"/>
  </r>
  <r>
    <x v="0"/>
    <n v="38"/>
    <x v="2"/>
    <x v="0"/>
    <x v="3"/>
    <x v="0"/>
    <x v="0"/>
    <x v="0"/>
    <x v="4"/>
    <x v="4"/>
    <x v="1"/>
    <x v="0"/>
    <m/>
    <m/>
    <m/>
    <m/>
    <x v="1"/>
    <x v="3"/>
    <x v="0"/>
    <x v="2"/>
    <x v="1"/>
    <s v="Cashback"/>
    <m/>
    <m/>
    <m/>
    <x v="0"/>
    <x v="27"/>
    <x v="2"/>
    <x v="2"/>
    <x v="0"/>
  </r>
  <r>
    <x v="0"/>
    <n v="42"/>
    <x v="2"/>
    <x v="0"/>
    <x v="0"/>
    <x v="1"/>
    <x v="5"/>
    <x v="0"/>
    <x v="1"/>
    <x v="1"/>
    <x v="1"/>
    <x v="0"/>
    <m/>
    <m/>
    <m/>
    <m/>
    <x v="2"/>
    <x v="3"/>
    <x v="0"/>
    <x v="0"/>
    <x v="0"/>
    <s v="Prêmios"/>
    <m/>
    <m/>
    <m/>
    <x v="2"/>
    <x v="27"/>
    <x v="2"/>
    <x v="2"/>
    <x v="4"/>
  </r>
  <r>
    <x v="0"/>
    <n v="35"/>
    <x v="0"/>
    <x v="0"/>
    <x v="0"/>
    <x v="1"/>
    <x v="8"/>
    <x v="3"/>
    <x v="4"/>
    <x v="4"/>
    <x v="2"/>
    <x v="0"/>
    <m/>
    <m/>
    <m/>
    <m/>
    <x v="1"/>
    <x v="3"/>
    <x v="0"/>
    <x v="1"/>
    <x v="1"/>
    <s v="Cashback"/>
    <m/>
    <m/>
    <m/>
    <x v="2"/>
    <x v="27"/>
    <x v="2"/>
    <x v="2"/>
    <x v="3"/>
  </r>
  <r>
    <x v="0"/>
    <n v="52"/>
    <x v="0"/>
    <x v="2"/>
    <x v="0"/>
    <x v="3"/>
    <x v="1"/>
    <x v="1"/>
    <x v="1"/>
    <x v="1"/>
    <x v="1"/>
    <x v="0"/>
    <m/>
    <m/>
    <m/>
    <m/>
    <x v="2"/>
    <x v="3"/>
    <x v="0"/>
    <x v="1"/>
    <x v="1"/>
    <s v="Cashback"/>
    <m/>
    <m/>
    <m/>
    <x v="0"/>
    <x v="27"/>
    <x v="2"/>
    <x v="2"/>
    <x v="0"/>
  </r>
  <r>
    <x v="0"/>
    <n v="57"/>
    <x v="1"/>
    <x v="0"/>
    <x v="3"/>
    <x v="3"/>
    <x v="2"/>
    <x v="1"/>
    <x v="4"/>
    <x v="1"/>
    <x v="1"/>
    <x v="0"/>
    <m/>
    <m/>
    <m/>
    <m/>
    <x v="2"/>
    <x v="3"/>
    <x v="0"/>
    <x v="0"/>
    <x v="2"/>
    <s v="Serviços gratuitos"/>
    <m/>
    <m/>
    <m/>
    <x v="2"/>
    <x v="27"/>
    <x v="2"/>
    <x v="2"/>
    <x v="0"/>
  </r>
  <r>
    <x v="0"/>
    <n v="52"/>
    <x v="2"/>
    <x v="2"/>
    <x v="2"/>
    <x v="3"/>
    <x v="5"/>
    <x v="2"/>
    <x v="6"/>
    <x v="1"/>
    <x v="1"/>
    <x v="0"/>
    <m/>
    <m/>
    <m/>
    <m/>
    <x v="2"/>
    <x v="3"/>
    <x v="0"/>
    <x v="2"/>
    <x v="1"/>
    <s v="Cashback"/>
    <m/>
    <m/>
    <m/>
    <x v="3"/>
    <x v="27"/>
    <x v="2"/>
    <x v="2"/>
    <x v="4"/>
  </r>
  <r>
    <x v="0"/>
    <n v="57"/>
    <x v="0"/>
    <x v="0"/>
    <x v="3"/>
    <x v="0"/>
    <x v="0"/>
    <x v="2"/>
    <x v="4"/>
    <x v="1"/>
    <x v="1"/>
    <x v="0"/>
    <m/>
    <m/>
    <m/>
    <m/>
    <x v="1"/>
    <x v="3"/>
    <x v="0"/>
    <x v="1"/>
    <x v="2"/>
    <s v="Prêmios"/>
    <m/>
    <m/>
    <m/>
    <x v="1"/>
    <x v="27"/>
    <x v="2"/>
    <x v="2"/>
    <x v="3"/>
  </r>
  <r>
    <x v="0"/>
    <n v="36"/>
    <x v="2"/>
    <x v="0"/>
    <x v="1"/>
    <x v="0"/>
    <x v="4"/>
    <x v="2"/>
    <x v="1"/>
    <x v="1"/>
    <x v="1"/>
    <x v="0"/>
    <m/>
    <m/>
    <m/>
    <m/>
    <x v="2"/>
    <x v="3"/>
    <x v="0"/>
    <x v="1"/>
    <x v="2"/>
    <s v="Descontos"/>
    <m/>
    <m/>
    <m/>
    <x v="0"/>
    <x v="27"/>
    <x v="2"/>
    <x v="2"/>
    <x v="1"/>
  </r>
  <r>
    <x v="0"/>
    <n v="34"/>
    <x v="0"/>
    <x v="1"/>
    <x v="0"/>
    <x v="1"/>
    <x v="8"/>
    <x v="3"/>
    <x v="1"/>
    <x v="1"/>
    <x v="1"/>
    <x v="0"/>
    <m/>
    <m/>
    <m/>
    <m/>
    <x v="1"/>
    <x v="3"/>
    <x v="0"/>
    <x v="0"/>
    <x v="1"/>
    <s v="Cashback"/>
    <m/>
    <m/>
    <m/>
    <x v="2"/>
    <x v="27"/>
    <x v="2"/>
    <x v="2"/>
    <x v="4"/>
  </r>
  <r>
    <x v="0"/>
    <n v="66"/>
    <x v="2"/>
    <x v="0"/>
    <x v="2"/>
    <x v="3"/>
    <x v="9"/>
    <x v="0"/>
    <x v="1"/>
    <x v="1"/>
    <x v="1"/>
    <x v="0"/>
    <m/>
    <m/>
    <m/>
    <m/>
    <x v="0"/>
    <x v="3"/>
    <x v="0"/>
    <x v="0"/>
    <x v="1"/>
    <s v="Cashback"/>
    <m/>
    <m/>
    <m/>
    <x v="1"/>
    <x v="27"/>
    <x v="2"/>
    <x v="2"/>
    <x v="3"/>
  </r>
  <r>
    <x v="0"/>
    <n v="62"/>
    <x v="2"/>
    <x v="0"/>
    <x v="2"/>
    <x v="1"/>
    <x v="9"/>
    <x v="1"/>
    <x v="5"/>
    <x v="1"/>
    <x v="1"/>
    <x v="0"/>
    <m/>
    <m/>
    <m/>
    <m/>
    <x v="2"/>
    <x v="3"/>
    <x v="0"/>
    <x v="1"/>
    <x v="2"/>
    <s v="Serviços gratuitos"/>
    <m/>
    <m/>
    <m/>
    <x v="1"/>
    <x v="27"/>
    <x v="2"/>
    <x v="2"/>
    <x v="3"/>
  </r>
  <r>
    <x v="0"/>
    <n v="28"/>
    <x v="0"/>
    <x v="0"/>
    <x v="2"/>
    <x v="3"/>
    <x v="7"/>
    <x v="2"/>
    <x v="1"/>
    <x v="3"/>
    <x v="1"/>
    <x v="0"/>
    <m/>
    <m/>
    <m/>
    <m/>
    <x v="3"/>
    <x v="3"/>
    <x v="0"/>
    <x v="2"/>
    <x v="1"/>
    <s v="Cashback"/>
    <m/>
    <m/>
    <m/>
    <x v="1"/>
    <x v="27"/>
    <x v="2"/>
    <x v="2"/>
    <x v="1"/>
  </r>
  <r>
    <x v="0"/>
    <n v="44"/>
    <x v="2"/>
    <x v="4"/>
    <x v="2"/>
    <x v="1"/>
    <x v="1"/>
    <x v="1"/>
    <x v="1"/>
    <x v="1"/>
    <x v="1"/>
    <x v="0"/>
    <m/>
    <m/>
    <m/>
    <m/>
    <x v="1"/>
    <x v="3"/>
    <x v="0"/>
    <x v="0"/>
    <x v="2"/>
    <s v="Prêmios"/>
    <m/>
    <m/>
    <m/>
    <x v="0"/>
    <x v="27"/>
    <x v="2"/>
    <x v="2"/>
    <x v="4"/>
  </r>
  <r>
    <x v="0"/>
    <n v="57"/>
    <x v="0"/>
    <x v="0"/>
    <x v="1"/>
    <x v="3"/>
    <x v="0"/>
    <x v="2"/>
    <x v="5"/>
    <x v="1"/>
    <x v="1"/>
    <x v="0"/>
    <m/>
    <m/>
    <m/>
    <m/>
    <x v="1"/>
    <x v="3"/>
    <x v="0"/>
    <x v="1"/>
    <x v="0"/>
    <s v="Cashback"/>
    <m/>
    <m/>
    <m/>
    <x v="3"/>
    <x v="27"/>
    <x v="2"/>
    <x v="2"/>
    <x v="3"/>
  </r>
  <r>
    <x v="0"/>
    <n v="43"/>
    <x v="1"/>
    <x v="2"/>
    <x v="1"/>
    <x v="1"/>
    <x v="9"/>
    <x v="0"/>
    <x v="4"/>
    <x v="1"/>
    <x v="1"/>
    <x v="0"/>
    <m/>
    <m/>
    <m/>
    <m/>
    <x v="4"/>
    <x v="3"/>
    <x v="0"/>
    <x v="2"/>
    <x v="2"/>
    <s v="Cashback"/>
    <m/>
    <m/>
    <m/>
    <x v="3"/>
    <x v="27"/>
    <x v="2"/>
    <x v="2"/>
    <x v="2"/>
  </r>
  <r>
    <x v="0"/>
    <n v="30"/>
    <x v="2"/>
    <x v="0"/>
    <x v="3"/>
    <x v="3"/>
    <x v="4"/>
    <x v="2"/>
    <x v="1"/>
    <x v="5"/>
    <x v="3"/>
    <x v="0"/>
    <m/>
    <m/>
    <m/>
    <m/>
    <x v="1"/>
    <x v="3"/>
    <x v="0"/>
    <x v="2"/>
    <x v="2"/>
    <s v="Serviços gratuitos"/>
    <m/>
    <m/>
    <m/>
    <x v="0"/>
    <x v="27"/>
    <x v="2"/>
    <x v="2"/>
    <x v="0"/>
  </r>
  <r>
    <x v="0"/>
    <n v="22"/>
    <x v="0"/>
    <x v="1"/>
    <x v="0"/>
    <x v="3"/>
    <x v="3"/>
    <x v="2"/>
    <x v="1"/>
    <x v="1"/>
    <x v="1"/>
    <x v="0"/>
    <m/>
    <m/>
    <m/>
    <m/>
    <x v="0"/>
    <x v="3"/>
    <x v="0"/>
    <x v="2"/>
    <x v="0"/>
    <s v="Cashback"/>
    <m/>
    <m/>
    <m/>
    <x v="2"/>
    <x v="27"/>
    <x v="2"/>
    <x v="2"/>
    <x v="1"/>
  </r>
  <r>
    <x v="0"/>
    <n v="25"/>
    <x v="1"/>
    <x v="1"/>
    <x v="1"/>
    <x v="3"/>
    <x v="8"/>
    <x v="0"/>
    <x v="4"/>
    <x v="1"/>
    <x v="1"/>
    <x v="0"/>
    <m/>
    <m/>
    <m/>
    <m/>
    <x v="1"/>
    <x v="3"/>
    <x v="0"/>
    <x v="1"/>
    <x v="2"/>
    <s v="Prêmios"/>
    <m/>
    <m/>
    <m/>
    <x v="3"/>
    <x v="27"/>
    <x v="2"/>
    <x v="2"/>
    <x v="3"/>
  </r>
  <r>
    <x v="0"/>
    <n v="39"/>
    <x v="0"/>
    <x v="1"/>
    <x v="3"/>
    <x v="1"/>
    <x v="8"/>
    <x v="1"/>
    <x v="1"/>
    <x v="1"/>
    <x v="1"/>
    <x v="0"/>
    <m/>
    <m/>
    <m/>
    <m/>
    <x v="1"/>
    <x v="3"/>
    <x v="0"/>
    <x v="2"/>
    <x v="0"/>
    <s v="Descontos"/>
    <m/>
    <m/>
    <m/>
    <x v="1"/>
    <x v="27"/>
    <x v="2"/>
    <x v="2"/>
    <x v="1"/>
  </r>
  <r>
    <x v="0"/>
    <n v="56"/>
    <x v="2"/>
    <x v="0"/>
    <x v="3"/>
    <x v="0"/>
    <x v="4"/>
    <x v="0"/>
    <x v="4"/>
    <x v="1"/>
    <x v="1"/>
    <x v="0"/>
    <m/>
    <m/>
    <m/>
    <m/>
    <x v="2"/>
    <x v="3"/>
    <x v="0"/>
    <x v="0"/>
    <x v="1"/>
    <s v="Descontos"/>
    <m/>
    <m/>
    <m/>
    <x v="3"/>
    <x v="27"/>
    <x v="2"/>
    <x v="2"/>
    <x v="2"/>
  </r>
  <r>
    <x v="0"/>
    <n v="22"/>
    <x v="2"/>
    <x v="0"/>
    <x v="1"/>
    <x v="3"/>
    <x v="9"/>
    <x v="0"/>
    <x v="6"/>
    <x v="1"/>
    <x v="1"/>
    <x v="0"/>
    <m/>
    <m/>
    <m/>
    <m/>
    <x v="1"/>
    <x v="3"/>
    <x v="0"/>
    <x v="2"/>
    <x v="2"/>
    <s v="Cashback"/>
    <m/>
    <m/>
    <m/>
    <x v="0"/>
    <x v="27"/>
    <x v="2"/>
    <x v="2"/>
    <x v="3"/>
  </r>
  <r>
    <x v="0"/>
    <n v="54"/>
    <x v="1"/>
    <x v="4"/>
    <x v="0"/>
    <x v="1"/>
    <x v="2"/>
    <x v="3"/>
    <x v="1"/>
    <x v="1"/>
    <x v="1"/>
    <x v="0"/>
    <m/>
    <m/>
    <m/>
    <m/>
    <x v="2"/>
    <x v="3"/>
    <x v="0"/>
    <x v="0"/>
    <x v="2"/>
    <s v="Cashback"/>
    <m/>
    <m/>
    <m/>
    <x v="1"/>
    <x v="27"/>
    <x v="2"/>
    <x v="2"/>
    <x v="2"/>
  </r>
  <r>
    <x v="0"/>
    <n v="63"/>
    <x v="1"/>
    <x v="2"/>
    <x v="0"/>
    <x v="3"/>
    <x v="7"/>
    <x v="3"/>
    <x v="1"/>
    <x v="1"/>
    <x v="1"/>
    <x v="0"/>
    <m/>
    <m/>
    <m/>
    <m/>
    <x v="2"/>
    <x v="3"/>
    <x v="0"/>
    <x v="2"/>
    <x v="0"/>
    <s v="Serviços gratuitos"/>
    <m/>
    <m/>
    <m/>
    <x v="3"/>
    <x v="27"/>
    <x v="2"/>
    <x v="2"/>
    <x v="1"/>
  </r>
  <r>
    <x v="0"/>
    <n v="53"/>
    <x v="0"/>
    <x v="0"/>
    <x v="0"/>
    <x v="0"/>
    <x v="9"/>
    <x v="0"/>
    <x v="1"/>
    <x v="1"/>
    <x v="1"/>
    <x v="0"/>
    <m/>
    <m/>
    <m/>
    <m/>
    <x v="2"/>
    <x v="3"/>
    <x v="0"/>
    <x v="2"/>
    <x v="1"/>
    <s v="Cashback"/>
    <m/>
    <m/>
    <m/>
    <x v="0"/>
    <x v="27"/>
    <x v="2"/>
    <x v="2"/>
    <x v="2"/>
  </r>
  <r>
    <x v="0"/>
    <n v="69"/>
    <x v="2"/>
    <x v="0"/>
    <x v="2"/>
    <x v="3"/>
    <x v="6"/>
    <x v="0"/>
    <x v="3"/>
    <x v="1"/>
    <x v="1"/>
    <x v="0"/>
    <m/>
    <m/>
    <m/>
    <m/>
    <x v="1"/>
    <x v="3"/>
    <x v="0"/>
    <x v="0"/>
    <x v="1"/>
    <s v="Prêmios"/>
    <m/>
    <m/>
    <m/>
    <x v="0"/>
    <x v="27"/>
    <x v="2"/>
    <x v="2"/>
    <x v="0"/>
  </r>
  <r>
    <x v="0"/>
    <n v="20"/>
    <x v="2"/>
    <x v="4"/>
    <x v="1"/>
    <x v="0"/>
    <x v="5"/>
    <x v="2"/>
    <x v="1"/>
    <x v="1"/>
    <x v="1"/>
    <x v="0"/>
    <m/>
    <m/>
    <m/>
    <m/>
    <x v="2"/>
    <x v="3"/>
    <x v="0"/>
    <x v="0"/>
    <x v="0"/>
    <s v="Cashback"/>
    <m/>
    <m/>
    <m/>
    <x v="3"/>
    <x v="27"/>
    <x v="2"/>
    <x v="2"/>
    <x v="3"/>
  </r>
  <r>
    <x v="0"/>
    <n v="18"/>
    <x v="0"/>
    <x v="1"/>
    <x v="2"/>
    <x v="3"/>
    <x v="2"/>
    <x v="0"/>
    <x v="1"/>
    <x v="1"/>
    <x v="1"/>
    <x v="0"/>
    <m/>
    <m/>
    <m/>
    <m/>
    <x v="1"/>
    <x v="3"/>
    <x v="0"/>
    <x v="1"/>
    <x v="0"/>
    <s v="Cashback"/>
    <m/>
    <m/>
    <m/>
    <x v="0"/>
    <x v="27"/>
    <x v="2"/>
    <x v="2"/>
    <x v="2"/>
  </r>
  <r>
    <x v="0"/>
    <n v="61"/>
    <x v="1"/>
    <x v="2"/>
    <x v="1"/>
    <x v="1"/>
    <x v="6"/>
    <x v="2"/>
    <x v="1"/>
    <x v="1"/>
    <x v="1"/>
    <x v="0"/>
    <m/>
    <m/>
    <m/>
    <m/>
    <x v="0"/>
    <x v="3"/>
    <x v="0"/>
    <x v="0"/>
    <x v="2"/>
    <s v="Serviços gratuitos"/>
    <m/>
    <m/>
    <m/>
    <x v="1"/>
    <x v="27"/>
    <x v="2"/>
    <x v="2"/>
    <x v="0"/>
  </r>
  <r>
    <x v="0"/>
    <n v="19"/>
    <x v="0"/>
    <x v="1"/>
    <x v="0"/>
    <x v="0"/>
    <x v="9"/>
    <x v="3"/>
    <x v="3"/>
    <x v="1"/>
    <x v="1"/>
    <x v="0"/>
    <m/>
    <m/>
    <m/>
    <m/>
    <x v="2"/>
    <x v="3"/>
    <x v="0"/>
    <x v="2"/>
    <x v="0"/>
    <s v="Cashback"/>
    <m/>
    <m/>
    <m/>
    <x v="3"/>
    <x v="27"/>
    <x v="2"/>
    <x v="2"/>
    <x v="3"/>
  </r>
  <r>
    <x v="0"/>
    <n v="29"/>
    <x v="0"/>
    <x v="1"/>
    <x v="2"/>
    <x v="3"/>
    <x v="2"/>
    <x v="1"/>
    <x v="4"/>
    <x v="2"/>
    <x v="1"/>
    <x v="0"/>
    <m/>
    <m/>
    <m/>
    <m/>
    <x v="3"/>
    <x v="3"/>
    <x v="0"/>
    <x v="1"/>
    <x v="0"/>
    <s v="Prêmios"/>
    <m/>
    <m/>
    <m/>
    <x v="3"/>
    <x v="27"/>
    <x v="2"/>
    <x v="2"/>
    <x v="1"/>
  </r>
  <r>
    <x v="0"/>
    <n v="29"/>
    <x v="2"/>
    <x v="0"/>
    <x v="3"/>
    <x v="0"/>
    <x v="4"/>
    <x v="0"/>
    <x v="1"/>
    <x v="1"/>
    <x v="1"/>
    <x v="0"/>
    <m/>
    <m/>
    <m/>
    <m/>
    <x v="1"/>
    <x v="3"/>
    <x v="0"/>
    <x v="2"/>
    <x v="0"/>
    <s v="Descontos"/>
    <m/>
    <m/>
    <m/>
    <x v="0"/>
    <x v="27"/>
    <x v="2"/>
    <x v="2"/>
    <x v="1"/>
  </r>
  <r>
    <x v="0"/>
    <n v="62"/>
    <x v="1"/>
    <x v="4"/>
    <x v="2"/>
    <x v="0"/>
    <x v="3"/>
    <x v="0"/>
    <x v="4"/>
    <x v="1"/>
    <x v="1"/>
    <x v="0"/>
    <m/>
    <m/>
    <m/>
    <m/>
    <x v="1"/>
    <x v="3"/>
    <x v="0"/>
    <x v="1"/>
    <x v="0"/>
    <s v="Cashback"/>
    <m/>
    <m/>
    <m/>
    <x v="0"/>
    <x v="27"/>
    <x v="2"/>
    <x v="2"/>
    <x v="4"/>
  </r>
  <r>
    <x v="0"/>
    <n v="27"/>
    <x v="1"/>
    <x v="0"/>
    <x v="3"/>
    <x v="3"/>
    <x v="2"/>
    <x v="2"/>
    <x v="3"/>
    <x v="1"/>
    <x v="1"/>
    <x v="0"/>
    <m/>
    <m/>
    <m/>
    <m/>
    <x v="4"/>
    <x v="3"/>
    <x v="0"/>
    <x v="1"/>
    <x v="0"/>
    <s v="Cashback"/>
    <m/>
    <m/>
    <m/>
    <x v="2"/>
    <x v="27"/>
    <x v="2"/>
    <x v="2"/>
    <x v="3"/>
  </r>
  <r>
    <x v="0"/>
    <n v="47"/>
    <x v="2"/>
    <x v="0"/>
    <x v="1"/>
    <x v="3"/>
    <x v="4"/>
    <x v="3"/>
    <x v="5"/>
    <x v="1"/>
    <x v="1"/>
    <x v="0"/>
    <m/>
    <m/>
    <m/>
    <m/>
    <x v="1"/>
    <x v="3"/>
    <x v="0"/>
    <x v="0"/>
    <x v="1"/>
    <s v="Serviços gratuitos"/>
    <m/>
    <m/>
    <m/>
    <x v="0"/>
    <x v="27"/>
    <x v="2"/>
    <x v="2"/>
    <x v="1"/>
  </r>
  <r>
    <x v="0"/>
    <n v="43"/>
    <x v="1"/>
    <x v="1"/>
    <x v="1"/>
    <x v="0"/>
    <x v="4"/>
    <x v="1"/>
    <x v="4"/>
    <x v="3"/>
    <x v="1"/>
    <x v="0"/>
    <m/>
    <m/>
    <m/>
    <m/>
    <x v="0"/>
    <x v="3"/>
    <x v="0"/>
    <x v="2"/>
    <x v="1"/>
    <s v="Cashback"/>
    <m/>
    <m/>
    <m/>
    <x v="3"/>
    <x v="27"/>
    <x v="2"/>
    <x v="2"/>
    <x v="2"/>
  </r>
  <r>
    <x v="0"/>
    <n v="61"/>
    <x v="0"/>
    <x v="0"/>
    <x v="2"/>
    <x v="1"/>
    <x v="8"/>
    <x v="3"/>
    <x v="7"/>
    <x v="1"/>
    <x v="1"/>
    <x v="0"/>
    <m/>
    <m/>
    <m/>
    <m/>
    <x v="1"/>
    <x v="3"/>
    <x v="0"/>
    <x v="1"/>
    <x v="2"/>
    <s v="Prêmios"/>
    <m/>
    <m/>
    <m/>
    <x v="3"/>
    <x v="27"/>
    <x v="2"/>
    <x v="2"/>
    <x v="2"/>
  </r>
  <r>
    <x v="0"/>
    <n v="58"/>
    <x v="2"/>
    <x v="0"/>
    <x v="2"/>
    <x v="0"/>
    <x v="0"/>
    <x v="0"/>
    <x v="3"/>
    <x v="4"/>
    <x v="3"/>
    <x v="1"/>
    <m/>
    <m/>
    <m/>
    <m/>
    <x v="3"/>
    <x v="3"/>
    <x v="0"/>
    <x v="1"/>
    <x v="2"/>
    <s v="Cashback"/>
    <m/>
    <m/>
    <m/>
    <x v="0"/>
    <x v="27"/>
    <x v="2"/>
    <x v="2"/>
    <x v="0"/>
  </r>
  <r>
    <x v="0"/>
    <n v="28"/>
    <x v="1"/>
    <x v="4"/>
    <x v="3"/>
    <x v="3"/>
    <x v="1"/>
    <x v="2"/>
    <x v="1"/>
    <x v="2"/>
    <x v="1"/>
    <x v="0"/>
    <m/>
    <m/>
    <m/>
    <m/>
    <x v="0"/>
    <x v="3"/>
    <x v="0"/>
    <x v="0"/>
    <x v="0"/>
    <s v="Cashback"/>
    <m/>
    <m/>
    <m/>
    <x v="3"/>
    <x v="27"/>
    <x v="2"/>
    <x v="2"/>
    <x v="0"/>
  </r>
  <r>
    <x v="0"/>
    <n v="37"/>
    <x v="2"/>
    <x v="0"/>
    <x v="2"/>
    <x v="0"/>
    <x v="4"/>
    <x v="3"/>
    <x v="1"/>
    <x v="6"/>
    <x v="4"/>
    <x v="2"/>
    <m/>
    <m/>
    <m/>
    <m/>
    <x v="4"/>
    <x v="6"/>
    <x v="0"/>
    <x v="0"/>
    <x v="0"/>
    <s v="Serviços gratuitos"/>
    <m/>
    <m/>
    <m/>
    <x v="1"/>
    <x v="27"/>
    <x v="2"/>
    <x v="2"/>
    <x v="2"/>
  </r>
  <r>
    <x v="0"/>
    <n v="53"/>
    <x v="2"/>
    <x v="2"/>
    <x v="0"/>
    <x v="3"/>
    <x v="6"/>
    <x v="0"/>
    <x v="4"/>
    <x v="2"/>
    <x v="1"/>
    <x v="0"/>
    <m/>
    <m/>
    <m/>
    <m/>
    <x v="0"/>
    <x v="6"/>
    <x v="0"/>
    <x v="2"/>
    <x v="0"/>
    <s v="Cashback"/>
    <m/>
    <m/>
    <m/>
    <x v="2"/>
    <x v="27"/>
    <x v="2"/>
    <x v="2"/>
    <x v="2"/>
  </r>
  <r>
    <x v="0"/>
    <n v="65"/>
    <x v="1"/>
    <x v="1"/>
    <x v="0"/>
    <x v="3"/>
    <x v="6"/>
    <x v="1"/>
    <x v="6"/>
    <x v="2"/>
    <x v="1"/>
    <x v="0"/>
    <m/>
    <m/>
    <m/>
    <m/>
    <x v="4"/>
    <x v="7"/>
    <x v="0"/>
    <x v="0"/>
    <x v="2"/>
    <s v="Prêmios"/>
    <m/>
    <m/>
    <m/>
    <x v="2"/>
    <x v="27"/>
    <x v="2"/>
    <x v="2"/>
    <x v="2"/>
  </r>
  <r>
    <x v="0"/>
    <n v="21"/>
    <x v="1"/>
    <x v="4"/>
    <x v="2"/>
    <x v="1"/>
    <x v="7"/>
    <x v="2"/>
    <x v="1"/>
    <x v="7"/>
    <x v="0"/>
    <x v="3"/>
    <s v="Setee"/>
    <s v="Setta"/>
    <s v="Larco"/>
    <m/>
    <x v="6"/>
    <x v="3"/>
    <x v="0"/>
    <x v="0"/>
    <x v="2"/>
    <s v="Descontos"/>
    <m/>
    <m/>
    <m/>
    <x v="0"/>
    <x v="27"/>
    <x v="2"/>
    <x v="2"/>
    <x v="0"/>
  </r>
  <r>
    <x v="0"/>
    <n v="51"/>
    <x v="1"/>
    <x v="1"/>
    <x v="2"/>
    <x v="0"/>
    <x v="5"/>
    <x v="3"/>
    <x v="0"/>
    <x v="0"/>
    <x v="5"/>
    <x v="4"/>
    <s v="Ale"/>
    <s v="Rede Graal"/>
    <s v="Setta"/>
    <s v="Larco"/>
    <x v="6"/>
    <x v="3"/>
    <x v="0"/>
    <x v="2"/>
    <x v="2"/>
    <s v="Cashback"/>
    <m/>
    <m/>
    <m/>
    <x v="2"/>
    <x v="27"/>
    <x v="2"/>
    <x v="2"/>
    <x v="1"/>
  </r>
  <r>
    <x v="0"/>
    <n v="23"/>
    <x v="0"/>
    <x v="4"/>
    <x v="0"/>
    <x v="3"/>
    <x v="9"/>
    <x v="0"/>
    <x v="0"/>
    <x v="8"/>
    <x v="4"/>
    <x v="2"/>
    <m/>
    <m/>
    <m/>
    <m/>
    <x v="6"/>
    <x v="3"/>
    <x v="0"/>
    <x v="2"/>
    <x v="0"/>
    <s v="Cashback"/>
    <m/>
    <m/>
    <m/>
    <x v="0"/>
    <x v="27"/>
    <x v="2"/>
    <x v="2"/>
    <x v="1"/>
  </r>
  <r>
    <x v="0"/>
    <n v="47"/>
    <x v="1"/>
    <x v="2"/>
    <x v="3"/>
    <x v="1"/>
    <x v="0"/>
    <x v="0"/>
    <x v="0"/>
    <x v="0"/>
    <x v="6"/>
    <x v="1"/>
    <m/>
    <m/>
    <m/>
    <m/>
    <x v="6"/>
    <x v="3"/>
    <x v="0"/>
    <x v="1"/>
    <x v="0"/>
    <s v="Serviços gratuitos"/>
    <m/>
    <m/>
    <m/>
    <x v="3"/>
    <x v="27"/>
    <x v="2"/>
    <x v="2"/>
    <x v="4"/>
  </r>
  <r>
    <x v="0"/>
    <n v="58"/>
    <x v="2"/>
    <x v="4"/>
    <x v="2"/>
    <x v="1"/>
    <x v="1"/>
    <x v="3"/>
    <x v="0"/>
    <x v="8"/>
    <x v="7"/>
    <x v="5"/>
    <s v="Rede Sim"/>
    <s v="Setta"/>
    <m/>
    <m/>
    <x v="4"/>
    <x v="6"/>
    <x v="0"/>
    <x v="0"/>
    <x v="1"/>
    <s v="Cashback"/>
    <m/>
    <m/>
    <m/>
    <x v="0"/>
    <x v="27"/>
    <x v="2"/>
    <x v="2"/>
    <x v="2"/>
  </r>
  <r>
    <x v="0"/>
    <n v="21"/>
    <x v="2"/>
    <x v="4"/>
    <x v="2"/>
    <x v="0"/>
    <x v="7"/>
    <x v="3"/>
    <x v="0"/>
    <x v="0"/>
    <x v="5"/>
    <x v="4"/>
    <s v="Setee"/>
    <s v="Setta"/>
    <s v="Larco"/>
    <m/>
    <x v="1"/>
    <x v="5"/>
    <x v="0"/>
    <x v="2"/>
    <x v="0"/>
    <s v="Prêmios"/>
    <m/>
    <m/>
    <m/>
    <x v="0"/>
    <x v="27"/>
    <x v="2"/>
    <x v="2"/>
    <x v="2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s v="Cashback"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s v="Cashback"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s v="Serviços gratuitos"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s v="Cashback"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s v="Prêmios"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s v="Descontos"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07692-B245-404B-B244-807F3A96D1BD}" name="Tabela dinâmica28" cacheId="2" applyNumberFormats="0" applyBorderFormats="0" applyFontFormats="0" applyPatternFormats="0" applyAlignmentFormats="0" applyWidthHeightFormats="1" dataCaption="Valores" updatedVersion="8" minRefreshableVersion="3" preserveFormatting="0" itemPrintTitles="1" createdVersion="8" indent="0" outline="1" outlineData="1" multipleFieldFilters="0" rowHeaderCaption="Veículo" colHeaderCaption="Frequencia de abastecimento">
  <location ref="A11:D17" firstHeaderRow="1" firstDataRow="2" firstDataCol="1"/>
  <pivotFields count="19">
    <pivotField dataField="1" showAll="0"/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Soma de Pessoa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188147-0F8E-4D89-BBE6-C835D83D2688}" name="Tabela dinâmica40" cacheId="2" applyNumberFormats="0" applyBorderFormats="0" applyFontFormats="0" applyPatternFormats="0" applyAlignmentFormats="0" applyWidthHeightFormats="1" dataCaption="Valores" updatedVersion="8" minRefreshableVersion="3" preserveFormatting="0" itemPrintTitles="1" createdVersion="8" indent="0" outline="1" outlineData="1" multipleFieldFilters="0" rowHeaderCaption="Veículo" colHeaderCaption="Região">
  <location ref="A28:F35" firstHeaderRow="1" firstDataRow="2" firstDataCol="1"/>
  <pivotFields count="19">
    <pivotField showAll="0">
      <items count="2">
        <item x="0"/>
        <item t="default"/>
      </items>
    </pivotField>
    <pivotField axis="axisRow" showAll="0">
      <items count="6">
        <item x="2"/>
        <item x="1"/>
        <item x="4"/>
        <item x="0"/>
        <item x="3"/>
        <item t="default"/>
      </items>
    </pivotField>
    <pivotField showAll="0"/>
    <pivotField axis="axisCol" showAll="0">
      <items count="5">
        <item x="3"/>
        <item x="1"/>
        <item x="0"/>
        <item x="2"/>
        <item t="default"/>
      </items>
    </pivotField>
    <pivotField showAll="0">
      <items count="5">
        <item x="2"/>
        <item x="0"/>
        <item x="3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>
      <items count="2">
        <item x="0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BB31A-B242-4C9E-985F-41F99C41ECB3}" name="Tabela dinâmica37" cacheId="2" applyNumberFormats="0" applyBorderFormats="0" applyFontFormats="0" applyPatternFormats="0" applyAlignmentFormats="0" applyWidthHeightFormats="1" dataCaption="Valores" updatedVersion="8" minRefreshableVersion="3" preserveFormatting="0" colGrandTotals="0" itemPrintTitles="1" createdVersion="8" indent="0" outline="1" outlineData="1" multipleFieldFilters="0" rowHeaderCaption="Veículo" colHeaderCaption="Frequencia de abastecimento">
  <location ref="R12:T18" firstHeaderRow="1" firstDataRow="2" firstDataCol="1"/>
  <pivotFields count="19">
    <pivotField showAll="0"/>
    <pivotField showAll="0"/>
    <pivotField showAll="0"/>
    <pivotField showAll="0"/>
    <pivotField axis="axisRow" dataField="1" showAll="0">
      <items count="5">
        <item x="2"/>
        <item x="0"/>
        <item x="3"/>
        <item x="1"/>
        <item t="default"/>
      </items>
    </pivotField>
    <pivotField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2">
    <i>
      <x/>
    </i>
    <i>
      <x v="1"/>
    </i>
  </colItems>
  <dataFields count="1">
    <dataField name="Contagem de MEIO DE LOCOMOÇÃO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79508A-E201-4136-A11A-36E7D30CB7E6}" name="Tabela dinâmica36" cacheId="2" applyNumberFormats="0" applyBorderFormats="0" applyFontFormats="0" applyPatternFormats="0" applyAlignmentFormats="0" applyWidthHeightFormats="1" dataCaption="Valores" updatedVersion="8" minRefreshableVersion="3" preserveFormatting="0" rowGrandTotals="0" itemPrintTitles="1" createdVersion="8" indent="0" outline="1" outlineData="1" multipleFieldFilters="0" rowHeaderCaption="Veículo" colHeaderCaption="Frequencia de abastecimento">
  <location ref="K12:P15" firstHeaderRow="1" firstDataRow="2" firstDataCol="1"/>
  <pivotFields count="19">
    <pivotField showAll="0"/>
    <pivotField showAll="0"/>
    <pivotField showAll="0"/>
    <pivotField showAll="0"/>
    <pivotField axis="axisCol" showAll="0">
      <items count="5">
        <item x="2"/>
        <item x="0"/>
        <item x="3"/>
        <item x="1"/>
        <item t="default"/>
      </items>
    </pivotField>
    <pivotField axis="axisRow" showAll="0">
      <items count="3">
        <item x="1"/>
        <item x="0"/>
        <item t="default"/>
      </items>
    </pivotField>
    <pivotField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2">
    <i>
      <x/>
    </i>
    <i>
      <x v="1"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Soma de KM / DIA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005F9F-F1AB-4D06-942F-4D5959D771A0}" name="Tabela dinâmica32" cacheId="2" applyNumberFormats="0" applyBorderFormats="0" applyFontFormats="0" applyPatternFormats="0" applyAlignmentFormats="0" applyWidthHeightFormats="1" dataCaption="Valores" updatedVersion="8" minRefreshableVersion="3" preserveFormatting="0" itemPrintTitles="1" createdVersion="8" indent="0" outline="1" outlineData="1" multipleFieldFilters="0" rowHeaderCaption="Veículo" colHeaderCaption="Frequencia de abastecimento">
  <location ref="F12:G17" firstHeaderRow="1" firstDataRow="1" firstDataCol="1"/>
  <pivotFields count="19">
    <pivotField showAll="0"/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>
      <items count="3">
        <item x="1"/>
        <item x="0"/>
        <item t="default"/>
      </items>
    </pivotField>
    <pivotField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a de KM / DIA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BD3EC1-02AB-47FA-B64B-B4175839E2C7}" name="Tabela dinâmica29" cacheId="2" applyNumberFormats="0" applyBorderFormats="0" applyFontFormats="0" applyPatternFormats="0" applyAlignmentFormats="0" applyWidthHeightFormats="1" dataCaption="Valores" updatedVersion="8" minRefreshableVersion="3" preserveFormatting="0" itemPrintTitles="1" createdVersion="8" indent="0" outline="1" outlineData="1" multipleFieldFilters="0" rowHeaderCaption="Veículo" colHeaderCaption="Região">
  <location ref="A19:F25" firstHeaderRow="1" firstDataRow="2" firstDataCol="1"/>
  <pivotFields count="19">
    <pivotField dataField="1" showAll="0"/>
    <pivotField showAll="0"/>
    <pivotField showAll="0"/>
    <pivotField axis="axisCol" showAll="0">
      <items count="5">
        <item x="3"/>
        <item x="1"/>
        <item x="0"/>
        <item x="2"/>
        <item t="default"/>
      </items>
    </pivotField>
    <pivotField axis="axisRow" showAll="0">
      <items count="5">
        <item x="2"/>
        <item x="0"/>
        <item x="3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Soma de Pessoa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AB2D07-3F01-4D06-BF2F-56DBBE179856}" name="Não vinculado Região" cacheId="3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TABLE - DASH" colHeaderCaption="Frequência do Abastecimento">
  <location ref="T35:X42" firstHeaderRow="1" firstDataRow="2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axis="axisRow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h="1" x="3"/>
        <item t="default"/>
      </items>
    </pivotField>
    <pivotField axis="axisCol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ONHECE O APP" fld="0" baseField="0" baseItem="0"/>
  </dataFields>
  <formats count="1">
    <format dxfId="0">
      <pivotArea field="20" type="button" dataOnly="0" labelOnly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9B612-FC94-43A9-9A6C-3B9130B8EED0}" name="Posto por Região 3" cacheId="3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42:E50" firstHeaderRow="1" firstDataRow="2" firstDataCol="1"/>
  <pivotFields count="30">
    <pivotField dataField="1" showAll="0"/>
    <pivotField showAll="0"/>
    <pivotField showAll="0">
      <items count="5">
        <item x="1"/>
        <item x="0"/>
        <item x="2"/>
        <item x="3"/>
        <item t="default"/>
      </items>
    </pivotField>
    <pivotField axis="axisCol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>
      <items count="11">
        <item sd="0" x="5"/>
        <item sd="0" x="4"/>
        <item sd="0" x="0"/>
        <item sd="0" x="3"/>
        <item sd="0" x="6"/>
        <item sd="0" x="7"/>
        <item sd="0" x="2"/>
        <item sd="0" x="8"/>
        <item sd="0" x="1"/>
        <item h="1" x="9"/>
        <item t="default"/>
      </items>
    </pivotField>
    <pivotField showAll="0">
      <items count="10">
        <item x="7"/>
        <item x="8"/>
        <item sd="0" x="2"/>
        <item x="6"/>
        <item sd="0" x="4"/>
        <item sd="0" x="3"/>
        <item x="0"/>
        <item x="5"/>
        <item sd="0" x="1"/>
        <item t="default"/>
      </items>
    </pivotField>
    <pivotField axis="axisRow" showAll="0">
      <items count="9">
        <item x="6"/>
        <item x="5"/>
        <item x="2"/>
        <item x="7"/>
        <item x="0"/>
        <item x="4"/>
        <item x="3"/>
        <item h="1" x="1"/>
        <item t="default"/>
      </items>
    </pivotField>
    <pivotField showAll="0">
      <items count="7">
        <item x="1"/>
        <item x="4"/>
        <item x="5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TABLE MAIN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DA945B-60D8-4C56-81D6-A22F2A1C30EE}" name="Posto por Região 2" cacheId="3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30:E39" firstHeaderRow="1" firstDataRow="2" firstDataCol="1"/>
  <pivotFields count="30">
    <pivotField dataField="1" showAll="0"/>
    <pivotField showAll="0"/>
    <pivotField showAll="0">
      <items count="5">
        <item x="1"/>
        <item x="0"/>
        <item x="2"/>
        <item x="3"/>
        <item t="default"/>
      </items>
    </pivotField>
    <pivotField axis="axisCol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>
      <items count="11">
        <item sd="0" x="5"/>
        <item sd="0" x="4"/>
        <item sd="0" x="0"/>
        <item sd="0" x="3"/>
        <item sd="0" x="6"/>
        <item sd="0" x="7"/>
        <item sd="0" x="2"/>
        <item sd="0" x="8"/>
        <item sd="0" x="1"/>
        <item h="1" x="9"/>
        <item t="default"/>
      </items>
    </pivotField>
    <pivotField axis="axisRow" showAll="0">
      <items count="10">
        <item x="7"/>
        <item x="8"/>
        <item sd="0" x="2"/>
        <item x="6"/>
        <item sd="0" x="4"/>
        <item sd="0" x="3"/>
        <item x="0"/>
        <item x="5"/>
        <item h="1" sd="0" x="1"/>
        <item t="default"/>
      </items>
    </pivotField>
    <pivotField showAll="0">
      <items count="9">
        <item x="6"/>
        <item x="5"/>
        <item x="2"/>
        <item x="7"/>
        <item x="0"/>
        <item x="4"/>
        <item x="3"/>
        <item x="1"/>
        <item t="default"/>
      </items>
    </pivotField>
    <pivotField showAll="0">
      <items count="7">
        <item x="1"/>
        <item x="4"/>
        <item x="5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TABLE MAIN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8E4A0B-793A-40A1-BEB3-82BE8C2D0F88}" name="RECOMENDARIA O APP" cacheId="3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chartFormat="7" rowHeaderCaption="RECOMENDAÇÃO - DASH" colHeaderCaption="Frequência do Abastecimento">
  <location ref="H47:I52" firstHeaderRow="1" firstDataRow="1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h="1" x="3"/>
        <item t="default"/>
      </items>
    </pivotField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axis="axisRow" showAll="0">
      <items count="7">
        <item x="3"/>
        <item x="4"/>
        <item x="1"/>
        <item x="0"/>
        <item x="2"/>
        <item h="1" x="5"/>
        <item t="default"/>
      </items>
    </pivotField>
  </pivotFields>
  <rowFields count="1">
    <field x="29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RECOMENDARIA" fld="0" baseField="0" baseItem="0"/>
  </dataFields>
  <formats count="1">
    <format dxfId="2">
      <pivotArea field="29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3BF5BF-574B-4099-8C5E-EE4D13C620AA}" name="Barreiras do App" cacheId="3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DETALHE" colHeaderCaption="Frequência do Abastecimento">
  <location ref="H40:I44" firstHeaderRow="1" firstDataRow="1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h="1" x="3"/>
        <item t="default"/>
      </items>
    </pivotField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</pivotFields>
  <rowFields count="1">
    <field x="25"/>
  </rowFields>
  <rowItems count="4">
    <i>
      <x/>
    </i>
    <i>
      <x v="1"/>
    </i>
    <i>
      <x v="2"/>
    </i>
    <i>
      <x v="3"/>
    </i>
  </rowItems>
  <colItems count="1">
    <i/>
  </colItems>
  <dataFields count="1">
    <dataField name="BARREIRA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C6DE36-0567-4AE1-959C-698F7B204A9A}" name="Principais pontos 1" cacheId="3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TABLE MAIN" colHeaderCaption="Frequência do Abastecimento">
  <location ref="H18:I25" firstHeaderRow="1" firstDataRow="1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4"/>
        <item x="2"/>
        <item x="0"/>
        <item x="5"/>
        <item x="6"/>
        <item x="3"/>
        <item x="1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Cliente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CC5D76-0CA9-4847-A415-9AA57D44E0B4}" name="Frequência do Abastecimento" cacheId="3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colHeaderCaption="Frequência do Abastecimento">
  <location ref="A11:F16" firstHeaderRow="1" firstDataRow="2" firstDataCol="1"/>
  <pivotFields count="30">
    <pivotField dataField="1" showAll="0"/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x="2"/>
        <item x="1"/>
        <item x="4"/>
        <item x="0"/>
        <item x="3"/>
        <item x="5"/>
        <item t="default"/>
      </items>
    </pivotField>
    <pivotField axis="axisRow" showAll="0">
      <items count="6">
        <item x="2"/>
        <item x="0"/>
        <item x="3"/>
        <item x="1"/>
        <item h="1" x="4"/>
        <item t="default"/>
      </items>
    </pivotField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>
      <x v="3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TABLE DASH" fld="0" baseField="0" baseItem="0"/>
  </dataFields>
  <formats count="1">
    <format dxfId="3">
      <pivotArea type="origin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1D68F-9FEA-4B5A-A578-DBAC49E949A3}" name="Total de veículos" cacheId="3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DETALHE" colHeaderCaption="Frequência do Abastecimento">
  <location ref="S11:T15" firstHeaderRow="1" firstDataRow="1" firstDataCol="1"/>
  <pivotFields count="30">
    <pivotField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dataField="1" showAll="0">
      <items count="7">
        <item x="2"/>
        <item x="1"/>
        <item x="4"/>
        <item x="0"/>
        <item x="3"/>
        <item x="5"/>
        <item t="default"/>
      </items>
    </pivotField>
    <pivotField axis="axisRow"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>
      <x v="3"/>
    </i>
  </rowItems>
  <colItems count="1">
    <i/>
  </colItems>
  <dataFields count="1">
    <dataField name="Total de Veículos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9F9A73-B142-4B49-A545-04E2C62785EF}" name="Valor utilizado" cacheId="3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colHeaderCaption="Valor gasto no Abastecimento">
  <location ref="L11:Q16" firstHeaderRow="1" firstDataRow="2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x="2"/>
        <item x="1"/>
        <item x="4"/>
        <item x="0"/>
        <item x="3"/>
        <item x="5"/>
        <item t="default"/>
      </items>
    </pivotField>
    <pivotField axis="axisRow"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axis="axisCol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>
      <x v="3"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DETALHE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199C0-53BD-4040-A301-80D96C7D76D6}" name="Utilização do app" cacheId="3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TABLE - DASH" colHeaderCaption="Frequência do Abastecimento">
  <location ref="H35:I38" firstHeaderRow="1" firstDataRow="1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3">
    <i>
      <x/>
    </i>
    <i>
      <x v="1"/>
    </i>
    <i>
      <x v="2"/>
    </i>
  </rowItems>
  <colItems count="1">
    <i/>
  </colItems>
  <dataFields count="1">
    <dataField name="FREQUENCIA DE UTILIZAÇÃO DE APP" fld="0" baseField="0" baseItem="0"/>
  </dataFields>
  <formats count="1">
    <format dxfId="1">
      <pivotArea field="19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F8F379-80FE-4E44-8BE6-116DC1FF1E6E}" name="Principais pontos 2" cacheId="3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TABLE MAIN" colHeaderCaption="Frequência do Abastecimento">
  <location ref="H26:I33" firstHeaderRow="1" firstDataRow="1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4"/>
        <item x="2"/>
        <item x="0"/>
        <item x="5"/>
        <item x="6"/>
        <item x="3"/>
        <item x="1"/>
        <item h="1" x="7"/>
        <item t="default"/>
      </items>
    </pivotField>
    <pivotField axis="axisRow" showAll="0">
      <items count="9">
        <item x="5"/>
        <item x="2"/>
        <item x="1"/>
        <item x="0"/>
        <item x="7"/>
        <item x="6"/>
        <item x="4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cliente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A2F82-752C-4633-BFC5-C8DE9A9C6A76}" name="Conhece app" cacheId="3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TABLE - DASH" colHeaderCaption="Frequência do Abastecimento">
  <location ref="K35:O42" firstHeaderRow="1" firstDataRow="2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axis="axisRow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h="1" x="3"/>
        <item t="default"/>
      </items>
    </pivotField>
    <pivotField axis="axisCol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ONHECE O APP" fld="0" baseField="0" baseItem="0"/>
  </dataFields>
  <formats count="1">
    <format dxfId="4">
      <pivotArea field="20" type="button" dataOnly="0" labelOnly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A89D1F-FA35-4435-B373-4C06007D189B}" name="Posto por Gênero 2" cacheId="3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olHeaderCaption="GENERO 2">
  <location ref="A87:E95" firstHeaderRow="1" firstDataRow="2" firstDataCol="1"/>
  <pivotFields count="30">
    <pivotField dataField="1" showAll="0"/>
    <pivotField showAll="0"/>
    <pivotField showAll="0">
      <items count="5">
        <item x="1"/>
        <item x="0"/>
        <item x="2"/>
        <item x="3"/>
        <item t="default"/>
      </items>
    </pivotField>
    <pivotField axis="axisCol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>
      <items count="11">
        <item sd="0" x="5"/>
        <item sd="0" x="4"/>
        <item sd="0" x="0"/>
        <item sd="0" x="3"/>
        <item sd="0" x="6"/>
        <item sd="0" x="7"/>
        <item sd="0" x="2"/>
        <item sd="0" x="8"/>
        <item sd="0" x="1"/>
        <item h="1" x="9"/>
        <item t="default"/>
      </items>
    </pivotField>
    <pivotField showAll="0">
      <items count="10">
        <item x="7"/>
        <item x="8"/>
        <item sd="0" x="2"/>
        <item x="6"/>
        <item sd="0" x="4"/>
        <item sd="0" x="3"/>
        <item x="0"/>
        <item x="5"/>
        <item sd="0" x="1"/>
        <item t="default"/>
      </items>
    </pivotField>
    <pivotField axis="axisRow" showAll="0">
      <items count="9">
        <item x="6"/>
        <item x="5"/>
        <item x="2"/>
        <item x="7"/>
        <item x="0"/>
        <item x="4"/>
        <item x="3"/>
        <item h="1" x="1"/>
        <item t="default"/>
      </items>
    </pivotField>
    <pivotField showAll="0">
      <items count="7">
        <item x="1"/>
        <item x="4"/>
        <item x="5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TABLE MAIN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E8BEBA-628C-4849-AC24-E9F2B03A8B25}" name="Posto por Genero 3" cacheId="3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97:E103" firstHeaderRow="1" firstDataRow="2" firstDataCol="1"/>
  <pivotFields count="30">
    <pivotField dataField="1" showAll="0"/>
    <pivotField showAll="0"/>
    <pivotField showAll="0">
      <items count="5">
        <item x="1"/>
        <item x="0"/>
        <item x="2"/>
        <item x="3"/>
        <item t="default"/>
      </items>
    </pivotField>
    <pivotField axis="axisCol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>
      <items count="11">
        <item sd="0" x="5"/>
        <item sd="0" x="4"/>
        <item sd="0" x="0"/>
        <item sd="0" x="3"/>
        <item sd="0" x="6"/>
        <item sd="0" x="7"/>
        <item sd="0" x="2"/>
        <item sd="0" x="8"/>
        <item sd="0" x="1"/>
        <item h="1" x="9"/>
        <item t="default"/>
      </items>
    </pivotField>
    <pivotField showAll="0">
      <items count="10">
        <item x="7"/>
        <item x="8"/>
        <item sd="0" x="2"/>
        <item x="6"/>
        <item sd="0" x="4"/>
        <item sd="0" x="3"/>
        <item x="0"/>
        <item x="5"/>
        <item sd="0" x="1"/>
        <item t="default"/>
      </items>
    </pivotField>
    <pivotField showAll="0">
      <items count="9">
        <item x="6"/>
        <item x="5"/>
        <item x="2"/>
        <item x="7"/>
        <item x="0"/>
        <item x="4"/>
        <item x="3"/>
        <item x="1"/>
        <item t="default"/>
      </items>
    </pivotField>
    <pivotField axis="axisRow" showAll="0">
      <items count="7">
        <item x="1"/>
        <item x="4"/>
        <item x="5"/>
        <item x="3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>
      <x v="4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TABLE MAIN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E037D8-3C6B-4438-A64E-986F41BD0F1A}" name="Posto por Genero 1" cacheId="3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olHeaderCaption="GENERO 1">
  <location ref="A75:F85" firstHeaderRow="1" firstDataRow="2" firstDataCol="1"/>
  <pivotFields count="30">
    <pivotField showAll="0"/>
    <pivotField showAll="0"/>
    <pivotField dataField="1" showAll="0">
      <items count="5">
        <item x="1"/>
        <item x="0"/>
        <item x="2"/>
        <item x="3"/>
        <item t="default"/>
      </items>
    </pivotField>
    <pivotField axis="axisCol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axis="axisRow" showAll="0">
      <items count="11">
        <item sd="0" x="5"/>
        <item sd="0" x="4"/>
        <item sd="0" x="0"/>
        <item sd="0" x="3"/>
        <item sd="0" x="6"/>
        <item sd="0" x="7"/>
        <item sd="0" x="2"/>
        <item sd="0" x="8"/>
        <item sd="0" x="1"/>
        <item h="1" x="9"/>
        <item t="default"/>
      </items>
    </pivotField>
    <pivotField showAll="0">
      <items count="10">
        <item x="7"/>
        <item x="8"/>
        <item sd="0" x="2"/>
        <item x="6"/>
        <item sd="0" x="4"/>
        <item sd="0" x="3"/>
        <item x="0"/>
        <item x="5"/>
        <item sd="0" x="1"/>
        <item t="default"/>
      </items>
    </pivotField>
    <pivotField showAll="0">
      <items count="9">
        <item x="6"/>
        <item x="5"/>
        <item x="2"/>
        <item x="7"/>
        <item x="0"/>
        <item x="4"/>
        <item x="3"/>
        <item x="1"/>
        <item t="default"/>
      </items>
    </pivotField>
    <pivotField showAll="0">
      <items count="7">
        <item x="1"/>
        <item x="4"/>
        <item x="5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3"/>
  </colFields>
  <colItems count="5">
    <i>
      <x/>
    </i>
    <i>
      <x v="1"/>
    </i>
    <i>
      <x v="2"/>
    </i>
    <i>
      <x v="3"/>
    </i>
    <i>
      <x v="4"/>
    </i>
  </colItems>
  <dataFields count="1">
    <dataField name="TABLE DASH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74135F-DD12-4CAE-B220-9E4121BC7A34}" name="Qualitativas" cacheId="3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PERGUNTAS QUALITATIVAS" colHeaderCaption="Frequência do Abastecimento">
  <location ref="K1:N2" firstHeaderRow="0" firstDataRow="1" firstDataCol="1"/>
  <pivotFields count="30">
    <pivotField axis="axisRow" showAll="0">
      <items count="3">
        <item x="0"/>
        <item h="1" x="1"/>
        <item t="default"/>
      </items>
    </pivotField>
    <pivotField showAll="0"/>
    <pivotField showAll="0"/>
    <pivotField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h="1" x="3"/>
        <item t="default"/>
      </items>
    </pivotField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>
      <items count="6">
        <item x="1"/>
        <item x="2"/>
        <item x="3"/>
        <item x="0"/>
        <item h="1" x="4"/>
        <item t="default"/>
      </items>
    </pivotField>
    <pivotField dataField="1" showAll="0">
      <items count="133">
        <item x="1"/>
        <item x="48"/>
        <item x="69"/>
        <item x="58"/>
        <item x="44"/>
        <item x="122"/>
        <item x="108"/>
        <item x="86"/>
        <item x="116"/>
        <item x="128"/>
        <item x="102"/>
        <item x="59"/>
        <item x="72"/>
        <item x="61"/>
        <item x="40"/>
        <item x="49"/>
        <item x="38"/>
        <item x="29"/>
        <item x="63"/>
        <item x="81"/>
        <item x="6"/>
        <item x="43"/>
        <item x="41"/>
        <item x="45"/>
        <item x="84"/>
        <item x="76"/>
        <item x="53"/>
        <item x="92"/>
        <item x="87"/>
        <item x="94"/>
        <item x="71"/>
        <item x="117"/>
        <item x="109"/>
        <item x="79"/>
        <item x="129"/>
        <item x="123"/>
        <item x="77"/>
        <item x="112"/>
        <item x="126"/>
        <item x="120"/>
        <item x="106"/>
        <item x="73"/>
        <item x="98"/>
        <item x="101"/>
        <item x="80"/>
        <item x="82"/>
        <item x="57"/>
        <item x="113"/>
        <item x="99"/>
        <item x="18"/>
        <item x="37"/>
        <item x="42"/>
        <item x="5"/>
        <item x="33"/>
        <item x="51"/>
        <item x="26"/>
        <item x="9"/>
        <item x="22"/>
        <item x="30"/>
        <item x="19"/>
        <item x="25"/>
        <item x="75"/>
        <item x="96"/>
        <item x="89"/>
        <item x="64"/>
        <item x="68"/>
        <item x="100"/>
        <item x="130"/>
        <item x="104"/>
        <item x="110"/>
        <item x="118"/>
        <item x="124"/>
        <item x="114"/>
        <item x="91"/>
        <item x="78"/>
        <item x="66"/>
        <item x="47"/>
        <item x="17"/>
        <item x="15"/>
        <item x="46"/>
        <item x="62"/>
        <item x="55"/>
        <item x="52"/>
        <item x="70"/>
        <item x="90"/>
        <item x="85"/>
        <item x="107"/>
        <item x="121"/>
        <item x="127"/>
        <item x="115"/>
        <item x="103"/>
        <item x="83"/>
        <item x="95"/>
        <item x="24"/>
        <item x="32"/>
        <item x="14"/>
        <item x="20"/>
        <item x="105"/>
        <item x="93"/>
        <item x="88"/>
        <item x="67"/>
        <item x="131"/>
        <item x="111"/>
        <item x="97"/>
        <item x="119"/>
        <item x="125"/>
        <item x="65"/>
        <item x="56"/>
        <item x="35"/>
        <item x="60"/>
        <item x="10"/>
        <item x="4"/>
        <item x="8"/>
        <item x="11"/>
        <item x="28"/>
        <item x="12"/>
        <item x="54"/>
        <item x="0"/>
        <item x="3"/>
        <item x="23"/>
        <item x="34"/>
        <item x="31"/>
        <item x="13"/>
        <item x="16"/>
        <item x="21"/>
        <item x="7"/>
        <item x="2"/>
        <item x="39"/>
        <item x="50"/>
        <item x="74"/>
        <item x="36"/>
        <item x="27"/>
        <item t="default"/>
      </items>
    </pivotField>
    <pivotField dataField="1" showAll="0">
      <items count="71">
        <item x="61"/>
        <item x="53"/>
        <item x="59"/>
        <item x="39"/>
        <item x="4"/>
        <item x="57"/>
        <item x="56"/>
        <item x="67"/>
        <item x="47"/>
        <item x="66"/>
        <item x="41"/>
        <item x="64"/>
        <item x="58"/>
        <item x="7"/>
        <item x="44"/>
        <item x="51"/>
        <item x="32"/>
        <item x="42"/>
        <item x="34"/>
        <item x="37"/>
        <item x="25"/>
        <item x="18"/>
        <item x="29"/>
        <item x="62"/>
        <item x="1"/>
        <item x="31"/>
        <item x="40"/>
        <item x="43"/>
        <item x="35"/>
        <item x="48"/>
        <item x="46"/>
        <item x="33"/>
        <item x="38"/>
        <item x="3"/>
        <item x="50"/>
        <item x="30"/>
        <item x="27"/>
        <item x="13"/>
        <item x="21"/>
        <item x="5"/>
        <item x="12"/>
        <item x="26"/>
        <item x="17"/>
        <item x="16"/>
        <item x="15"/>
        <item x="6"/>
        <item x="24"/>
        <item x="20"/>
        <item x="22"/>
        <item x="8"/>
        <item x="23"/>
        <item x="0"/>
        <item x="63"/>
        <item x="49"/>
        <item x="45"/>
        <item x="36"/>
        <item x="65"/>
        <item x="68"/>
        <item x="55"/>
        <item x="52"/>
        <item x="60"/>
        <item x="69"/>
        <item x="10"/>
        <item x="19"/>
        <item x="9"/>
        <item x="28"/>
        <item x="54"/>
        <item x="14"/>
        <item x="11"/>
        <item x="2"/>
        <item t="default"/>
      </items>
    </pivotField>
    <pivotField dataField="1" showAll="0">
      <items count="143">
        <item x="45"/>
        <item x="43"/>
        <item x="58"/>
        <item x="66"/>
        <item x="51"/>
        <item x="94"/>
        <item x="79"/>
        <item x="61"/>
        <item x="89"/>
        <item x="85"/>
        <item x="114"/>
        <item x="69"/>
        <item x="120"/>
        <item x="126"/>
        <item x="102"/>
        <item x="54"/>
        <item x="132"/>
        <item x="76"/>
        <item x="138"/>
        <item x="108"/>
        <item x="38"/>
        <item x="23"/>
        <item x="29"/>
        <item x="47"/>
        <item x="24"/>
        <item x="16"/>
        <item x="59"/>
        <item x="77"/>
        <item x="46"/>
        <item x="70"/>
        <item x="99"/>
        <item x="82"/>
        <item x="95"/>
        <item x="123"/>
        <item x="117"/>
        <item x="129"/>
        <item x="111"/>
        <item x="141"/>
        <item x="135"/>
        <item x="105"/>
        <item x="88"/>
        <item x="40"/>
        <item x="26"/>
        <item x="0"/>
        <item x="9"/>
        <item x="18"/>
        <item x="8"/>
        <item x="1"/>
        <item x="12"/>
        <item x="4"/>
        <item x="11"/>
        <item x="3"/>
        <item x="6"/>
        <item x="15"/>
        <item x="22"/>
        <item x="30"/>
        <item x="33"/>
        <item x="64"/>
        <item x="124"/>
        <item x="74"/>
        <item x="112"/>
        <item x="118"/>
        <item x="83"/>
        <item x="92"/>
        <item x="100"/>
        <item x="136"/>
        <item x="130"/>
        <item x="106"/>
        <item x="37"/>
        <item x="42"/>
        <item x="53"/>
        <item x="25"/>
        <item x="36"/>
        <item x="19"/>
        <item x="14"/>
        <item x="7"/>
        <item x="5"/>
        <item x="20"/>
        <item x="55"/>
        <item x="50"/>
        <item x="67"/>
        <item x="91"/>
        <item x="139"/>
        <item x="86"/>
        <item x="121"/>
        <item x="97"/>
        <item x="73"/>
        <item x="63"/>
        <item x="115"/>
        <item x="127"/>
        <item x="80"/>
        <item x="109"/>
        <item x="103"/>
        <item x="133"/>
        <item x="27"/>
        <item x="44"/>
        <item x="75"/>
        <item x="34"/>
        <item x="52"/>
        <item x="107"/>
        <item x="125"/>
        <item x="101"/>
        <item x="119"/>
        <item x="84"/>
        <item x="65"/>
        <item x="137"/>
        <item x="113"/>
        <item x="131"/>
        <item x="93"/>
        <item x="17"/>
        <item x="71"/>
        <item x="56"/>
        <item x="41"/>
        <item x="48"/>
        <item x="32"/>
        <item x="28"/>
        <item x="21"/>
        <item x="10"/>
        <item x="13"/>
        <item x="39"/>
        <item x="72"/>
        <item x="134"/>
        <item x="122"/>
        <item x="98"/>
        <item x="81"/>
        <item x="110"/>
        <item x="90"/>
        <item x="62"/>
        <item x="35"/>
        <item x="116"/>
        <item x="140"/>
        <item x="128"/>
        <item x="68"/>
        <item x="57"/>
        <item x="96"/>
        <item x="60"/>
        <item x="78"/>
        <item x="104"/>
        <item x="49"/>
        <item x="87"/>
        <item x="31"/>
        <item x="2"/>
        <item t="default"/>
      </items>
    </pivotField>
    <pivotField showAll="0">
      <items count="7">
        <item x="3"/>
        <item x="4"/>
        <item x="1"/>
        <item x="0"/>
        <item x="2"/>
        <item h="1" x="5"/>
        <item t="default"/>
      </items>
    </pivotField>
  </pivotFields>
  <rowFields count="1">
    <field x="0"/>
  </rowFields>
  <rowItems count="1">
    <i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Escolher o Posto Ipiranga" fld="26" subtotal="count" baseField="0" baseItem="0"/>
    <dataField name="O que pode ser melhorado" fld="27" subtotal="count" baseField="0" baseItem="0"/>
    <dataField name="benefícios ao obter um app" fld="2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A70013-B328-4EE5-9907-7AB8E85B22D9}" name="km/dia" cacheId="3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DETALHE" colHeaderCaption="Frequência do Abastecimento">
  <location ref="H11:I15" firstHeaderRow="1" firstDataRow="1" firstDataCol="1"/>
  <pivotFields count="30">
    <pivotField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x="2"/>
        <item x="1"/>
        <item x="4"/>
        <item x="0"/>
        <item x="3"/>
        <item x="5"/>
        <item t="default"/>
      </items>
    </pivotField>
    <pivotField axis="axisRow"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dataField="1"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>
      <x v="3"/>
    </i>
  </rowItems>
  <colItems count="1">
    <i/>
  </colItems>
  <dataFields count="1">
    <dataField name="Soma de KM/DIA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2B0079-8290-47F9-9F7C-8E8A92FEA151}" name="Posto por Região 1" cacheId="3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18:F28" firstHeaderRow="1" firstDataRow="2" firstDataCol="1"/>
  <pivotFields count="30">
    <pivotField showAll="0"/>
    <pivotField showAll="0"/>
    <pivotField showAll="0">
      <items count="5">
        <item x="1"/>
        <item x="0"/>
        <item x="2"/>
        <item x="3"/>
        <item t="default"/>
      </items>
    </pivotField>
    <pivotField axis="axisCol" dataField="1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axis="axisRow" showAll="0">
      <items count="11">
        <item sd="0" x="5"/>
        <item sd="0" x="4"/>
        <item sd="0" x="0"/>
        <item sd="0" x="3"/>
        <item sd="0" x="6"/>
        <item sd="0" x="7"/>
        <item sd="0" x="2"/>
        <item sd="0" x="8"/>
        <item sd="0" x="1"/>
        <item h="1" x="9"/>
        <item t="default"/>
      </items>
    </pivotField>
    <pivotField showAll="0">
      <items count="10">
        <item x="7"/>
        <item x="8"/>
        <item sd="0" x="2"/>
        <item x="6"/>
        <item sd="0" x="4"/>
        <item sd="0" x="3"/>
        <item x="0"/>
        <item x="5"/>
        <item sd="0" x="1"/>
        <item t="default"/>
      </items>
    </pivotField>
    <pivotField showAll="0">
      <items count="9">
        <item x="6"/>
        <item x="5"/>
        <item x="2"/>
        <item x="7"/>
        <item x="0"/>
        <item x="4"/>
        <item x="3"/>
        <item x="1"/>
        <item t="default"/>
      </items>
    </pivotField>
    <pivotField showAll="0">
      <items count="7">
        <item x="1"/>
        <item x="4"/>
        <item x="5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3"/>
  </colFields>
  <colItems count="5">
    <i>
      <x/>
    </i>
    <i>
      <x v="1"/>
    </i>
    <i>
      <x v="2"/>
    </i>
    <i>
      <x v="3"/>
    </i>
    <i>
      <x v="4"/>
    </i>
  </colItems>
  <dataFields count="1">
    <dataField name="Contagem de REGIÃO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GÊNERO" xr10:uid="{32DD0560-C470-453B-9FB5-F6B458DB91E8}" sourceName="GÊNERO">
  <pivotTables>
    <pivotTable tabId="19" name="Valor utilizado"/>
    <pivotTable tabId="19" name="Barreiras do App"/>
    <pivotTable tabId="19" name="Conhece app"/>
    <pivotTable tabId="19" name="Frequência do Abastecimento"/>
    <pivotTable tabId="19" name="km/dia"/>
    <pivotTable tabId="19" name="Posto por Região 1"/>
    <pivotTable tabId="19" name="Posto por Região 2"/>
    <pivotTable tabId="19" name="Posto por Região 3"/>
    <pivotTable tabId="19" name="Posto por Genero 3"/>
    <pivotTable tabId="19" name="Principais pontos 1"/>
    <pivotTable tabId="19" name="Principais pontos 2"/>
    <pivotTable tabId="19" name="RECOMENDARIA O APP"/>
    <pivotTable tabId="19" name="Total de veículos"/>
    <pivotTable tabId="19" name="Utilização do app"/>
    <pivotTable tabId="19" name="Não vinculado Região"/>
    <pivotTable tabId="19" name="Posto por Genero 1"/>
    <pivotTable tabId="19" name="Posto por Gênero 2"/>
  </pivotTables>
  <data>
    <tabular pivotCacheId="1452903899">
      <items count="4">
        <i x="1" s="1"/>
        <i x="0" s="1"/>
        <i x="2" s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REGIÃO" xr10:uid="{BF1715B6-9B14-42DC-BDBB-0FE749CCFEFF}" sourceName="REGIÃO">
  <pivotTables>
    <pivotTable tabId="19" name="Posto por Região 2"/>
    <pivotTable tabId="19" name="Posto por Região 3"/>
    <pivotTable tabId="19" name="Frequência do Abastecimento"/>
    <pivotTable tabId="19" name="km/dia"/>
    <pivotTable tabId="19" name="Valor utilizado"/>
    <pivotTable tabId="19" name="Total de veículos"/>
    <pivotTable tabId="19" name="Principais pontos 1"/>
    <pivotTable tabId="19" name="Principais pontos 2"/>
    <pivotTable tabId="19" name="Utilização do app"/>
    <pivotTable tabId="19" name="Conhece app"/>
    <pivotTable tabId="19" name="Barreiras do App"/>
    <pivotTable tabId="19" name="RECOMENDARIA O APP"/>
    <pivotTable tabId="19" name="Posto por Região 1"/>
  </pivotTables>
  <data>
    <tabular pivotCacheId="1452903899">
      <items count="6">
        <i x="2" s="1"/>
        <i x="1" s="1"/>
        <i x="4" s="1"/>
        <i x="0" s="1"/>
        <i x="3" s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ÊNERO" xr10:uid="{88F663D5-0D44-49C4-B33E-BD769EEA85DB}" cache="SegmentaçãodeDados_GÊNERO" caption="GÊNERO" rowHeight="234950"/>
  <slicer name="REGIÃO" xr10:uid="{EB4B8C28-712D-416D-BCCA-FA44C56430BC}" cache="SegmentaçãodeDados_REGIÃO" caption="REGIÃO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ÊNERO 1" xr10:uid="{2FEFD1E5-A109-4B14-ACD1-025E3F20EB59}" cache="SegmentaçãodeDados_GÊNERO" caption="GÊNERO" style="Estilo de Segmentação de Dados 1" rowHeight="234950"/>
  <slicer name="REGIÃO 1" xr10:uid="{1DE97B1A-B9A3-45E7-99B3-A42089CEF29D}" cache="SegmentaçãodeDados_REGIÃO" caption="REGIÃO" style="Estilo de Segmentação de Dados 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ÊNERO 2" xr10:uid="{11522E2E-F0ED-47DD-B511-EAFD2EB0CEFA}" cache="SegmentaçãodeDados_GÊNERO" caption="GÊNERO" style="Estilo de Segmentação de Dados 1" rowHeight="234950"/>
  <slicer name="REGIÃO 2" xr10:uid="{A0F5C0CD-D21B-4B0F-802C-B5E18CEC2254}" cache="SegmentaçãodeDados_REGIÃO" caption="REGIÃO" style="Estilo de Segmentação de Dados 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ÊNERO 3" xr10:uid="{70B517F6-0FA0-4246-9909-398101A40294}" cache="SegmentaçãodeDados_GÊNERO" caption="GÊNERO" style="Estilo de Segmentação de Dados 1" rowHeight="234950"/>
  <slicer name="REGIÃO 3" xr10:uid="{624B9B2C-D876-4851-98CB-E14EC6708DF5}" cache="SegmentaçãodeDados_REGIÃO" caption="REGIÃO" style="Estilo de Segmentação de Dados 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Y5" totalsRowShown="0">
  <autoFilter ref="A1:Y5" xr:uid="{00000000-0009-0000-0100-000001000000}"/>
  <tableColumns count="25">
    <tableColumn id="1" xr3:uid="{00000000-0010-0000-0000-000001000000}" name="ID" dataDxfId="60"/>
    <tableColumn id="2" xr3:uid="{00000000-0010-0000-0000-000002000000}" name="Hora de início" dataDxfId="59"/>
    <tableColumn id="3" xr3:uid="{00000000-0010-0000-0000-000003000000}" name="Hora de conclusão" dataDxfId="58"/>
    <tableColumn id="4" xr3:uid="{00000000-0010-0000-0000-000004000000}" name="Email" dataDxfId="57"/>
    <tableColumn id="5" xr3:uid="{00000000-0010-0000-0000-000005000000}" name="Nome" dataDxfId="56"/>
    <tableColumn id="6" xr3:uid="{00000000-0010-0000-0000-000006000000}" name="Hora da última modificação" dataDxfId="55"/>
    <tableColumn id="7" xr3:uid="{00000000-0010-0000-0000-000007000000}" name="Qual sua idade?" dataDxfId="54"/>
    <tableColumn id="8" xr3:uid="{00000000-0010-0000-0000-000008000000}" name="Com qual gênero se identifica?" dataDxfId="53"/>
    <tableColumn id="9" xr3:uid="{00000000-0010-0000-0000-000009000000}" name="Em qual região você reside?" dataDxfId="52"/>
    <tableColumn id="10" xr3:uid="{00000000-0010-0000-0000-00000A000000}" name="Qual seu principal meio de locomoção?" dataDxfId="51"/>
    <tableColumn id="11" xr3:uid="{00000000-0010-0000-0000-00000B000000}" name="Qual é a frequência com que você abastece seu veículo em um posto de combustível? " dataDxfId="50"/>
    <tableColumn id="12" xr3:uid="{00000000-0010-0000-0000-00000C000000}" name="Considerando sua rotina habitual, quantos quilômetros , aproximadamente, você roda por dia?" dataDxfId="49"/>
    <tableColumn id="13" xr3:uid="{00000000-0010-0000-0000-00000D000000}" name="Quanto você gasta em média em cada abastecimento em um posto de combustível?" dataDxfId="48"/>
    <tableColumn id="14" xr3:uid="{00000000-0010-0000-0000-00000E000000}" name="Qual dos postos abaixo você costuma utilizar para abastecer seu veículo?" dataDxfId="47"/>
    <tableColumn id="24" xr3:uid="{E621C528-1359-4CFD-B75E-BE19C828E807}" name="Coluna1"/>
    <tableColumn id="25" xr3:uid="{D3480D2C-0851-4D81-BAC1-6E59B1C04CE4}" name="Coluna2"/>
    <tableColumn id="15" xr3:uid="{00000000-0010-0000-0000-00000F000000}" name="Qual os três principais pontos que você observa ao escolher um posto de gasolina?" dataDxfId="46"/>
    <tableColumn id="16" xr3:uid="{00000000-0010-0000-0000-000010000000}" name="Com que frequência você utiliza o aplicativo dos postos de combustível que frequenta?" dataDxfId="45"/>
    <tableColumn id="17" xr3:uid="{00000000-0010-0000-0000-000011000000}" name="Você conhece o APP Abastece Aí, dos postos Ipiranga ?" dataDxfId="44"/>
    <tableColumn id="18" xr3:uid="{00000000-0010-0000-0000-000012000000}" name="Quais benefícios você espera encontrar no aplicativo Abastece Aí?" dataDxfId="43"/>
    <tableColumn id="19" xr3:uid="{00000000-0010-0000-0000-000013000000}" name="Qual a principal barreira para a utilização de um aplicativo para ganhar benefícios em postos de abastecimento?" dataDxfId="42"/>
    <tableColumn id="20" xr3:uid="{00000000-0010-0000-0000-000014000000}" name="Quais são os principais fatores que o levam a escolher o posto Ipiranga para abastecer seu veículo?" dataDxfId="41"/>
    <tableColumn id="21" xr3:uid="{00000000-0010-0000-0000-000015000000}" name="Descreva sua experiência geral com o aplicativo do posto Ipiranga, incluindo o que você gosta e o que acha que pode ser melhorado." dataDxfId="40"/>
    <tableColumn id="22" xr3:uid="{00000000-0010-0000-0000-000016000000}" name="Quais são os principais benefícios que você espera obter ao utilizar aplicativos de postos de gasolina?" dataDxfId="39"/>
    <tableColumn id="23" xr3:uid="{00000000-0010-0000-0000-000017000000}" name="Por fim você recomendaria um aplicativo de descontos para abastecimento e serviços em postos de combustível para para amigos e familiares? " dataDxfId="3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891A89-F571-4C31-B52F-2D6869B1424E}" name="Postos" displayName="Postos" ref="A3:W8" totalsRowShown="0">
  <autoFilter ref="A3:W8" xr:uid="{44891A89-F571-4C31-B52F-2D6869B1424E}"/>
  <tableColumns count="23">
    <tableColumn id="1" xr3:uid="{D0D9DD63-B3C0-4018-BE53-C218A450A41C}" name="ID"/>
    <tableColumn id="2" xr3:uid="{551F822B-1E9C-4E2E-BAE6-9AC4E9057AE6}" name="IDADE"/>
    <tableColumn id="3" xr3:uid="{FFF2F835-1460-48B0-A956-798DA339FDA3}" name="GÊNERO"/>
    <tableColumn id="4" xr3:uid="{C39A4497-00AB-411F-B4D3-45BE99ED2CD1}" name="REGIÃO"/>
    <tableColumn id="5" xr3:uid="{A528C763-2CAC-47AF-9E4A-92AE630029D3}" name="MEIO DE LOCOMOÇÃO"/>
    <tableColumn id="6" xr3:uid="{39E80B3C-B637-45F8-BB0D-056B7F9523C4}" name="FREQUENCIA DE ABASTECIMENTO"/>
    <tableColumn id="7" xr3:uid="{792D1799-FD75-418D-8ABD-E5F1E7129DC1}" name="KM / DIA"/>
    <tableColumn id="23" xr3:uid="{5965E086-A179-4ADD-B67D-7C36014E9A2C}" name="KM/DIA/CALC" dataDxfId="37">
      <calculatedColumnFormula>SUM(Postos[[#This Row],[KM / DIA]]*10)</calculatedColumnFormula>
    </tableColumn>
    <tableColumn id="8" xr3:uid="{9F8BF15D-92BD-4AC1-9D4D-0DE3AEDA3076}" name="VALORES UTILIZADOS NO ABASTECIMENTO"/>
    <tableColumn id="9" xr3:uid="{95890FB2-26CC-42D5-909F-4FACB02779E5}" name="POSTO DE GASOLINA"/>
    <tableColumn id="19" xr3:uid="{7094B996-D971-4ED6-83F9-EA3508B6F35E}" name="POSTO DE GASOLINA 2"/>
    <tableColumn id="18" xr3:uid="{168F7B57-39F2-4306-B485-B331DC773D35}" name="POSTO DE GASOLINA 3"/>
    <tableColumn id="10" xr3:uid="{FD3B2236-5775-4DFD-BCAC-789809002D4E}" name="POSTO TOP1"/>
    <tableColumn id="22" xr3:uid="{62A6F2BE-13F3-4BB6-8D11-95ED2DCD9891}" name="POSTO TOP12"/>
    <tableColumn id="16" xr3:uid="{64886918-F3FD-4BE1-A01A-4AF44216B71E}" name="POSTO TOP2"/>
    <tableColumn id="11" xr3:uid="{E2646047-7430-4DD0-9B62-86A02760E862}" name="FREQUENCIA DE UTILIZAÇÃO DO APP"/>
    <tableColumn id="12" xr3:uid="{DD07049E-7623-46E9-8A26-2A2F84FC3EDE}" name="CONHECE O APP &quot;ABASTECE AÍ&quot;"/>
    <tableColumn id="13" xr3:uid="{F96D2D88-E740-4DA7-A223-945356C24387}" name="BENEFÍCIOS 1"/>
    <tableColumn id="20" xr3:uid="{05D8732E-3B4F-477E-B753-383FF64CDA26}" name="BENEFÍCIOS 2"/>
    <tableColumn id="21" xr3:uid="{0CB70583-F968-4C07-BDAD-37EC2E1C9B7D}" name="BENEFÍCIOS 3"/>
    <tableColumn id="14" xr3:uid="{69988D24-1774-4693-B8F9-1DA33EF34492}" name="BARREIRA DE UTILIZAÇÃO DO APP"/>
    <tableColumn id="15" xr3:uid="{3A998CB3-442F-4E27-83FE-0C3945D4222E}" name="FATORES DE UTILIZAÇÃO"/>
    <tableColumn id="17" xr3:uid="{A9134FE4-A3AE-4C8F-B1A0-07610ACB121E}" name="RECOMENAÇÃO DE 1 A 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37E31A5-727D-479F-9C63-8D6C341CFF70}" name="Table15" displayName="Table15" ref="A1:AC252" totalsRowShown="0" headerRowDxfId="36" dataDxfId="35">
  <autoFilter ref="A1:AC252" xr:uid="{837E31A5-727D-479F-9C63-8D6C341CFF70}"/>
  <tableColumns count="29">
    <tableColumn id="1" xr3:uid="{97AFA67A-FBFB-48CA-9C51-68FA6BA94C23}" name="ID" dataDxfId="34"/>
    <tableColumn id="7" xr3:uid="{F98B2902-B979-4482-BCD8-62840F68B5BE}" name="IDADE" dataDxfId="33"/>
    <tableColumn id="8" xr3:uid="{AABFD5D7-A50D-4F5B-9FB1-38AEE7EE9448}" name="GÊNERO" dataDxfId="32"/>
    <tableColumn id="9" xr3:uid="{23EBEC81-DEFC-410C-B79F-8725781B1A94}" name="REGIÃO" dataDxfId="31"/>
    <tableColumn id="10" xr3:uid="{8AE870FF-A2BA-4A76-858A-7CF9A32BED56}" name="MEIO DE LOCOMOÇÃO" dataDxfId="30"/>
    <tableColumn id="11" xr3:uid="{44015E1C-17E8-42B9-893B-41365789B9C2}" name="FRAQUENCIA DE ABASTECIMENTO" dataDxfId="29"/>
    <tableColumn id="12" xr3:uid="{ABEFFCE7-CBAD-4245-87C1-A17FF0DD6FAC}" name="KM/DIA" dataDxfId="28"/>
    <tableColumn id="13" xr3:uid="{F1E6493A-358B-4CA6-A064-524C0B15469C}" name="GASTO COM COMBUSTIVEL" dataDxfId="27"/>
    <tableColumn id="14" xr3:uid="{CE01A891-5E1B-4F9F-87DF-A324E684A2B4}" name="POSTO 1" dataDxfId="26"/>
    <tableColumn id="3" xr3:uid="{A0782225-12B8-4A6D-8FD5-DB934460E721}" name="POSTO 2" dataDxfId="25"/>
    <tableColumn id="6" xr3:uid="{C0ED5F5E-FA5D-4AA6-83AA-5C36C0556122}" name="POSTO 3" dataDxfId="24"/>
    <tableColumn id="5" xr3:uid="{52D28AA7-3B4F-4119-86A7-A2E25EB68472}" name="POSTO 4" dataDxfId="23"/>
    <tableColumn id="4" xr3:uid="{B5C53840-4B68-4576-86F8-35E4562F7D2B}" name="POSTO 5" dataDxfId="22"/>
    <tableColumn id="25" xr3:uid="{BCB9FE73-F3BB-427A-A32C-CF93B4D4F126}" name="POSTO 6" dataDxfId="21"/>
    <tableColumn id="24" xr3:uid="{948B4E6A-0240-4307-901D-28EEB9EE2ADE}" name="POSTO 7" dataDxfId="20"/>
    <tableColumn id="2" xr3:uid="{996BBEEC-A1C7-47F5-9AEC-BC32F2721D35}" name="POSTO 8" dataDxfId="19"/>
    <tableColumn id="15" xr3:uid="{13AB0BDC-FEB1-443A-8D4C-14D7B8CD584C}" name="PRINCIPAIS PONTOS 1" dataDxfId="18"/>
    <tableColumn id="26" xr3:uid="{FEACDF79-1541-475E-8E42-D04F5F69A9E2}" name="PRINCIPAIS PONTOS 2" dataDxfId="17"/>
    <tableColumn id="16" xr3:uid="{9E062427-933F-4C90-9EA0-8B93FC3C20A1}" name="FREQUENCIA DE UTILIZAÇÃO APP" dataDxfId="16"/>
    <tableColumn id="17" xr3:uid="{CB296F77-48C5-4922-9C1B-0BFF3AB18033}" name="CONHECE APP ABASTECE AI?" dataDxfId="15"/>
    <tableColumn id="18" xr3:uid="{C0B79E3D-2357-41F8-B17C-9AAF5CD38D6D}" name="BENEFÍCIOS DO APP 1" dataDxfId="14"/>
    <tableColumn id="34" xr3:uid="{B034D964-DF73-418E-91A8-5BA9879251B4}" name="BENEFÍCIOS DO APP 2" dataDxfId="13"/>
    <tableColumn id="33" xr3:uid="{67675E91-E9CC-4BF4-BF89-36DEB8C64624}" name="BENEFÍCIOS DO APP 3" dataDxfId="12"/>
    <tableColumn id="32" xr3:uid="{5EC6A938-C76D-4E5E-846E-0D834C8CCDBC}" name="BENEFÍCIOS DO APP 4" dataDxfId="11"/>
    <tableColumn id="19" xr3:uid="{64437F91-CBA7-45A6-86A1-620DF1B8E454}" name="Qual a principal barreira para a utilização de um aplicativo para ganhar benefícios em postos de abastecimento?" dataDxfId="10"/>
    <tableColumn id="20" xr3:uid="{6F4F613B-36AD-4E10-8113-A5C23DEDE762}" name="Quais são os principais fatores que o levam a escolher o posto Ipiranga para abastecer seu veículo?" dataDxfId="9"/>
    <tableColumn id="21" xr3:uid="{E6C633BA-B9EB-4902-873B-1D3EBA4B605E}" name="Descreva sua experiência geral com o aplicativo do posto Ipiranga, incluindo o que você gosta e o que acha que pode ser melhorado." dataDxfId="8"/>
    <tableColumn id="22" xr3:uid="{1DACDEFA-3031-44AF-AA67-87C401BA7F9D}" name="Quais são os principais benefícios que você espera obter ao utilizar aplicativos de postos de gasolina?" dataDxfId="7"/>
    <tableColumn id="23" xr3:uid="{2BB1EB30-F3C3-4175-A6A6-2D6CFA20ED6A}" name="Por fim você recomendaria um aplicativo de descontos para abastecimento e serviços em postos de combustível para para amigos e familiares? " dataDxf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4.xml"/><Relationship Id="rId13" Type="http://schemas.openxmlformats.org/officeDocument/2006/relationships/pivotTable" Target="../pivotTables/pivotTable19.xml"/><Relationship Id="rId18" Type="http://schemas.openxmlformats.org/officeDocument/2006/relationships/pivotTable" Target="../pivotTables/pivotTable24.xml"/><Relationship Id="rId3" Type="http://schemas.openxmlformats.org/officeDocument/2006/relationships/pivotTable" Target="../pivotTables/pivotTable9.xml"/><Relationship Id="rId7" Type="http://schemas.openxmlformats.org/officeDocument/2006/relationships/pivotTable" Target="../pivotTables/pivotTable13.xml"/><Relationship Id="rId12" Type="http://schemas.openxmlformats.org/officeDocument/2006/relationships/pivotTable" Target="../pivotTables/pivotTable18.xml"/><Relationship Id="rId17" Type="http://schemas.openxmlformats.org/officeDocument/2006/relationships/pivotTable" Target="../pivotTables/pivotTable23.xml"/><Relationship Id="rId2" Type="http://schemas.openxmlformats.org/officeDocument/2006/relationships/pivotTable" Target="../pivotTables/pivotTable8.xml"/><Relationship Id="rId16" Type="http://schemas.openxmlformats.org/officeDocument/2006/relationships/pivotTable" Target="../pivotTables/pivotTable22.xml"/><Relationship Id="rId20" Type="http://schemas.microsoft.com/office/2007/relationships/slicer" Target="../slicers/slicer1.xml"/><Relationship Id="rId1" Type="http://schemas.openxmlformats.org/officeDocument/2006/relationships/pivotTable" Target="../pivotTables/pivotTable7.xml"/><Relationship Id="rId6" Type="http://schemas.openxmlformats.org/officeDocument/2006/relationships/pivotTable" Target="../pivotTables/pivotTable12.xml"/><Relationship Id="rId11" Type="http://schemas.openxmlformats.org/officeDocument/2006/relationships/pivotTable" Target="../pivotTables/pivotTable17.xml"/><Relationship Id="rId5" Type="http://schemas.openxmlformats.org/officeDocument/2006/relationships/pivotTable" Target="../pivotTables/pivotTable11.xml"/><Relationship Id="rId15" Type="http://schemas.openxmlformats.org/officeDocument/2006/relationships/pivotTable" Target="../pivotTables/pivotTable21.xml"/><Relationship Id="rId10" Type="http://schemas.openxmlformats.org/officeDocument/2006/relationships/pivotTable" Target="../pivotTables/pivotTable16.xml"/><Relationship Id="rId19" Type="http://schemas.openxmlformats.org/officeDocument/2006/relationships/drawing" Target="../drawings/drawing1.xml"/><Relationship Id="rId4" Type="http://schemas.openxmlformats.org/officeDocument/2006/relationships/pivotTable" Target="../pivotTables/pivotTable10.xml"/><Relationship Id="rId9" Type="http://schemas.openxmlformats.org/officeDocument/2006/relationships/pivotTable" Target="../pivotTables/pivotTable15.xml"/><Relationship Id="rId14" Type="http://schemas.openxmlformats.org/officeDocument/2006/relationships/pivotTable" Target="../pivotTables/pivotTable20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F689-6F7C-4CB0-88A3-D3893C3AB070}">
  <sheetPr codeName="Planilha2"/>
  <dimension ref="A1:P5"/>
  <sheetViews>
    <sheetView topLeftCell="O1" workbookViewId="0">
      <selection sqref="A1:P1"/>
    </sheetView>
  </sheetViews>
  <sheetFormatPr defaultRowHeight="14.4" x14ac:dyDescent="0.3"/>
  <cols>
    <col min="2" max="2" width="14.33203125" bestFit="1" customWidth="1"/>
    <col min="7" max="7" width="0" hidden="1" customWidth="1"/>
    <col min="9" max="9" width="19.77734375" customWidth="1"/>
    <col min="10" max="10" width="30.77734375" bestFit="1" customWidth="1"/>
    <col min="11" max="11" width="62.5546875" customWidth="1"/>
    <col min="12" max="12" width="32.6640625" bestFit="1" customWidth="1"/>
    <col min="13" max="13" width="48.109375" bestFit="1" customWidth="1"/>
    <col min="14" max="14" width="26.44140625" customWidth="1"/>
    <col min="15" max="15" width="47.21875" customWidth="1"/>
    <col min="16" max="16" width="124.33203125" bestFit="1" customWidth="1"/>
  </cols>
  <sheetData>
    <row r="1" spans="1:16" x14ac:dyDescent="0.3">
      <c r="A1" s="3" t="s">
        <v>0</v>
      </c>
      <c r="B1" s="4" t="s">
        <v>76</v>
      </c>
      <c r="C1" s="4" t="s">
        <v>75</v>
      </c>
      <c r="D1" s="4" t="s">
        <v>74</v>
      </c>
      <c r="E1" s="4" t="s">
        <v>73</v>
      </c>
      <c r="F1" s="4" t="s">
        <v>72</v>
      </c>
      <c r="G1" s="4" t="s">
        <v>11</v>
      </c>
      <c r="H1" s="4" t="s">
        <v>71</v>
      </c>
      <c r="I1" s="4" t="s">
        <v>70</v>
      </c>
      <c r="J1" s="4" t="s">
        <v>69</v>
      </c>
      <c r="K1" s="4" t="s">
        <v>68</v>
      </c>
      <c r="L1" s="4" t="s">
        <v>67</v>
      </c>
      <c r="M1" s="4" t="s">
        <v>66</v>
      </c>
      <c r="N1" s="4" t="s">
        <v>65</v>
      </c>
      <c r="O1" s="4" t="s">
        <v>64</v>
      </c>
      <c r="P1" s="9" t="s">
        <v>63</v>
      </c>
    </row>
    <row r="2" spans="1:16" x14ac:dyDescent="0.3">
      <c r="A2" s="5">
        <v>1</v>
      </c>
      <c r="B2" s="12" t="s">
        <v>24</v>
      </c>
      <c r="C2" s="6" t="s">
        <v>25</v>
      </c>
      <c r="D2" s="6" t="s">
        <v>26</v>
      </c>
      <c r="E2" s="6" t="s">
        <v>27</v>
      </c>
      <c r="F2" s="6" t="s">
        <v>28</v>
      </c>
      <c r="G2" s="6">
        <v>10</v>
      </c>
      <c r="H2" s="6">
        <f>SUM(G2*10)</f>
        <v>100</v>
      </c>
      <c r="I2" s="6" t="s">
        <v>29</v>
      </c>
      <c r="J2" s="6" t="s">
        <v>30</v>
      </c>
      <c r="K2" s="6" t="s">
        <v>31</v>
      </c>
      <c r="L2" s="6" t="s">
        <v>32</v>
      </c>
      <c r="M2" s="6" t="s">
        <v>33</v>
      </c>
      <c r="N2" s="6" t="s">
        <v>34</v>
      </c>
      <c r="O2" s="6" t="s">
        <v>35</v>
      </c>
      <c r="P2" s="10">
        <v>4</v>
      </c>
    </row>
    <row r="3" spans="1:16" x14ac:dyDescent="0.3">
      <c r="A3" s="7">
        <v>2</v>
      </c>
      <c r="B3" s="13" t="s">
        <v>39</v>
      </c>
      <c r="C3" s="8" t="s">
        <v>25</v>
      </c>
      <c r="D3" s="8" t="s">
        <v>26</v>
      </c>
      <c r="E3" s="8" t="s">
        <v>27</v>
      </c>
      <c r="F3" s="8" t="s">
        <v>40</v>
      </c>
      <c r="G3" s="8">
        <v>5</v>
      </c>
      <c r="H3" s="6">
        <f t="shared" ref="H3:H5" si="0">SUM(G3*10)</f>
        <v>50</v>
      </c>
      <c r="I3" s="8" t="s">
        <v>29</v>
      </c>
      <c r="J3" s="8" t="s">
        <v>41</v>
      </c>
      <c r="K3" s="8" t="s">
        <v>42</v>
      </c>
      <c r="L3" s="8" t="s">
        <v>43</v>
      </c>
      <c r="M3" s="8" t="s">
        <v>33</v>
      </c>
      <c r="N3" s="8" t="s">
        <v>44</v>
      </c>
      <c r="O3" s="8" t="s">
        <v>45</v>
      </c>
      <c r="P3" s="11">
        <v>3</v>
      </c>
    </row>
    <row r="4" spans="1:16" x14ac:dyDescent="0.3">
      <c r="A4" s="5">
        <v>3</v>
      </c>
      <c r="B4" s="12" t="s">
        <v>49</v>
      </c>
      <c r="C4" s="6" t="s">
        <v>50</v>
      </c>
      <c r="D4" s="6" t="s">
        <v>26</v>
      </c>
      <c r="E4" s="6" t="s">
        <v>27</v>
      </c>
      <c r="F4" s="6" t="s">
        <v>40</v>
      </c>
      <c r="G4" s="6">
        <v>8</v>
      </c>
      <c r="H4" s="6">
        <f t="shared" si="0"/>
        <v>80</v>
      </c>
      <c r="I4" s="6" t="s">
        <v>29</v>
      </c>
      <c r="J4" s="6" t="s">
        <v>51</v>
      </c>
      <c r="K4" s="6" t="s">
        <v>52</v>
      </c>
      <c r="L4" s="6" t="s">
        <v>53</v>
      </c>
      <c r="M4" s="6" t="s">
        <v>54</v>
      </c>
      <c r="N4" s="6" t="s">
        <v>44</v>
      </c>
      <c r="O4" s="6" t="s">
        <v>35</v>
      </c>
      <c r="P4" s="10">
        <v>4</v>
      </c>
    </row>
    <row r="5" spans="1:16" x14ac:dyDescent="0.3">
      <c r="A5" s="7">
        <v>4</v>
      </c>
      <c r="B5" s="13" t="s">
        <v>56</v>
      </c>
      <c r="C5" s="8" t="s">
        <v>25</v>
      </c>
      <c r="D5" s="8" t="s">
        <v>26</v>
      </c>
      <c r="E5" s="8" t="s">
        <v>27</v>
      </c>
      <c r="F5" s="8" t="s">
        <v>28</v>
      </c>
      <c r="G5" s="8">
        <v>10</v>
      </c>
      <c r="H5" s="6">
        <f t="shared" si="0"/>
        <v>100</v>
      </c>
      <c r="I5" s="8" t="s">
        <v>57</v>
      </c>
      <c r="J5" s="8" t="s">
        <v>51</v>
      </c>
      <c r="K5" s="8" t="s">
        <v>58</v>
      </c>
      <c r="L5" s="8" t="s">
        <v>53</v>
      </c>
      <c r="M5" s="8" t="s">
        <v>54</v>
      </c>
      <c r="N5" s="8" t="s">
        <v>34</v>
      </c>
      <c r="O5" s="8" t="s">
        <v>59</v>
      </c>
      <c r="P5" s="11">
        <v>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DC46C-2688-4FD5-B4A2-0FEE18E4578F}">
  <sheetPr codeName="Planilha3"/>
  <dimension ref="A1:K5"/>
  <sheetViews>
    <sheetView workbookViewId="0">
      <selection activeCell="M4" sqref="M4"/>
    </sheetView>
  </sheetViews>
  <sheetFormatPr defaultRowHeight="14.4" x14ac:dyDescent="0.3"/>
  <cols>
    <col min="2" max="2" width="14.33203125" bestFit="1" customWidth="1"/>
    <col min="6" max="6" width="30.21875" bestFit="1" customWidth="1"/>
    <col min="8" max="8" width="24.5546875" bestFit="1" customWidth="1"/>
    <col min="11" max="11" width="9.88671875" bestFit="1" customWidth="1"/>
  </cols>
  <sheetData>
    <row r="1" spans="1:11" x14ac:dyDescent="0.3">
      <c r="A1" s="3" t="s">
        <v>0</v>
      </c>
      <c r="B1" s="4" t="s">
        <v>76</v>
      </c>
      <c r="C1" s="4" t="s">
        <v>75</v>
      </c>
      <c r="D1" s="4" t="s">
        <v>74</v>
      </c>
      <c r="E1" s="4" t="s">
        <v>73</v>
      </c>
      <c r="F1" s="4" t="s">
        <v>72</v>
      </c>
      <c r="G1" s="4" t="s">
        <v>71</v>
      </c>
      <c r="H1" s="4" t="s">
        <v>70</v>
      </c>
      <c r="I1" s="14" t="s">
        <v>77</v>
      </c>
      <c r="J1" s="14" t="s">
        <v>78</v>
      </c>
      <c r="K1" s="14" t="s">
        <v>79</v>
      </c>
    </row>
    <row r="2" spans="1:11" x14ac:dyDescent="0.3">
      <c r="A2" s="5">
        <v>1</v>
      </c>
      <c r="B2" s="12" t="s">
        <v>24</v>
      </c>
      <c r="C2" s="6" t="s">
        <v>25</v>
      </c>
      <c r="D2" s="6" t="s">
        <v>26</v>
      </c>
      <c r="E2" s="6" t="s">
        <v>27</v>
      </c>
      <c r="F2" s="6" t="s">
        <v>28</v>
      </c>
      <c r="G2">
        <f>Planilha1!H2</f>
        <v>100</v>
      </c>
      <c r="H2" s="6" t="s">
        <v>29</v>
      </c>
      <c r="I2" t="e">
        <f>Planilha1!#REF!</f>
        <v>#REF!</v>
      </c>
      <c r="J2" t="e" cm="1">
        <f t="array" ref="J2">Planilha1!#REF!</f>
        <v>#REF!</v>
      </c>
      <c r="K2" t="e">
        <f>Planilha1!#REF!</f>
        <v>#REF!</v>
      </c>
    </row>
    <row r="3" spans="1:11" x14ac:dyDescent="0.3">
      <c r="A3" s="7">
        <v>2</v>
      </c>
      <c r="B3" s="13" t="s">
        <v>39</v>
      </c>
      <c r="C3" s="8" t="s">
        <v>25</v>
      </c>
      <c r="D3" s="8" t="s">
        <v>26</v>
      </c>
      <c r="E3" s="8" t="s">
        <v>27</v>
      </c>
      <c r="F3" s="8" t="s">
        <v>40</v>
      </c>
      <c r="G3">
        <f>Planilha1!H3</f>
        <v>50</v>
      </c>
      <c r="H3" s="8" t="s">
        <v>29</v>
      </c>
      <c r="I3" t="e">
        <f>Planilha1!#REF!</f>
        <v>#REF!</v>
      </c>
      <c r="K3" t="e">
        <f>Planilha1!#REF!</f>
        <v>#REF!</v>
      </c>
    </row>
    <row r="4" spans="1:11" x14ac:dyDescent="0.3">
      <c r="A4" s="5">
        <v>3</v>
      </c>
      <c r="B4" s="12" t="s">
        <v>49</v>
      </c>
      <c r="C4" s="6" t="s">
        <v>50</v>
      </c>
      <c r="D4" s="6" t="s">
        <v>26</v>
      </c>
      <c r="E4" s="6" t="s">
        <v>27</v>
      </c>
      <c r="F4" s="6" t="s">
        <v>40</v>
      </c>
      <c r="G4">
        <f>Planilha1!H4</f>
        <v>80</v>
      </c>
      <c r="H4" s="6" t="s">
        <v>29</v>
      </c>
      <c r="I4" t="e">
        <f>Planilha1!#REF!</f>
        <v>#REF!</v>
      </c>
      <c r="K4" t="e">
        <f>Planilha1!#REF!</f>
        <v>#REF!</v>
      </c>
    </row>
    <row r="5" spans="1:11" x14ac:dyDescent="0.3">
      <c r="A5" s="7">
        <v>4</v>
      </c>
      <c r="B5" s="13" t="s">
        <v>56</v>
      </c>
      <c r="C5" s="8" t="s">
        <v>25</v>
      </c>
      <c r="D5" s="8" t="s">
        <v>26</v>
      </c>
      <c r="E5" s="8" t="s">
        <v>27</v>
      </c>
      <c r="F5" s="8" t="s">
        <v>28</v>
      </c>
      <c r="G5">
        <f>Planilha1!H5</f>
        <v>100</v>
      </c>
      <c r="H5" s="8" t="s">
        <v>57</v>
      </c>
      <c r="I5" t="e">
        <f>Planilha1!#REF!</f>
        <v>#REF!</v>
      </c>
      <c r="K5" t="e">
        <f>Planilha1!#REF!</f>
        <v>#REF!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Y5"/>
  <sheetViews>
    <sheetView workbookViewId="0">
      <selection sqref="A1:XFD1"/>
    </sheetView>
  </sheetViews>
  <sheetFormatPr defaultRowHeight="14.4" x14ac:dyDescent="0.3"/>
  <cols>
    <col min="1" max="10" width="20" bestFit="1" customWidth="1"/>
    <col min="11" max="11" width="25.6640625" customWidth="1"/>
    <col min="12" max="12" width="35.6640625" customWidth="1"/>
    <col min="13" max="14" width="20" bestFit="1" customWidth="1"/>
    <col min="15" max="16" width="20" customWidth="1"/>
    <col min="17" max="17" width="73.88671875" bestFit="1" customWidth="1"/>
    <col min="18" max="20" width="20" bestFit="1" customWidth="1"/>
    <col min="21" max="21" width="31.6640625" customWidth="1"/>
    <col min="22" max="23" width="20" bestFit="1" customWidth="1"/>
    <col min="24" max="24" width="13.33203125" customWidth="1"/>
    <col min="25" max="25" width="126.554687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83</v>
      </c>
      <c r="P1" t="s">
        <v>84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</row>
    <row r="2" spans="1:25" x14ac:dyDescent="0.3">
      <c r="A2">
        <v>1</v>
      </c>
      <c r="B2" s="1">
        <v>45063.837233796301</v>
      </c>
      <c r="C2" s="1">
        <v>45063.841296296298</v>
      </c>
      <c r="D2" t="s">
        <v>23</v>
      </c>
      <c r="F2" s="1"/>
      <c r="G2" s="2" t="s">
        <v>24</v>
      </c>
      <c r="H2" t="s">
        <v>25</v>
      </c>
      <c r="I2" t="s">
        <v>26</v>
      </c>
      <c r="J2" t="s">
        <v>27</v>
      </c>
      <c r="K2" t="s">
        <v>28</v>
      </c>
      <c r="L2">
        <v>10</v>
      </c>
      <c r="M2" t="s">
        <v>29</v>
      </c>
      <c r="N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>
        <v>4</v>
      </c>
    </row>
    <row r="3" spans="1:25" x14ac:dyDescent="0.3">
      <c r="A3">
        <v>2</v>
      </c>
      <c r="B3" s="1">
        <v>45063.851273148102</v>
      </c>
      <c r="C3" s="1">
        <v>45063.871655092596</v>
      </c>
      <c r="D3" t="s">
        <v>23</v>
      </c>
      <c r="F3" s="1"/>
      <c r="G3" s="2" t="s">
        <v>39</v>
      </c>
      <c r="H3" t="s">
        <v>25</v>
      </c>
      <c r="I3" t="s">
        <v>26</v>
      </c>
      <c r="J3" t="s">
        <v>27</v>
      </c>
      <c r="K3" t="s">
        <v>40</v>
      </c>
      <c r="L3">
        <v>5</v>
      </c>
      <c r="M3" t="s">
        <v>29</v>
      </c>
      <c r="N3" t="s">
        <v>41</v>
      </c>
      <c r="Q3" t="s">
        <v>42</v>
      </c>
      <c r="R3" t="s">
        <v>43</v>
      </c>
      <c r="S3" t="s">
        <v>33</v>
      </c>
      <c r="T3" t="s">
        <v>44</v>
      </c>
      <c r="U3" t="s">
        <v>45</v>
      </c>
      <c r="V3" t="s">
        <v>46</v>
      </c>
      <c r="W3" t="s">
        <v>47</v>
      </c>
      <c r="X3" t="s">
        <v>48</v>
      </c>
      <c r="Y3">
        <v>3</v>
      </c>
    </row>
    <row r="4" spans="1:25" x14ac:dyDescent="0.3">
      <c r="A4">
        <v>3</v>
      </c>
      <c r="B4" s="1">
        <v>45063.914456018501</v>
      </c>
      <c r="C4" s="1">
        <v>45063.917731481502</v>
      </c>
      <c r="D4" t="s">
        <v>23</v>
      </c>
      <c r="F4" s="1"/>
      <c r="G4" s="2" t="s">
        <v>49</v>
      </c>
      <c r="H4" t="s">
        <v>50</v>
      </c>
      <c r="I4" t="s">
        <v>26</v>
      </c>
      <c r="J4" t="s">
        <v>27</v>
      </c>
      <c r="K4" t="s">
        <v>40</v>
      </c>
      <c r="L4">
        <v>8</v>
      </c>
      <c r="M4" t="s">
        <v>29</v>
      </c>
      <c r="N4" t="s">
        <v>51</v>
      </c>
      <c r="Q4" t="s">
        <v>52</v>
      </c>
      <c r="R4" t="s">
        <v>53</v>
      </c>
      <c r="S4" t="s">
        <v>54</v>
      </c>
      <c r="T4" t="s">
        <v>44</v>
      </c>
      <c r="U4" t="s">
        <v>35</v>
      </c>
      <c r="V4" t="s">
        <v>55</v>
      </c>
      <c r="Y4">
        <v>4</v>
      </c>
    </row>
    <row r="5" spans="1:25" x14ac:dyDescent="0.3">
      <c r="A5">
        <v>4</v>
      </c>
      <c r="B5" s="1">
        <v>45063.910092592603</v>
      </c>
      <c r="C5" s="1">
        <v>45063.917847222197</v>
      </c>
      <c r="D5" t="s">
        <v>23</v>
      </c>
      <c r="F5" s="1"/>
      <c r="G5" s="2" t="s">
        <v>56</v>
      </c>
      <c r="H5" t="s">
        <v>25</v>
      </c>
      <c r="I5" t="s">
        <v>26</v>
      </c>
      <c r="J5" t="s">
        <v>27</v>
      </c>
      <c r="K5" t="s">
        <v>28</v>
      </c>
      <c r="L5">
        <v>10</v>
      </c>
      <c r="M5" t="s">
        <v>57</v>
      </c>
      <c r="N5" t="s">
        <v>51</v>
      </c>
      <c r="Q5" t="s">
        <v>58</v>
      </c>
      <c r="R5" t="s">
        <v>53</v>
      </c>
      <c r="S5" t="s">
        <v>54</v>
      </c>
      <c r="T5" t="s">
        <v>34</v>
      </c>
      <c r="U5" t="s">
        <v>59</v>
      </c>
      <c r="V5" t="s">
        <v>60</v>
      </c>
      <c r="W5" t="s">
        <v>61</v>
      </c>
      <c r="X5" t="s">
        <v>62</v>
      </c>
      <c r="Y5">
        <v>5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F4220-606E-41AE-9B96-4E8C7D8833B4}">
  <sheetPr codeName="Planilha4"/>
  <dimension ref="A1:W8"/>
  <sheetViews>
    <sheetView zoomScale="85" zoomScaleNormal="85" workbookViewId="0">
      <selection activeCell="A3" sqref="A3"/>
    </sheetView>
  </sheetViews>
  <sheetFormatPr defaultRowHeight="14.4" x14ac:dyDescent="0.3"/>
  <cols>
    <col min="1" max="1" width="5.33203125" bestFit="1" customWidth="1"/>
    <col min="2" max="2" width="9" bestFit="1" customWidth="1"/>
    <col min="3" max="3" width="11" bestFit="1" customWidth="1"/>
    <col min="4" max="4" width="10.33203125" bestFit="1" customWidth="1"/>
    <col min="5" max="5" width="23.88671875" bestFit="1" customWidth="1"/>
    <col min="6" max="6" width="38" customWidth="1"/>
    <col min="7" max="8" width="11.6640625" customWidth="1"/>
    <col min="9" max="9" width="42.77734375" bestFit="1" customWidth="1"/>
    <col min="10" max="10" width="10.88671875" customWidth="1"/>
    <col min="11" max="11" width="9.33203125" customWidth="1"/>
    <col min="12" max="15" width="13" customWidth="1"/>
    <col min="16" max="16" width="36.6640625" bestFit="1" customWidth="1"/>
    <col min="17" max="17" width="32.21875" bestFit="1" customWidth="1"/>
    <col min="18" max="19" width="15.21875" bestFit="1" customWidth="1"/>
    <col min="20" max="20" width="16.109375" bestFit="1" customWidth="1"/>
    <col min="21" max="21" width="47.77734375" bestFit="1" customWidth="1"/>
    <col min="22" max="22" width="60.5546875" bestFit="1" customWidth="1"/>
    <col min="23" max="23" width="25.88671875" bestFit="1" customWidth="1"/>
  </cols>
  <sheetData>
    <row r="1" spans="1:23" x14ac:dyDescent="0.3">
      <c r="D1" t="s">
        <v>26</v>
      </c>
      <c r="E1" t="e">
        <f>VLOOKUP(D1,Postos[],10,TRUE)</f>
        <v>#N/A</v>
      </c>
    </row>
    <row r="3" spans="1:23" x14ac:dyDescent="0.3">
      <c r="A3" t="s">
        <v>0</v>
      </c>
      <c r="B3" t="s">
        <v>76</v>
      </c>
      <c r="C3" t="s">
        <v>75</v>
      </c>
      <c r="D3" t="s">
        <v>74</v>
      </c>
      <c r="E3" t="s">
        <v>73</v>
      </c>
      <c r="F3" t="s">
        <v>87</v>
      </c>
      <c r="G3" t="s">
        <v>88</v>
      </c>
      <c r="H3" t="s">
        <v>113</v>
      </c>
      <c r="I3" t="s">
        <v>89</v>
      </c>
      <c r="J3" t="s">
        <v>90</v>
      </c>
      <c r="K3" t="s">
        <v>91</v>
      </c>
      <c r="L3" t="s">
        <v>92</v>
      </c>
      <c r="M3" t="s">
        <v>119</v>
      </c>
      <c r="N3" t="s">
        <v>121</v>
      </c>
      <c r="O3" t="s">
        <v>120</v>
      </c>
      <c r="P3" t="s">
        <v>67</v>
      </c>
      <c r="Q3" t="s">
        <v>93</v>
      </c>
      <c r="R3" t="s">
        <v>94</v>
      </c>
      <c r="S3" t="s">
        <v>95</v>
      </c>
      <c r="T3" t="s">
        <v>96</v>
      </c>
      <c r="U3" t="s">
        <v>97</v>
      </c>
      <c r="V3" t="s">
        <v>98</v>
      </c>
      <c r="W3" t="s">
        <v>99</v>
      </c>
    </row>
    <row r="4" spans="1:23" x14ac:dyDescent="0.3">
      <c r="A4">
        <v>1</v>
      </c>
      <c r="B4" s="2" t="s">
        <v>24</v>
      </c>
      <c r="C4" t="s">
        <v>25</v>
      </c>
      <c r="D4" t="s">
        <v>26</v>
      </c>
      <c r="E4" t="s">
        <v>27</v>
      </c>
      <c r="F4" t="s">
        <v>28</v>
      </c>
      <c r="G4">
        <v>10</v>
      </c>
      <c r="H4">
        <f>SUM(Postos[[#This Row],[KM / DIA]]*10)</f>
        <v>100</v>
      </c>
      <c r="I4" t="s">
        <v>29</v>
      </c>
      <c r="J4" t="s">
        <v>80</v>
      </c>
      <c r="K4" t="s">
        <v>81</v>
      </c>
      <c r="L4" t="s">
        <v>82</v>
      </c>
      <c r="P4" t="s">
        <v>32</v>
      </c>
      <c r="Q4" t="s">
        <v>33</v>
      </c>
      <c r="R4" t="s">
        <v>62</v>
      </c>
      <c r="U4" t="s">
        <v>35</v>
      </c>
      <c r="V4" t="s">
        <v>36</v>
      </c>
      <c r="W4">
        <v>4</v>
      </c>
    </row>
    <row r="5" spans="1:23" x14ac:dyDescent="0.3">
      <c r="A5">
        <v>1</v>
      </c>
      <c r="B5" s="2" t="s">
        <v>39</v>
      </c>
      <c r="C5" t="s">
        <v>25</v>
      </c>
      <c r="D5" t="s">
        <v>102</v>
      </c>
      <c r="E5" t="s">
        <v>106</v>
      </c>
      <c r="F5" s="21" t="s">
        <v>117</v>
      </c>
      <c r="G5">
        <v>5</v>
      </c>
      <c r="H5">
        <f>SUM(Postos[[#This Row],[KM / DIA]]*10)</f>
        <v>50</v>
      </c>
      <c r="I5" t="s">
        <v>29</v>
      </c>
      <c r="J5" t="s">
        <v>80</v>
      </c>
      <c r="K5" t="s">
        <v>81</v>
      </c>
      <c r="P5" t="s">
        <v>43</v>
      </c>
      <c r="Q5" t="s">
        <v>33</v>
      </c>
      <c r="R5" t="s">
        <v>62</v>
      </c>
      <c r="S5" t="s">
        <v>85</v>
      </c>
      <c r="T5" t="s">
        <v>86</v>
      </c>
      <c r="U5" t="s">
        <v>45</v>
      </c>
      <c r="V5" t="s">
        <v>46</v>
      </c>
      <c r="W5">
        <v>3</v>
      </c>
    </row>
    <row r="6" spans="1:23" x14ac:dyDescent="0.3">
      <c r="A6">
        <v>1</v>
      </c>
      <c r="B6" s="2" t="s">
        <v>49</v>
      </c>
      <c r="C6" t="s">
        <v>50</v>
      </c>
      <c r="D6" t="s">
        <v>103</v>
      </c>
      <c r="E6" t="s">
        <v>107</v>
      </c>
      <c r="F6" t="s">
        <v>40</v>
      </c>
      <c r="G6">
        <v>8</v>
      </c>
      <c r="H6">
        <f>SUM(Postos[[#This Row],[KM / DIA]]*10)</f>
        <v>80</v>
      </c>
      <c r="I6" t="s">
        <v>29</v>
      </c>
      <c r="J6" t="s">
        <v>80</v>
      </c>
      <c r="P6" t="s">
        <v>53</v>
      </c>
      <c r="Q6" t="s">
        <v>54</v>
      </c>
      <c r="R6" t="s">
        <v>62</v>
      </c>
      <c r="S6" t="s">
        <v>85</v>
      </c>
      <c r="T6" t="s">
        <v>86</v>
      </c>
      <c r="U6" t="s">
        <v>35</v>
      </c>
      <c r="V6" t="s">
        <v>55</v>
      </c>
      <c r="W6">
        <v>4</v>
      </c>
    </row>
    <row r="7" spans="1:23" x14ac:dyDescent="0.3">
      <c r="A7">
        <v>1</v>
      </c>
      <c r="B7" s="2" t="s">
        <v>56</v>
      </c>
      <c r="C7" t="s">
        <v>25</v>
      </c>
      <c r="D7" t="s">
        <v>104</v>
      </c>
      <c r="E7" t="s">
        <v>27</v>
      </c>
      <c r="F7" t="s">
        <v>28</v>
      </c>
      <c r="G7">
        <v>10</v>
      </c>
      <c r="H7">
        <f>SUM(Postos[[#This Row],[KM / DIA]]*10)</f>
        <v>100</v>
      </c>
      <c r="I7" t="s">
        <v>57</v>
      </c>
      <c r="J7" t="s">
        <v>80</v>
      </c>
      <c r="P7" t="s">
        <v>53</v>
      </c>
      <c r="Q7" t="s">
        <v>54</v>
      </c>
      <c r="R7" t="s">
        <v>62</v>
      </c>
      <c r="U7" t="s">
        <v>59</v>
      </c>
      <c r="V7" t="s">
        <v>60</v>
      </c>
      <c r="W7">
        <v>5</v>
      </c>
    </row>
    <row r="8" spans="1:23" x14ac:dyDescent="0.3">
      <c r="A8">
        <v>1</v>
      </c>
      <c r="B8" s="2" t="s">
        <v>105</v>
      </c>
      <c r="C8" t="s">
        <v>25</v>
      </c>
      <c r="D8" t="s">
        <v>102</v>
      </c>
      <c r="E8" t="s">
        <v>108</v>
      </c>
      <c r="F8" t="s">
        <v>40</v>
      </c>
      <c r="G8">
        <v>5</v>
      </c>
      <c r="H8">
        <f>SUM(Postos[[#This Row],[KM / DIA]]*10)</f>
        <v>50</v>
      </c>
      <c r="I8" t="s">
        <v>29</v>
      </c>
      <c r="J8" t="s">
        <v>80</v>
      </c>
      <c r="K8" t="s">
        <v>81</v>
      </c>
      <c r="P8" t="s">
        <v>43</v>
      </c>
      <c r="Q8" t="s">
        <v>33</v>
      </c>
      <c r="R8" t="s">
        <v>62</v>
      </c>
      <c r="S8" t="s">
        <v>85</v>
      </c>
      <c r="T8" t="s">
        <v>86</v>
      </c>
      <c r="U8" t="s">
        <v>45</v>
      </c>
      <c r="V8" t="s">
        <v>46</v>
      </c>
      <c r="W8">
        <v>3</v>
      </c>
    </row>
  </sheetData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50D1C-4B47-4CFE-8082-F5D90D71ECA9}">
  <sheetPr codeName="Planilha10"/>
  <dimension ref="A1:T35"/>
  <sheetViews>
    <sheetView zoomScale="85" zoomScaleNormal="85" workbookViewId="0">
      <selection activeCell="K14" sqref="K14"/>
    </sheetView>
  </sheetViews>
  <sheetFormatPr defaultRowHeight="14.4" x14ac:dyDescent="0.3"/>
  <cols>
    <col min="1" max="1" width="17.21875" bestFit="1" customWidth="1"/>
    <col min="2" max="2" width="18.5546875" bestFit="1" customWidth="1"/>
    <col min="3" max="3" width="15.6640625" customWidth="1"/>
    <col min="4" max="4" width="12.21875" bestFit="1" customWidth="1"/>
    <col min="6" max="6" width="15.44140625" bestFit="1" customWidth="1"/>
    <col min="7" max="7" width="17.88671875" customWidth="1"/>
    <col min="8" max="8" width="7.88671875" hidden="1" customWidth="1"/>
    <col min="9" max="9" width="10" bestFit="1" customWidth="1"/>
    <col min="11" max="11" width="25.77734375" bestFit="1" customWidth="1"/>
    <col min="12" max="12" width="13.21875" customWidth="1"/>
    <col min="18" max="18" width="28" customWidth="1"/>
    <col min="19" max="19" width="30.33203125" bestFit="1" customWidth="1"/>
    <col min="20" max="20" width="16.33203125" bestFit="1" customWidth="1"/>
  </cols>
  <sheetData>
    <row r="1" spans="1:20" x14ac:dyDescent="0.3">
      <c r="A1" s="18"/>
      <c r="B1" s="19"/>
      <c r="E1" s="22"/>
      <c r="F1" s="22"/>
      <c r="G1" s="22"/>
      <c r="H1" s="22"/>
      <c r="J1" s="22"/>
      <c r="K1" s="22"/>
      <c r="L1" s="22"/>
      <c r="M1" s="22"/>
      <c r="N1" s="22"/>
      <c r="O1" s="22"/>
    </row>
    <row r="2" spans="1:20" x14ac:dyDescent="0.3">
      <c r="A2" s="17"/>
      <c r="B2" s="20"/>
    </row>
    <row r="3" spans="1:20" x14ac:dyDescent="0.3">
      <c r="A3" s="17"/>
      <c r="B3" s="20"/>
    </row>
    <row r="4" spans="1:20" x14ac:dyDescent="0.3">
      <c r="A4" s="17"/>
      <c r="B4" s="20"/>
    </row>
    <row r="6" spans="1:20" x14ac:dyDescent="0.3">
      <c r="D6" t="s">
        <v>103</v>
      </c>
    </row>
    <row r="11" spans="1:20" x14ac:dyDescent="0.3">
      <c r="A11" s="15" t="s">
        <v>110</v>
      </c>
      <c r="B11" s="15" t="s">
        <v>111</v>
      </c>
      <c r="F11" s="43" t="s">
        <v>116</v>
      </c>
      <c r="G11" s="43"/>
      <c r="K11" s="43" t="s">
        <v>116</v>
      </c>
      <c r="L11" s="43"/>
      <c r="R11" s="43" t="s">
        <v>116</v>
      </c>
      <c r="S11" s="43"/>
    </row>
    <row r="12" spans="1:20" x14ac:dyDescent="0.3">
      <c r="A12" s="15" t="s">
        <v>109</v>
      </c>
      <c r="B12" t="s">
        <v>40</v>
      </c>
      <c r="C12" t="s">
        <v>28</v>
      </c>
      <c r="D12" t="s">
        <v>101</v>
      </c>
      <c r="F12" s="15" t="s">
        <v>109</v>
      </c>
      <c r="G12" t="s">
        <v>114</v>
      </c>
      <c r="I12" t="s">
        <v>115</v>
      </c>
      <c r="K12" s="15" t="s">
        <v>114</v>
      </c>
      <c r="L12" s="15" t="s">
        <v>111</v>
      </c>
      <c r="R12" s="15" t="s">
        <v>118</v>
      </c>
      <c r="S12" s="15" t="s">
        <v>111</v>
      </c>
    </row>
    <row r="13" spans="1:20" x14ac:dyDescent="0.3">
      <c r="A13" s="16" t="s">
        <v>107</v>
      </c>
      <c r="B13">
        <v>1</v>
      </c>
      <c r="D13">
        <v>1</v>
      </c>
      <c r="F13" s="16" t="s">
        <v>107</v>
      </c>
      <c r="G13">
        <v>8</v>
      </c>
      <c r="H13">
        <f>GETPIVOTDATA("KM / DIA",$F$12,"MEIO DE LOCOMOÇÃO","Caminhão")</f>
        <v>8</v>
      </c>
      <c r="I13">
        <f>SUM(H13*10)</f>
        <v>80</v>
      </c>
      <c r="K13" s="15" t="s">
        <v>109</v>
      </c>
      <c r="L13" t="s">
        <v>107</v>
      </c>
      <c r="M13" t="s">
        <v>27</v>
      </c>
      <c r="N13" t="s">
        <v>108</v>
      </c>
      <c r="O13" t="s">
        <v>106</v>
      </c>
      <c r="P13" t="s">
        <v>101</v>
      </c>
      <c r="R13" s="15" t="s">
        <v>109</v>
      </c>
      <c r="S13" t="s">
        <v>57</v>
      </c>
      <c r="T13" t="s">
        <v>29</v>
      </c>
    </row>
    <row r="14" spans="1:20" x14ac:dyDescent="0.3">
      <c r="A14" s="16" t="s">
        <v>27</v>
      </c>
      <c r="C14">
        <v>2</v>
      </c>
      <c r="D14">
        <v>2</v>
      </c>
      <c r="F14" s="16" t="s">
        <v>27</v>
      </c>
      <c r="G14">
        <v>20</v>
      </c>
      <c r="H14">
        <f>GETPIVOTDATA("KM / DIA",$F$12,"MEIO DE LOCOMOÇÃO","Carro")</f>
        <v>20</v>
      </c>
      <c r="I14">
        <f t="shared" ref="I14:I16" si="0">SUM(H14*10)</f>
        <v>200</v>
      </c>
      <c r="K14" s="16" t="s">
        <v>40</v>
      </c>
      <c r="L14">
        <v>8</v>
      </c>
      <c r="N14">
        <v>5</v>
      </c>
      <c r="O14">
        <v>5</v>
      </c>
      <c r="P14">
        <v>18</v>
      </c>
      <c r="R14" s="16" t="s">
        <v>107</v>
      </c>
      <c r="T14">
        <v>1</v>
      </c>
    </row>
    <row r="15" spans="1:20" x14ac:dyDescent="0.3">
      <c r="A15" s="16" t="s">
        <v>108</v>
      </c>
      <c r="B15">
        <v>1</v>
      </c>
      <c r="D15">
        <v>1</v>
      </c>
      <c r="F15" s="16" t="s">
        <v>108</v>
      </c>
      <c r="G15">
        <v>5</v>
      </c>
      <c r="H15">
        <f>GETPIVOTDATA("KM / DIA",$F$12,"MEIO DE LOCOMOÇÃO","Coletivo")</f>
        <v>5</v>
      </c>
      <c r="I15">
        <f t="shared" si="0"/>
        <v>50</v>
      </c>
      <c r="K15" s="16" t="s">
        <v>28</v>
      </c>
      <c r="M15">
        <v>20</v>
      </c>
      <c r="P15">
        <v>20</v>
      </c>
      <c r="R15" s="16" t="s">
        <v>27</v>
      </c>
      <c r="S15">
        <v>1</v>
      </c>
      <c r="T15">
        <v>1</v>
      </c>
    </row>
    <row r="16" spans="1:20" x14ac:dyDescent="0.3">
      <c r="A16" s="16" t="s">
        <v>106</v>
      </c>
      <c r="B16">
        <v>1</v>
      </c>
      <c r="D16">
        <v>1</v>
      </c>
      <c r="F16" s="16" t="s">
        <v>106</v>
      </c>
      <c r="G16">
        <v>5</v>
      </c>
      <c r="H16">
        <f>GETPIVOTDATA("KM / DIA",$F$12,"MEIO DE LOCOMOÇÃO","Moto")</f>
        <v>5</v>
      </c>
      <c r="I16">
        <f t="shared" si="0"/>
        <v>50</v>
      </c>
      <c r="R16" s="16" t="s">
        <v>108</v>
      </c>
      <c r="T16">
        <v>1</v>
      </c>
    </row>
    <row r="17" spans="1:20" x14ac:dyDescent="0.3">
      <c r="A17" s="16" t="s">
        <v>101</v>
      </c>
      <c r="B17">
        <v>3</v>
      </c>
      <c r="C17">
        <v>2</v>
      </c>
      <c r="D17">
        <v>5</v>
      </c>
      <c r="F17" s="16" t="s">
        <v>101</v>
      </c>
      <c r="G17">
        <v>38</v>
      </c>
      <c r="R17" s="16" t="s">
        <v>106</v>
      </c>
      <c r="T17">
        <v>1</v>
      </c>
    </row>
    <row r="18" spans="1:20" x14ac:dyDescent="0.3">
      <c r="R18" s="16" t="s">
        <v>101</v>
      </c>
      <c r="S18">
        <v>1</v>
      </c>
      <c r="T18">
        <v>4</v>
      </c>
    </row>
    <row r="19" spans="1:20" x14ac:dyDescent="0.3">
      <c r="A19" s="15" t="s">
        <v>110</v>
      </c>
      <c r="B19" s="15" t="s">
        <v>112</v>
      </c>
    </row>
    <row r="20" spans="1:20" x14ac:dyDescent="0.3">
      <c r="A20" s="15" t="s">
        <v>109</v>
      </c>
      <c r="B20" t="s">
        <v>104</v>
      </c>
      <c r="C20" t="s">
        <v>102</v>
      </c>
      <c r="D20" t="s">
        <v>26</v>
      </c>
      <c r="E20" t="s">
        <v>103</v>
      </c>
      <c r="F20" t="s">
        <v>101</v>
      </c>
    </row>
    <row r="21" spans="1:20" x14ac:dyDescent="0.3">
      <c r="A21" s="16" t="s">
        <v>107</v>
      </c>
      <c r="E21">
        <v>1</v>
      </c>
      <c r="F21">
        <v>1</v>
      </c>
    </row>
    <row r="22" spans="1:20" x14ac:dyDescent="0.3">
      <c r="A22" s="16" t="s">
        <v>27</v>
      </c>
      <c r="B22">
        <v>1</v>
      </c>
      <c r="D22">
        <v>1</v>
      </c>
      <c r="F22">
        <v>2</v>
      </c>
    </row>
    <row r="23" spans="1:20" x14ac:dyDescent="0.3">
      <c r="A23" s="16" t="s">
        <v>108</v>
      </c>
      <c r="C23">
        <v>1</v>
      </c>
      <c r="F23">
        <v>1</v>
      </c>
    </row>
    <row r="24" spans="1:20" x14ac:dyDescent="0.3">
      <c r="A24" s="16" t="s">
        <v>106</v>
      </c>
      <c r="C24">
        <v>1</v>
      </c>
      <c r="F24">
        <v>1</v>
      </c>
    </row>
    <row r="25" spans="1:20" x14ac:dyDescent="0.3">
      <c r="A25" s="16" t="s">
        <v>101</v>
      </c>
      <c r="B25">
        <v>1</v>
      </c>
      <c r="C25">
        <v>2</v>
      </c>
      <c r="D25">
        <v>1</v>
      </c>
      <c r="E25">
        <v>1</v>
      </c>
      <c r="F25">
        <v>5</v>
      </c>
    </row>
    <row r="28" spans="1:20" x14ac:dyDescent="0.3">
      <c r="B28" s="15" t="s">
        <v>112</v>
      </c>
    </row>
    <row r="29" spans="1:20" x14ac:dyDescent="0.3">
      <c r="A29" s="15" t="s">
        <v>109</v>
      </c>
      <c r="B29" t="s">
        <v>104</v>
      </c>
      <c r="C29" t="s">
        <v>102</v>
      </c>
      <c r="D29" t="s">
        <v>26</v>
      </c>
      <c r="E29" t="s">
        <v>103</v>
      </c>
      <c r="F29" t="s">
        <v>101</v>
      </c>
    </row>
    <row r="30" spans="1:20" x14ac:dyDescent="0.3">
      <c r="A30" s="16" t="s">
        <v>49</v>
      </c>
    </row>
    <row r="31" spans="1:20" x14ac:dyDescent="0.3">
      <c r="A31" s="16" t="s">
        <v>39</v>
      </c>
    </row>
    <row r="32" spans="1:20" x14ac:dyDescent="0.3">
      <c r="A32" s="16" t="s">
        <v>105</v>
      </c>
    </row>
    <row r="33" spans="1:1" x14ac:dyDescent="0.3">
      <c r="A33" s="16" t="s">
        <v>24</v>
      </c>
    </row>
    <row r="34" spans="1:1" x14ac:dyDescent="0.3">
      <c r="A34" s="16" t="s">
        <v>56</v>
      </c>
    </row>
    <row r="35" spans="1:1" x14ac:dyDescent="0.3">
      <c r="A35" s="16" t="s">
        <v>101</v>
      </c>
    </row>
  </sheetData>
  <mergeCells count="3">
    <mergeCell ref="F11:G11"/>
    <mergeCell ref="K11:L11"/>
    <mergeCell ref="R11:S1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5EA1-88D2-4BB0-8017-3CFE266A98A7}">
  <sheetPr codeName="Planilha6"/>
  <dimension ref="A1:AC252"/>
  <sheetViews>
    <sheetView topLeftCell="Z1" zoomScale="70" zoomScaleNormal="70" workbookViewId="0">
      <selection activeCell="AB35" sqref="AB35"/>
    </sheetView>
  </sheetViews>
  <sheetFormatPr defaultColWidth="8.88671875" defaultRowHeight="14.4" x14ac:dyDescent="0.3"/>
  <cols>
    <col min="1" max="5" width="20" bestFit="1" customWidth="1"/>
    <col min="6" max="6" width="34.44140625" customWidth="1"/>
    <col min="7" max="8" width="20" bestFit="1" customWidth="1"/>
    <col min="9" max="9" width="12" customWidth="1"/>
    <col min="10" max="10" width="10.109375" bestFit="1" customWidth="1"/>
    <col min="11" max="12" width="10.109375" customWidth="1"/>
    <col min="13" max="16" width="10.109375" hidden="1" customWidth="1"/>
    <col min="17" max="17" width="32.21875" customWidth="1"/>
    <col min="18" max="18" width="44.21875" bestFit="1" customWidth="1"/>
    <col min="19" max="19" width="20" bestFit="1" customWidth="1"/>
    <col min="20" max="20" width="53.33203125" bestFit="1" customWidth="1"/>
    <col min="21" max="21" width="63.6640625" bestFit="1" customWidth="1"/>
    <col min="22" max="23" width="21.6640625" bestFit="1" customWidth="1"/>
    <col min="24" max="24" width="21.6640625" hidden="1" customWidth="1"/>
    <col min="25" max="25" width="105.88671875" bestFit="1" customWidth="1"/>
    <col min="26" max="26" width="93.6640625" bestFit="1" customWidth="1"/>
    <col min="27" max="27" width="124.5546875" bestFit="1" customWidth="1"/>
    <col min="28" max="28" width="101.5546875" bestFit="1" customWidth="1"/>
    <col min="29" max="29" width="20" bestFit="1" customWidth="1"/>
  </cols>
  <sheetData>
    <row r="1" spans="1:29" x14ac:dyDescent="0.3">
      <c r="A1" t="s">
        <v>0</v>
      </c>
      <c r="B1" t="s">
        <v>76</v>
      </c>
      <c r="C1" t="s">
        <v>75</v>
      </c>
      <c r="D1" t="s">
        <v>74</v>
      </c>
      <c r="E1" t="s">
        <v>73</v>
      </c>
      <c r="F1" t="s">
        <v>488</v>
      </c>
      <c r="G1" t="s">
        <v>489</v>
      </c>
      <c r="H1" t="s">
        <v>490</v>
      </c>
      <c r="I1" s="24" t="s">
        <v>77</v>
      </c>
      <c r="J1" s="24" t="s">
        <v>78</v>
      </c>
      <c r="K1" s="24" t="s">
        <v>79</v>
      </c>
      <c r="L1" s="24" t="s">
        <v>491</v>
      </c>
      <c r="M1" s="24" t="s">
        <v>492</v>
      </c>
      <c r="N1" s="24" t="s">
        <v>493</v>
      </c>
      <c r="O1" s="24" t="s">
        <v>494</v>
      </c>
      <c r="P1" s="24" t="s">
        <v>495</v>
      </c>
      <c r="Q1" s="4" t="s">
        <v>504</v>
      </c>
      <c r="R1" t="s">
        <v>505</v>
      </c>
      <c r="S1" t="s">
        <v>506</v>
      </c>
      <c r="T1" t="s">
        <v>507</v>
      </c>
      <c r="U1" s="4" t="s">
        <v>510</v>
      </c>
      <c r="V1" s="4" t="s">
        <v>511</v>
      </c>
      <c r="W1" s="4" t="s">
        <v>512</v>
      </c>
      <c r="X1" s="4" t="s">
        <v>513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</row>
    <row r="2" spans="1:29" x14ac:dyDescent="0.3">
      <c r="A2">
        <v>1</v>
      </c>
      <c r="B2" s="2" t="s">
        <v>24</v>
      </c>
      <c r="C2" t="s">
        <v>25</v>
      </c>
      <c r="D2" t="s">
        <v>26</v>
      </c>
      <c r="E2" t="s">
        <v>27</v>
      </c>
      <c r="F2" t="s">
        <v>28</v>
      </c>
      <c r="G2">
        <v>10</v>
      </c>
      <c r="H2" t="s">
        <v>29</v>
      </c>
      <c r="I2" s="6" t="s">
        <v>80</v>
      </c>
      <c r="J2" s="6" t="s">
        <v>81</v>
      </c>
      <c r="K2" s="6" t="s">
        <v>82</v>
      </c>
      <c r="L2" s="6"/>
      <c r="M2" s="6"/>
      <c r="O2" s="6"/>
      <c r="P2" s="6"/>
      <c r="Q2" s="6" t="s">
        <v>498</v>
      </c>
      <c r="R2" t="s">
        <v>503</v>
      </c>
      <c r="S2" t="s">
        <v>32</v>
      </c>
      <c r="T2" t="s">
        <v>33</v>
      </c>
      <c r="U2" s="6" t="s">
        <v>62</v>
      </c>
      <c r="Y2" t="s">
        <v>35</v>
      </c>
      <c r="Z2" t="s">
        <v>36</v>
      </c>
      <c r="AA2" t="s">
        <v>37</v>
      </c>
      <c r="AB2" t="s">
        <v>38</v>
      </c>
      <c r="AC2">
        <v>4</v>
      </c>
    </row>
    <row r="3" spans="1:29" x14ac:dyDescent="0.3">
      <c r="A3">
        <v>1</v>
      </c>
      <c r="B3" s="2" t="s">
        <v>39</v>
      </c>
      <c r="C3" t="s">
        <v>25</v>
      </c>
      <c r="D3" t="s">
        <v>26</v>
      </c>
      <c r="E3" t="s">
        <v>27</v>
      </c>
      <c r="F3" t="s">
        <v>40</v>
      </c>
      <c r="G3">
        <v>5</v>
      </c>
      <c r="H3" t="s">
        <v>29</v>
      </c>
      <c r="I3" s="8" t="s">
        <v>80</v>
      </c>
      <c r="J3" s="8" t="s">
        <v>81</v>
      </c>
      <c r="K3" s="8"/>
      <c r="L3" s="8"/>
      <c r="M3" s="8"/>
      <c r="O3" s="8"/>
      <c r="P3" s="8"/>
      <c r="Q3" s="8" t="s">
        <v>501</v>
      </c>
      <c r="R3" t="s">
        <v>499</v>
      </c>
      <c r="S3" t="s">
        <v>43</v>
      </c>
      <c r="T3" t="s">
        <v>33</v>
      </c>
      <c r="U3" s="8" t="s">
        <v>62</v>
      </c>
      <c r="V3" t="s">
        <v>85</v>
      </c>
      <c r="W3" t="s">
        <v>86</v>
      </c>
      <c r="Y3" t="s">
        <v>45</v>
      </c>
      <c r="Z3" t="s">
        <v>46</v>
      </c>
      <c r="AA3" t="s">
        <v>47</v>
      </c>
      <c r="AB3" t="s">
        <v>48</v>
      </c>
      <c r="AC3">
        <v>3</v>
      </c>
    </row>
    <row r="4" spans="1:29" x14ac:dyDescent="0.3">
      <c r="A4">
        <v>1</v>
      </c>
      <c r="B4" s="2" t="s">
        <v>49</v>
      </c>
      <c r="C4" t="s">
        <v>50</v>
      </c>
      <c r="D4" t="s">
        <v>26</v>
      </c>
      <c r="E4" t="s">
        <v>27</v>
      </c>
      <c r="F4" t="s">
        <v>40</v>
      </c>
      <c r="G4">
        <v>8</v>
      </c>
      <c r="H4" t="s">
        <v>29</v>
      </c>
      <c r="I4" s="6" t="s">
        <v>80</v>
      </c>
      <c r="J4" s="6"/>
      <c r="K4" s="6"/>
      <c r="Q4" s="8" t="s">
        <v>501</v>
      </c>
      <c r="R4" t="s">
        <v>496</v>
      </c>
      <c r="S4" t="s">
        <v>53</v>
      </c>
      <c r="T4" t="s">
        <v>54</v>
      </c>
      <c r="U4" s="6" t="s">
        <v>62</v>
      </c>
      <c r="V4" t="s">
        <v>85</v>
      </c>
      <c r="W4" t="s">
        <v>86</v>
      </c>
      <c r="Y4" t="s">
        <v>35</v>
      </c>
      <c r="Z4" t="s">
        <v>55</v>
      </c>
      <c r="AC4">
        <v>4</v>
      </c>
    </row>
    <row r="5" spans="1:29" x14ac:dyDescent="0.3">
      <c r="A5">
        <v>1</v>
      </c>
      <c r="B5" s="2" t="s">
        <v>56</v>
      </c>
      <c r="C5" t="s">
        <v>25</v>
      </c>
      <c r="D5" t="s">
        <v>26</v>
      </c>
      <c r="E5" t="s">
        <v>27</v>
      </c>
      <c r="F5" t="s">
        <v>28</v>
      </c>
      <c r="G5">
        <v>10</v>
      </c>
      <c r="H5" t="s">
        <v>57</v>
      </c>
      <c r="I5" s="8" t="s">
        <v>80</v>
      </c>
      <c r="J5" s="8"/>
      <c r="K5" s="8"/>
      <c r="Q5" s="8" t="s">
        <v>501</v>
      </c>
      <c r="S5" t="s">
        <v>53</v>
      </c>
      <c r="T5" t="s">
        <v>54</v>
      </c>
      <c r="U5" s="8" t="s">
        <v>62</v>
      </c>
      <c r="Y5" t="s">
        <v>59</v>
      </c>
      <c r="Z5" t="s">
        <v>60</v>
      </c>
      <c r="AA5" t="s">
        <v>61</v>
      </c>
      <c r="AB5" t="s">
        <v>62</v>
      </c>
      <c r="AC5">
        <v>5</v>
      </c>
    </row>
    <row r="6" spans="1:29" x14ac:dyDescent="0.3">
      <c r="A6">
        <v>1</v>
      </c>
      <c r="B6" s="2" t="s">
        <v>39</v>
      </c>
      <c r="C6" t="s">
        <v>25</v>
      </c>
      <c r="D6" t="s">
        <v>26</v>
      </c>
      <c r="E6" t="s">
        <v>27</v>
      </c>
      <c r="F6" t="s">
        <v>40</v>
      </c>
      <c r="G6">
        <v>5</v>
      </c>
      <c r="H6" t="s">
        <v>29</v>
      </c>
      <c r="I6" s="6" t="s">
        <v>80</v>
      </c>
      <c r="J6" s="6"/>
      <c r="K6" s="6"/>
      <c r="Q6" s="8" t="s">
        <v>501</v>
      </c>
      <c r="R6" t="s">
        <v>499</v>
      </c>
      <c r="S6" t="s">
        <v>43</v>
      </c>
      <c r="T6" t="s">
        <v>33</v>
      </c>
      <c r="U6" s="6" t="s">
        <v>62</v>
      </c>
      <c r="V6" t="s">
        <v>86</v>
      </c>
      <c r="Y6" t="s">
        <v>35</v>
      </c>
      <c r="Z6" t="s">
        <v>60</v>
      </c>
      <c r="AA6" t="s">
        <v>130</v>
      </c>
      <c r="AB6" t="s">
        <v>131</v>
      </c>
      <c r="AC6">
        <v>4</v>
      </c>
    </row>
    <row r="7" spans="1:29" x14ac:dyDescent="0.3">
      <c r="A7">
        <v>1</v>
      </c>
      <c r="B7" s="2" t="s">
        <v>132</v>
      </c>
      <c r="C7" t="s">
        <v>50</v>
      </c>
      <c r="D7" t="s">
        <v>26</v>
      </c>
      <c r="E7" t="s">
        <v>133</v>
      </c>
      <c r="F7" t="s">
        <v>40</v>
      </c>
      <c r="G7">
        <v>1</v>
      </c>
      <c r="H7" t="s">
        <v>29</v>
      </c>
      <c r="I7" s="8" t="s">
        <v>81</v>
      </c>
      <c r="J7" s="8"/>
      <c r="K7" s="8"/>
      <c r="Q7" s="8" t="s">
        <v>496</v>
      </c>
      <c r="R7" t="s">
        <v>501</v>
      </c>
      <c r="S7" t="s">
        <v>53</v>
      </c>
      <c r="T7" t="s">
        <v>54</v>
      </c>
      <c r="U7" s="8" t="s">
        <v>62</v>
      </c>
      <c r="Y7" t="s">
        <v>134</v>
      </c>
      <c r="Z7" t="s">
        <v>135</v>
      </c>
      <c r="AA7" t="s">
        <v>136</v>
      </c>
      <c r="AB7" t="s">
        <v>137</v>
      </c>
      <c r="AC7">
        <v>1</v>
      </c>
    </row>
    <row r="8" spans="1:29" x14ac:dyDescent="0.3">
      <c r="A8">
        <v>1</v>
      </c>
      <c r="B8" s="2" t="s">
        <v>138</v>
      </c>
      <c r="C8" t="s">
        <v>50</v>
      </c>
      <c r="D8" t="s">
        <v>26</v>
      </c>
      <c r="E8" t="s">
        <v>27</v>
      </c>
      <c r="F8" t="s">
        <v>40</v>
      </c>
      <c r="G8">
        <v>1</v>
      </c>
      <c r="H8" t="s">
        <v>29</v>
      </c>
      <c r="I8" s="6" t="s">
        <v>80</v>
      </c>
      <c r="J8" s="6"/>
      <c r="K8" s="6"/>
      <c r="Q8" s="6" t="s">
        <v>496</v>
      </c>
      <c r="R8" t="s">
        <v>501</v>
      </c>
      <c r="S8" t="s">
        <v>53</v>
      </c>
      <c r="T8" t="s">
        <v>139</v>
      </c>
      <c r="U8" s="6" t="s">
        <v>62</v>
      </c>
      <c r="V8" t="s">
        <v>86</v>
      </c>
      <c r="Y8" t="s">
        <v>134</v>
      </c>
      <c r="Z8" t="s">
        <v>140</v>
      </c>
      <c r="AA8" t="s">
        <v>141</v>
      </c>
      <c r="AB8" t="s">
        <v>142</v>
      </c>
      <c r="AC8">
        <v>4</v>
      </c>
    </row>
    <row r="9" spans="1:29" x14ac:dyDescent="0.3">
      <c r="A9">
        <v>1</v>
      </c>
      <c r="B9" s="2" t="s">
        <v>132</v>
      </c>
      <c r="C9" t="s">
        <v>25</v>
      </c>
      <c r="D9" t="s">
        <v>26</v>
      </c>
      <c r="E9" t="s">
        <v>27</v>
      </c>
      <c r="F9" t="s">
        <v>235</v>
      </c>
      <c r="G9">
        <v>6</v>
      </c>
      <c r="H9" t="s">
        <v>29</v>
      </c>
      <c r="I9" s="8" t="s">
        <v>126</v>
      </c>
      <c r="J9" s="8"/>
      <c r="K9" s="8"/>
      <c r="Q9" s="6" t="s">
        <v>496</v>
      </c>
      <c r="R9" t="s">
        <v>501</v>
      </c>
      <c r="S9" t="s">
        <v>43</v>
      </c>
      <c r="T9" t="s">
        <v>54</v>
      </c>
      <c r="U9" s="8" t="s">
        <v>62</v>
      </c>
      <c r="Y9" t="s">
        <v>35</v>
      </c>
      <c r="Z9" t="s">
        <v>143</v>
      </c>
      <c r="AA9" t="s">
        <v>144</v>
      </c>
      <c r="AB9" t="s">
        <v>145</v>
      </c>
      <c r="AC9">
        <v>1</v>
      </c>
    </row>
    <row r="10" spans="1:29" x14ac:dyDescent="0.3">
      <c r="A10">
        <v>1</v>
      </c>
      <c r="B10" s="2" t="s">
        <v>138</v>
      </c>
      <c r="C10" t="s">
        <v>50</v>
      </c>
      <c r="D10" t="s">
        <v>26</v>
      </c>
      <c r="E10" t="s">
        <v>27</v>
      </c>
      <c r="F10" t="s">
        <v>40</v>
      </c>
      <c r="G10">
        <v>1</v>
      </c>
      <c r="H10" t="s">
        <v>29</v>
      </c>
      <c r="I10" s="6" t="s">
        <v>81</v>
      </c>
      <c r="J10" s="6"/>
      <c r="K10" s="6"/>
      <c r="Q10" s="6" t="s">
        <v>496</v>
      </c>
      <c r="S10" t="s">
        <v>53</v>
      </c>
      <c r="T10" t="s">
        <v>139</v>
      </c>
      <c r="U10" s="6" t="s">
        <v>62</v>
      </c>
      <c r="Y10" t="s">
        <v>134</v>
      </c>
      <c r="Z10" t="s">
        <v>146</v>
      </c>
      <c r="AA10" t="s">
        <v>147</v>
      </c>
      <c r="AB10" t="s">
        <v>148</v>
      </c>
      <c r="AC10">
        <v>5</v>
      </c>
    </row>
    <row r="11" spans="1:29" x14ac:dyDescent="0.3">
      <c r="A11">
        <v>1</v>
      </c>
      <c r="B11" s="2" t="s">
        <v>149</v>
      </c>
      <c r="C11" t="s">
        <v>50</v>
      </c>
      <c r="D11" t="s">
        <v>26</v>
      </c>
      <c r="E11" t="s">
        <v>27</v>
      </c>
      <c r="F11" t="s">
        <v>28</v>
      </c>
      <c r="G11">
        <v>2</v>
      </c>
      <c r="H11" t="s">
        <v>150</v>
      </c>
      <c r="I11" s="8" t="s">
        <v>80</v>
      </c>
      <c r="J11" s="8"/>
      <c r="K11" s="8"/>
      <c r="Q11" s="6" t="s">
        <v>496</v>
      </c>
      <c r="R11" t="s">
        <v>497</v>
      </c>
      <c r="S11" t="s">
        <v>43</v>
      </c>
      <c r="T11" t="s">
        <v>33</v>
      </c>
      <c r="U11" s="8" t="s">
        <v>62</v>
      </c>
      <c r="Y11" t="s">
        <v>134</v>
      </c>
      <c r="Z11" t="s">
        <v>151</v>
      </c>
      <c r="AA11" t="s">
        <v>152</v>
      </c>
      <c r="AB11" t="s">
        <v>153</v>
      </c>
      <c r="AC11">
        <v>3</v>
      </c>
    </row>
    <row r="12" spans="1:29" x14ac:dyDescent="0.3">
      <c r="A12">
        <v>1</v>
      </c>
      <c r="B12" s="2" t="s">
        <v>154</v>
      </c>
      <c r="C12" t="s">
        <v>25</v>
      </c>
      <c r="D12" t="s">
        <v>26</v>
      </c>
      <c r="E12" t="s">
        <v>107</v>
      </c>
      <c r="F12" t="s">
        <v>28</v>
      </c>
      <c r="G12">
        <v>10</v>
      </c>
      <c r="H12" t="s">
        <v>29</v>
      </c>
      <c r="I12" s="6" t="s">
        <v>80</v>
      </c>
      <c r="J12" s="6" t="s">
        <v>128</v>
      </c>
      <c r="Q12" s="6" t="s">
        <v>496</v>
      </c>
      <c r="R12" t="s">
        <v>497</v>
      </c>
      <c r="S12" t="s">
        <v>53</v>
      </c>
      <c r="T12" t="s">
        <v>139</v>
      </c>
      <c r="U12" s="6" t="s">
        <v>62</v>
      </c>
      <c r="V12" t="s">
        <v>85</v>
      </c>
      <c r="W12" t="s">
        <v>86</v>
      </c>
      <c r="Y12" t="s">
        <v>134</v>
      </c>
      <c r="Z12" t="s">
        <v>155</v>
      </c>
      <c r="AA12" t="s">
        <v>156</v>
      </c>
      <c r="AB12" t="s">
        <v>62</v>
      </c>
      <c r="AC12">
        <v>4</v>
      </c>
    </row>
    <row r="13" spans="1:29" x14ac:dyDescent="0.3">
      <c r="A13">
        <v>1</v>
      </c>
      <c r="B13" s="2" t="s">
        <v>157</v>
      </c>
      <c r="C13" t="s">
        <v>50</v>
      </c>
      <c r="D13" t="s">
        <v>102</v>
      </c>
      <c r="E13" t="s">
        <v>133</v>
      </c>
      <c r="F13" t="s">
        <v>40</v>
      </c>
      <c r="G13">
        <v>1</v>
      </c>
      <c r="H13" t="s">
        <v>158</v>
      </c>
      <c r="I13" s="8" t="s">
        <v>80</v>
      </c>
      <c r="J13" s="8" t="s">
        <v>127</v>
      </c>
      <c r="Q13" s="8" t="s">
        <v>501</v>
      </c>
      <c r="R13" t="s">
        <v>497</v>
      </c>
      <c r="S13" t="s">
        <v>53</v>
      </c>
      <c r="T13" t="s">
        <v>139</v>
      </c>
      <c r="U13" s="8" t="s">
        <v>62</v>
      </c>
      <c r="V13" t="s">
        <v>85</v>
      </c>
      <c r="W13" t="s">
        <v>508</v>
      </c>
      <c r="Y13" t="s">
        <v>45</v>
      </c>
      <c r="Z13" t="s">
        <v>159</v>
      </c>
      <c r="AA13" t="s">
        <v>160</v>
      </c>
      <c r="AB13" t="s">
        <v>161</v>
      </c>
      <c r="AC13">
        <v>4</v>
      </c>
    </row>
    <row r="14" spans="1:29" x14ac:dyDescent="0.3">
      <c r="A14">
        <v>1</v>
      </c>
      <c r="B14" s="2" t="s">
        <v>162</v>
      </c>
      <c r="C14" t="s">
        <v>50</v>
      </c>
      <c r="D14" t="s">
        <v>26</v>
      </c>
      <c r="E14" t="s">
        <v>27</v>
      </c>
      <c r="F14" t="s">
        <v>40</v>
      </c>
      <c r="G14">
        <v>2</v>
      </c>
      <c r="H14" t="s">
        <v>150</v>
      </c>
      <c r="I14" s="6" t="s">
        <v>80</v>
      </c>
      <c r="J14" s="6"/>
      <c r="K14" s="6"/>
      <c r="Q14" s="6" t="s">
        <v>496</v>
      </c>
      <c r="R14" t="s">
        <v>501</v>
      </c>
      <c r="S14" t="s">
        <v>53</v>
      </c>
      <c r="T14" t="s">
        <v>54</v>
      </c>
      <c r="U14" s="6" t="s">
        <v>62</v>
      </c>
      <c r="V14" t="s">
        <v>86</v>
      </c>
      <c r="X14" t="s">
        <v>85</v>
      </c>
      <c r="Y14" t="s">
        <v>45</v>
      </c>
      <c r="Z14" t="s">
        <v>163</v>
      </c>
      <c r="AA14" t="s">
        <v>164</v>
      </c>
      <c r="AB14" t="s">
        <v>165</v>
      </c>
      <c r="AC14">
        <v>5</v>
      </c>
    </row>
    <row r="15" spans="1:29" x14ac:dyDescent="0.3">
      <c r="A15">
        <v>1</v>
      </c>
      <c r="B15" s="2" t="s">
        <v>39</v>
      </c>
      <c r="C15" t="s">
        <v>50</v>
      </c>
      <c r="D15" t="s">
        <v>26</v>
      </c>
      <c r="E15" t="s">
        <v>27</v>
      </c>
      <c r="F15" t="s">
        <v>40</v>
      </c>
      <c r="G15">
        <v>7</v>
      </c>
      <c r="H15" t="s">
        <v>57</v>
      </c>
      <c r="I15" s="8" t="s">
        <v>123</v>
      </c>
      <c r="J15" s="8"/>
      <c r="K15" s="8"/>
      <c r="Q15" s="8" t="s">
        <v>501</v>
      </c>
      <c r="S15" t="s">
        <v>53</v>
      </c>
      <c r="T15" t="s">
        <v>139</v>
      </c>
      <c r="U15" s="8" t="s">
        <v>62</v>
      </c>
      <c r="V15" t="s">
        <v>85</v>
      </c>
      <c r="Y15" t="s">
        <v>134</v>
      </c>
      <c r="Z15" t="s">
        <v>166</v>
      </c>
      <c r="AA15" t="s">
        <v>141</v>
      </c>
      <c r="AB15" t="s">
        <v>153</v>
      </c>
      <c r="AC15">
        <v>5</v>
      </c>
    </row>
    <row r="16" spans="1:29" x14ac:dyDescent="0.3">
      <c r="A16">
        <v>1</v>
      </c>
      <c r="B16" s="2" t="s">
        <v>167</v>
      </c>
      <c r="C16" t="s">
        <v>25</v>
      </c>
      <c r="D16" t="s">
        <v>104</v>
      </c>
      <c r="E16" t="s">
        <v>27</v>
      </c>
      <c r="F16" t="s">
        <v>235</v>
      </c>
      <c r="G16">
        <v>4</v>
      </c>
      <c r="H16" t="s">
        <v>150</v>
      </c>
      <c r="I16" s="6" t="s">
        <v>81</v>
      </c>
      <c r="J16" s="6"/>
      <c r="Q16" s="6" t="s">
        <v>496</v>
      </c>
      <c r="R16" t="s">
        <v>501</v>
      </c>
      <c r="S16" t="s">
        <v>43</v>
      </c>
      <c r="T16" t="s">
        <v>54</v>
      </c>
      <c r="U16" s="6" t="s">
        <v>62</v>
      </c>
      <c r="Y16" t="s">
        <v>35</v>
      </c>
      <c r="Z16" t="s">
        <v>168</v>
      </c>
      <c r="AA16" t="s">
        <v>169</v>
      </c>
      <c r="AB16" t="s">
        <v>153</v>
      </c>
      <c r="AC16">
        <v>4</v>
      </c>
    </row>
    <row r="17" spans="1:29" x14ac:dyDescent="0.3">
      <c r="A17">
        <v>1</v>
      </c>
      <c r="B17" s="2" t="s">
        <v>162</v>
      </c>
      <c r="C17" t="s">
        <v>25</v>
      </c>
      <c r="D17" t="s">
        <v>26</v>
      </c>
      <c r="E17" t="s">
        <v>27</v>
      </c>
      <c r="F17" t="s">
        <v>40</v>
      </c>
      <c r="G17">
        <v>1</v>
      </c>
      <c r="H17" t="s">
        <v>29</v>
      </c>
      <c r="I17" s="8" t="s">
        <v>81</v>
      </c>
      <c r="J17" s="8"/>
      <c r="K17" s="8"/>
      <c r="Q17" s="6" t="s">
        <v>496</v>
      </c>
      <c r="R17" t="s">
        <v>501</v>
      </c>
      <c r="S17" t="s">
        <v>53</v>
      </c>
      <c r="T17" t="s">
        <v>54</v>
      </c>
      <c r="U17" s="8" t="s">
        <v>62</v>
      </c>
      <c r="V17" t="s">
        <v>85</v>
      </c>
      <c r="W17" t="s">
        <v>86</v>
      </c>
      <c r="Y17" t="s">
        <v>134</v>
      </c>
      <c r="Z17" t="s">
        <v>170</v>
      </c>
      <c r="AA17" t="s">
        <v>171</v>
      </c>
      <c r="AB17" t="s">
        <v>172</v>
      </c>
      <c r="AC17">
        <v>3</v>
      </c>
    </row>
    <row r="18" spans="1:29" x14ac:dyDescent="0.3">
      <c r="A18">
        <v>1</v>
      </c>
      <c r="B18" s="2" t="s">
        <v>24</v>
      </c>
      <c r="C18" t="s">
        <v>50</v>
      </c>
      <c r="D18" t="s">
        <v>26</v>
      </c>
      <c r="E18" t="s">
        <v>27</v>
      </c>
      <c r="F18" t="s">
        <v>40</v>
      </c>
      <c r="G18">
        <v>2</v>
      </c>
      <c r="H18" t="s">
        <v>57</v>
      </c>
      <c r="I18" s="6" t="s">
        <v>80</v>
      </c>
      <c r="J18" s="6"/>
      <c r="K18" s="6"/>
      <c r="Q18" s="6" t="s">
        <v>496</v>
      </c>
      <c r="R18" t="s">
        <v>501</v>
      </c>
      <c r="S18" t="s">
        <v>53</v>
      </c>
      <c r="T18" t="s">
        <v>54</v>
      </c>
      <c r="U18" s="6" t="s">
        <v>62</v>
      </c>
      <c r="V18" t="s">
        <v>86</v>
      </c>
      <c r="Y18" t="s">
        <v>59</v>
      </c>
      <c r="Z18" t="s">
        <v>173</v>
      </c>
      <c r="AA18" t="s">
        <v>174</v>
      </c>
      <c r="AB18" t="s">
        <v>38</v>
      </c>
      <c r="AC18">
        <v>5</v>
      </c>
    </row>
    <row r="19" spans="1:29" x14ac:dyDescent="0.3">
      <c r="A19">
        <v>1</v>
      </c>
      <c r="B19" s="2" t="s">
        <v>175</v>
      </c>
      <c r="C19" t="s">
        <v>50</v>
      </c>
      <c r="D19" t="s">
        <v>26</v>
      </c>
      <c r="E19" t="s">
        <v>27</v>
      </c>
      <c r="F19" t="s">
        <v>40</v>
      </c>
      <c r="G19">
        <v>1</v>
      </c>
      <c r="H19" t="s">
        <v>57</v>
      </c>
      <c r="I19" s="8" t="s">
        <v>123</v>
      </c>
      <c r="J19" s="8"/>
      <c r="K19" s="8"/>
      <c r="Q19" s="8" t="s">
        <v>501</v>
      </c>
      <c r="R19" t="s">
        <v>499</v>
      </c>
      <c r="S19" t="s">
        <v>53</v>
      </c>
      <c r="T19" t="s">
        <v>139</v>
      </c>
      <c r="U19" s="8" t="s">
        <v>62</v>
      </c>
      <c r="V19" t="s">
        <v>85</v>
      </c>
      <c r="W19" t="s">
        <v>86</v>
      </c>
      <c r="Y19" t="s">
        <v>59</v>
      </c>
      <c r="Z19" t="s">
        <v>176</v>
      </c>
      <c r="AA19" t="s">
        <v>177</v>
      </c>
      <c r="AB19" t="s">
        <v>178</v>
      </c>
      <c r="AC19">
        <v>5</v>
      </c>
    </row>
    <row r="20" spans="1:29" x14ac:dyDescent="0.3">
      <c r="A20">
        <v>1</v>
      </c>
      <c r="B20" t="s">
        <v>179</v>
      </c>
      <c r="C20" t="s">
        <v>25</v>
      </c>
      <c r="D20" t="s">
        <v>26</v>
      </c>
      <c r="E20" t="s">
        <v>27</v>
      </c>
      <c r="F20" t="s">
        <v>235</v>
      </c>
      <c r="G20">
        <v>10</v>
      </c>
      <c r="H20" t="s">
        <v>29</v>
      </c>
      <c r="I20" s="6" t="s">
        <v>81</v>
      </c>
      <c r="J20" s="6"/>
      <c r="K20" s="6"/>
      <c r="Q20" s="6" t="s">
        <v>496</v>
      </c>
      <c r="S20" t="s">
        <v>53</v>
      </c>
      <c r="T20" t="s">
        <v>54</v>
      </c>
      <c r="U20" s="6" t="s">
        <v>86</v>
      </c>
      <c r="Y20" t="s">
        <v>134</v>
      </c>
      <c r="Z20" t="s">
        <v>180</v>
      </c>
      <c r="AA20" t="s">
        <v>181</v>
      </c>
      <c r="AB20" t="s">
        <v>182</v>
      </c>
      <c r="AC20">
        <v>5</v>
      </c>
    </row>
    <row r="21" spans="1:29" x14ac:dyDescent="0.3">
      <c r="A21">
        <v>1</v>
      </c>
      <c r="B21" s="2" t="s">
        <v>183</v>
      </c>
      <c r="C21" t="s">
        <v>25</v>
      </c>
      <c r="D21" t="s">
        <v>26</v>
      </c>
      <c r="E21" t="s">
        <v>27</v>
      </c>
      <c r="F21" t="s">
        <v>40</v>
      </c>
      <c r="G21">
        <v>4</v>
      </c>
      <c r="H21" t="s">
        <v>29</v>
      </c>
      <c r="I21" s="8" t="s">
        <v>126</v>
      </c>
      <c r="J21" s="8"/>
      <c r="K21" s="8"/>
      <c r="Q21" s="8" t="s">
        <v>501</v>
      </c>
      <c r="R21" t="s">
        <v>496</v>
      </c>
      <c r="S21" t="s">
        <v>43</v>
      </c>
      <c r="T21" t="s">
        <v>33</v>
      </c>
      <c r="U21" s="8" t="s">
        <v>62</v>
      </c>
      <c r="V21" t="s">
        <v>85</v>
      </c>
      <c r="Y21" t="s">
        <v>134</v>
      </c>
      <c r="Z21" t="s">
        <v>184</v>
      </c>
      <c r="AA21" t="s">
        <v>185</v>
      </c>
      <c r="AB21" t="s">
        <v>38</v>
      </c>
      <c r="AC21">
        <v>4</v>
      </c>
    </row>
    <row r="22" spans="1:29" x14ac:dyDescent="0.3">
      <c r="A22">
        <v>1</v>
      </c>
      <c r="B22" s="2" t="s">
        <v>138</v>
      </c>
      <c r="C22" t="s">
        <v>25</v>
      </c>
      <c r="D22" t="s">
        <v>103</v>
      </c>
      <c r="E22" t="s">
        <v>27</v>
      </c>
      <c r="F22" t="s">
        <v>40</v>
      </c>
      <c r="G22">
        <v>4</v>
      </c>
      <c r="H22" t="s">
        <v>29</v>
      </c>
      <c r="I22" s="6" t="s">
        <v>123</v>
      </c>
      <c r="J22" s="6"/>
      <c r="K22" s="6"/>
      <c r="Q22" s="6" t="s">
        <v>498</v>
      </c>
      <c r="R22" t="s">
        <v>499</v>
      </c>
      <c r="S22" t="s">
        <v>53</v>
      </c>
      <c r="T22" t="s">
        <v>139</v>
      </c>
      <c r="U22" s="6" t="s">
        <v>62</v>
      </c>
      <c r="Y22" t="s">
        <v>35</v>
      </c>
      <c r="Z22" t="s">
        <v>140</v>
      </c>
      <c r="AA22" t="s">
        <v>186</v>
      </c>
      <c r="AB22" t="s">
        <v>187</v>
      </c>
      <c r="AC22">
        <v>5</v>
      </c>
    </row>
    <row r="23" spans="1:29" x14ac:dyDescent="0.3">
      <c r="A23">
        <v>1</v>
      </c>
      <c r="B23" s="2" t="s">
        <v>167</v>
      </c>
      <c r="C23" t="s">
        <v>25</v>
      </c>
      <c r="D23" t="s">
        <v>26</v>
      </c>
      <c r="E23" t="s">
        <v>133</v>
      </c>
      <c r="F23" t="s">
        <v>40</v>
      </c>
      <c r="G23">
        <v>3</v>
      </c>
      <c r="H23" t="s">
        <v>158</v>
      </c>
      <c r="I23" s="8" t="s">
        <v>81</v>
      </c>
      <c r="J23" s="8"/>
      <c r="K23" s="8"/>
      <c r="Q23" s="6" t="s">
        <v>496</v>
      </c>
      <c r="R23" t="s">
        <v>501</v>
      </c>
      <c r="S23" t="s">
        <v>32</v>
      </c>
      <c r="T23" t="s">
        <v>54</v>
      </c>
      <c r="U23" s="6" t="s">
        <v>86</v>
      </c>
      <c r="W23" t="s">
        <v>85</v>
      </c>
      <c r="X23" t="s">
        <v>62</v>
      </c>
      <c r="Y23" t="s">
        <v>59</v>
      </c>
      <c r="Z23" t="s">
        <v>188</v>
      </c>
      <c r="AA23" t="s">
        <v>189</v>
      </c>
      <c r="AB23" t="s">
        <v>190</v>
      </c>
      <c r="AC23">
        <v>3</v>
      </c>
    </row>
    <row r="24" spans="1:29" x14ac:dyDescent="0.3">
      <c r="A24">
        <v>1</v>
      </c>
      <c r="B24" s="2" t="s">
        <v>191</v>
      </c>
      <c r="C24" t="s">
        <v>50</v>
      </c>
      <c r="D24" t="s">
        <v>103</v>
      </c>
      <c r="E24" t="s">
        <v>27</v>
      </c>
      <c r="F24" t="s">
        <v>40</v>
      </c>
      <c r="G24">
        <v>3</v>
      </c>
      <c r="H24" t="s">
        <v>57</v>
      </c>
      <c r="I24" s="6" t="s">
        <v>123</v>
      </c>
      <c r="J24" s="6"/>
      <c r="K24" s="6"/>
      <c r="Q24" s="6" t="s">
        <v>500</v>
      </c>
      <c r="R24" t="s">
        <v>497</v>
      </c>
      <c r="S24" t="s">
        <v>53</v>
      </c>
      <c r="T24" t="s">
        <v>54</v>
      </c>
      <c r="U24" s="6" t="s">
        <v>62</v>
      </c>
      <c r="V24" t="s">
        <v>86</v>
      </c>
      <c r="X24" t="s">
        <v>509</v>
      </c>
      <c r="Y24" t="s">
        <v>45</v>
      </c>
      <c r="Z24" t="s">
        <v>192</v>
      </c>
      <c r="AA24" t="s">
        <v>193</v>
      </c>
      <c r="AB24" t="s">
        <v>194</v>
      </c>
      <c r="AC24">
        <v>5</v>
      </c>
    </row>
    <row r="25" spans="1:29" x14ac:dyDescent="0.3">
      <c r="A25">
        <v>1</v>
      </c>
      <c r="B25" t="s">
        <v>195</v>
      </c>
      <c r="C25" t="s">
        <v>25</v>
      </c>
      <c r="D25" t="s">
        <v>26</v>
      </c>
      <c r="E25" t="s">
        <v>27</v>
      </c>
      <c r="F25" t="s">
        <v>40</v>
      </c>
      <c r="G25">
        <v>10</v>
      </c>
      <c r="H25" t="s">
        <v>29</v>
      </c>
      <c r="I25" s="8" t="s">
        <v>80</v>
      </c>
      <c r="J25" s="8"/>
      <c r="K25" s="8"/>
      <c r="Q25" s="8" t="s">
        <v>501</v>
      </c>
      <c r="S25" t="s">
        <v>53</v>
      </c>
      <c r="T25" t="s">
        <v>139</v>
      </c>
      <c r="U25" s="6" t="s">
        <v>86</v>
      </c>
      <c r="Y25" t="s">
        <v>134</v>
      </c>
      <c r="Z25" t="s">
        <v>196</v>
      </c>
      <c r="AA25" t="s">
        <v>197</v>
      </c>
      <c r="AB25" t="s">
        <v>198</v>
      </c>
      <c r="AC25">
        <v>1</v>
      </c>
    </row>
    <row r="26" spans="1:29" x14ac:dyDescent="0.3">
      <c r="A26">
        <v>1</v>
      </c>
      <c r="B26" s="2" t="s">
        <v>199</v>
      </c>
      <c r="C26" t="s">
        <v>25</v>
      </c>
      <c r="D26" t="s">
        <v>26</v>
      </c>
      <c r="E26" t="s">
        <v>200</v>
      </c>
      <c r="F26" t="s">
        <v>40</v>
      </c>
      <c r="G26">
        <v>2</v>
      </c>
      <c r="H26" t="s">
        <v>158</v>
      </c>
      <c r="I26" s="6" t="s">
        <v>81</v>
      </c>
      <c r="J26" s="6"/>
      <c r="K26" s="6"/>
      <c r="Q26" s="8" t="s">
        <v>501</v>
      </c>
      <c r="S26" t="s">
        <v>32</v>
      </c>
      <c r="T26" t="s">
        <v>54</v>
      </c>
      <c r="U26" s="6" t="s">
        <v>62</v>
      </c>
      <c r="Y26" t="s">
        <v>45</v>
      </c>
      <c r="Z26" t="s">
        <v>201</v>
      </c>
      <c r="AA26" t="s">
        <v>202</v>
      </c>
      <c r="AB26" t="s">
        <v>203</v>
      </c>
      <c r="AC26">
        <v>5</v>
      </c>
    </row>
    <row r="27" spans="1:29" x14ac:dyDescent="0.3">
      <c r="A27">
        <v>1</v>
      </c>
      <c r="B27" s="2" t="s">
        <v>204</v>
      </c>
      <c r="C27" t="s">
        <v>50</v>
      </c>
      <c r="D27" t="s">
        <v>26</v>
      </c>
      <c r="E27" t="s">
        <v>27</v>
      </c>
      <c r="F27" t="s">
        <v>40</v>
      </c>
      <c r="G27">
        <v>1</v>
      </c>
      <c r="H27" t="s">
        <v>57</v>
      </c>
      <c r="I27" s="8" t="s">
        <v>80</v>
      </c>
      <c r="J27" s="8"/>
      <c r="K27" s="8"/>
      <c r="Q27" s="8" t="s">
        <v>497</v>
      </c>
      <c r="R27" t="s">
        <v>496</v>
      </c>
      <c r="S27" t="s">
        <v>53</v>
      </c>
      <c r="T27" t="s">
        <v>139</v>
      </c>
      <c r="U27" s="6" t="s">
        <v>86</v>
      </c>
      <c r="W27" t="s">
        <v>62</v>
      </c>
      <c r="X27" t="s">
        <v>85</v>
      </c>
      <c r="Y27" t="s">
        <v>59</v>
      </c>
      <c r="Z27" t="s">
        <v>205</v>
      </c>
      <c r="AA27" t="s">
        <v>206</v>
      </c>
      <c r="AB27" t="s">
        <v>153</v>
      </c>
      <c r="AC27">
        <v>3</v>
      </c>
    </row>
    <row r="28" spans="1:29" x14ac:dyDescent="0.3">
      <c r="A28">
        <v>1</v>
      </c>
      <c r="B28" s="2" t="s">
        <v>204</v>
      </c>
      <c r="C28" t="s">
        <v>25</v>
      </c>
      <c r="D28" t="s">
        <v>26</v>
      </c>
      <c r="E28" t="s">
        <v>27</v>
      </c>
      <c r="F28" t="s">
        <v>40</v>
      </c>
      <c r="G28">
        <v>1</v>
      </c>
      <c r="H28" t="s">
        <v>29</v>
      </c>
      <c r="I28" s="6" t="s">
        <v>80</v>
      </c>
      <c r="J28" s="6"/>
      <c r="K28" s="6"/>
      <c r="Q28" s="8" t="s">
        <v>501</v>
      </c>
      <c r="S28" t="s">
        <v>53</v>
      </c>
      <c r="T28" t="s">
        <v>139</v>
      </c>
      <c r="U28" s="6" t="s">
        <v>62</v>
      </c>
      <c r="Y28" t="s">
        <v>45</v>
      </c>
      <c r="Z28" t="s">
        <v>166</v>
      </c>
      <c r="AB28" t="s">
        <v>153</v>
      </c>
      <c r="AC28">
        <v>4</v>
      </c>
    </row>
    <row r="29" spans="1:29" x14ac:dyDescent="0.3">
      <c r="A29">
        <v>1</v>
      </c>
      <c r="B29" s="2" t="s">
        <v>132</v>
      </c>
      <c r="C29" t="s">
        <v>50</v>
      </c>
      <c r="D29" t="s">
        <v>26</v>
      </c>
      <c r="E29" t="s">
        <v>27</v>
      </c>
      <c r="F29" t="s">
        <v>40</v>
      </c>
      <c r="G29">
        <v>2</v>
      </c>
      <c r="H29" t="s">
        <v>150</v>
      </c>
      <c r="I29" s="8" t="s">
        <v>80</v>
      </c>
      <c r="J29" s="8"/>
      <c r="K29" s="8"/>
      <c r="Q29" s="6" t="s">
        <v>498</v>
      </c>
      <c r="S29" t="s">
        <v>32</v>
      </c>
      <c r="T29" t="s">
        <v>33</v>
      </c>
      <c r="U29" s="8" t="s">
        <v>62</v>
      </c>
      <c r="V29" t="s">
        <v>85</v>
      </c>
      <c r="W29" t="s">
        <v>86</v>
      </c>
      <c r="Y29" t="s">
        <v>45</v>
      </c>
      <c r="Z29" t="s">
        <v>207</v>
      </c>
      <c r="AA29" t="s">
        <v>208</v>
      </c>
      <c r="AB29" t="s">
        <v>209</v>
      </c>
      <c r="AC29">
        <v>5</v>
      </c>
    </row>
    <row r="30" spans="1:29" x14ac:dyDescent="0.3">
      <c r="A30">
        <v>1</v>
      </c>
      <c r="B30" s="2" t="s">
        <v>210</v>
      </c>
      <c r="C30" t="s">
        <v>25</v>
      </c>
      <c r="D30" t="s">
        <v>26</v>
      </c>
      <c r="E30" t="s">
        <v>27</v>
      </c>
      <c r="F30" t="s">
        <v>40</v>
      </c>
      <c r="G30">
        <v>1</v>
      </c>
      <c r="H30" t="s">
        <v>57</v>
      </c>
      <c r="I30" s="6" t="s">
        <v>80</v>
      </c>
      <c r="J30" s="6"/>
      <c r="K30" s="6"/>
      <c r="Q30" s="8" t="s">
        <v>501</v>
      </c>
      <c r="S30" t="s">
        <v>53</v>
      </c>
      <c r="T30" t="s">
        <v>139</v>
      </c>
      <c r="U30" s="6" t="s">
        <v>62</v>
      </c>
      <c r="V30" t="s">
        <v>86</v>
      </c>
      <c r="X30" t="s">
        <v>508</v>
      </c>
      <c r="Y30" t="s">
        <v>35</v>
      </c>
      <c r="Z30" t="s">
        <v>166</v>
      </c>
      <c r="AA30" t="s">
        <v>211</v>
      </c>
      <c r="AB30" t="s">
        <v>153</v>
      </c>
      <c r="AC30">
        <v>5</v>
      </c>
    </row>
    <row r="31" spans="1:29" x14ac:dyDescent="0.3">
      <c r="A31">
        <v>1</v>
      </c>
      <c r="B31" s="2" t="s">
        <v>212</v>
      </c>
      <c r="C31" t="s">
        <v>25</v>
      </c>
      <c r="D31" t="s">
        <v>26</v>
      </c>
      <c r="E31" t="s">
        <v>27</v>
      </c>
      <c r="F31" t="s">
        <v>40</v>
      </c>
      <c r="G31">
        <v>1</v>
      </c>
      <c r="H31" t="s">
        <v>150</v>
      </c>
      <c r="I31" s="8" t="s">
        <v>81</v>
      </c>
      <c r="J31" s="8"/>
      <c r="K31" s="8"/>
      <c r="Q31" s="6" t="s">
        <v>496</v>
      </c>
      <c r="S31" t="s">
        <v>43</v>
      </c>
      <c r="T31" t="s">
        <v>54</v>
      </c>
      <c r="U31" s="8" t="s">
        <v>508</v>
      </c>
      <c r="Y31" t="s">
        <v>35</v>
      </c>
      <c r="Z31" t="s">
        <v>189</v>
      </c>
      <c r="AA31" t="s">
        <v>189</v>
      </c>
      <c r="AB31" t="s">
        <v>213</v>
      </c>
      <c r="AC31">
        <v>4</v>
      </c>
    </row>
    <row r="32" spans="1:29" x14ac:dyDescent="0.3">
      <c r="A32">
        <v>1</v>
      </c>
      <c r="B32" s="2" t="s">
        <v>49</v>
      </c>
      <c r="C32" t="s">
        <v>25</v>
      </c>
      <c r="D32" t="s">
        <v>26</v>
      </c>
      <c r="E32" t="s">
        <v>27</v>
      </c>
      <c r="F32" t="s">
        <v>40</v>
      </c>
      <c r="G32">
        <v>1</v>
      </c>
      <c r="H32" t="s">
        <v>29</v>
      </c>
      <c r="I32" s="6" t="s">
        <v>80</v>
      </c>
      <c r="J32" s="6"/>
      <c r="K32" s="6"/>
      <c r="Q32" s="6" t="s">
        <v>496</v>
      </c>
      <c r="S32" t="s">
        <v>53</v>
      </c>
      <c r="T32" t="s">
        <v>139</v>
      </c>
      <c r="U32" s="6" t="s">
        <v>62</v>
      </c>
      <c r="V32" t="s">
        <v>85</v>
      </c>
      <c r="W32" t="s">
        <v>86</v>
      </c>
      <c r="Y32" t="s">
        <v>35</v>
      </c>
      <c r="Z32" t="s">
        <v>214</v>
      </c>
      <c r="AA32" t="s">
        <v>215</v>
      </c>
      <c r="AB32" t="s">
        <v>62</v>
      </c>
      <c r="AC32">
        <v>5</v>
      </c>
    </row>
    <row r="33" spans="1:29" x14ac:dyDescent="0.3">
      <c r="A33">
        <v>1</v>
      </c>
      <c r="B33" s="2" t="s">
        <v>216</v>
      </c>
      <c r="C33" t="s">
        <v>50</v>
      </c>
      <c r="D33" t="s">
        <v>103</v>
      </c>
      <c r="E33" t="s">
        <v>133</v>
      </c>
      <c r="F33" t="s">
        <v>235</v>
      </c>
      <c r="G33">
        <v>1</v>
      </c>
      <c r="H33" t="s">
        <v>150</v>
      </c>
      <c r="I33" s="8" t="s">
        <v>80</v>
      </c>
      <c r="J33" s="8"/>
      <c r="K33" s="8"/>
      <c r="Q33" s="8" t="s">
        <v>501</v>
      </c>
      <c r="S33" t="s">
        <v>53</v>
      </c>
      <c r="T33" t="s">
        <v>139</v>
      </c>
      <c r="U33" s="8" t="s">
        <v>62</v>
      </c>
      <c r="Y33" t="s">
        <v>134</v>
      </c>
      <c r="AC33">
        <v>5</v>
      </c>
    </row>
    <row r="34" spans="1:29" x14ac:dyDescent="0.3">
      <c r="A34">
        <v>1</v>
      </c>
      <c r="B34" s="2" t="s">
        <v>217</v>
      </c>
      <c r="C34" t="s">
        <v>50</v>
      </c>
      <c r="D34" t="s">
        <v>26</v>
      </c>
      <c r="E34" t="s">
        <v>27</v>
      </c>
      <c r="F34" t="s">
        <v>40</v>
      </c>
      <c r="G34">
        <v>1</v>
      </c>
      <c r="H34" t="s">
        <v>57</v>
      </c>
      <c r="I34" s="6" t="s">
        <v>81</v>
      </c>
      <c r="J34" s="6"/>
      <c r="K34" s="6"/>
      <c r="Q34" s="6" t="s">
        <v>496</v>
      </c>
      <c r="S34" t="s">
        <v>53</v>
      </c>
      <c r="T34" t="s">
        <v>139</v>
      </c>
      <c r="U34" s="6" t="s">
        <v>62</v>
      </c>
      <c r="Y34" t="s">
        <v>134</v>
      </c>
      <c r="Z34" t="s">
        <v>140</v>
      </c>
      <c r="AA34" t="s">
        <v>218</v>
      </c>
      <c r="AB34" t="s">
        <v>62</v>
      </c>
      <c r="AC34">
        <v>5</v>
      </c>
    </row>
    <row r="35" spans="1:29" x14ac:dyDescent="0.3">
      <c r="A35">
        <v>1</v>
      </c>
      <c r="B35" s="2" t="s">
        <v>204</v>
      </c>
      <c r="C35" t="s">
        <v>50</v>
      </c>
      <c r="D35" t="s">
        <v>26</v>
      </c>
      <c r="E35" t="s">
        <v>27</v>
      </c>
      <c r="F35" t="s">
        <v>40</v>
      </c>
      <c r="G35">
        <v>1</v>
      </c>
      <c r="H35" t="s">
        <v>57</v>
      </c>
      <c r="I35" s="8" t="s">
        <v>80</v>
      </c>
      <c r="J35" s="8"/>
      <c r="K35" s="8"/>
      <c r="Q35" s="6" t="s">
        <v>496</v>
      </c>
      <c r="S35" t="s">
        <v>53</v>
      </c>
      <c r="T35" t="s">
        <v>139</v>
      </c>
      <c r="U35" s="8" t="s">
        <v>62</v>
      </c>
      <c r="V35" t="s">
        <v>508</v>
      </c>
      <c r="W35" t="s">
        <v>86</v>
      </c>
      <c r="Y35" t="s">
        <v>59</v>
      </c>
      <c r="Z35" t="s">
        <v>219</v>
      </c>
      <c r="AB35" t="s">
        <v>62</v>
      </c>
      <c r="AC35">
        <v>3</v>
      </c>
    </row>
    <row r="36" spans="1:29" x14ac:dyDescent="0.3">
      <c r="A36">
        <v>1</v>
      </c>
      <c r="B36" s="2" t="s">
        <v>39</v>
      </c>
      <c r="C36" t="s">
        <v>50</v>
      </c>
      <c r="D36" t="s">
        <v>26</v>
      </c>
      <c r="E36" t="s">
        <v>27</v>
      </c>
      <c r="F36" t="s">
        <v>40</v>
      </c>
      <c r="G36">
        <v>3</v>
      </c>
      <c r="H36" t="s">
        <v>57</v>
      </c>
      <c r="I36" s="6" t="s">
        <v>80</v>
      </c>
      <c r="J36" s="6"/>
      <c r="K36" s="6"/>
      <c r="Q36" s="6" t="s">
        <v>496</v>
      </c>
      <c r="S36" t="s">
        <v>43</v>
      </c>
      <c r="T36" t="s">
        <v>54</v>
      </c>
      <c r="U36" s="6" t="s">
        <v>62</v>
      </c>
      <c r="V36" t="s">
        <v>85</v>
      </c>
      <c r="W36" t="s">
        <v>86</v>
      </c>
      <c r="Y36" t="s">
        <v>59</v>
      </c>
      <c r="Z36" t="s">
        <v>220</v>
      </c>
      <c r="AA36" t="s">
        <v>38</v>
      </c>
      <c r="AB36" t="s">
        <v>207</v>
      </c>
      <c r="AC36">
        <v>5</v>
      </c>
    </row>
    <row r="37" spans="1:29" x14ac:dyDescent="0.3">
      <c r="A37">
        <v>1</v>
      </c>
      <c r="B37" s="2" t="s">
        <v>221</v>
      </c>
      <c r="C37" t="s">
        <v>25</v>
      </c>
      <c r="D37" t="s">
        <v>26</v>
      </c>
      <c r="E37" t="s">
        <v>27</v>
      </c>
      <c r="F37" t="s">
        <v>40</v>
      </c>
      <c r="G37">
        <v>2</v>
      </c>
      <c r="H37" t="s">
        <v>57</v>
      </c>
      <c r="I37" s="8" t="s">
        <v>81</v>
      </c>
      <c r="J37" s="8"/>
      <c r="K37" s="8"/>
      <c r="Q37" s="8" t="s">
        <v>501</v>
      </c>
      <c r="S37" t="s">
        <v>53</v>
      </c>
      <c r="T37" t="s">
        <v>139</v>
      </c>
      <c r="U37" s="8" t="s">
        <v>62</v>
      </c>
      <c r="Y37" t="s">
        <v>134</v>
      </c>
      <c r="Z37" t="s">
        <v>222</v>
      </c>
      <c r="AA37" t="s">
        <v>197</v>
      </c>
      <c r="AB37" t="s">
        <v>38</v>
      </c>
      <c r="AC37">
        <v>1</v>
      </c>
    </row>
    <row r="38" spans="1:29" x14ac:dyDescent="0.3">
      <c r="A38">
        <v>1</v>
      </c>
      <c r="B38" s="2" t="s">
        <v>223</v>
      </c>
      <c r="C38" t="s">
        <v>25</v>
      </c>
      <c r="D38" t="s">
        <v>26</v>
      </c>
      <c r="E38" t="s">
        <v>27</v>
      </c>
      <c r="F38" t="s">
        <v>235</v>
      </c>
      <c r="G38">
        <v>10</v>
      </c>
      <c r="H38" t="s">
        <v>29</v>
      </c>
      <c r="I38" s="6" t="s">
        <v>80</v>
      </c>
      <c r="J38" s="6"/>
      <c r="K38" s="6"/>
      <c r="Q38" s="6" t="s">
        <v>499</v>
      </c>
      <c r="S38" t="s">
        <v>43</v>
      </c>
      <c r="T38" t="s">
        <v>33</v>
      </c>
      <c r="U38" s="6" t="s">
        <v>62</v>
      </c>
      <c r="Y38" t="s">
        <v>35</v>
      </c>
      <c r="Z38" t="s">
        <v>224</v>
      </c>
      <c r="AA38" t="s">
        <v>38</v>
      </c>
      <c r="AB38" t="s">
        <v>153</v>
      </c>
      <c r="AC38">
        <v>4</v>
      </c>
    </row>
    <row r="39" spans="1:29" x14ac:dyDescent="0.3">
      <c r="A39">
        <v>1</v>
      </c>
      <c r="B39" s="23">
        <v>51</v>
      </c>
      <c r="C39" t="s">
        <v>225</v>
      </c>
      <c r="D39" t="s">
        <v>26</v>
      </c>
      <c r="E39" t="s">
        <v>107</v>
      </c>
      <c r="F39" t="s">
        <v>40</v>
      </c>
      <c r="G39">
        <v>8</v>
      </c>
      <c r="H39" t="s">
        <v>150</v>
      </c>
      <c r="I39" s="8" t="s">
        <v>80</v>
      </c>
      <c r="J39" s="8"/>
      <c r="Q39" s="6" t="s">
        <v>496</v>
      </c>
      <c r="S39" t="s">
        <v>53</v>
      </c>
      <c r="T39" t="s">
        <v>54</v>
      </c>
      <c r="U39" t="s">
        <v>85</v>
      </c>
      <c r="Y39" t="s">
        <v>35</v>
      </c>
      <c r="Z39" t="s">
        <v>226</v>
      </c>
      <c r="AA39" t="s">
        <v>227</v>
      </c>
      <c r="AB39" t="s">
        <v>228</v>
      </c>
      <c r="AC39">
        <v>2</v>
      </c>
    </row>
    <row r="40" spans="1:29" x14ac:dyDescent="0.3">
      <c r="A40">
        <v>1</v>
      </c>
      <c r="B40" s="23">
        <v>67</v>
      </c>
      <c r="C40" t="s">
        <v>25</v>
      </c>
      <c r="D40" t="s">
        <v>104</v>
      </c>
      <c r="E40" t="s">
        <v>27</v>
      </c>
      <c r="F40" t="s">
        <v>40</v>
      </c>
      <c r="G40">
        <v>8</v>
      </c>
      <c r="H40" t="s">
        <v>57</v>
      </c>
      <c r="I40" s="6" t="s">
        <v>80</v>
      </c>
      <c r="J40" s="6"/>
      <c r="Q40" t="s">
        <v>501</v>
      </c>
      <c r="S40" t="s">
        <v>32</v>
      </c>
      <c r="T40" t="s">
        <v>33</v>
      </c>
      <c r="U40" t="s">
        <v>85</v>
      </c>
      <c r="Y40" t="s">
        <v>134</v>
      </c>
      <c r="Z40" t="s">
        <v>229</v>
      </c>
      <c r="AA40" t="s">
        <v>230</v>
      </c>
      <c r="AB40" t="s">
        <v>231</v>
      </c>
      <c r="AC40">
        <v>4</v>
      </c>
    </row>
    <row r="41" spans="1:29" x14ac:dyDescent="0.3">
      <c r="A41">
        <v>1</v>
      </c>
      <c r="B41" s="23">
        <v>51</v>
      </c>
      <c r="C41" t="s">
        <v>50</v>
      </c>
      <c r="D41" t="s">
        <v>102</v>
      </c>
      <c r="E41" t="s">
        <v>107</v>
      </c>
      <c r="F41" t="s">
        <v>28</v>
      </c>
      <c r="G41">
        <v>2</v>
      </c>
      <c r="H41" t="s">
        <v>57</v>
      </c>
      <c r="I41" s="8" t="s">
        <v>80</v>
      </c>
      <c r="J41" t="s">
        <v>127</v>
      </c>
      <c r="K41" t="s">
        <v>128</v>
      </c>
      <c r="Q41" t="s">
        <v>497</v>
      </c>
      <c r="S41" t="s">
        <v>43</v>
      </c>
      <c r="T41" t="s">
        <v>139</v>
      </c>
      <c r="U41" t="s">
        <v>86</v>
      </c>
      <c r="Y41" t="s">
        <v>59</v>
      </c>
      <c r="Z41" t="s">
        <v>232</v>
      </c>
      <c r="AA41" t="s">
        <v>233</v>
      </c>
      <c r="AB41" t="s">
        <v>234</v>
      </c>
      <c r="AC41">
        <v>2</v>
      </c>
    </row>
    <row r="42" spans="1:29" x14ac:dyDescent="0.3">
      <c r="A42">
        <v>1</v>
      </c>
      <c r="B42" s="23">
        <v>62</v>
      </c>
      <c r="C42" t="s">
        <v>25</v>
      </c>
      <c r="D42" t="s">
        <v>26</v>
      </c>
      <c r="E42" t="s">
        <v>200</v>
      </c>
      <c r="F42" t="s">
        <v>235</v>
      </c>
      <c r="G42">
        <v>9</v>
      </c>
      <c r="H42" t="s">
        <v>57</v>
      </c>
      <c r="I42" s="6" t="s">
        <v>122</v>
      </c>
      <c r="Q42" t="s">
        <v>497</v>
      </c>
      <c r="R42" t="s">
        <v>500</v>
      </c>
      <c r="S42" t="s">
        <v>53</v>
      </c>
      <c r="T42" t="s">
        <v>139</v>
      </c>
      <c r="U42" t="s">
        <v>85</v>
      </c>
      <c r="Y42" t="s">
        <v>134</v>
      </c>
      <c r="Z42" t="s">
        <v>236</v>
      </c>
      <c r="AA42" t="s">
        <v>237</v>
      </c>
      <c r="AB42" t="s">
        <v>238</v>
      </c>
      <c r="AC42">
        <v>3</v>
      </c>
    </row>
    <row r="43" spans="1:29" x14ac:dyDescent="0.3">
      <c r="A43">
        <v>1</v>
      </c>
      <c r="B43" s="23">
        <v>42</v>
      </c>
      <c r="C43" t="s">
        <v>225</v>
      </c>
      <c r="D43" t="s">
        <v>104</v>
      </c>
      <c r="E43" t="s">
        <v>200</v>
      </c>
      <c r="F43" t="s">
        <v>40</v>
      </c>
      <c r="G43">
        <v>6</v>
      </c>
      <c r="H43" t="s">
        <v>57</v>
      </c>
      <c r="I43" s="8" t="s">
        <v>123</v>
      </c>
      <c r="J43" t="s">
        <v>128</v>
      </c>
      <c r="Q43" s="7" t="s">
        <v>501</v>
      </c>
      <c r="S43" t="s">
        <v>32</v>
      </c>
      <c r="T43" t="s">
        <v>139</v>
      </c>
      <c r="U43" t="s">
        <v>85</v>
      </c>
      <c r="Y43" t="s">
        <v>35</v>
      </c>
      <c r="Z43" t="s">
        <v>239</v>
      </c>
      <c r="AA43" t="s">
        <v>240</v>
      </c>
      <c r="AB43" t="s">
        <v>241</v>
      </c>
      <c r="AC43">
        <v>3</v>
      </c>
    </row>
    <row r="44" spans="1:29" x14ac:dyDescent="0.3">
      <c r="A44">
        <v>1</v>
      </c>
      <c r="B44" s="23">
        <v>55</v>
      </c>
      <c r="C44" t="s">
        <v>50</v>
      </c>
      <c r="D44" t="s">
        <v>26</v>
      </c>
      <c r="E44" t="s">
        <v>200</v>
      </c>
      <c r="F44" t="s">
        <v>235</v>
      </c>
      <c r="G44">
        <v>5</v>
      </c>
      <c r="H44" t="s">
        <v>150</v>
      </c>
      <c r="I44" s="6" t="s">
        <v>124</v>
      </c>
      <c r="Q44" s="5" t="s">
        <v>496</v>
      </c>
      <c r="S44" t="s">
        <v>53</v>
      </c>
      <c r="T44" t="s">
        <v>54</v>
      </c>
      <c r="U44" t="s">
        <v>86</v>
      </c>
      <c r="Y44" t="s">
        <v>35</v>
      </c>
      <c r="Z44" t="s">
        <v>242</v>
      </c>
      <c r="AA44" t="s">
        <v>243</v>
      </c>
      <c r="AB44" t="s">
        <v>244</v>
      </c>
      <c r="AC44">
        <v>3</v>
      </c>
    </row>
    <row r="45" spans="1:29" x14ac:dyDescent="0.3">
      <c r="A45">
        <v>1</v>
      </c>
      <c r="B45" s="23">
        <v>53</v>
      </c>
      <c r="C45" t="s">
        <v>225</v>
      </c>
      <c r="D45" t="s">
        <v>104</v>
      </c>
      <c r="E45" t="s">
        <v>133</v>
      </c>
      <c r="F45" t="s">
        <v>28</v>
      </c>
      <c r="G45">
        <v>6</v>
      </c>
      <c r="H45" t="s">
        <v>57</v>
      </c>
      <c r="I45" s="8" t="s">
        <v>81</v>
      </c>
      <c r="Q45" s="7" t="s">
        <v>501</v>
      </c>
      <c r="S45" t="s">
        <v>53</v>
      </c>
      <c r="T45" t="s">
        <v>139</v>
      </c>
      <c r="U45" t="s">
        <v>85</v>
      </c>
      <c r="Y45" t="s">
        <v>59</v>
      </c>
      <c r="Z45" t="s">
        <v>245</v>
      </c>
      <c r="AA45" t="s">
        <v>246</v>
      </c>
      <c r="AB45" t="s">
        <v>247</v>
      </c>
      <c r="AC45">
        <v>5</v>
      </c>
    </row>
    <row r="46" spans="1:29" x14ac:dyDescent="0.3">
      <c r="A46">
        <v>1</v>
      </c>
      <c r="B46" s="23">
        <v>68</v>
      </c>
      <c r="C46" t="s">
        <v>225</v>
      </c>
      <c r="D46" t="s">
        <v>26</v>
      </c>
      <c r="E46" t="s">
        <v>133</v>
      </c>
      <c r="F46" t="s">
        <v>235</v>
      </c>
      <c r="G46">
        <v>1</v>
      </c>
      <c r="H46" t="s">
        <v>150</v>
      </c>
      <c r="I46" s="6" t="s">
        <v>81</v>
      </c>
      <c r="Q46" s="5" t="s">
        <v>496</v>
      </c>
      <c r="S46" t="s">
        <v>43</v>
      </c>
      <c r="T46" t="s">
        <v>54</v>
      </c>
      <c r="U46" t="s">
        <v>85</v>
      </c>
      <c r="Y46" t="s">
        <v>134</v>
      </c>
      <c r="Z46" t="s">
        <v>248</v>
      </c>
      <c r="AA46" t="s">
        <v>249</v>
      </c>
      <c r="AB46" t="s">
        <v>250</v>
      </c>
      <c r="AC46">
        <v>5</v>
      </c>
    </row>
    <row r="47" spans="1:29" x14ac:dyDescent="0.3">
      <c r="A47">
        <v>1</v>
      </c>
      <c r="B47" s="23">
        <v>52</v>
      </c>
      <c r="C47" t="s">
        <v>225</v>
      </c>
      <c r="D47" t="s">
        <v>26</v>
      </c>
      <c r="E47" t="s">
        <v>107</v>
      </c>
      <c r="F47" t="s">
        <v>28</v>
      </c>
      <c r="G47">
        <v>10</v>
      </c>
      <c r="H47" t="s">
        <v>158</v>
      </c>
      <c r="I47" s="8" t="s">
        <v>122</v>
      </c>
      <c r="Q47" s="5" t="s">
        <v>496</v>
      </c>
      <c r="S47" t="s">
        <v>53</v>
      </c>
      <c r="T47" t="s">
        <v>139</v>
      </c>
      <c r="U47" t="s">
        <v>86</v>
      </c>
      <c r="Y47" t="s">
        <v>134</v>
      </c>
      <c r="Z47" t="s">
        <v>251</v>
      </c>
      <c r="AA47" t="s">
        <v>252</v>
      </c>
      <c r="AB47" t="s">
        <v>253</v>
      </c>
      <c r="AC47">
        <v>5</v>
      </c>
    </row>
    <row r="48" spans="1:29" x14ac:dyDescent="0.3">
      <c r="A48">
        <v>1</v>
      </c>
      <c r="B48" s="23">
        <v>50</v>
      </c>
      <c r="C48" t="s">
        <v>25</v>
      </c>
      <c r="D48" t="s">
        <v>102</v>
      </c>
      <c r="E48" t="s">
        <v>200</v>
      </c>
      <c r="F48" t="s">
        <v>235</v>
      </c>
      <c r="G48">
        <v>5</v>
      </c>
      <c r="H48" t="s">
        <v>150</v>
      </c>
      <c r="I48" s="6" t="s">
        <v>81</v>
      </c>
      <c r="J48" t="s">
        <v>127</v>
      </c>
      <c r="Q48" s="5" t="s">
        <v>496</v>
      </c>
      <c r="S48" t="s">
        <v>53</v>
      </c>
      <c r="T48" t="s">
        <v>33</v>
      </c>
      <c r="U48" t="s">
        <v>85</v>
      </c>
      <c r="Y48" t="s">
        <v>45</v>
      </c>
      <c r="Z48" t="s">
        <v>254</v>
      </c>
      <c r="AA48" t="s">
        <v>255</v>
      </c>
      <c r="AB48" t="s">
        <v>256</v>
      </c>
      <c r="AC48">
        <v>1</v>
      </c>
    </row>
    <row r="49" spans="1:29" x14ac:dyDescent="0.3">
      <c r="A49">
        <v>1</v>
      </c>
      <c r="B49" s="23">
        <v>44</v>
      </c>
      <c r="C49" t="s">
        <v>50</v>
      </c>
      <c r="D49" t="s">
        <v>129</v>
      </c>
      <c r="E49" t="s">
        <v>27</v>
      </c>
      <c r="F49" t="s">
        <v>40</v>
      </c>
      <c r="G49">
        <v>6</v>
      </c>
      <c r="H49" t="s">
        <v>158</v>
      </c>
      <c r="I49" s="8" t="s">
        <v>123</v>
      </c>
      <c r="Q49" s="7" t="s">
        <v>501</v>
      </c>
      <c r="S49" t="s">
        <v>43</v>
      </c>
      <c r="T49" t="s">
        <v>54</v>
      </c>
      <c r="U49" t="s">
        <v>85</v>
      </c>
      <c r="Y49" t="s">
        <v>134</v>
      </c>
      <c r="Z49" t="s">
        <v>257</v>
      </c>
      <c r="AA49" t="s">
        <v>258</v>
      </c>
      <c r="AB49" t="s">
        <v>259</v>
      </c>
      <c r="AC49">
        <v>2</v>
      </c>
    </row>
    <row r="50" spans="1:29" x14ac:dyDescent="0.3">
      <c r="A50">
        <v>1</v>
      </c>
      <c r="B50" s="23">
        <v>69</v>
      </c>
      <c r="C50" t="s">
        <v>50</v>
      </c>
      <c r="D50" t="s">
        <v>104</v>
      </c>
      <c r="E50" t="s">
        <v>133</v>
      </c>
      <c r="F50" t="s">
        <v>235</v>
      </c>
      <c r="G50">
        <v>6</v>
      </c>
      <c r="H50" t="s">
        <v>158</v>
      </c>
      <c r="I50" s="6" t="s">
        <v>81</v>
      </c>
      <c r="Q50" s="5" t="s">
        <v>496</v>
      </c>
      <c r="S50" t="s">
        <v>53</v>
      </c>
      <c r="T50" t="s">
        <v>33</v>
      </c>
      <c r="U50" t="s">
        <v>86</v>
      </c>
      <c r="Y50" t="s">
        <v>35</v>
      </c>
      <c r="Z50" t="s">
        <v>260</v>
      </c>
      <c r="AA50" t="s">
        <v>261</v>
      </c>
      <c r="AB50" t="s">
        <v>262</v>
      </c>
      <c r="AC50">
        <v>3</v>
      </c>
    </row>
    <row r="51" spans="1:29" x14ac:dyDescent="0.3">
      <c r="A51">
        <v>1</v>
      </c>
      <c r="B51" s="23">
        <v>45</v>
      </c>
      <c r="C51" t="s">
        <v>25</v>
      </c>
      <c r="D51" t="s">
        <v>26</v>
      </c>
      <c r="E51" t="s">
        <v>200</v>
      </c>
      <c r="F51" t="s">
        <v>235</v>
      </c>
      <c r="G51">
        <v>3</v>
      </c>
      <c r="H51" t="s">
        <v>29</v>
      </c>
      <c r="I51" s="8" t="s">
        <v>81</v>
      </c>
      <c r="Q51" s="7" t="s">
        <v>501</v>
      </c>
      <c r="S51" t="s">
        <v>53</v>
      </c>
      <c r="T51" t="s">
        <v>33</v>
      </c>
      <c r="U51" t="s">
        <v>85</v>
      </c>
      <c r="Y51" t="s">
        <v>45</v>
      </c>
      <c r="Z51" t="s">
        <v>263</v>
      </c>
      <c r="AA51" t="s">
        <v>264</v>
      </c>
      <c r="AB51" t="s">
        <v>265</v>
      </c>
      <c r="AC51">
        <v>5</v>
      </c>
    </row>
    <row r="52" spans="1:29" x14ac:dyDescent="0.3">
      <c r="A52">
        <v>1</v>
      </c>
      <c r="B52" s="23">
        <v>37</v>
      </c>
      <c r="C52" t="s">
        <v>50</v>
      </c>
      <c r="D52" t="s">
        <v>102</v>
      </c>
      <c r="E52" t="s">
        <v>200</v>
      </c>
      <c r="F52" t="s">
        <v>235</v>
      </c>
      <c r="G52">
        <v>4</v>
      </c>
      <c r="H52" t="s">
        <v>29</v>
      </c>
      <c r="I52" s="6" t="s">
        <v>81</v>
      </c>
      <c r="Q52" s="5" t="s">
        <v>498</v>
      </c>
      <c r="S52" t="s">
        <v>32</v>
      </c>
      <c r="T52" t="s">
        <v>33</v>
      </c>
      <c r="U52" s="26" t="s">
        <v>508</v>
      </c>
      <c r="Y52" t="s">
        <v>134</v>
      </c>
      <c r="Z52" t="s">
        <v>266</v>
      </c>
      <c r="AA52" t="s">
        <v>267</v>
      </c>
      <c r="AB52" t="s">
        <v>268</v>
      </c>
      <c r="AC52">
        <v>3</v>
      </c>
    </row>
    <row r="53" spans="1:29" x14ac:dyDescent="0.3">
      <c r="A53">
        <v>1</v>
      </c>
      <c r="B53" s="23">
        <v>23</v>
      </c>
      <c r="C53" t="s">
        <v>25</v>
      </c>
      <c r="D53" t="s">
        <v>26</v>
      </c>
      <c r="E53" t="s">
        <v>107</v>
      </c>
      <c r="F53" t="s">
        <v>40</v>
      </c>
      <c r="G53">
        <v>5</v>
      </c>
      <c r="H53" t="s">
        <v>150</v>
      </c>
      <c r="I53" s="8" t="s">
        <v>81</v>
      </c>
      <c r="J53" t="s">
        <v>127</v>
      </c>
      <c r="K53" t="s">
        <v>128</v>
      </c>
      <c r="Q53" s="5" t="s">
        <v>496</v>
      </c>
      <c r="S53" t="s">
        <v>43</v>
      </c>
      <c r="T53" t="s">
        <v>139</v>
      </c>
      <c r="U53" t="s">
        <v>85</v>
      </c>
      <c r="Y53" t="s">
        <v>134</v>
      </c>
      <c r="Z53" t="s">
        <v>269</v>
      </c>
      <c r="AA53" t="s">
        <v>270</v>
      </c>
      <c r="AB53" t="s">
        <v>271</v>
      </c>
      <c r="AC53">
        <v>3</v>
      </c>
    </row>
    <row r="54" spans="1:29" x14ac:dyDescent="0.3">
      <c r="A54">
        <v>1</v>
      </c>
      <c r="B54" s="23">
        <v>55</v>
      </c>
      <c r="C54" t="s">
        <v>50</v>
      </c>
      <c r="D54" t="s">
        <v>102</v>
      </c>
      <c r="E54" t="s">
        <v>107</v>
      </c>
      <c r="F54" t="s">
        <v>235</v>
      </c>
      <c r="G54">
        <v>7</v>
      </c>
      <c r="H54" t="s">
        <v>150</v>
      </c>
      <c r="I54" s="8" t="s">
        <v>82</v>
      </c>
      <c r="Q54" s="5" t="s">
        <v>500</v>
      </c>
      <c r="S54" t="s">
        <v>32</v>
      </c>
      <c r="T54" t="s">
        <v>33</v>
      </c>
      <c r="U54" t="s">
        <v>85</v>
      </c>
      <c r="Y54" t="s">
        <v>35</v>
      </c>
      <c r="Z54" t="s">
        <v>272</v>
      </c>
      <c r="AA54" t="s">
        <v>273</v>
      </c>
      <c r="AB54" t="s">
        <v>274</v>
      </c>
      <c r="AC54">
        <v>4</v>
      </c>
    </row>
    <row r="55" spans="1:29" x14ac:dyDescent="0.3">
      <c r="A55">
        <v>1</v>
      </c>
      <c r="B55" s="23">
        <v>30</v>
      </c>
      <c r="C55" t="s">
        <v>50</v>
      </c>
      <c r="D55" t="s">
        <v>102</v>
      </c>
      <c r="E55" t="s">
        <v>133</v>
      </c>
      <c r="F55" t="s">
        <v>40</v>
      </c>
      <c r="G55">
        <v>7</v>
      </c>
      <c r="H55" t="s">
        <v>57</v>
      </c>
      <c r="I55" s="8" t="s">
        <v>122</v>
      </c>
      <c r="Q55" s="7" t="s">
        <v>501</v>
      </c>
      <c r="S55" t="s">
        <v>32</v>
      </c>
      <c r="T55" t="s">
        <v>54</v>
      </c>
      <c r="U55" t="s">
        <v>86</v>
      </c>
      <c r="Y55" t="s">
        <v>134</v>
      </c>
      <c r="Z55" t="s">
        <v>275</v>
      </c>
      <c r="AA55" t="s">
        <v>276</v>
      </c>
      <c r="AB55" t="s">
        <v>277</v>
      </c>
      <c r="AC55">
        <v>2</v>
      </c>
    </row>
    <row r="56" spans="1:29" x14ac:dyDescent="0.3">
      <c r="A56">
        <v>1</v>
      </c>
      <c r="B56" s="23">
        <v>46</v>
      </c>
      <c r="C56" t="s">
        <v>50</v>
      </c>
      <c r="D56" t="s">
        <v>104</v>
      </c>
      <c r="E56" t="s">
        <v>200</v>
      </c>
      <c r="F56" t="s">
        <v>235</v>
      </c>
      <c r="G56">
        <v>7</v>
      </c>
      <c r="H56" t="s">
        <v>158</v>
      </c>
      <c r="I56" s="6" t="s">
        <v>123</v>
      </c>
      <c r="Q56" s="5" t="s">
        <v>501</v>
      </c>
      <c r="S56" t="s">
        <v>43</v>
      </c>
      <c r="T56" t="s">
        <v>33</v>
      </c>
      <c r="U56" t="s">
        <v>85</v>
      </c>
      <c r="Y56" t="s">
        <v>59</v>
      </c>
      <c r="Z56" t="s">
        <v>278</v>
      </c>
      <c r="AA56" t="s">
        <v>279</v>
      </c>
      <c r="AB56" t="s">
        <v>280</v>
      </c>
      <c r="AC56">
        <v>4</v>
      </c>
    </row>
    <row r="57" spans="1:29" x14ac:dyDescent="0.3">
      <c r="A57">
        <v>1</v>
      </c>
      <c r="B57" s="23">
        <v>61</v>
      </c>
      <c r="C57" t="s">
        <v>25</v>
      </c>
      <c r="D57" t="s">
        <v>129</v>
      </c>
      <c r="E57" t="s">
        <v>133</v>
      </c>
      <c r="F57" t="s">
        <v>28</v>
      </c>
      <c r="G57">
        <v>1</v>
      </c>
      <c r="H57" t="s">
        <v>150</v>
      </c>
      <c r="I57" s="8" t="s">
        <v>81</v>
      </c>
      <c r="Q57" s="7" t="s">
        <v>497</v>
      </c>
      <c r="S57" t="s">
        <v>32</v>
      </c>
      <c r="T57" t="s">
        <v>139</v>
      </c>
      <c r="U57" s="26" t="s">
        <v>508</v>
      </c>
      <c r="Y57" t="s">
        <v>35</v>
      </c>
      <c r="Z57" t="s">
        <v>281</v>
      </c>
      <c r="AA57" t="s">
        <v>282</v>
      </c>
      <c r="AB57" t="s">
        <v>283</v>
      </c>
      <c r="AC57">
        <v>1</v>
      </c>
    </row>
    <row r="58" spans="1:29" x14ac:dyDescent="0.3">
      <c r="A58">
        <v>1</v>
      </c>
      <c r="B58" s="23">
        <v>58</v>
      </c>
      <c r="C58" t="s">
        <v>25</v>
      </c>
      <c r="D58" t="s">
        <v>104</v>
      </c>
      <c r="E58" t="s">
        <v>200</v>
      </c>
      <c r="F58" t="s">
        <v>235</v>
      </c>
      <c r="G58">
        <v>7</v>
      </c>
      <c r="H58" t="s">
        <v>158</v>
      </c>
      <c r="I58" s="6" t="s">
        <v>122</v>
      </c>
      <c r="Q58" s="5" t="s">
        <v>501</v>
      </c>
      <c r="S58" t="s">
        <v>32</v>
      </c>
      <c r="T58" t="s">
        <v>33</v>
      </c>
      <c r="U58" s="26" t="s">
        <v>62</v>
      </c>
      <c r="Y58" t="s">
        <v>35</v>
      </c>
      <c r="Z58" t="s">
        <v>284</v>
      </c>
      <c r="AA58" t="s">
        <v>285</v>
      </c>
      <c r="AB58" t="s">
        <v>286</v>
      </c>
      <c r="AC58">
        <v>1</v>
      </c>
    </row>
    <row r="59" spans="1:29" x14ac:dyDescent="0.3">
      <c r="A59">
        <v>1</v>
      </c>
      <c r="B59" s="23">
        <v>65</v>
      </c>
      <c r="C59" t="s">
        <v>25</v>
      </c>
      <c r="D59" t="s">
        <v>26</v>
      </c>
      <c r="E59" t="s">
        <v>27</v>
      </c>
      <c r="F59" t="s">
        <v>235</v>
      </c>
      <c r="G59">
        <v>9</v>
      </c>
      <c r="H59" t="s">
        <v>57</v>
      </c>
      <c r="I59" s="8" t="s">
        <v>81</v>
      </c>
      <c r="J59" t="s">
        <v>126</v>
      </c>
      <c r="K59" t="s">
        <v>128</v>
      </c>
      <c r="Q59" s="5" t="s">
        <v>498</v>
      </c>
      <c r="S59" t="s">
        <v>43</v>
      </c>
      <c r="T59" t="s">
        <v>139</v>
      </c>
      <c r="U59" s="8" t="s">
        <v>62</v>
      </c>
      <c r="Y59" t="s">
        <v>35</v>
      </c>
      <c r="Z59" t="s">
        <v>287</v>
      </c>
      <c r="AA59" t="s">
        <v>288</v>
      </c>
      <c r="AB59" t="s">
        <v>289</v>
      </c>
      <c r="AC59">
        <v>4</v>
      </c>
    </row>
    <row r="60" spans="1:29" x14ac:dyDescent="0.3">
      <c r="A60">
        <v>1</v>
      </c>
      <c r="B60" s="23">
        <v>61</v>
      </c>
      <c r="C60" t="s">
        <v>25</v>
      </c>
      <c r="D60" t="s">
        <v>129</v>
      </c>
      <c r="E60" t="s">
        <v>133</v>
      </c>
      <c r="F60" t="s">
        <v>40</v>
      </c>
      <c r="G60">
        <v>10</v>
      </c>
      <c r="H60" t="s">
        <v>29</v>
      </c>
      <c r="I60" s="6" t="s">
        <v>122</v>
      </c>
      <c r="J60" t="s">
        <v>126</v>
      </c>
      <c r="K60" t="s">
        <v>127</v>
      </c>
      <c r="Q60" s="5" t="s">
        <v>501</v>
      </c>
      <c r="S60" t="s">
        <v>53</v>
      </c>
      <c r="T60" t="s">
        <v>33</v>
      </c>
      <c r="U60" s="6" t="s">
        <v>62</v>
      </c>
      <c r="Y60" t="s">
        <v>59</v>
      </c>
      <c r="Z60" t="s">
        <v>290</v>
      </c>
      <c r="AA60" t="s">
        <v>291</v>
      </c>
      <c r="AB60" t="s">
        <v>292</v>
      </c>
      <c r="AC60">
        <v>5</v>
      </c>
    </row>
    <row r="61" spans="1:29" x14ac:dyDescent="0.3">
      <c r="A61">
        <v>1</v>
      </c>
      <c r="B61" s="23">
        <v>63</v>
      </c>
      <c r="C61" t="s">
        <v>50</v>
      </c>
      <c r="D61" t="s">
        <v>104</v>
      </c>
      <c r="E61" t="s">
        <v>200</v>
      </c>
      <c r="F61" t="s">
        <v>40</v>
      </c>
      <c r="G61">
        <v>8</v>
      </c>
      <c r="H61" t="s">
        <v>158</v>
      </c>
      <c r="I61" s="8" t="s">
        <v>81</v>
      </c>
      <c r="J61" t="s">
        <v>126</v>
      </c>
      <c r="Q61" s="7" t="s">
        <v>501</v>
      </c>
      <c r="S61" t="s">
        <v>43</v>
      </c>
      <c r="T61" t="s">
        <v>139</v>
      </c>
      <c r="U61" s="8" t="s">
        <v>62</v>
      </c>
      <c r="Y61" t="s">
        <v>134</v>
      </c>
      <c r="Z61" t="s">
        <v>293</v>
      </c>
      <c r="AA61" t="s">
        <v>294</v>
      </c>
      <c r="AB61" t="s">
        <v>295</v>
      </c>
      <c r="AC61">
        <v>4</v>
      </c>
    </row>
    <row r="62" spans="1:29" x14ac:dyDescent="0.3">
      <c r="A62">
        <v>1</v>
      </c>
      <c r="B62" s="23">
        <v>52</v>
      </c>
      <c r="C62" t="s">
        <v>25</v>
      </c>
      <c r="D62" t="s">
        <v>26</v>
      </c>
      <c r="E62" t="s">
        <v>133</v>
      </c>
      <c r="F62" t="s">
        <v>40</v>
      </c>
      <c r="G62">
        <v>4</v>
      </c>
      <c r="H62" t="s">
        <v>57</v>
      </c>
      <c r="I62" s="6" t="s">
        <v>81</v>
      </c>
      <c r="Q62" s="5" t="s">
        <v>496</v>
      </c>
      <c r="S62" t="s">
        <v>32</v>
      </c>
      <c r="T62" t="s">
        <v>33</v>
      </c>
      <c r="U62" t="s">
        <v>85</v>
      </c>
      <c r="Y62" t="s">
        <v>59</v>
      </c>
      <c r="Z62" t="s">
        <v>296</v>
      </c>
      <c r="AA62" t="s">
        <v>297</v>
      </c>
      <c r="AB62" t="s">
        <v>298</v>
      </c>
      <c r="AC62">
        <v>3</v>
      </c>
    </row>
    <row r="63" spans="1:29" x14ac:dyDescent="0.3">
      <c r="A63">
        <v>1</v>
      </c>
      <c r="B63" s="23">
        <v>68</v>
      </c>
      <c r="C63" t="s">
        <v>25</v>
      </c>
      <c r="D63" t="s">
        <v>26</v>
      </c>
      <c r="E63" t="s">
        <v>200</v>
      </c>
      <c r="F63" t="s">
        <v>235</v>
      </c>
      <c r="G63">
        <v>8</v>
      </c>
      <c r="H63" t="s">
        <v>57</v>
      </c>
      <c r="I63" s="8" t="s">
        <v>81</v>
      </c>
      <c r="J63" t="s">
        <v>126</v>
      </c>
      <c r="K63" t="s">
        <v>127</v>
      </c>
      <c r="L63" t="s">
        <v>128</v>
      </c>
      <c r="Q63" s="7" t="s">
        <v>501</v>
      </c>
      <c r="S63" t="s">
        <v>53</v>
      </c>
      <c r="T63" t="s">
        <v>33</v>
      </c>
      <c r="U63" t="s">
        <v>85</v>
      </c>
      <c r="Y63" t="s">
        <v>134</v>
      </c>
      <c r="Z63" t="s">
        <v>299</v>
      </c>
      <c r="AA63" t="s">
        <v>300</v>
      </c>
      <c r="AB63" t="s">
        <v>301</v>
      </c>
      <c r="AC63">
        <v>4</v>
      </c>
    </row>
    <row r="64" spans="1:29" x14ac:dyDescent="0.3">
      <c r="A64">
        <v>1</v>
      </c>
      <c r="B64" s="23">
        <v>56</v>
      </c>
      <c r="C64" t="s">
        <v>225</v>
      </c>
      <c r="D64" t="s">
        <v>102</v>
      </c>
      <c r="E64" t="s">
        <v>200</v>
      </c>
      <c r="F64" t="s">
        <v>40</v>
      </c>
      <c r="G64">
        <v>2</v>
      </c>
      <c r="H64" t="s">
        <v>150</v>
      </c>
      <c r="I64" s="6" t="s">
        <v>81</v>
      </c>
      <c r="J64" t="s">
        <v>126</v>
      </c>
      <c r="Q64" s="5" t="s">
        <v>496</v>
      </c>
      <c r="S64" t="s">
        <v>43</v>
      </c>
      <c r="T64" t="s">
        <v>33</v>
      </c>
      <c r="U64" t="s">
        <v>86</v>
      </c>
      <c r="Y64" t="s">
        <v>59</v>
      </c>
      <c r="Z64" t="s">
        <v>302</v>
      </c>
      <c r="AA64" t="s">
        <v>303</v>
      </c>
      <c r="AB64" t="s">
        <v>304</v>
      </c>
      <c r="AC64">
        <v>3</v>
      </c>
    </row>
    <row r="65" spans="1:29" x14ac:dyDescent="0.3">
      <c r="A65">
        <v>1</v>
      </c>
      <c r="B65" s="23">
        <v>43</v>
      </c>
      <c r="C65" t="s">
        <v>25</v>
      </c>
      <c r="D65" t="s">
        <v>26</v>
      </c>
      <c r="E65" t="s">
        <v>107</v>
      </c>
      <c r="F65" t="s">
        <v>28</v>
      </c>
      <c r="G65">
        <v>2</v>
      </c>
      <c r="H65" t="s">
        <v>57</v>
      </c>
      <c r="I65" s="8" t="s">
        <v>81</v>
      </c>
      <c r="J65" t="s">
        <v>127</v>
      </c>
      <c r="Q65" s="5" t="s">
        <v>496</v>
      </c>
      <c r="S65" t="s">
        <v>53</v>
      </c>
      <c r="T65" t="s">
        <v>54</v>
      </c>
      <c r="U65" t="s">
        <v>85</v>
      </c>
      <c r="Y65" t="s">
        <v>59</v>
      </c>
      <c r="Z65" t="s">
        <v>305</v>
      </c>
      <c r="AA65" t="s">
        <v>306</v>
      </c>
      <c r="AB65" t="s">
        <v>307</v>
      </c>
      <c r="AC65">
        <v>3</v>
      </c>
    </row>
    <row r="66" spans="1:29" x14ac:dyDescent="0.3">
      <c r="A66">
        <v>1</v>
      </c>
      <c r="B66" s="23">
        <v>48</v>
      </c>
      <c r="C66" t="s">
        <v>50</v>
      </c>
      <c r="D66" t="s">
        <v>104</v>
      </c>
      <c r="E66" t="s">
        <v>27</v>
      </c>
      <c r="F66" t="s">
        <v>40</v>
      </c>
      <c r="G66">
        <v>6</v>
      </c>
      <c r="H66" t="s">
        <v>158</v>
      </c>
      <c r="I66" s="6" t="s">
        <v>123</v>
      </c>
      <c r="Q66" s="5" t="s">
        <v>496</v>
      </c>
      <c r="S66" t="s">
        <v>53</v>
      </c>
      <c r="T66" t="s">
        <v>54</v>
      </c>
      <c r="U66" s="26" t="s">
        <v>508</v>
      </c>
      <c r="Y66" t="s">
        <v>35</v>
      </c>
      <c r="Z66" t="s">
        <v>308</v>
      </c>
      <c r="AA66" t="s">
        <v>309</v>
      </c>
      <c r="AB66" t="s">
        <v>310</v>
      </c>
      <c r="AC66">
        <v>5</v>
      </c>
    </row>
    <row r="67" spans="1:29" x14ac:dyDescent="0.3">
      <c r="A67">
        <v>1</v>
      </c>
      <c r="B67" s="23">
        <v>60</v>
      </c>
      <c r="C67" t="s">
        <v>25</v>
      </c>
      <c r="D67" t="s">
        <v>102</v>
      </c>
      <c r="E67" t="s">
        <v>107</v>
      </c>
      <c r="F67" t="s">
        <v>28</v>
      </c>
      <c r="G67">
        <v>7</v>
      </c>
      <c r="H67" t="s">
        <v>57</v>
      </c>
      <c r="I67" s="8" t="s">
        <v>81</v>
      </c>
      <c r="J67" t="s">
        <v>128</v>
      </c>
      <c r="Q67" s="7" t="s">
        <v>501</v>
      </c>
      <c r="S67" t="s">
        <v>43</v>
      </c>
      <c r="T67" t="s">
        <v>33</v>
      </c>
      <c r="U67" t="s">
        <v>85</v>
      </c>
      <c r="Y67" t="s">
        <v>45</v>
      </c>
      <c r="Z67" t="s">
        <v>311</v>
      </c>
      <c r="AA67" t="s">
        <v>312</v>
      </c>
      <c r="AB67" t="s">
        <v>313</v>
      </c>
      <c r="AC67">
        <v>4</v>
      </c>
    </row>
    <row r="68" spans="1:29" x14ac:dyDescent="0.3">
      <c r="A68">
        <v>1</v>
      </c>
      <c r="B68" s="23">
        <v>42</v>
      </c>
      <c r="C68" t="s">
        <v>225</v>
      </c>
      <c r="D68" t="s">
        <v>26</v>
      </c>
      <c r="E68" t="s">
        <v>107</v>
      </c>
      <c r="F68" t="s">
        <v>40</v>
      </c>
      <c r="G68">
        <v>5</v>
      </c>
      <c r="H68" t="s">
        <v>150</v>
      </c>
      <c r="I68" s="6" t="s">
        <v>81</v>
      </c>
      <c r="Q68" s="5" t="s">
        <v>496</v>
      </c>
      <c r="S68" t="s">
        <v>43</v>
      </c>
      <c r="T68" t="s">
        <v>139</v>
      </c>
      <c r="U68" t="s">
        <v>85</v>
      </c>
      <c r="Y68" t="s">
        <v>45</v>
      </c>
      <c r="Z68" t="s">
        <v>314</v>
      </c>
      <c r="AA68" t="s">
        <v>315</v>
      </c>
      <c r="AB68" t="s">
        <v>316</v>
      </c>
      <c r="AC68">
        <v>4</v>
      </c>
    </row>
    <row r="69" spans="1:29" x14ac:dyDescent="0.3">
      <c r="A69">
        <v>1</v>
      </c>
      <c r="B69" s="23">
        <v>58</v>
      </c>
      <c r="C69" t="s">
        <v>25</v>
      </c>
      <c r="D69" t="s">
        <v>129</v>
      </c>
      <c r="E69" t="s">
        <v>107</v>
      </c>
      <c r="F69" t="s">
        <v>28</v>
      </c>
      <c r="G69">
        <v>1</v>
      </c>
      <c r="H69" t="s">
        <v>57</v>
      </c>
      <c r="I69" s="8" t="s">
        <v>81</v>
      </c>
      <c r="Q69" s="7" t="s">
        <v>501</v>
      </c>
      <c r="S69" t="s">
        <v>53</v>
      </c>
      <c r="T69" t="s">
        <v>139</v>
      </c>
      <c r="U69" t="s">
        <v>86</v>
      </c>
      <c r="Y69" t="s">
        <v>35</v>
      </c>
      <c r="Z69" t="s">
        <v>317</v>
      </c>
      <c r="AA69" t="s">
        <v>318</v>
      </c>
      <c r="AB69" t="s">
        <v>319</v>
      </c>
      <c r="AC69">
        <v>5</v>
      </c>
    </row>
    <row r="70" spans="1:29" x14ac:dyDescent="0.3">
      <c r="A70">
        <v>1</v>
      </c>
      <c r="B70" s="23">
        <v>67</v>
      </c>
      <c r="C70" t="s">
        <v>225</v>
      </c>
      <c r="D70" t="s">
        <v>104</v>
      </c>
      <c r="E70" t="s">
        <v>27</v>
      </c>
      <c r="F70" t="s">
        <v>40</v>
      </c>
      <c r="G70">
        <v>8</v>
      </c>
      <c r="H70" t="s">
        <v>29</v>
      </c>
      <c r="I70" s="6" t="s">
        <v>122</v>
      </c>
      <c r="J70" t="s">
        <v>126</v>
      </c>
      <c r="Q70" s="5" t="s">
        <v>498</v>
      </c>
      <c r="S70" t="s">
        <v>53</v>
      </c>
      <c r="T70" t="s">
        <v>54</v>
      </c>
      <c r="U70" t="s">
        <v>85</v>
      </c>
      <c r="Y70" t="s">
        <v>134</v>
      </c>
      <c r="Z70" t="s">
        <v>320</v>
      </c>
      <c r="AA70" t="s">
        <v>321</v>
      </c>
      <c r="AB70" t="s">
        <v>322</v>
      </c>
      <c r="AC70">
        <v>4</v>
      </c>
    </row>
    <row r="71" spans="1:29" x14ac:dyDescent="0.3">
      <c r="A71">
        <v>1</v>
      </c>
      <c r="B71" s="23">
        <v>68</v>
      </c>
      <c r="C71" t="s">
        <v>50</v>
      </c>
      <c r="D71" t="s">
        <v>129</v>
      </c>
      <c r="E71" t="s">
        <v>27</v>
      </c>
      <c r="F71" t="s">
        <v>235</v>
      </c>
      <c r="G71">
        <v>6</v>
      </c>
      <c r="H71" t="s">
        <v>29</v>
      </c>
      <c r="I71" s="8" t="s">
        <v>124</v>
      </c>
      <c r="Q71" s="5" t="s">
        <v>496</v>
      </c>
      <c r="S71" t="s">
        <v>53</v>
      </c>
      <c r="T71" t="s">
        <v>33</v>
      </c>
      <c r="U71" s="26" t="s">
        <v>508</v>
      </c>
      <c r="Y71" t="s">
        <v>134</v>
      </c>
      <c r="Z71" t="s">
        <v>323</v>
      </c>
      <c r="AA71" t="s">
        <v>324</v>
      </c>
      <c r="AB71" t="s">
        <v>325</v>
      </c>
      <c r="AC71">
        <v>4</v>
      </c>
    </row>
    <row r="72" spans="1:29" x14ac:dyDescent="0.3">
      <c r="A72">
        <v>1</v>
      </c>
      <c r="B72" s="23">
        <v>34</v>
      </c>
      <c r="C72" t="s">
        <v>225</v>
      </c>
      <c r="D72" t="s">
        <v>102</v>
      </c>
      <c r="E72" t="s">
        <v>27</v>
      </c>
      <c r="F72" t="s">
        <v>40</v>
      </c>
      <c r="G72">
        <v>10</v>
      </c>
      <c r="H72" t="s">
        <v>57</v>
      </c>
      <c r="I72" s="6" t="s">
        <v>122</v>
      </c>
      <c r="Q72" s="5" t="s">
        <v>500</v>
      </c>
      <c r="S72" t="s">
        <v>32</v>
      </c>
      <c r="T72" t="s">
        <v>33</v>
      </c>
      <c r="U72" s="26" t="s">
        <v>62</v>
      </c>
      <c r="Y72" t="s">
        <v>59</v>
      </c>
      <c r="Z72" t="s">
        <v>326</v>
      </c>
      <c r="AA72" t="s">
        <v>327</v>
      </c>
      <c r="AB72" t="s">
        <v>328</v>
      </c>
      <c r="AC72">
        <v>1</v>
      </c>
    </row>
    <row r="73" spans="1:29" x14ac:dyDescent="0.3">
      <c r="A73">
        <v>1</v>
      </c>
      <c r="B73" s="23">
        <v>24</v>
      </c>
      <c r="C73" t="s">
        <v>50</v>
      </c>
      <c r="D73" t="s">
        <v>26</v>
      </c>
      <c r="E73" t="s">
        <v>107</v>
      </c>
      <c r="F73" t="s">
        <v>40</v>
      </c>
      <c r="G73">
        <v>3</v>
      </c>
      <c r="H73" t="s">
        <v>150</v>
      </c>
      <c r="I73" s="8" t="s">
        <v>122</v>
      </c>
      <c r="Q73" s="7" t="s">
        <v>501</v>
      </c>
      <c r="S73" t="s">
        <v>32</v>
      </c>
      <c r="T73" t="s">
        <v>33</v>
      </c>
      <c r="U73" s="8" t="s">
        <v>62</v>
      </c>
      <c r="Y73" t="s">
        <v>134</v>
      </c>
      <c r="Z73" t="s">
        <v>329</v>
      </c>
      <c r="AA73" t="s">
        <v>330</v>
      </c>
      <c r="AB73" t="s">
        <v>331</v>
      </c>
      <c r="AC73">
        <v>4</v>
      </c>
    </row>
    <row r="74" spans="1:29" x14ac:dyDescent="0.3">
      <c r="A74">
        <v>1</v>
      </c>
      <c r="B74" s="23">
        <v>50</v>
      </c>
      <c r="C74" t="s">
        <v>50</v>
      </c>
      <c r="D74" t="s">
        <v>129</v>
      </c>
      <c r="E74" t="s">
        <v>27</v>
      </c>
      <c r="F74" t="s">
        <v>235</v>
      </c>
      <c r="G74">
        <v>5</v>
      </c>
      <c r="H74" t="s">
        <v>29</v>
      </c>
      <c r="I74" s="6" t="s">
        <v>81</v>
      </c>
      <c r="Q74" s="5" t="s">
        <v>501</v>
      </c>
      <c r="S74" t="s">
        <v>43</v>
      </c>
      <c r="T74" t="s">
        <v>54</v>
      </c>
      <c r="U74" t="s">
        <v>85</v>
      </c>
      <c r="Y74" t="s">
        <v>59</v>
      </c>
      <c r="Z74" t="s">
        <v>332</v>
      </c>
      <c r="AA74" t="s">
        <v>333</v>
      </c>
      <c r="AB74" t="s">
        <v>334</v>
      </c>
      <c r="AC74">
        <v>4</v>
      </c>
    </row>
    <row r="75" spans="1:29" x14ac:dyDescent="0.3">
      <c r="A75">
        <v>1</v>
      </c>
      <c r="B75" s="23">
        <v>51</v>
      </c>
      <c r="C75" t="s">
        <v>50</v>
      </c>
      <c r="D75" t="s">
        <v>26</v>
      </c>
      <c r="E75" t="s">
        <v>133</v>
      </c>
      <c r="F75" t="s">
        <v>28</v>
      </c>
      <c r="G75">
        <v>6</v>
      </c>
      <c r="H75" t="s">
        <v>158</v>
      </c>
      <c r="I75" s="8" t="s">
        <v>123</v>
      </c>
      <c r="Q75" s="7" t="s">
        <v>497</v>
      </c>
      <c r="S75" t="s">
        <v>43</v>
      </c>
      <c r="T75" t="s">
        <v>54</v>
      </c>
      <c r="U75" t="s">
        <v>85</v>
      </c>
      <c r="Y75" t="s">
        <v>35</v>
      </c>
      <c r="Z75" t="s">
        <v>335</v>
      </c>
      <c r="AA75" t="s">
        <v>336</v>
      </c>
      <c r="AB75" t="s">
        <v>337</v>
      </c>
      <c r="AC75">
        <v>5</v>
      </c>
    </row>
    <row r="76" spans="1:29" x14ac:dyDescent="0.3">
      <c r="A76">
        <v>1</v>
      </c>
      <c r="B76" s="23">
        <v>62</v>
      </c>
      <c r="C76" t="s">
        <v>225</v>
      </c>
      <c r="D76" t="s">
        <v>129</v>
      </c>
      <c r="E76" t="s">
        <v>107</v>
      </c>
      <c r="F76" t="s">
        <v>28</v>
      </c>
      <c r="G76">
        <v>3</v>
      </c>
      <c r="H76" t="s">
        <v>57</v>
      </c>
      <c r="I76" s="6" t="s">
        <v>81</v>
      </c>
      <c r="Q76" s="5" t="s">
        <v>501</v>
      </c>
      <c r="S76" t="s">
        <v>32</v>
      </c>
      <c r="T76" t="s">
        <v>54</v>
      </c>
      <c r="U76" t="s">
        <v>86</v>
      </c>
      <c r="Y76" t="s">
        <v>35</v>
      </c>
      <c r="Z76" t="s">
        <v>338</v>
      </c>
      <c r="AA76" t="s">
        <v>339</v>
      </c>
      <c r="AB76" t="s">
        <v>340</v>
      </c>
      <c r="AC76">
        <v>2</v>
      </c>
    </row>
    <row r="77" spans="1:29" x14ac:dyDescent="0.3">
      <c r="A77">
        <v>1</v>
      </c>
      <c r="B77" s="23">
        <v>30</v>
      </c>
      <c r="C77" t="s">
        <v>25</v>
      </c>
      <c r="D77" t="s">
        <v>26</v>
      </c>
      <c r="E77" t="s">
        <v>133</v>
      </c>
      <c r="F77" t="s">
        <v>235</v>
      </c>
      <c r="G77">
        <v>6</v>
      </c>
      <c r="H77" t="s">
        <v>57</v>
      </c>
      <c r="I77" s="8" t="s">
        <v>122</v>
      </c>
      <c r="Q77" s="5" t="s">
        <v>498</v>
      </c>
      <c r="S77" t="s">
        <v>32</v>
      </c>
      <c r="T77" t="s">
        <v>139</v>
      </c>
      <c r="U77" t="s">
        <v>85</v>
      </c>
      <c r="Y77" t="s">
        <v>59</v>
      </c>
      <c r="Z77" t="s">
        <v>341</v>
      </c>
      <c r="AA77" t="s">
        <v>342</v>
      </c>
      <c r="AB77" t="s">
        <v>343</v>
      </c>
      <c r="AC77">
        <v>2</v>
      </c>
    </row>
    <row r="78" spans="1:29" x14ac:dyDescent="0.3">
      <c r="A78">
        <v>1</v>
      </c>
      <c r="B78" s="23">
        <v>69</v>
      </c>
      <c r="C78" t="s">
        <v>225</v>
      </c>
      <c r="D78" t="s">
        <v>104</v>
      </c>
      <c r="E78" t="s">
        <v>133</v>
      </c>
      <c r="F78" t="s">
        <v>40</v>
      </c>
      <c r="G78">
        <v>8</v>
      </c>
      <c r="H78" t="s">
        <v>158</v>
      </c>
      <c r="I78" s="6" t="s">
        <v>81</v>
      </c>
      <c r="Q78" s="5" t="s">
        <v>501</v>
      </c>
      <c r="S78" t="s">
        <v>53</v>
      </c>
      <c r="T78" t="s">
        <v>33</v>
      </c>
      <c r="U78" s="26" t="s">
        <v>508</v>
      </c>
      <c r="Y78" t="s">
        <v>134</v>
      </c>
      <c r="Z78" t="s">
        <v>344</v>
      </c>
      <c r="AA78" t="s">
        <v>345</v>
      </c>
      <c r="AB78" t="s">
        <v>346</v>
      </c>
      <c r="AC78">
        <v>3</v>
      </c>
    </row>
    <row r="79" spans="1:29" x14ac:dyDescent="0.3">
      <c r="A79">
        <v>1</v>
      </c>
      <c r="B79" s="23">
        <v>20</v>
      </c>
      <c r="C79" t="s">
        <v>25</v>
      </c>
      <c r="D79" t="s">
        <v>26</v>
      </c>
      <c r="E79" t="s">
        <v>133</v>
      </c>
      <c r="F79" t="s">
        <v>28</v>
      </c>
      <c r="G79">
        <v>4</v>
      </c>
      <c r="H79" t="s">
        <v>158</v>
      </c>
      <c r="I79" s="8" t="s">
        <v>81</v>
      </c>
      <c r="Q79" s="7" t="s">
        <v>501</v>
      </c>
      <c r="S79" t="s">
        <v>53</v>
      </c>
      <c r="T79" t="s">
        <v>139</v>
      </c>
      <c r="U79" t="s">
        <v>85</v>
      </c>
      <c r="Y79" t="s">
        <v>134</v>
      </c>
      <c r="Z79" t="s">
        <v>347</v>
      </c>
      <c r="AB79" t="s">
        <v>348</v>
      </c>
      <c r="AC79">
        <v>2</v>
      </c>
    </row>
    <row r="80" spans="1:29" x14ac:dyDescent="0.3">
      <c r="A80">
        <v>1</v>
      </c>
      <c r="B80" s="23">
        <v>28</v>
      </c>
      <c r="C80" t="s">
        <v>25</v>
      </c>
      <c r="D80" t="s">
        <v>26</v>
      </c>
      <c r="E80" t="s">
        <v>200</v>
      </c>
      <c r="F80" t="s">
        <v>235</v>
      </c>
      <c r="G80">
        <v>4</v>
      </c>
      <c r="H80" t="s">
        <v>150</v>
      </c>
      <c r="I80" s="6" t="s">
        <v>81</v>
      </c>
      <c r="Q80" s="5" t="s">
        <v>496</v>
      </c>
      <c r="S80" t="s">
        <v>32</v>
      </c>
      <c r="T80" t="s">
        <v>54</v>
      </c>
      <c r="U80" t="s">
        <v>85</v>
      </c>
      <c r="Y80" t="s">
        <v>45</v>
      </c>
      <c r="Z80" t="s">
        <v>349</v>
      </c>
      <c r="AB80" t="s">
        <v>350</v>
      </c>
      <c r="AC80">
        <v>5</v>
      </c>
    </row>
    <row r="81" spans="1:29" x14ac:dyDescent="0.3">
      <c r="A81">
        <v>1</v>
      </c>
      <c r="B81" s="23">
        <v>37</v>
      </c>
      <c r="C81" t="s">
        <v>25</v>
      </c>
      <c r="D81" t="s">
        <v>104</v>
      </c>
      <c r="E81" t="s">
        <v>200</v>
      </c>
      <c r="F81" t="s">
        <v>28</v>
      </c>
      <c r="G81">
        <v>5</v>
      </c>
      <c r="H81" t="s">
        <v>150</v>
      </c>
      <c r="I81" s="8" t="s">
        <v>81</v>
      </c>
      <c r="Q81" s="7" t="s">
        <v>501</v>
      </c>
      <c r="S81" t="s">
        <v>53</v>
      </c>
      <c r="T81" t="s">
        <v>54</v>
      </c>
      <c r="U81" t="s">
        <v>86</v>
      </c>
      <c r="Y81" t="s">
        <v>45</v>
      </c>
      <c r="Z81" t="s">
        <v>351</v>
      </c>
      <c r="AB81" t="s">
        <v>352</v>
      </c>
      <c r="AC81">
        <v>3</v>
      </c>
    </row>
    <row r="82" spans="1:29" x14ac:dyDescent="0.3">
      <c r="A82">
        <v>1</v>
      </c>
      <c r="B82" s="23">
        <v>64</v>
      </c>
      <c r="C82" t="s">
        <v>50</v>
      </c>
      <c r="D82" t="s">
        <v>26</v>
      </c>
      <c r="E82" t="s">
        <v>27</v>
      </c>
      <c r="F82" t="s">
        <v>28</v>
      </c>
      <c r="G82">
        <v>8</v>
      </c>
      <c r="H82" t="s">
        <v>29</v>
      </c>
      <c r="I82" s="6" t="s">
        <v>122</v>
      </c>
      <c r="J82" t="s">
        <v>128</v>
      </c>
      <c r="Q82" s="5" t="s">
        <v>496</v>
      </c>
      <c r="S82" t="s">
        <v>53</v>
      </c>
      <c r="T82" t="s">
        <v>139</v>
      </c>
      <c r="U82" t="s">
        <v>85</v>
      </c>
      <c r="Y82" t="s">
        <v>59</v>
      </c>
      <c r="Z82" t="s">
        <v>353</v>
      </c>
      <c r="AB82" t="s">
        <v>354</v>
      </c>
      <c r="AC82">
        <v>1</v>
      </c>
    </row>
    <row r="83" spans="1:29" x14ac:dyDescent="0.3">
      <c r="A83">
        <v>1</v>
      </c>
      <c r="B83" s="23">
        <v>41</v>
      </c>
      <c r="C83" t="s">
        <v>25</v>
      </c>
      <c r="D83" t="s">
        <v>129</v>
      </c>
      <c r="E83" t="s">
        <v>133</v>
      </c>
      <c r="F83" t="s">
        <v>235</v>
      </c>
      <c r="G83">
        <v>1</v>
      </c>
      <c r="H83" t="s">
        <v>158</v>
      </c>
      <c r="I83" s="8" t="s">
        <v>122</v>
      </c>
      <c r="Q83" s="5" t="s">
        <v>496</v>
      </c>
      <c r="S83" t="s">
        <v>53</v>
      </c>
      <c r="T83" t="s">
        <v>54</v>
      </c>
      <c r="U83" s="26" t="s">
        <v>508</v>
      </c>
      <c r="Y83" t="s">
        <v>59</v>
      </c>
      <c r="Z83" t="s">
        <v>355</v>
      </c>
      <c r="AB83" t="s">
        <v>356</v>
      </c>
      <c r="AC83">
        <v>2</v>
      </c>
    </row>
    <row r="84" spans="1:29" x14ac:dyDescent="0.3">
      <c r="A84">
        <v>1</v>
      </c>
      <c r="B84" s="23">
        <v>32</v>
      </c>
      <c r="C84" t="s">
        <v>225</v>
      </c>
      <c r="D84" t="s">
        <v>104</v>
      </c>
      <c r="E84" t="s">
        <v>27</v>
      </c>
      <c r="F84" t="s">
        <v>235</v>
      </c>
      <c r="G84">
        <v>9</v>
      </c>
      <c r="H84" t="s">
        <v>158</v>
      </c>
      <c r="I84" s="6" t="s">
        <v>126</v>
      </c>
      <c r="Q84" s="5" t="s">
        <v>496</v>
      </c>
      <c r="S84" t="s">
        <v>43</v>
      </c>
      <c r="T84" t="s">
        <v>139</v>
      </c>
      <c r="U84" s="26" t="s">
        <v>62</v>
      </c>
      <c r="Y84" t="s">
        <v>59</v>
      </c>
      <c r="Z84" t="s">
        <v>357</v>
      </c>
      <c r="AB84" t="s">
        <v>358</v>
      </c>
      <c r="AC84">
        <v>2</v>
      </c>
    </row>
    <row r="85" spans="1:29" x14ac:dyDescent="0.3">
      <c r="A85">
        <v>1</v>
      </c>
      <c r="B85" s="23">
        <v>43</v>
      </c>
      <c r="C85" t="s">
        <v>225</v>
      </c>
      <c r="D85" t="s">
        <v>102</v>
      </c>
      <c r="E85" t="s">
        <v>107</v>
      </c>
      <c r="F85" t="s">
        <v>28</v>
      </c>
      <c r="G85">
        <v>7</v>
      </c>
      <c r="H85" t="s">
        <v>57</v>
      </c>
      <c r="I85" s="8" t="s">
        <v>81</v>
      </c>
      <c r="J85" t="s">
        <v>128</v>
      </c>
      <c r="Q85" s="7" t="s">
        <v>501</v>
      </c>
      <c r="S85" t="s">
        <v>32</v>
      </c>
      <c r="T85" t="s">
        <v>33</v>
      </c>
      <c r="U85" t="s">
        <v>85</v>
      </c>
      <c r="Y85" t="s">
        <v>35</v>
      </c>
      <c r="Z85" t="s">
        <v>359</v>
      </c>
      <c r="AB85" t="s">
        <v>360</v>
      </c>
      <c r="AC85">
        <v>3</v>
      </c>
    </row>
    <row r="86" spans="1:29" x14ac:dyDescent="0.3">
      <c r="A86">
        <v>1</v>
      </c>
      <c r="B86" s="23">
        <v>26</v>
      </c>
      <c r="C86" t="s">
        <v>50</v>
      </c>
      <c r="D86" t="s">
        <v>26</v>
      </c>
      <c r="E86" t="s">
        <v>27</v>
      </c>
      <c r="F86" t="s">
        <v>40</v>
      </c>
      <c r="G86">
        <v>8</v>
      </c>
      <c r="H86" t="s">
        <v>57</v>
      </c>
      <c r="I86" s="6" t="s">
        <v>81</v>
      </c>
      <c r="Q86" s="5" t="s">
        <v>496</v>
      </c>
      <c r="S86" t="s">
        <v>43</v>
      </c>
      <c r="T86" t="s">
        <v>54</v>
      </c>
      <c r="U86" t="s">
        <v>85</v>
      </c>
      <c r="Y86" t="s">
        <v>35</v>
      </c>
      <c r="Z86" t="s">
        <v>361</v>
      </c>
      <c r="AB86" t="s">
        <v>362</v>
      </c>
      <c r="AC86">
        <v>5</v>
      </c>
    </row>
    <row r="87" spans="1:29" x14ac:dyDescent="0.3">
      <c r="A87">
        <v>1</v>
      </c>
      <c r="B87" s="23">
        <v>35</v>
      </c>
      <c r="C87" t="s">
        <v>25</v>
      </c>
      <c r="D87" t="s">
        <v>104</v>
      </c>
      <c r="E87" t="s">
        <v>133</v>
      </c>
      <c r="F87" t="s">
        <v>235</v>
      </c>
      <c r="G87">
        <v>6</v>
      </c>
      <c r="H87" t="s">
        <v>150</v>
      </c>
      <c r="I87" s="8" t="s">
        <v>81</v>
      </c>
      <c r="Q87" s="7" t="s">
        <v>501</v>
      </c>
      <c r="S87" t="s">
        <v>43</v>
      </c>
      <c r="T87" t="s">
        <v>33</v>
      </c>
      <c r="U87" t="s">
        <v>86</v>
      </c>
      <c r="Y87" t="s">
        <v>59</v>
      </c>
      <c r="Z87" t="s">
        <v>363</v>
      </c>
      <c r="AB87" t="s">
        <v>364</v>
      </c>
      <c r="AC87">
        <v>5</v>
      </c>
    </row>
    <row r="88" spans="1:29" x14ac:dyDescent="0.3">
      <c r="A88">
        <v>1</v>
      </c>
      <c r="B88" s="23">
        <v>64</v>
      </c>
      <c r="C88" t="s">
        <v>225</v>
      </c>
      <c r="D88" t="s">
        <v>102</v>
      </c>
      <c r="E88" t="s">
        <v>107</v>
      </c>
      <c r="F88" t="s">
        <v>28</v>
      </c>
      <c r="G88">
        <v>2</v>
      </c>
      <c r="H88" t="s">
        <v>150</v>
      </c>
      <c r="I88" s="6" t="s">
        <v>81</v>
      </c>
      <c r="Q88" s="5" t="s">
        <v>498</v>
      </c>
      <c r="S88" t="s">
        <v>32</v>
      </c>
      <c r="T88" t="s">
        <v>54</v>
      </c>
      <c r="U88" t="s">
        <v>85</v>
      </c>
      <c r="Y88" t="s">
        <v>45</v>
      </c>
      <c r="Z88" t="s">
        <v>365</v>
      </c>
      <c r="AB88" t="s">
        <v>366</v>
      </c>
      <c r="AC88">
        <v>4</v>
      </c>
    </row>
    <row r="89" spans="1:29" x14ac:dyDescent="0.3">
      <c r="A89">
        <v>1</v>
      </c>
      <c r="B89" s="23">
        <v>28</v>
      </c>
      <c r="C89" t="s">
        <v>25</v>
      </c>
      <c r="D89" t="s">
        <v>102</v>
      </c>
      <c r="E89" t="s">
        <v>107</v>
      </c>
      <c r="F89" t="s">
        <v>40</v>
      </c>
      <c r="G89">
        <v>10</v>
      </c>
      <c r="H89" t="s">
        <v>150</v>
      </c>
      <c r="I89" s="8" t="s">
        <v>122</v>
      </c>
      <c r="Q89" s="5" t="s">
        <v>496</v>
      </c>
      <c r="S89" t="s">
        <v>43</v>
      </c>
      <c r="T89" t="s">
        <v>139</v>
      </c>
      <c r="U89" s="26" t="s">
        <v>508</v>
      </c>
      <c r="Y89" t="s">
        <v>134</v>
      </c>
      <c r="Z89" t="s">
        <v>367</v>
      </c>
      <c r="AB89" t="s">
        <v>368</v>
      </c>
      <c r="AC89">
        <v>4</v>
      </c>
    </row>
    <row r="90" spans="1:29" x14ac:dyDescent="0.3">
      <c r="A90">
        <v>1</v>
      </c>
      <c r="B90" s="23">
        <v>59</v>
      </c>
      <c r="C90" t="s">
        <v>50</v>
      </c>
      <c r="D90" t="s">
        <v>129</v>
      </c>
      <c r="E90" t="s">
        <v>27</v>
      </c>
      <c r="F90" t="s">
        <v>28</v>
      </c>
      <c r="G90">
        <v>5</v>
      </c>
      <c r="H90" t="s">
        <v>158</v>
      </c>
      <c r="I90" s="6" t="s">
        <v>123</v>
      </c>
      <c r="Q90" s="5" t="s">
        <v>500</v>
      </c>
      <c r="S90" t="s">
        <v>43</v>
      </c>
      <c r="T90" t="s">
        <v>54</v>
      </c>
      <c r="U90" t="s">
        <v>85</v>
      </c>
      <c r="Y90" t="s">
        <v>35</v>
      </c>
      <c r="Z90" t="s">
        <v>369</v>
      </c>
      <c r="AB90" t="s">
        <v>370</v>
      </c>
      <c r="AC90">
        <v>5</v>
      </c>
    </row>
    <row r="91" spans="1:29" x14ac:dyDescent="0.3">
      <c r="A91">
        <v>1</v>
      </c>
      <c r="B91" s="23">
        <v>54</v>
      </c>
      <c r="C91" t="s">
        <v>225</v>
      </c>
      <c r="D91" t="s">
        <v>129</v>
      </c>
      <c r="E91" t="s">
        <v>27</v>
      </c>
      <c r="F91" t="s">
        <v>40</v>
      </c>
      <c r="G91">
        <v>1</v>
      </c>
      <c r="H91" t="s">
        <v>57</v>
      </c>
      <c r="I91" s="8" t="s">
        <v>81</v>
      </c>
      <c r="Q91" s="7" t="s">
        <v>501</v>
      </c>
      <c r="S91" t="s">
        <v>53</v>
      </c>
      <c r="T91" t="s">
        <v>33</v>
      </c>
      <c r="U91" t="s">
        <v>85</v>
      </c>
      <c r="Y91" t="s">
        <v>134</v>
      </c>
      <c r="Z91" t="s">
        <v>371</v>
      </c>
      <c r="AB91" t="s">
        <v>372</v>
      </c>
      <c r="AC91">
        <v>1</v>
      </c>
    </row>
    <row r="92" spans="1:29" x14ac:dyDescent="0.3">
      <c r="A92">
        <v>1</v>
      </c>
      <c r="B92" s="23">
        <v>47</v>
      </c>
      <c r="C92" t="s">
        <v>25</v>
      </c>
      <c r="D92" t="s">
        <v>26</v>
      </c>
      <c r="E92" t="s">
        <v>107</v>
      </c>
      <c r="F92" t="s">
        <v>40</v>
      </c>
      <c r="G92">
        <v>1</v>
      </c>
      <c r="H92" t="s">
        <v>29</v>
      </c>
      <c r="I92" s="6" t="s">
        <v>122</v>
      </c>
      <c r="Q92" s="5" t="s">
        <v>501</v>
      </c>
      <c r="S92" t="s">
        <v>53</v>
      </c>
      <c r="T92" t="s">
        <v>139</v>
      </c>
      <c r="U92" t="s">
        <v>86</v>
      </c>
      <c r="Y92" t="s">
        <v>59</v>
      </c>
      <c r="Z92" t="s">
        <v>373</v>
      </c>
      <c r="AB92" t="s">
        <v>374</v>
      </c>
      <c r="AC92">
        <v>2</v>
      </c>
    </row>
    <row r="93" spans="1:29" x14ac:dyDescent="0.3">
      <c r="A93">
        <v>1</v>
      </c>
      <c r="B93" s="23">
        <v>68</v>
      </c>
      <c r="C93" t="s">
        <v>25</v>
      </c>
      <c r="D93" t="s">
        <v>102</v>
      </c>
      <c r="E93" t="s">
        <v>133</v>
      </c>
      <c r="F93" t="s">
        <v>235</v>
      </c>
      <c r="G93">
        <v>2</v>
      </c>
      <c r="H93" t="s">
        <v>57</v>
      </c>
      <c r="I93" s="8" t="s">
        <v>81</v>
      </c>
      <c r="Q93" s="7" t="s">
        <v>497</v>
      </c>
      <c r="S93" t="s">
        <v>43</v>
      </c>
      <c r="T93" t="s">
        <v>139</v>
      </c>
      <c r="U93" t="s">
        <v>85</v>
      </c>
      <c r="Y93" t="s">
        <v>134</v>
      </c>
      <c r="Z93" t="s">
        <v>375</v>
      </c>
      <c r="AB93" t="s">
        <v>376</v>
      </c>
      <c r="AC93">
        <v>4</v>
      </c>
    </row>
    <row r="94" spans="1:29" x14ac:dyDescent="0.3">
      <c r="A94">
        <v>1</v>
      </c>
      <c r="B94" s="23">
        <v>53</v>
      </c>
      <c r="C94" t="s">
        <v>225</v>
      </c>
      <c r="D94" t="s">
        <v>102</v>
      </c>
      <c r="E94" t="s">
        <v>133</v>
      </c>
      <c r="F94" t="s">
        <v>40</v>
      </c>
      <c r="G94">
        <v>5</v>
      </c>
      <c r="H94" t="s">
        <v>29</v>
      </c>
      <c r="I94" s="6" t="s">
        <v>124</v>
      </c>
      <c r="Q94" s="5" t="s">
        <v>501</v>
      </c>
      <c r="S94" t="s">
        <v>43</v>
      </c>
      <c r="T94" t="s">
        <v>33</v>
      </c>
      <c r="U94" s="26" t="s">
        <v>508</v>
      </c>
      <c r="Y94" t="s">
        <v>35</v>
      </c>
      <c r="Z94" t="s">
        <v>377</v>
      </c>
      <c r="AB94" t="s">
        <v>378</v>
      </c>
      <c r="AC94">
        <v>1</v>
      </c>
    </row>
    <row r="95" spans="1:29" x14ac:dyDescent="0.3">
      <c r="A95">
        <v>1</v>
      </c>
      <c r="B95" s="23">
        <v>27</v>
      </c>
      <c r="C95" t="s">
        <v>50</v>
      </c>
      <c r="D95" t="s">
        <v>102</v>
      </c>
      <c r="E95" t="s">
        <v>133</v>
      </c>
      <c r="F95" t="s">
        <v>235</v>
      </c>
      <c r="G95">
        <v>1</v>
      </c>
      <c r="H95" t="s">
        <v>150</v>
      </c>
      <c r="I95" s="8" t="s">
        <v>81</v>
      </c>
      <c r="Q95" s="5" t="s">
        <v>498</v>
      </c>
      <c r="S95" t="s">
        <v>53</v>
      </c>
      <c r="T95" t="s">
        <v>139</v>
      </c>
      <c r="U95" s="26" t="s">
        <v>62</v>
      </c>
      <c r="Y95" t="s">
        <v>35</v>
      </c>
      <c r="Z95" t="s">
        <v>379</v>
      </c>
      <c r="AB95" t="s">
        <v>380</v>
      </c>
      <c r="AC95">
        <v>2</v>
      </c>
    </row>
    <row r="96" spans="1:29" x14ac:dyDescent="0.3">
      <c r="A96">
        <v>1</v>
      </c>
      <c r="B96" s="23">
        <v>68</v>
      </c>
      <c r="C96" t="s">
        <v>50</v>
      </c>
      <c r="D96" t="s">
        <v>102</v>
      </c>
      <c r="E96" t="s">
        <v>107</v>
      </c>
      <c r="F96" t="s">
        <v>28</v>
      </c>
      <c r="G96">
        <v>5</v>
      </c>
      <c r="H96" t="s">
        <v>57</v>
      </c>
      <c r="I96" s="6" t="s">
        <v>122</v>
      </c>
      <c r="Q96" s="5" t="s">
        <v>501</v>
      </c>
      <c r="S96" t="s">
        <v>32</v>
      </c>
      <c r="T96" t="s">
        <v>139</v>
      </c>
      <c r="U96" t="s">
        <v>85</v>
      </c>
      <c r="Y96" t="s">
        <v>45</v>
      </c>
      <c r="Z96" t="s">
        <v>381</v>
      </c>
      <c r="AB96" t="s">
        <v>382</v>
      </c>
      <c r="AC96">
        <v>4</v>
      </c>
    </row>
    <row r="97" spans="1:29" x14ac:dyDescent="0.3">
      <c r="A97">
        <v>1</v>
      </c>
      <c r="B97" s="23">
        <v>39</v>
      </c>
      <c r="C97" t="s">
        <v>50</v>
      </c>
      <c r="D97" t="s">
        <v>102</v>
      </c>
      <c r="E97" t="s">
        <v>107</v>
      </c>
      <c r="F97" t="s">
        <v>235</v>
      </c>
      <c r="G97">
        <v>5</v>
      </c>
      <c r="H97" t="s">
        <v>57</v>
      </c>
      <c r="I97" s="8" t="s">
        <v>122</v>
      </c>
      <c r="Q97" s="7" t="s">
        <v>501</v>
      </c>
      <c r="S97" t="s">
        <v>43</v>
      </c>
      <c r="T97" t="s">
        <v>139</v>
      </c>
      <c r="U97" t="s">
        <v>85</v>
      </c>
      <c r="Y97" t="s">
        <v>59</v>
      </c>
      <c r="Z97" t="s">
        <v>383</v>
      </c>
      <c r="AB97" t="s">
        <v>384</v>
      </c>
      <c r="AC97">
        <v>5</v>
      </c>
    </row>
    <row r="98" spans="1:29" x14ac:dyDescent="0.3">
      <c r="A98">
        <v>1</v>
      </c>
      <c r="B98" s="23">
        <v>27</v>
      </c>
      <c r="C98" t="s">
        <v>50</v>
      </c>
      <c r="D98" t="s">
        <v>26</v>
      </c>
      <c r="E98" t="s">
        <v>107</v>
      </c>
      <c r="F98" t="s">
        <v>235</v>
      </c>
      <c r="G98">
        <v>10</v>
      </c>
      <c r="H98" t="s">
        <v>29</v>
      </c>
      <c r="I98" s="6" t="s">
        <v>123</v>
      </c>
      <c r="Q98" s="5" t="s">
        <v>496</v>
      </c>
      <c r="S98" t="s">
        <v>53</v>
      </c>
      <c r="T98" t="s">
        <v>54</v>
      </c>
      <c r="U98" t="s">
        <v>86</v>
      </c>
      <c r="Y98" t="s">
        <v>134</v>
      </c>
      <c r="Z98" t="s">
        <v>385</v>
      </c>
      <c r="AB98" t="s">
        <v>386</v>
      </c>
      <c r="AC98">
        <v>5</v>
      </c>
    </row>
    <row r="99" spans="1:29" x14ac:dyDescent="0.3">
      <c r="A99">
        <v>1</v>
      </c>
      <c r="B99" s="23">
        <v>18</v>
      </c>
      <c r="C99" t="s">
        <v>50</v>
      </c>
      <c r="D99" t="s">
        <v>26</v>
      </c>
      <c r="E99" t="s">
        <v>200</v>
      </c>
      <c r="F99" t="s">
        <v>40</v>
      </c>
      <c r="G99">
        <v>7</v>
      </c>
      <c r="H99" t="s">
        <v>57</v>
      </c>
      <c r="I99" s="8" t="s">
        <v>125</v>
      </c>
      <c r="Q99" s="7" t="s">
        <v>501</v>
      </c>
      <c r="S99" t="s">
        <v>53</v>
      </c>
      <c r="T99" t="s">
        <v>139</v>
      </c>
      <c r="U99" t="s">
        <v>85</v>
      </c>
      <c r="Y99" t="s">
        <v>59</v>
      </c>
      <c r="Z99" t="s">
        <v>387</v>
      </c>
      <c r="AB99" t="s">
        <v>388</v>
      </c>
      <c r="AC99">
        <v>1</v>
      </c>
    </row>
    <row r="100" spans="1:29" x14ac:dyDescent="0.3">
      <c r="A100">
        <v>1</v>
      </c>
      <c r="B100" s="23">
        <v>42</v>
      </c>
      <c r="C100" t="s">
        <v>225</v>
      </c>
      <c r="D100" t="s">
        <v>129</v>
      </c>
      <c r="E100" t="s">
        <v>107</v>
      </c>
      <c r="F100" t="s">
        <v>28</v>
      </c>
      <c r="G100">
        <v>7</v>
      </c>
      <c r="H100" t="s">
        <v>158</v>
      </c>
      <c r="I100" s="6" t="s">
        <v>123</v>
      </c>
      <c r="Q100" s="5" t="s">
        <v>496</v>
      </c>
      <c r="S100" t="s">
        <v>32</v>
      </c>
      <c r="T100" t="s">
        <v>54</v>
      </c>
      <c r="U100" s="26" t="s">
        <v>508</v>
      </c>
      <c r="Y100" t="s">
        <v>134</v>
      </c>
      <c r="Z100" t="s">
        <v>389</v>
      </c>
      <c r="AB100" t="s">
        <v>390</v>
      </c>
      <c r="AC100">
        <v>5</v>
      </c>
    </row>
    <row r="101" spans="1:29" x14ac:dyDescent="0.3">
      <c r="A101">
        <v>1</v>
      </c>
      <c r="B101" s="23">
        <v>64</v>
      </c>
      <c r="C101" t="s">
        <v>225</v>
      </c>
      <c r="D101" t="s">
        <v>26</v>
      </c>
      <c r="E101" t="s">
        <v>107</v>
      </c>
      <c r="F101" t="s">
        <v>28</v>
      </c>
      <c r="G101">
        <v>6</v>
      </c>
      <c r="H101" t="s">
        <v>150</v>
      </c>
      <c r="I101" s="8" t="s">
        <v>124</v>
      </c>
      <c r="Q101" s="5" t="s">
        <v>496</v>
      </c>
      <c r="S101" t="s">
        <v>53</v>
      </c>
      <c r="T101" t="s">
        <v>54</v>
      </c>
      <c r="U101" t="s">
        <v>85</v>
      </c>
      <c r="Y101" t="s">
        <v>134</v>
      </c>
      <c r="Z101" t="s">
        <v>391</v>
      </c>
      <c r="AB101" t="s">
        <v>392</v>
      </c>
      <c r="AC101">
        <v>2</v>
      </c>
    </row>
    <row r="102" spans="1:29" x14ac:dyDescent="0.3">
      <c r="A102">
        <v>1</v>
      </c>
      <c r="B102" s="23">
        <v>51</v>
      </c>
      <c r="C102" t="s">
        <v>225</v>
      </c>
      <c r="D102" t="s">
        <v>26</v>
      </c>
      <c r="E102" t="s">
        <v>133</v>
      </c>
      <c r="F102" t="s">
        <v>235</v>
      </c>
      <c r="G102">
        <v>1</v>
      </c>
      <c r="H102" t="s">
        <v>29</v>
      </c>
      <c r="I102" s="6" t="s">
        <v>122</v>
      </c>
      <c r="Q102" s="5" t="s">
        <v>496</v>
      </c>
      <c r="S102" t="s">
        <v>53</v>
      </c>
      <c r="T102" t="s">
        <v>139</v>
      </c>
      <c r="U102" t="s">
        <v>85</v>
      </c>
      <c r="Y102" t="s">
        <v>134</v>
      </c>
      <c r="Z102" t="s">
        <v>393</v>
      </c>
      <c r="AB102" t="s">
        <v>394</v>
      </c>
      <c r="AC102">
        <v>2</v>
      </c>
    </row>
    <row r="103" spans="1:29" x14ac:dyDescent="0.3">
      <c r="A103">
        <v>1</v>
      </c>
      <c r="B103" s="23">
        <v>33</v>
      </c>
      <c r="C103" t="s">
        <v>50</v>
      </c>
      <c r="D103" t="s">
        <v>26</v>
      </c>
      <c r="E103" t="s">
        <v>27</v>
      </c>
      <c r="F103" t="s">
        <v>28</v>
      </c>
      <c r="G103">
        <v>10</v>
      </c>
      <c r="H103" t="s">
        <v>158</v>
      </c>
      <c r="I103" s="8" t="s">
        <v>125</v>
      </c>
      <c r="Q103" s="7" t="s">
        <v>501</v>
      </c>
      <c r="S103" t="s">
        <v>32</v>
      </c>
      <c r="T103" t="s">
        <v>54</v>
      </c>
      <c r="U103" t="s">
        <v>86</v>
      </c>
      <c r="Y103" t="s">
        <v>35</v>
      </c>
      <c r="Z103" t="s">
        <v>395</v>
      </c>
      <c r="AB103" t="s">
        <v>396</v>
      </c>
      <c r="AC103">
        <v>1</v>
      </c>
    </row>
    <row r="104" spans="1:29" x14ac:dyDescent="0.3">
      <c r="A104">
        <v>1</v>
      </c>
      <c r="B104" s="23">
        <v>67</v>
      </c>
      <c r="C104" t="s">
        <v>25</v>
      </c>
      <c r="D104" t="s">
        <v>26</v>
      </c>
      <c r="E104" t="s">
        <v>133</v>
      </c>
      <c r="F104" t="s">
        <v>28</v>
      </c>
      <c r="G104">
        <v>8</v>
      </c>
      <c r="H104" t="s">
        <v>57</v>
      </c>
      <c r="I104" s="6" t="s">
        <v>81</v>
      </c>
      <c r="Q104" s="5" t="s">
        <v>496</v>
      </c>
      <c r="S104" t="s">
        <v>53</v>
      </c>
      <c r="T104" t="s">
        <v>139</v>
      </c>
      <c r="U104" t="s">
        <v>85</v>
      </c>
      <c r="Y104" t="s">
        <v>35</v>
      </c>
      <c r="Z104" t="s">
        <v>397</v>
      </c>
      <c r="AB104" t="s">
        <v>398</v>
      </c>
      <c r="AC104">
        <v>1</v>
      </c>
    </row>
    <row r="105" spans="1:29" x14ac:dyDescent="0.3">
      <c r="A105">
        <v>1</v>
      </c>
      <c r="B105" s="23">
        <v>42</v>
      </c>
      <c r="C105" t="s">
        <v>225</v>
      </c>
      <c r="D105" t="s">
        <v>104</v>
      </c>
      <c r="E105" t="s">
        <v>200</v>
      </c>
      <c r="F105" t="s">
        <v>235</v>
      </c>
      <c r="G105">
        <v>4</v>
      </c>
      <c r="H105" t="s">
        <v>29</v>
      </c>
      <c r="I105" s="8" t="s">
        <v>122</v>
      </c>
      <c r="Q105" s="7" t="s">
        <v>501</v>
      </c>
      <c r="S105" t="s">
        <v>53</v>
      </c>
      <c r="T105" t="s">
        <v>33</v>
      </c>
      <c r="U105" s="26" t="s">
        <v>508</v>
      </c>
      <c r="Y105" t="s">
        <v>35</v>
      </c>
      <c r="Z105" t="s">
        <v>399</v>
      </c>
      <c r="AB105" t="s">
        <v>400</v>
      </c>
      <c r="AC105">
        <v>2</v>
      </c>
    </row>
    <row r="106" spans="1:29" x14ac:dyDescent="0.3">
      <c r="A106">
        <v>1</v>
      </c>
      <c r="B106" s="23">
        <v>29</v>
      </c>
      <c r="C106" t="s">
        <v>225</v>
      </c>
      <c r="D106" t="s">
        <v>26</v>
      </c>
      <c r="E106" t="s">
        <v>107</v>
      </c>
      <c r="F106" t="s">
        <v>28</v>
      </c>
      <c r="G106">
        <v>5</v>
      </c>
      <c r="H106" t="s">
        <v>29</v>
      </c>
      <c r="I106" s="6" t="s">
        <v>81</v>
      </c>
      <c r="Q106" s="5" t="s">
        <v>498</v>
      </c>
      <c r="S106" t="s">
        <v>43</v>
      </c>
      <c r="T106" t="s">
        <v>54</v>
      </c>
      <c r="U106" s="26" t="s">
        <v>62</v>
      </c>
      <c r="Y106" t="s">
        <v>59</v>
      </c>
      <c r="Z106" t="s">
        <v>401</v>
      </c>
      <c r="AB106" t="s">
        <v>402</v>
      </c>
      <c r="AC106">
        <v>2</v>
      </c>
    </row>
    <row r="107" spans="1:29" x14ac:dyDescent="0.3">
      <c r="A107">
        <v>1</v>
      </c>
      <c r="B107" s="23">
        <v>50</v>
      </c>
      <c r="C107" t="s">
        <v>50</v>
      </c>
      <c r="D107" t="s">
        <v>26</v>
      </c>
      <c r="E107" t="s">
        <v>107</v>
      </c>
      <c r="F107" t="s">
        <v>40</v>
      </c>
      <c r="G107">
        <v>9</v>
      </c>
      <c r="H107" t="s">
        <v>57</v>
      </c>
      <c r="I107" s="8" t="s">
        <v>81</v>
      </c>
      <c r="Q107" s="5" t="s">
        <v>496</v>
      </c>
      <c r="S107" t="s">
        <v>43</v>
      </c>
      <c r="T107" t="s">
        <v>139</v>
      </c>
      <c r="U107" s="8" t="s">
        <v>62</v>
      </c>
      <c r="Y107" t="s">
        <v>134</v>
      </c>
      <c r="Z107" t="s">
        <v>403</v>
      </c>
      <c r="AB107" t="s">
        <v>404</v>
      </c>
      <c r="AC107">
        <v>2</v>
      </c>
    </row>
    <row r="108" spans="1:29" x14ac:dyDescent="0.3">
      <c r="A108">
        <v>1</v>
      </c>
      <c r="B108" s="23">
        <v>28</v>
      </c>
      <c r="C108" t="s">
        <v>50</v>
      </c>
      <c r="D108" t="s">
        <v>129</v>
      </c>
      <c r="E108" t="s">
        <v>27</v>
      </c>
      <c r="F108" t="s">
        <v>28</v>
      </c>
      <c r="G108">
        <v>7</v>
      </c>
      <c r="H108" t="s">
        <v>57</v>
      </c>
      <c r="I108" s="6" t="s">
        <v>122</v>
      </c>
      <c r="Q108" s="5" t="s">
        <v>500</v>
      </c>
      <c r="S108" t="s">
        <v>53</v>
      </c>
      <c r="T108" t="s">
        <v>139</v>
      </c>
      <c r="U108" t="s">
        <v>85</v>
      </c>
      <c r="Y108" t="s">
        <v>35</v>
      </c>
      <c r="Z108" t="s">
        <v>405</v>
      </c>
      <c r="AB108" t="s">
        <v>406</v>
      </c>
      <c r="AC108">
        <v>1</v>
      </c>
    </row>
    <row r="109" spans="1:29" x14ac:dyDescent="0.3">
      <c r="A109">
        <v>1</v>
      </c>
      <c r="B109" s="23">
        <v>50</v>
      </c>
      <c r="C109" t="s">
        <v>225</v>
      </c>
      <c r="D109" t="s">
        <v>102</v>
      </c>
      <c r="E109" t="s">
        <v>27</v>
      </c>
      <c r="F109" t="s">
        <v>28</v>
      </c>
      <c r="G109">
        <v>4</v>
      </c>
      <c r="H109" t="s">
        <v>150</v>
      </c>
      <c r="I109" s="8" t="s">
        <v>81</v>
      </c>
      <c r="Q109" s="7" t="s">
        <v>501</v>
      </c>
      <c r="S109" t="s">
        <v>53</v>
      </c>
      <c r="T109" t="s">
        <v>54</v>
      </c>
      <c r="U109" t="s">
        <v>85</v>
      </c>
      <c r="Y109" t="s">
        <v>59</v>
      </c>
      <c r="Z109" t="s">
        <v>407</v>
      </c>
      <c r="AB109" t="s">
        <v>408</v>
      </c>
      <c r="AC109">
        <v>4</v>
      </c>
    </row>
    <row r="110" spans="1:29" x14ac:dyDescent="0.3">
      <c r="A110">
        <v>1</v>
      </c>
      <c r="B110" s="23">
        <v>55</v>
      </c>
      <c r="C110" t="s">
        <v>50</v>
      </c>
      <c r="D110" t="s">
        <v>104</v>
      </c>
      <c r="E110" t="s">
        <v>27</v>
      </c>
      <c r="F110" t="s">
        <v>40</v>
      </c>
      <c r="G110">
        <v>6</v>
      </c>
      <c r="H110" t="s">
        <v>150</v>
      </c>
      <c r="I110" s="6" t="s">
        <v>81</v>
      </c>
      <c r="Q110" s="5" t="s">
        <v>501</v>
      </c>
      <c r="S110" t="s">
        <v>32</v>
      </c>
      <c r="T110" t="s">
        <v>54</v>
      </c>
      <c r="U110" t="s">
        <v>86</v>
      </c>
      <c r="Y110" t="s">
        <v>45</v>
      </c>
      <c r="Z110" t="s">
        <v>409</v>
      </c>
      <c r="AB110" t="s">
        <v>410</v>
      </c>
      <c r="AC110">
        <v>3</v>
      </c>
    </row>
    <row r="111" spans="1:29" x14ac:dyDescent="0.3">
      <c r="A111">
        <v>1</v>
      </c>
      <c r="B111" s="23">
        <v>35</v>
      </c>
      <c r="C111" t="s">
        <v>25</v>
      </c>
      <c r="D111" t="s">
        <v>104</v>
      </c>
      <c r="E111" t="s">
        <v>27</v>
      </c>
      <c r="F111" t="s">
        <v>235</v>
      </c>
      <c r="G111">
        <v>6</v>
      </c>
      <c r="H111" t="s">
        <v>29</v>
      </c>
      <c r="I111" s="8" t="s">
        <v>81</v>
      </c>
      <c r="J111" t="s">
        <v>126</v>
      </c>
      <c r="K111" t="s">
        <v>127</v>
      </c>
      <c r="Q111" s="7" t="s">
        <v>497</v>
      </c>
      <c r="S111" t="s">
        <v>32</v>
      </c>
      <c r="T111" t="s">
        <v>33</v>
      </c>
      <c r="U111" t="s">
        <v>85</v>
      </c>
      <c r="Y111" t="s">
        <v>134</v>
      </c>
      <c r="Z111" t="s">
        <v>411</v>
      </c>
      <c r="AB111" t="s">
        <v>412</v>
      </c>
      <c r="AC111">
        <v>2</v>
      </c>
    </row>
    <row r="112" spans="1:29" x14ac:dyDescent="0.3">
      <c r="A112">
        <v>1</v>
      </c>
      <c r="B112" s="23">
        <v>54</v>
      </c>
      <c r="C112" t="s">
        <v>225</v>
      </c>
      <c r="D112" t="s">
        <v>129</v>
      </c>
      <c r="E112" t="s">
        <v>133</v>
      </c>
      <c r="F112" t="s">
        <v>28</v>
      </c>
      <c r="G112">
        <v>6</v>
      </c>
      <c r="H112" t="s">
        <v>150</v>
      </c>
      <c r="I112" s="6" t="s">
        <v>81</v>
      </c>
      <c r="J112" t="s">
        <v>128</v>
      </c>
      <c r="Q112" s="5" t="s">
        <v>501</v>
      </c>
      <c r="S112" t="s">
        <v>32</v>
      </c>
      <c r="T112" t="s">
        <v>54</v>
      </c>
      <c r="U112" s="26" t="s">
        <v>508</v>
      </c>
      <c r="Y112" t="s">
        <v>45</v>
      </c>
      <c r="Z112" t="s">
        <v>413</v>
      </c>
      <c r="AB112" t="s">
        <v>414</v>
      </c>
      <c r="AC112">
        <v>5</v>
      </c>
    </row>
    <row r="113" spans="1:29" x14ac:dyDescent="0.3">
      <c r="A113">
        <v>1</v>
      </c>
      <c r="B113" s="23">
        <v>39</v>
      </c>
      <c r="C113" t="s">
        <v>225</v>
      </c>
      <c r="D113" t="s">
        <v>104</v>
      </c>
      <c r="E113" t="s">
        <v>133</v>
      </c>
      <c r="F113" t="s">
        <v>28</v>
      </c>
      <c r="G113">
        <v>5</v>
      </c>
      <c r="H113" t="s">
        <v>150</v>
      </c>
      <c r="I113" s="8" t="s">
        <v>122</v>
      </c>
      <c r="Q113" s="5" t="s">
        <v>498</v>
      </c>
      <c r="S113" t="s">
        <v>43</v>
      </c>
      <c r="T113" t="s">
        <v>33</v>
      </c>
      <c r="U113" t="s">
        <v>85</v>
      </c>
      <c r="Y113" t="s">
        <v>59</v>
      </c>
      <c r="Z113" t="s">
        <v>415</v>
      </c>
      <c r="AB113" t="s">
        <v>416</v>
      </c>
      <c r="AC113">
        <v>3</v>
      </c>
    </row>
    <row r="114" spans="1:29" x14ac:dyDescent="0.3">
      <c r="A114">
        <v>1</v>
      </c>
      <c r="B114" s="23">
        <v>53</v>
      </c>
      <c r="C114" t="s">
        <v>25</v>
      </c>
      <c r="D114" t="s">
        <v>129</v>
      </c>
      <c r="E114" t="s">
        <v>133</v>
      </c>
      <c r="F114" t="s">
        <v>28</v>
      </c>
      <c r="G114">
        <v>9</v>
      </c>
      <c r="H114" t="s">
        <v>150</v>
      </c>
      <c r="I114" s="6" t="s">
        <v>81</v>
      </c>
      <c r="J114" t="s">
        <v>126</v>
      </c>
      <c r="K114" t="s">
        <v>128</v>
      </c>
      <c r="Q114" s="5" t="s">
        <v>501</v>
      </c>
      <c r="S114" t="s">
        <v>43</v>
      </c>
      <c r="T114" t="s">
        <v>33</v>
      </c>
      <c r="U114" t="s">
        <v>85</v>
      </c>
      <c r="Y114" t="s">
        <v>35</v>
      </c>
      <c r="Z114" t="s">
        <v>417</v>
      </c>
      <c r="AB114" t="s">
        <v>418</v>
      </c>
      <c r="AC114">
        <v>3</v>
      </c>
    </row>
    <row r="115" spans="1:29" x14ac:dyDescent="0.3">
      <c r="A115">
        <v>1</v>
      </c>
      <c r="B115" s="23">
        <v>37</v>
      </c>
      <c r="C115" t="s">
        <v>50</v>
      </c>
      <c r="D115" t="s">
        <v>26</v>
      </c>
      <c r="E115" t="s">
        <v>107</v>
      </c>
      <c r="F115" t="s">
        <v>28</v>
      </c>
      <c r="G115">
        <v>7</v>
      </c>
      <c r="H115" t="s">
        <v>150</v>
      </c>
      <c r="I115" s="8" t="s">
        <v>81</v>
      </c>
      <c r="Q115" s="7" t="s">
        <v>501</v>
      </c>
      <c r="S115" t="s">
        <v>43</v>
      </c>
      <c r="T115" t="s">
        <v>54</v>
      </c>
      <c r="U115" t="s">
        <v>86</v>
      </c>
      <c r="Y115" t="s">
        <v>59</v>
      </c>
      <c r="Z115" t="s">
        <v>419</v>
      </c>
      <c r="AB115" t="s">
        <v>420</v>
      </c>
      <c r="AC115">
        <v>4</v>
      </c>
    </row>
    <row r="116" spans="1:29" x14ac:dyDescent="0.3">
      <c r="A116">
        <v>1</v>
      </c>
      <c r="B116" s="23">
        <v>50</v>
      </c>
      <c r="C116" t="s">
        <v>225</v>
      </c>
      <c r="D116" t="s">
        <v>26</v>
      </c>
      <c r="E116" t="s">
        <v>107</v>
      </c>
      <c r="F116" t="s">
        <v>235</v>
      </c>
      <c r="G116">
        <v>4</v>
      </c>
      <c r="H116" t="s">
        <v>57</v>
      </c>
      <c r="I116" s="6" t="s">
        <v>81</v>
      </c>
      <c r="Q116" s="5" t="s">
        <v>496</v>
      </c>
      <c r="S116" t="s">
        <v>53</v>
      </c>
      <c r="T116" t="s">
        <v>54</v>
      </c>
      <c r="U116" t="s">
        <v>85</v>
      </c>
      <c r="Y116" t="s">
        <v>35</v>
      </c>
      <c r="Z116" t="s">
        <v>421</v>
      </c>
      <c r="AB116" t="s">
        <v>422</v>
      </c>
      <c r="AC116">
        <v>1</v>
      </c>
    </row>
    <row r="117" spans="1:29" x14ac:dyDescent="0.3">
      <c r="A117">
        <v>1</v>
      </c>
      <c r="B117" s="23">
        <v>50</v>
      </c>
      <c r="C117" t="s">
        <v>225</v>
      </c>
      <c r="D117" t="s">
        <v>104</v>
      </c>
      <c r="E117" t="s">
        <v>107</v>
      </c>
      <c r="F117" t="s">
        <v>28</v>
      </c>
      <c r="G117">
        <v>9</v>
      </c>
      <c r="H117" t="s">
        <v>29</v>
      </c>
      <c r="I117" s="8" t="s">
        <v>81</v>
      </c>
      <c r="Q117" s="7" t="s">
        <v>501</v>
      </c>
      <c r="S117" t="s">
        <v>43</v>
      </c>
      <c r="T117" t="s">
        <v>139</v>
      </c>
      <c r="U117" s="26" t="s">
        <v>508</v>
      </c>
      <c r="Y117" t="s">
        <v>134</v>
      </c>
      <c r="Z117" t="s">
        <v>423</v>
      </c>
      <c r="AB117" t="s">
        <v>424</v>
      </c>
      <c r="AC117">
        <v>3</v>
      </c>
    </row>
    <row r="118" spans="1:29" x14ac:dyDescent="0.3">
      <c r="A118">
        <v>1</v>
      </c>
      <c r="B118" s="23">
        <v>58</v>
      </c>
      <c r="C118" t="s">
        <v>225</v>
      </c>
      <c r="D118" t="s">
        <v>26</v>
      </c>
      <c r="E118" t="s">
        <v>200</v>
      </c>
      <c r="F118" t="s">
        <v>235</v>
      </c>
      <c r="G118">
        <v>6</v>
      </c>
      <c r="H118" t="s">
        <v>57</v>
      </c>
      <c r="I118" s="6" t="s">
        <v>122</v>
      </c>
      <c r="Q118" s="5" t="s">
        <v>496</v>
      </c>
      <c r="S118" t="s">
        <v>43</v>
      </c>
      <c r="T118" t="s">
        <v>33</v>
      </c>
      <c r="U118" s="26" t="s">
        <v>62</v>
      </c>
      <c r="Y118" t="s">
        <v>59</v>
      </c>
      <c r="Z118" t="s">
        <v>425</v>
      </c>
      <c r="AB118" t="s">
        <v>426</v>
      </c>
      <c r="AC118">
        <v>2</v>
      </c>
    </row>
    <row r="119" spans="1:29" x14ac:dyDescent="0.3">
      <c r="A119">
        <v>1</v>
      </c>
      <c r="B119" s="23">
        <v>55</v>
      </c>
      <c r="C119" t="s">
        <v>50</v>
      </c>
      <c r="D119" t="s">
        <v>104</v>
      </c>
      <c r="E119" t="s">
        <v>200</v>
      </c>
      <c r="F119" t="s">
        <v>235</v>
      </c>
      <c r="G119">
        <v>10</v>
      </c>
      <c r="H119" t="s">
        <v>29</v>
      </c>
      <c r="I119" s="8" t="s">
        <v>81</v>
      </c>
      <c r="J119" t="s">
        <v>487</v>
      </c>
      <c r="K119" t="s">
        <v>126</v>
      </c>
      <c r="L119" t="s">
        <v>128</v>
      </c>
      <c r="Q119" s="5" t="s">
        <v>496</v>
      </c>
      <c r="S119" t="s">
        <v>53</v>
      </c>
      <c r="T119" t="s">
        <v>33</v>
      </c>
      <c r="U119" t="s">
        <v>85</v>
      </c>
      <c r="Y119" t="s">
        <v>35</v>
      </c>
      <c r="Z119" t="s">
        <v>427</v>
      </c>
      <c r="AB119" t="s">
        <v>428</v>
      </c>
      <c r="AC119">
        <v>1</v>
      </c>
    </row>
    <row r="120" spans="1:29" x14ac:dyDescent="0.3">
      <c r="A120">
        <v>1</v>
      </c>
      <c r="B120" s="23">
        <v>46</v>
      </c>
      <c r="C120" t="s">
        <v>225</v>
      </c>
      <c r="D120" t="s">
        <v>129</v>
      </c>
      <c r="E120" t="s">
        <v>27</v>
      </c>
      <c r="F120" t="s">
        <v>28</v>
      </c>
      <c r="G120">
        <v>7</v>
      </c>
      <c r="H120" t="s">
        <v>57</v>
      </c>
      <c r="I120" s="6" t="s">
        <v>81</v>
      </c>
      <c r="Q120" s="5" t="s">
        <v>496</v>
      </c>
      <c r="S120" t="s">
        <v>32</v>
      </c>
      <c r="T120" t="s">
        <v>139</v>
      </c>
      <c r="U120" t="s">
        <v>85</v>
      </c>
      <c r="Y120" t="s">
        <v>45</v>
      </c>
      <c r="Z120" t="s">
        <v>429</v>
      </c>
      <c r="AB120" t="s">
        <v>430</v>
      </c>
      <c r="AC120">
        <v>1</v>
      </c>
    </row>
    <row r="121" spans="1:29" x14ac:dyDescent="0.3">
      <c r="A121">
        <v>1</v>
      </c>
      <c r="B121" s="23">
        <v>45</v>
      </c>
      <c r="C121" t="s">
        <v>225</v>
      </c>
      <c r="D121" t="s">
        <v>26</v>
      </c>
      <c r="E121" t="s">
        <v>27</v>
      </c>
      <c r="F121" t="s">
        <v>235</v>
      </c>
      <c r="G121">
        <v>6</v>
      </c>
      <c r="H121" t="s">
        <v>29</v>
      </c>
      <c r="I121" s="8" t="s">
        <v>81</v>
      </c>
      <c r="Q121" s="7" t="s">
        <v>501</v>
      </c>
      <c r="S121" t="s">
        <v>32</v>
      </c>
      <c r="T121" t="s">
        <v>139</v>
      </c>
      <c r="U121" t="s">
        <v>86</v>
      </c>
      <c r="Y121" t="s">
        <v>134</v>
      </c>
      <c r="Z121" t="s">
        <v>431</v>
      </c>
      <c r="AB121" t="s">
        <v>432</v>
      </c>
      <c r="AC121">
        <v>4</v>
      </c>
    </row>
    <row r="122" spans="1:29" x14ac:dyDescent="0.3">
      <c r="A122">
        <v>1</v>
      </c>
      <c r="B122" s="23">
        <v>69</v>
      </c>
      <c r="C122" t="s">
        <v>50</v>
      </c>
      <c r="D122" t="s">
        <v>26</v>
      </c>
      <c r="E122" t="s">
        <v>27</v>
      </c>
      <c r="F122" t="s">
        <v>40</v>
      </c>
      <c r="G122">
        <v>10</v>
      </c>
      <c r="H122" t="s">
        <v>150</v>
      </c>
      <c r="I122" s="6" t="s">
        <v>122</v>
      </c>
      <c r="Q122" s="5" t="s">
        <v>496</v>
      </c>
      <c r="S122" t="s">
        <v>43</v>
      </c>
      <c r="T122" t="s">
        <v>139</v>
      </c>
      <c r="U122" t="s">
        <v>85</v>
      </c>
      <c r="Y122" t="s">
        <v>35</v>
      </c>
      <c r="Z122" t="s">
        <v>433</v>
      </c>
      <c r="AB122" t="s">
        <v>434</v>
      </c>
      <c r="AC122">
        <v>2</v>
      </c>
    </row>
    <row r="123" spans="1:29" x14ac:dyDescent="0.3">
      <c r="A123">
        <v>1</v>
      </c>
      <c r="B123" s="23">
        <v>22</v>
      </c>
      <c r="C123" t="s">
        <v>50</v>
      </c>
      <c r="D123" t="s">
        <v>129</v>
      </c>
      <c r="E123" t="s">
        <v>133</v>
      </c>
      <c r="F123" t="s">
        <v>235</v>
      </c>
      <c r="G123">
        <v>4</v>
      </c>
      <c r="H123" t="s">
        <v>150</v>
      </c>
      <c r="I123" s="8" t="s">
        <v>124</v>
      </c>
      <c r="Q123" s="7" t="s">
        <v>501</v>
      </c>
      <c r="S123" t="s">
        <v>43</v>
      </c>
      <c r="T123" t="s">
        <v>33</v>
      </c>
      <c r="U123" s="26" t="s">
        <v>508</v>
      </c>
      <c r="Y123" t="s">
        <v>59</v>
      </c>
      <c r="Z123" t="s">
        <v>435</v>
      </c>
      <c r="AB123" t="s">
        <v>436</v>
      </c>
      <c r="AC123">
        <v>5</v>
      </c>
    </row>
    <row r="124" spans="1:29" x14ac:dyDescent="0.3">
      <c r="A124">
        <v>1</v>
      </c>
      <c r="B124" s="23">
        <v>44</v>
      </c>
      <c r="C124" t="s">
        <v>50</v>
      </c>
      <c r="D124" t="s">
        <v>129</v>
      </c>
      <c r="E124" t="s">
        <v>27</v>
      </c>
      <c r="F124" t="s">
        <v>28</v>
      </c>
      <c r="G124">
        <v>6</v>
      </c>
      <c r="H124" t="s">
        <v>57</v>
      </c>
      <c r="I124" s="6" t="s">
        <v>122</v>
      </c>
      <c r="Q124" s="5" t="s">
        <v>498</v>
      </c>
      <c r="S124" t="s">
        <v>53</v>
      </c>
      <c r="T124" t="s">
        <v>139</v>
      </c>
      <c r="U124" t="s">
        <v>85</v>
      </c>
      <c r="Y124" t="s">
        <v>59</v>
      </c>
      <c r="Z124" t="s">
        <v>437</v>
      </c>
      <c r="AB124" t="s">
        <v>438</v>
      </c>
      <c r="AC124">
        <v>4</v>
      </c>
    </row>
    <row r="125" spans="1:29" x14ac:dyDescent="0.3">
      <c r="A125">
        <v>1</v>
      </c>
      <c r="B125" s="23">
        <v>53</v>
      </c>
      <c r="C125" t="s">
        <v>25</v>
      </c>
      <c r="D125" t="s">
        <v>129</v>
      </c>
      <c r="E125" t="s">
        <v>107</v>
      </c>
      <c r="F125" t="s">
        <v>40</v>
      </c>
      <c r="G125">
        <v>8</v>
      </c>
      <c r="H125" t="s">
        <v>158</v>
      </c>
      <c r="I125" s="8" t="s">
        <v>81</v>
      </c>
      <c r="Q125" s="5" t="s">
        <v>496</v>
      </c>
      <c r="S125" t="s">
        <v>32</v>
      </c>
      <c r="T125" t="s">
        <v>54</v>
      </c>
      <c r="U125" t="s">
        <v>85</v>
      </c>
      <c r="Y125" t="s">
        <v>59</v>
      </c>
      <c r="Z125" t="s">
        <v>439</v>
      </c>
      <c r="AB125" t="s">
        <v>440</v>
      </c>
      <c r="AC125">
        <v>3</v>
      </c>
    </row>
    <row r="126" spans="1:29" x14ac:dyDescent="0.3">
      <c r="A126">
        <v>1</v>
      </c>
      <c r="B126" s="23">
        <v>52</v>
      </c>
      <c r="C126" t="s">
        <v>50</v>
      </c>
      <c r="D126" t="s">
        <v>102</v>
      </c>
      <c r="E126" t="s">
        <v>107</v>
      </c>
      <c r="F126" t="s">
        <v>40</v>
      </c>
      <c r="G126">
        <v>3</v>
      </c>
      <c r="H126" t="s">
        <v>158</v>
      </c>
      <c r="I126" s="6" t="s">
        <v>122</v>
      </c>
      <c r="Q126" s="5" t="s">
        <v>500</v>
      </c>
      <c r="S126" t="s">
        <v>53</v>
      </c>
      <c r="T126" t="s">
        <v>33</v>
      </c>
      <c r="U126" t="s">
        <v>86</v>
      </c>
      <c r="Y126" t="s">
        <v>45</v>
      </c>
      <c r="Z126" t="s">
        <v>441</v>
      </c>
      <c r="AB126" t="s">
        <v>442</v>
      </c>
      <c r="AC126">
        <v>1</v>
      </c>
    </row>
    <row r="127" spans="1:29" x14ac:dyDescent="0.3">
      <c r="A127">
        <v>1</v>
      </c>
      <c r="B127" s="23">
        <v>28</v>
      </c>
      <c r="C127" t="s">
        <v>25</v>
      </c>
      <c r="D127" t="s">
        <v>26</v>
      </c>
      <c r="E127" t="s">
        <v>133</v>
      </c>
      <c r="F127" t="s">
        <v>40</v>
      </c>
      <c r="G127">
        <v>4</v>
      </c>
      <c r="H127" t="s">
        <v>150</v>
      </c>
      <c r="I127" s="8" t="s">
        <v>81</v>
      </c>
      <c r="J127" t="s">
        <v>128</v>
      </c>
      <c r="Q127" s="7" t="s">
        <v>501</v>
      </c>
      <c r="S127" t="s">
        <v>53</v>
      </c>
      <c r="T127" t="s">
        <v>139</v>
      </c>
      <c r="U127" t="s">
        <v>85</v>
      </c>
      <c r="Y127" t="s">
        <v>45</v>
      </c>
      <c r="Z127" t="s">
        <v>443</v>
      </c>
      <c r="AB127" t="s">
        <v>444</v>
      </c>
      <c r="AC127">
        <v>3</v>
      </c>
    </row>
    <row r="128" spans="1:29" x14ac:dyDescent="0.3">
      <c r="A128">
        <v>1</v>
      </c>
      <c r="B128" s="23">
        <v>40</v>
      </c>
      <c r="C128" t="s">
        <v>25</v>
      </c>
      <c r="D128" t="s">
        <v>104</v>
      </c>
      <c r="E128" t="s">
        <v>27</v>
      </c>
      <c r="F128" t="s">
        <v>28</v>
      </c>
      <c r="G128">
        <v>9</v>
      </c>
      <c r="H128" t="s">
        <v>57</v>
      </c>
      <c r="I128" s="6" t="s">
        <v>81</v>
      </c>
      <c r="Q128" s="5" t="s">
        <v>501</v>
      </c>
      <c r="S128" t="s">
        <v>53</v>
      </c>
      <c r="T128" t="s">
        <v>139</v>
      </c>
      <c r="U128" s="26" t="s">
        <v>508</v>
      </c>
      <c r="Y128" t="s">
        <v>59</v>
      </c>
      <c r="Z128" t="s">
        <v>445</v>
      </c>
      <c r="AB128" t="s">
        <v>446</v>
      </c>
      <c r="AC128">
        <v>5</v>
      </c>
    </row>
    <row r="129" spans="1:29" x14ac:dyDescent="0.3">
      <c r="A129">
        <v>1</v>
      </c>
      <c r="B129" s="23">
        <v>55</v>
      </c>
      <c r="C129" t="s">
        <v>225</v>
      </c>
      <c r="D129" t="s">
        <v>104</v>
      </c>
      <c r="E129" t="s">
        <v>200</v>
      </c>
      <c r="F129" t="s">
        <v>235</v>
      </c>
      <c r="G129">
        <v>10</v>
      </c>
      <c r="H129" t="s">
        <v>158</v>
      </c>
      <c r="I129" s="8" t="s">
        <v>124</v>
      </c>
      <c r="Q129" s="7" t="s">
        <v>497</v>
      </c>
      <c r="S129" t="s">
        <v>53</v>
      </c>
      <c r="T129" t="s">
        <v>33</v>
      </c>
      <c r="U129" s="26" t="s">
        <v>62</v>
      </c>
      <c r="Y129" t="s">
        <v>45</v>
      </c>
      <c r="Z129" t="s">
        <v>447</v>
      </c>
      <c r="AB129" t="s">
        <v>448</v>
      </c>
      <c r="AC129">
        <v>5</v>
      </c>
    </row>
    <row r="130" spans="1:29" x14ac:dyDescent="0.3">
      <c r="A130">
        <v>1</v>
      </c>
      <c r="B130" s="23">
        <v>43</v>
      </c>
      <c r="C130" t="s">
        <v>225</v>
      </c>
      <c r="D130" t="s">
        <v>102</v>
      </c>
      <c r="E130" t="s">
        <v>107</v>
      </c>
      <c r="F130" t="s">
        <v>28</v>
      </c>
      <c r="G130">
        <v>2</v>
      </c>
      <c r="H130" t="s">
        <v>57</v>
      </c>
      <c r="I130" s="6" t="s">
        <v>81</v>
      </c>
      <c r="Q130" s="5" t="s">
        <v>501</v>
      </c>
      <c r="S130" t="s">
        <v>32</v>
      </c>
      <c r="T130" t="s">
        <v>139</v>
      </c>
      <c r="U130" s="6" t="s">
        <v>62</v>
      </c>
      <c r="Y130" t="s">
        <v>35</v>
      </c>
      <c r="Z130" t="s">
        <v>449</v>
      </c>
      <c r="AB130" t="s">
        <v>450</v>
      </c>
      <c r="AC130">
        <v>2</v>
      </c>
    </row>
    <row r="131" spans="1:29" x14ac:dyDescent="0.3">
      <c r="A131">
        <v>1</v>
      </c>
      <c r="B131" s="23">
        <v>22</v>
      </c>
      <c r="C131" t="s">
        <v>25</v>
      </c>
      <c r="D131" t="s">
        <v>129</v>
      </c>
      <c r="E131" t="s">
        <v>200</v>
      </c>
      <c r="F131" t="s">
        <v>40</v>
      </c>
      <c r="G131">
        <v>4</v>
      </c>
      <c r="H131" t="s">
        <v>57</v>
      </c>
      <c r="I131" s="8" t="s">
        <v>81</v>
      </c>
      <c r="Q131" s="5" t="s">
        <v>498</v>
      </c>
      <c r="S131" t="s">
        <v>32</v>
      </c>
      <c r="T131" t="s">
        <v>33</v>
      </c>
      <c r="U131" s="8" t="s">
        <v>62</v>
      </c>
      <c r="Y131" t="s">
        <v>134</v>
      </c>
      <c r="Z131" t="s">
        <v>451</v>
      </c>
      <c r="AB131" t="s">
        <v>452</v>
      </c>
      <c r="AC131">
        <v>5</v>
      </c>
    </row>
    <row r="132" spans="1:29" x14ac:dyDescent="0.3">
      <c r="A132">
        <v>1</v>
      </c>
      <c r="B132" s="23">
        <v>69</v>
      </c>
      <c r="C132" t="s">
        <v>50</v>
      </c>
      <c r="D132" t="s">
        <v>129</v>
      </c>
      <c r="E132" t="s">
        <v>107</v>
      </c>
      <c r="F132" t="s">
        <v>235</v>
      </c>
      <c r="G132">
        <v>7</v>
      </c>
      <c r="H132" t="s">
        <v>150</v>
      </c>
      <c r="I132" s="6" t="s">
        <v>81</v>
      </c>
      <c r="Q132" s="5" t="s">
        <v>501</v>
      </c>
      <c r="S132" t="s">
        <v>43</v>
      </c>
      <c r="T132" t="s">
        <v>139</v>
      </c>
      <c r="U132" s="6" t="s">
        <v>62</v>
      </c>
      <c r="Y132" t="s">
        <v>45</v>
      </c>
      <c r="Z132" t="s">
        <v>453</v>
      </c>
      <c r="AB132" t="s">
        <v>454</v>
      </c>
      <c r="AC132">
        <v>2</v>
      </c>
    </row>
    <row r="133" spans="1:29" x14ac:dyDescent="0.3">
      <c r="A133">
        <v>1</v>
      </c>
      <c r="B133" s="23">
        <v>29</v>
      </c>
      <c r="C133" t="s">
        <v>225</v>
      </c>
      <c r="D133" t="s">
        <v>102</v>
      </c>
      <c r="E133" t="s">
        <v>133</v>
      </c>
      <c r="F133" t="s">
        <v>28</v>
      </c>
      <c r="G133">
        <v>5</v>
      </c>
      <c r="H133" t="s">
        <v>158</v>
      </c>
      <c r="I133" s="8" t="s">
        <v>124</v>
      </c>
      <c r="Q133" s="7" t="s">
        <v>501</v>
      </c>
      <c r="S133" t="s">
        <v>53</v>
      </c>
      <c r="T133" t="s">
        <v>139</v>
      </c>
      <c r="U133" t="s">
        <v>85</v>
      </c>
      <c r="Y133" t="s">
        <v>35</v>
      </c>
      <c r="Z133" t="s">
        <v>455</v>
      </c>
      <c r="AB133" t="s">
        <v>456</v>
      </c>
      <c r="AC133">
        <v>1</v>
      </c>
    </row>
    <row r="134" spans="1:29" x14ac:dyDescent="0.3">
      <c r="A134">
        <v>1</v>
      </c>
      <c r="B134" s="23">
        <v>56</v>
      </c>
      <c r="C134" t="s">
        <v>25</v>
      </c>
      <c r="D134" t="s">
        <v>26</v>
      </c>
      <c r="E134" t="s">
        <v>27</v>
      </c>
      <c r="F134" t="s">
        <v>28</v>
      </c>
      <c r="G134">
        <v>3</v>
      </c>
      <c r="H134" t="s">
        <v>29</v>
      </c>
      <c r="I134" s="6" t="s">
        <v>81</v>
      </c>
      <c r="Q134" s="5" t="s">
        <v>496</v>
      </c>
      <c r="S134" t="s">
        <v>53</v>
      </c>
      <c r="T134" t="s">
        <v>54</v>
      </c>
      <c r="U134" t="s">
        <v>85</v>
      </c>
      <c r="Y134" t="s">
        <v>59</v>
      </c>
      <c r="Z134" t="s">
        <v>457</v>
      </c>
      <c r="AB134" t="s">
        <v>458</v>
      </c>
      <c r="AC134">
        <v>1</v>
      </c>
    </row>
    <row r="135" spans="1:29" x14ac:dyDescent="0.3">
      <c r="A135">
        <v>1</v>
      </c>
      <c r="B135" s="23">
        <v>54</v>
      </c>
      <c r="C135" t="s">
        <v>225</v>
      </c>
      <c r="D135" t="s">
        <v>104</v>
      </c>
      <c r="E135" t="s">
        <v>133</v>
      </c>
      <c r="F135" t="s">
        <v>28</v>
      </c>
      <c r="G135">
        <v>10</v>
      </c>
      <c r="H135" t="s">
        <v>29</v>
      </c>
      <c r="I135" s="8" t="s">
        <v>81</v>
      </c>
      <c r="Q135" s="7" t="s">
        <v>501</v>
      </c>
      <c r="S135" t="s">
        <v>32</v>
      </c>
      <c r="T135" t="s">
        <v>33</v>
      </c>
      <c r="U135" t="s">
        <v>86</v>
      </c>
      <c r="Y135" t="s">
        <v>35</v>
      </c>
      <c r="Z135" t="s">
        <v>459</v>
      </c>
      <c r="AB135" t="s">
        <v>460</v>
      </c>
      <c r="AC135">
        <v>4</v>
      </c>
    </row>
    <row r="136" spans="1:29" x14ac:dyDescent="0.3">
      <c r="A136">
        <v>1</v>
      </c>
      <c r="B136" s="23">
        <v>33</v>
      </c>
      <c r="C136" t="s">
        <v>50</v>
      </c>
      <c r="D136" t="s">
        <v>129</v>
      </c>
      <c r="E136" t="s">
        <v>107</v>
      </c>
      <c r="F136" t="s">
        <v>28</v>
      </c>
      <c r="G136">
        <v>2</v>
      </c>
      <c r="H136" t="s">
        <v>150</v>
      </c>
      <c r="I136" s="6" t="s">
        <v>122</v>
      </c>
      <c r="Q136" s="5" t="s">
        <v>496</v>
      </c>
      <c r="S136" t="s">
        <v>53</v>
      </c>
      <c r="T136" t="s">
        <v>33</v>
      </c>
      <c r="U136" t="s">
        <v>85</v>
      </c>
      <c r="Y136" t="s">
        <v>134</v>
      </c>
      <c r="Z136" t="s">
        <v>461</v>
      </c>
      <c r="AB136" t="s">
        <v>462</v>
      </c>
      <c r="AC136">
        <v>1</v>
      </c>
    </row>
    <row r="137" spans="1:29" x14ac:dyDescent="0.3">
      <c r="A137">
        <v>1</v>
      </c>
      <c r="B137" s="23">
        <v>40</v>
      </c>
      <c r="C137" t="s">
        <v>50</v>
      </c>
      <c r="D137" t="s">
        <v>129</v>
      </c>
      <c r="E137" t="s">
        <v>133</v>
      </c>
      <c r="F137" t="s">
        <v>28</v>
      </c>
      <c r="G137">
        <v>7</v>
      </c>
      <c r="H137" t="s">
        <v>57</v>
      </c>
      <c r="I137" s="8" t="s">
        <v>81</v>
      </c>
      <c r="Q137" s="5" t="s">
        <v>496</v>
      </c>
      <c r="S137" t="s">
        <v>43</v>
      </c>
      <c r="T137" t="s">
        <v>139</v>
      </c>
      <c r="U137" s="26" t="s">
        <v>508</v>
      </c>
      <c r="Y137" t="s">
        <v>35</v>
      </c>
      <c r="Z137" t="s">
        <v>463</v>
      </c>
      <c r="AB137" t="s">
        <v>464</v>
      </c>
      <c r="AC137">
        <v>1</v>
      </c>
    </row>
    <row r="138" spans="1:29" x14ac:dyDescent="0.3">
      <c r="A138">
        <v>1</v>
      </c>
      <c r="B138" s="23">
        <v>51</v>
      </c>
      <c r="C138" t="s">
        <v>225</v>
      </c>
      <c r="D138" t="s">
        <v>129</v>
      </c>
      <c r="E138" t="s">
        <v>27</v>
      </c>
      <c r="F138" t="s">
        <v>235</v>
      </c>
      <c r="G138">
        <v>7</v>
      </c>
      <c r="H138" t="s">
        <v>57</v>
      </c>
      <c r="I138" s="6" t="s">
        <v>81</v>
      </c>
      <c r="J138" t="s">
        <v>128</v>
      </c>
      <c r="Q138" s="5" t="s">
        <v>496</v>
      </c>
      <c r="S138" t="s">
        <v>43</v>
      </c>
      <c r="T138" t="s">
        <v>54</v>
      </c>
      <c r="U138" t="s">
        <v>85</v>
      </c>
      <c r="Y138" t="s">
        <v>45</v>
      </c>
      <c r="Z138" t="s">
        <v>465</v>
      </c>
      <c r="AB138" t="s">
        <v>466</v>
      </c>
      <c r="AC138">
        <v>4</v>
      </c>
    </row>
    <row r="139" spans="1:29" x14ac:dyDescent="0.3">
      <c r="A139">
        <v>1</v>
      </c>
      <c r="B139" s="23">
        <v>65</v>
      </c>
      <c r="C139" t="s">
        <v>225</v>
      </c>
      <c r="D139" t="s">
        <v>26</v>
      </c>
      <c r="E139" t="s">
        <v>107</v>
      </c>
      <c r="F139" t="s">
        <v>235</v>
      </c>
      <c r="G139">
        <v>10</v>
      </c>
      <c r="H139" t="s">
        <v>57</v>
      </c>
      <c r="I139" s="8" t="s">
        <v>124</v>
      </c>
      <c r="Q139" s="7" t="s">
        <v>501</v>
      </c>
      <c r="S139" t="s">
        <v>43</v>
      </c>
      <c r="T139" t="s">
        <v>139</v>
      </c>
      <c r="U139" t="s">
        <v>85</v>
      </c>
      <c r="Y139" t="s">
        <v>134</v>
      </c>
      <c r="AB139" t="s">
        <v>467</v>
      </c>
      <c r="AC139">
        <v>3</v>
      </c>
    </row>
    <row r="140" spans="1:29" x14ac:dyDescent="0.3">
      <c r="A140">
        <v>1</v>
      </c>
      <c r="B140" s="23">
        <v>57</v>
      </c>
      <c r="C140" t="s">
        <v>225</v>
      </c>
      <c r="D140" t="s">
        <v>104</v>
      </c>
      <c r="E140" t="s">
        <v>27</v>
      </c>
      <c r="F140" t="s">
        <v>40</v>
      </c>
      <c r="G140">
        <v>7</v>
      </c>
      <c r="H140" t="s">
        <v>29</v>
      </c>
      <c r="I140" s="6" t="s">
        <v>123</v>
      </c>
      <c r="Q140" s="5" t="s">
        <v>496</v>
      </c>
      <c r="S140" t="s">
        <v>32</v>
      </c>
      <c r="T140" t="s">
        <v>54</v>
      </c>
      <c r="U140" t="s">
        <v>86</v>
      </c>
      <c r="Y140" t="s">
        <v>59</v>
      </c>
      <c r="AB140" t="s">
        <v>468</v>
      </c>
      <c r="AC140">
        <v>5</v>
      </c>
    </row>
    <row r="141" spans="1:29" x14ac:dyDescent="0.3">
      <c r="A141">
        <v>1</v>
      </c>
      <c r="B141" s="23">
        <v>31</v>
      </c>
      <c r="C141" t="s">
        <v>225</v>
      </c>
      <c r="D141" t="s">
        <v>26</v>
      </c>
      <c r="E141" t="s">
        <v>133</v>
      </c>
      <c r="F141" t="s">
        <v>40</v>
      </c>
      <c r="G141">
        <v>6</v>
      </c>
      <c r="H141" t="s">
        <v>57</v>
      </c>
      <c r="I141" s="8" t="s">
        <v>81</v>
      </c>
      <c r="Q141" s="7" t="s">
        <v>501</v>
      </c>
      <c r="S141" t="s">
        <v>43</v>
      </c>
      <c r="T141" t="s">
        <v>33</v>
      </c>
      <c r="U141" t="s">
        <v>85</v>
      </c>
      <c r="Y141" t="s">
        <v>45</v>
      </c>
      <c r="AB141" t="s">
        <v>469</v>
      </c>
      <c r="AC141">
        <v>4</v>
      </c>
    </row>
    <row r="142" spans="1:29" x14ac:dyDescent="0.3">
      <c r="A142">
        <v>1</v>
      </c>
      <c r="B142" s="23">
        <v>33</v>
      </c>
      <c r="C142" t="s">
        <v>225</v>
      </c>
      <c r="D142" t="s">
        <v>26</v>
      </c>
      <c r="E142" t="s">
        <v>107</v>
      </c>
      <c r="F142" t="s">
        <v>40</v>
      </c>
      <c r="G142">
        <v>3</v>
      </c>
      <c r="H142" t="s">
        <v>29</v>
      </c>
      <c r="I142" s="6" t="s">
        <v>123</v>
      </c>
      <c r="Q142" s="5" t="s">
        <v>498</v>
      </c>
      <c r="S142" t="s">
        <v>32</v>
      </c>
      <c r="T142" t="s">
        <v>33</v>
      </c>
      <c r="U142" s="26" t="s">
        <v>508</v>
      </c>
      <c r="Y142" t="s">
        <v>45</v>
      </c>
      <c r="AB142" t="s">
        <v>470</v>
      </c>
      <c r="AC142">
        <v>4</v>
      </c>
    </row>
    <row r="143" spans="1:29" x14ac:dyDescent="0.3">
      <c r="A143">
        <v>1</v>
      </c>
      <c r="B143" s="23">
        <v>50</v>
      </c>
      <c r="C143" t="s">
        <v>225</v>
      </c>
      <c r="D143" t="s">
        <v>26</v>
      </c>
      <c r="E143" t="s">
        <v>133</v>
      </c>
      <c r="F143" t="s">
        <v>28</v>
      </c>
      <c r="G143">
        <v>9</v>
      </c>
      <c r="H143" t="s">
        <v>150</v>
      </c>
      <c r="I143" s="8" t="s">
        <v>81</v>
      </c>
      <c r="Q143" s="5" t="s">
        <v>496</v>
      </c>
      <c r="S143" t="s">
        <v>53</v>
      </c>
      <c r="T143" t="s">
        <v>139</v>
      </c>
      <c r="U143" s="26" t="s">
        <v>62</v>
      </c>
      <c r="Y143" t="s">
        <v>59</v>
      </c>
      <c r="AB143" t="s">
        <v>471</v>
      </c>
      <c r="AC143">
        <v>5</v>
      </c>
    </row>
    <row r="144" spans="1:29" x14ac:dyDescent="0.3">
      <c r="A144">
        <v>1</v>
      </c>
      <c r="B144" s="23">
        <v>36</v>
      </c>
      <c r="C144" t="s">
        <v>50</v>
      </c>
      <c r="D144" t="s">
        <v>104</v>
      </c>
      <c r="E144" t="s">
        <v>200</v>
      </c>
      <c r="F144" t="s">
        <v>40</v>
      </c>
      <c r="G144">
        <v>7</v>
      </c>
      <c r="H144" t="s">
        <v>57</v>
      </c>
      <c r="I144" s="6" t="s">
        <v>127</v>
      </c>
      <c r="Q144" s="5" t="s">
        <v>500</v>
      </c>
      <c r="S144" t="s">
        <v>53</v>
      </c>
      <c r="T144" t="s">
        <v>54</v>
      </c>
      <c r="U144" s="6" t="s">
        <v>62</v>
      </c>
      <c r="Y144" t="s">
        <v>35</v>
      </c>
      <c r="AB144" t="s">
        <v>472</v>
      </c>
      <c r="AC144">
        <v>1</v>
      </c>
    </row>
    <row r="145" spans="1:29" x14ac:dyDescent="0.3">
      <c r="A145">
        <v>1</v>
      </c>
      <c r="B145" s="23">
        <v>45</v>
      </c>
      <c r="C145" t="s">
        <v>25</v>
      </c>
      <c r="D145" t="s">
        <v>104</v>
      </c>
      <c r="E145" t="s">
        <v>107</v>
      </c>
      <c r="F145" t="s">
        <v>235</v>
      </c>
      <c r="G145">
        <v>10</v>
      </c>
      <c r="H145" t="s">
        <v>57</v>
      </c>
      <c r="I145" s="8" t="s">
        <v>122</v>
      </c>
      <c r="J145" t="s">
        <v>127</v>
      </c>
      <c r="K145" t="s">
        <v>128</v>
      </c>
      <c r="Q145" s="7" t="s">
        <v>501</v>
      </c>
      <c r="S145" t="s">
        <v>32</v>
      </c>
      <c r="T145" t="s">
        <v>54</v>
      </c>
      <c r="U145" t="s">
        <v>85</v>
      </c>
      <c r="Y145" t="s">
        <v>134</v>
      </c>
      <c r="AB145" t="s">
        <v>473</v>
      </c>
      <c r="AC145">
        <v>4</v>
      </c>
    </row>
    <row r="146" spans="1:29" x14ac:dyDescent="0.3">
      <c r="A146">
        <v>1</v>
      </c>
      <c r="B146" s="23">
        <v>61</v>
      </c>
      <c r="C146" t="s">
        <v>225</v>
      </c>
      <c r="D146" t="s">
        <v>26</v>
      </c>
      <c r="E146" t="s">
        <v>133</v>
      </c>
      <c r="F146" t="s">
        <v>28</v>
      </c>
      <c r="G146">
        <v>1</v>
      </c>
      <c r="H146" t="s">
        <v>57</v>
      </c>
      <c r="I146" s="6" t="s">
        <v>81</v>
      </c>
      <c r="Q146" s="5" t="s">
        <v>501</v>
      </c>
      <c r="S146" t="s">
        <v>53</v>
      </c>
      <c r="T146" t="s">
        <v>54</v>
      </c>
      <c r="U146" t="s">
        <v>85</v>
      </c>
      <c r="Y146" t="s">
        <v>59</v>
      </c>
      <c r="AB146" t="s">
        <v>474</v>
      </c>
      <c r="AC146">
        <v>4</v>
      </c>
    </row>
    <row r="147" spans="1:29" x14ac:dyDescent="0.3">
      <c r="A147">
        <v>1</v>
      </c>
      <c r="B147" s="23">
        <v>25</v>
      </c>
      <c r="C147" t="s">
        <v>225</v>
      </c>
      <c r="D147" t="s">
        <v>129</v>
      </c>
      <c r="E147" t="s">
        <v>107</v>
      </c>
      <c r="F147" t="s">
        <v>235</v>
      </c>
      <c r="G147">
        <v>9</v>
      </c>
      <c r="H147" t="s">
        <v>150</v>
      </c>
      <c r="I147" s="8" t="s">
        <v>81</v>
      </c>
      <c r="J147" t="s">
        <v>128</v>
      </c>
      <c r="Q147" s="7" t="s">
        <v>497</v>
      </c>
      <c r="S147" t="s">
        <v>53</v>
      </c>
      <c r="T147" t="s">
        <v>139</v>
      </c>
      <c r="U147" t="s">
        <v>86</v>
      </c>
      <c r="Y147" t="s">
        <v>59</v>
      </c>
      <c r="AB147" t="s">
        <v>475</v>
      </c>
      <c r="AC147">
        <v>3</v>
      </c>
    </row>
    <row r="148" spans="1:29" x14ac:dyDescent="0.3">
      <c r="A148">
        <v>1</v>
      </c>
      <c r="B148" s="23">
        <v>68</v>
      </c>
      <c r="C148" t="s">
        <v>25</v>
      </c>
      <c r="D148" t="s">
        <v>26</v>
      </c>
      <c r="E148" t="s">
        <v>133</v>
      </c>
      <c r="F148" t="s">
        <v>235</v>
      </c>
      <c r="G148">
        <v>2</v>
      </c>
      <c r="H148" t="s">
        <v>57</v>
      </c>
      <c r="I148" s="6" t="s">
        <v>81</v>
      </c>
      <c r="Q148" s="5" t="s">
        <v>501</v>
      </c>
      <c r="S148" t="s">
        <v>43</v>
      </c>
      <c r="T148" t="s">
        <v>139</v>
      </c>
      <c r="U148" t="s">
        <v>85</v>
      </c>
      <c r="Y148" t="s">
        <v>134</v>
      </c>
      <c r="AB148" t="s">
        <v>476</v>
      </c>
      <c r="AC148">
        <v>4</v>
      </c>
    </row>
    <row r="149" spans="1:29" x14ac:dyDescent="0.3">
      <c r="A149">
        <v>1</v>
      </c>
      <c r="B149" s="23">
        <v>27</v>
      </c>
      <c r="C149" t="s">
        <v>50</v>
      </c>
      <c r="D149" t="s">
        <v>104</v>
      </c>
      <c r="E149" t="s">
        <v>27</v>
      </c>
      <c r="F149" t="s">
        <v>28</v>
      </c>
      <c r="G149">
        <v>8</v>
      </c>
      <c r="H149" t="s">
        <v>29</v>
      </c>
      <c r="I149" s="8" t="s">
        <v>122</v>
      </c>
      <c r="Q149" s="5" t="s">
        <v>498</v>
      </c>
      <c r="S149" t="s">
        <v>53</v>
      </c>
      <c r="T149" t="s">
        <v>139</v>
      </c>
      <c r="U149" s="26" t="s">
        <v>508</v>
      </c>
      <c r="Y149" t="s">
        <v>35</v>
      </c>
      <c r="AB149" t="s">
        <v>477</v>
      </c>
      <c r="AC149">
        <v>2</v>
      </c>
    </row>
    <row r="150" spans="1:29" x14ac:dyDescent="0.3">
      <c r="A150">
        <v>1</v>
      </c>
      <c r="B150" s="23">
        <v>23</v>
      </c>
      <c r="C150" t="s">
        <v>50</v>
      </c>
      <c r="D150" t="s">
        <v>26</v>
      </c>
      <c r="E150" t="s">
        <v>107</v>
      </c>
      <c r="F150" t="s">
        <v>40</v>
      </c>
      <c r="G150">
        <v>3</v>
      </c>
      <c r="H150" t="s">
        <v>150</v>
      </c>
      <c r="I150" s="6" t="s">
        <v>122</v>
      </c>
      <c r="Q150" s="5" t="s">
        <v>501</v>
      </c>
      <c r="S150" t="s">
        <v>53</v>
      </c>
      <c r="T150" t="s">
        <v>33</v>
      </c>
      <c r="U150" t="s">
        <v>85</v>
      </c>
      <c r="Y150" t="s">
        <v>45</v>
      </c>
      <c r="AB150" t="s">
        <v>478</v>
      </c>
      <c r="AC150">
        <v>3</v>
      </c>
    </row>
    <row r="151" spans="1:29" x14ac:dyDescent="0.3">
      <c r="A151">
        <v>1</v>
      </c>
      <c r="B151" s="23">
        <v>42</v>
      </c>
      <c r="C151" t="s">
        <v>225</v>
      </c>
      <c r="D151" t="s">
        <v>26</v>
      </c>
      <c r="E151" t="s">
        <v>133</v>
      </c>
      <c r="F151" t="s">
        <v>40</v>
      </c>
      <c r="G151">
        <v>10</v>
      </c>
      <c r="H151" t="s">
        <v>150</v>
      </c>
      <c r="I151" s="8" t="s">
        <v>81</v>
      </c>
      <c r="Q151" t="s">
        <v>502</v>
      </c>
      <c r="S151" t="s">
        <v>43</v>
      </c>
      <c r="T151" t="s">
        <v>139</v>
      </c>
      <c r="U151" t="s">
        <v>85</v>
      </c>
      <c r="Y151" t="s">
        <v>59</v>
      </c>
      <c r="AB151" t="s">
        <v>479</v>
      </c>
      <c r="AC151">
        <v>3</v>
      </c>
    </row>
    <row r="152" spans="1:29" x14ac:dyDescent="0.3">
      <c r="A152">
        <v>1</v>
      </c>
      <c r="B152" s="23">
        <v>30</v>
      </c>
      <c r="C152" t="s">
        <v>225</v>
      </c>
      <c r="D152" t="s">
        <v>26</v>
      </c>
      <c r="E152" t="s">
        <v>107</v>
      </c>
      <c r="F152" t="s">
        <v>40</v>
      </c>
      <c r="G152">
        <v>10</v>
      </c>
      <c r="H152" t="s">
        <v>57</v>
      </c>
      <c r="I152" s="6" t="s">
        <v>81</v>
      </c>
      <c r="Q152" s="7" t="s">
        <v>501</v>
      </c>
      <c r="S152" t="s">
        <v>53</v>
      </c>
      <c r="T152" t="s">
        <v>139</v>
      </c>
      <c r="U152" t="s">
        <v>86</v>
      </c>
      <c r="Y152" t="s">
        <v>134</v>
      </c>
      <c r="AB152" t="s">
        <v>480</v>
      </c>
      <c r="AC152">
        <v>4</v>
      </c>
    </row>
    <row r="153" spans="1:29" x14ac:dyDescent="0.3">
      <c r="A153">
        <v>1</v>
      </c>
      <c r="B153" s="23">
        <v>36</v>
      </c>
      <c r="C153" t="s">
        <v>50</v>
      </c>
      <c r="D153" t="s">
        <v>26</v>
      </c>
      <c r="E153" t="s">
        <v>133</v>
      </c>
      <c r="F153" t="s">
        <v>40</v>
      </c>
      <c r="G153">
        <v>9</v>
      </c>
      <c r="H153" t="s">
        <v>158</v>
      </c>
      <c r="I153" s="8" t="s">
        <v>81</v>
      </c>
      <c r="Q153" s="5" t="s">
        <v>496</v>
      </c>
      <c r="S153" t="s">
        <v>32</v>
      </c>
      <c r="T153" t="s">
        <v>54</v>
      </c>
      <c r="U153" t="s">
        <v>85</v>
      </c>
      <c r="Y153" t="s">
        <v>45</v>
      </c>
      <c r="AB153" t="s">
        <v>481</v>
      </c>
      <c r="AC153">
        <v>4</v>
      </c>
    </row>
    <row r="154" spans="1:29" x14ac:dyDescent="0.3">
      <c r="A154">
        <v>1</v>
      </c>
      <c r="B154" s="23">
        <v>41</v>
      </c>
      <c r="C154" t="s">
        <v>50</v>
      </c>
      <c r="D154" t="s">
        <v>26</v>
      </c>
      <c r="E154" t="s">
        <v>27</v>
      </c>
      <c r="F154" t="s">
        <v>235</v>
      </c>
      <c r="G154">
        <v>10</v>
      </c>
      <c r="H154" t="s">
        <v>57</v>
      </c>
      <c r="I154" s="6" t="s">
        <v>81</v>
      </c>
      <c r="Q154" s="7" t="s">
        <v>501</v>
      </c>
      <c r="S154" t="s">
        <v>32</v>
      </c>
      <c r="T154" t="s">
        <v>54</v>
      </c>
      <c r="U154" s="26" t="s">
        <v>508</v>
      </c>
      <c r="Y154" t="s">
        <v>35</v>
      </c>
      <c r="AB154" t="s">
        <v>482</v>
      </c>
      <c r="AC154">
        <v>3</v>
      </c>
    </row>
    <row r="155" spans="1:29" x14ac:dyDescent="0.3">
      <c r="A155">
        <v>1</v>
      </c>
      <c r="B155" s="23">
        <v>37</v>
      </c>
      <c r="C155" t="s">
        <v>50</v>
      </c>
      <c r="D155" t="s">
        <v>102</v>
      </c>
      <c r="E155" t="s">
        <v>133</v>
      </c>
      <c r="F155" t="s">
        <v>235</v>
      </c>
      <c r="G155">
        <v>8</v>
      </c>
      <c r="H155" t="s">
        <v>57</v>
      </c>
      <c r="I155" s="8" t="s">
        <v>123</v>
      </c>
      <c r="Q155" s="5" t="s">
        <v>496</v>
      </c>
      <c r="S155" t="s">
        <v>53</v>
      </c>
      <c r="T155" t="s">
        <v>33</v>
      </c>
      <c r="U155" s="26" t="s">
        <v>62</v>
      </c>
      <c r="Y155" t="s">
        <v>134</v>
      </c>
      <c r="AB155" t="s">
        <v>483</v>
      </c>
      <c r="AC155">
        <v>4</v>
      </c>
    </row>
    <row r="156" spans="1:29" x14ac:dyDescent="0.3">
      <c r="A156">
        <v>1</v>
      </c>
      <c r="B156" s="23">
        <v>53</v>
      </c>
      <c r="C156" t="s">
        <v>25</v>
      </c>
      <c r="D156" t="s">
        <v>26</v>
      </c>
      <c r="E156" t="s">
        <v>107</v>
      </c>
      <c r="F156" t="s">
        <v>28</v>
      </c>
      <c r="G156">
        <v>5</v>
      </c>
      <c r="H156" t="s">
        <v>158</v>
      </c>
      <c r="I156" s="6" t="s">
        <v>122</v>
      </c>
      <c r="Q156" s="5" t="s">
        <v>496</v>
      </c>
      <c r="S156" t="s">
        <v>53</v>
      </c>
      <c r="T156" t="s">
        <v>33</v>
      </c>
      <c r="U156" s="6" t="s">
        <v>62</v>
      </c>
      <c r="Y156" t="s">
        <v>35</v>
      </c>
      <c r="AB156" t="s">
        <v>484</v>
      </c>
      <c r="AC156">
        <v>4</v>
      </c>
    </row>
    <row r="157" spans="1:29" x14ac:dyDescent="0.3">
      <c r="A157">
        <v>1</v>
      </c>
      <c r="B157" s="23">
        <v>46</v>
      </c>
      <c r="C157" t="s">
        <v>25</v>
      </c>
      <c r="D157" t="s">
        <v>104</v>
      </c>
      <c r="E157" t="s">
        <v>27</v>
      </c>
      <c r="F157" t="s">
        <v>235</v>
      </c>
      <c r="G157">
        <v>10</v>
      </c>
      <c r="H157" t="s">
        <v>57</v>
      </c>
      <c r="I157" s="8" t="s">
        <v>81</v>
      </c>
      <c r="Q157" s="5" t="s">
        <v>496</v>
      </c>
      <c r="S157" t="s">
        <v>53</v>
      </c>
      <c r="T157" t="s">
        <v>139</v>
      </c>
      <c r="U157" t="s">
        <v>85</v>
      </c>
      <c r="Y157" t="s">
        <v>59</v>
      </c>
      <c r="AB157" t="s">
        <v>485</v>
      </c>
      <c r="AC157">
        <v>1</v>
      </c>
    </row>
    <row r="158" spans="1:29" x14ac:dyDescent="0.3">
      <c r="A158">
        <v>1</v>
      </c>
      <c r="B158" s="23">
        <v>32</v>
      </c>
      <c r="C158" t="s">
        <v>225</v>
      </c>
      <c r="D158" t="s">
        <v>26</v>
      </c>
      <c r="E158" t="s">
        <v>133</v>
      </c>
      <c r="F158" t="s">
        <v>28</v>
      </c>
      <c r="G158">
        <v>7</v>
      </c>
      <c r="H158" t="s">
        <v>57</v>
      </c>
      <c r="I158" s="6" t="s">
        <v>122</v>
      </c>
      <c r="Q158" s="7" t="s">
        <v>501</v>
      </c>
      <c r="S158" t="s">
        <v>43</v>
      </c>
      <c r="T158" t="s">
        <v>139</v>
      </c>
      <c r="U158" t="s">
        <v>85</v>
      </c>
      <c r="Y158" t="s">
        <v>59</v>
      </c>
      <c r="AB158" t="s">
        <v>486</v>
      </c>
      <c r="AC158">
        <v>4</v>
      </c>
    </row>
    <row r="159" spans="1:29" x14ac:dyDescent="0.3">
      <c r="A159">
        <v>1</v>
      </c>
      <c r="B159" s="23">
        <v>18</v>
      </c>
      <c r="C159" t="s">
        <v>25</v>
      </c>
      <c r="D159" t="s">
        <v>129</v>
      </c>
      <c r="E159" t="s">
        <v>133</v>
      </c>
      <c r="F159" t="s">
        <v>28</v>
      </c>
      <c r="G159">
        <v>2</v>
      </c>
      <c r="H159" t="s">
        <v>158</v>
      </c>
      <c r="I159" s="8" t="s">
        <v>81</v>
      </c>
      <c r="Q159" s="5" t="s">
        <v>496</v>
      </c>
      <c r="S159" t="s">
        <v>32</v>
      </c>
      <c r="T159" t="s">
        <v>54</v>
      </c>
      <c r="U159" t="s">
        <v>86</v>
      </c>
      <c r="Y159" t="s">
        <v>59</v>
      </c>
      <c r="AC159">
        <v>3</v>
      </c>
    </row>
    <row r="160" spans="1:29" x14ac:dyDescent="0.3">
      <c r="A160">
        <v>1</v>
      </c>
      <c r="B160" s="23">
        <v>68</v>
      </c>
      <c r="C160" t="s">
        <v>225</v>
      </c>
      <c r="D160" t="s">
        <v>26</v>
      </c>
      <c r="E160" t="s">
        <v>107</v>
      </c>
      <c r="F160" t="s">
        <v>235</v>
      </c>
      <c r="G160">
        <v>1</v>
      </c>
      <c r="H160" t="s">
        <v>150</v>
      </c>
      <c r="I160" s="6" t="s">
        <v>122</v>
      </c>
      <c r="Q160" s="7" t="s">
        <v>501</v>
      </c>
      <c r="S160" t="s">
        <v>32</v>
      </c>
      <c r="T160" t="s">
        <v>139</v>
      </c>
      <c r="U160" t="s">
        <v>85</v>
      </c>
      <c r="Y160" t="s">
        <v>35</v>
      </c>
      <c r="AC160">
        <v>2</v>
      </c>
    </row>
    <row r="161" spans="1:29" x14ac:dyDescent="0.3">
      <c r="A161">
        <v>1</v>
      </c>
      <c r="B161" s="23">
        <v>53</v>
      </c>
      <c r="C161" t="s">
        <v>25</v>
      </c>
      <c r="D161" t="s">
        <v>102</v>
      </c>
      <c r="E161" t="s">
        <v>200</v>
      </c>
      <c r="F161" t="s">
        <v>28</v>
      </c>
      <c r="G161">
        <v>3</v>
      </c>
      <c r="H161" t="s">
        <v>158</v>
      </c>
      <c r="I161" s="8" t="s">
        <v>123</v>
      </c>
      <c r="Q161" s="5" t="s">
        <v>498</v>
      </c>
      <c r="S161" t="s">
        <v>32</v>
      </c>
      <c r="T161" t="s">
        <v>33</v>
      </c>
      <c r="U161" s="26" t="s">
        <v>508</v>
      </c>
      <c r="Y161" t="s">
        <v>45</v>
      </c>
      <c r="AC161">
        <v>5</v>
      </c>
    </row>
    <row r="162" spans="1:29" x14ac:dyDescent="0.3">
      <c r="A162">
        <v>1</v>
      </c>
      <c r="B162" s="23">
        <v>41</v>
      </c>
      <c r="C162" t="s">
        <v>25</v>
      </c>
      <c r="D162" t="s">
        <v>26</v>
      </c>
      <c r="E162" t="s">
        <v>133</v>
      </c>
      <c r="F162" t="s">
        <v>235</v>
      </c>
      <c r="G162">
        <v>6</v>
      </c>
      <c r="H162" t="s">
        <v>158</v>
      </c>
      <c r="I162" s="6" t="s">
        <v>124</v>
      </c>
      <c r="Q162" s="5" t="s">
        <v>496</v>
      </c>
      <c r="S162" t="s">
        <v>53</v>
      </c>
      <c r="T162" t="s">
        <v>54</v>
      </c>
      <c r="U162" t="s">
        <v>85</v>
      </c>
      <c r="Y162" t="s">
        <v>45</v>
      </c>
      <c r="AC162">
        <v>2</v>
      </c>
    </row>
    <row r="163" spans="1:29" x14ac:dyDescent="0.3">
      <c r="A163">
        <v>1</v>
      </c>
      <c r="B163" s="23">
        <v>28</v>
      </c>
      <c r="C163" t="s">
        <v>225</v>
      </c>
      <c r="D163" t="s">
        <v>26</v>
      </c>
      <c r="E163" t="s">
        <v>133</v>
      </c>
      <c r="F163" t="s">
        <v>40</v>
      </c>
      <c r="G163">
        <v>6</v>
      </c>
      <c r="H163" t="s">
        <v>57</v>
      </c>
      <c r="I163" s="8" t="s">
        <v>81</v>
      </c>
      <c r="J163" t="s">
        <v>126</v>
      </c>
      <c r="K163" t="s">
        <v>127</v>
      </c>
      <c r="Q163" s="5" t="s">
        <v>500</v>
      </c>
      <c r="S163" t="s">
        <v>43</v>
      </c>
      <c r="T163" t="s">
        <v>139</v>
      </c>
      <c r="U163" t="s">
        <v>85</v>
      </c>
      <c r="Y163" t="s">
        <v>45</v>
      </c>
      <c r="AC163">
        <v>4</v>
      </c>
    </row>
    <row r="164" spans="1:29" x14ac:dyDescent="0.3">
      <c r="A164">
        <v>1</v>
      </c>
      <c r="B164" s="23">
        <v>69</v>
      </c>
      <c r="C164" t="s">
        <v>25</v>
      </c>
      <c r="D164" t="s">
        <v>26</v>
      </c>
      <c r="E164" t="s">
        <v>200</v>
      </c>
      <c r="F164" t="s">
        <v>40</v>
      </c>
      <c r="G164">
        <v>4</v>
      </c>
      <c r="H164" t="s">
        <v>158</v>
      </c>
      <c r="I164" s="6" t="s">
        <v>122</v>
      </c>
      <c r="Q164" s="7" t="s">
        <v>501</v>
      </c>
      <c r="S164" t="s">
        <v>32</v>
      </c>
      <c r="T164" t="s">
        <v>139</v>
      </c>
      <c r="U164" t="s">
        <v>86</v>
      </c>
      <c r="Y164" t="s">
        <v>35</v>
      </c>
      <c r="AC164">
        <v>5</v>
      </c>
    </row>
    <row r="165" spans="1:29" x14ac:dyDescent="0.3">
      <c r="A165">
        <v>1</v>
      </c>
      <c r="B165" s="23">
        <v>32</v>
      </c>
      <c r="C165" t="s">
        <v>25</v>
      </c>
      <c r="D165" t="s">
        <v>129</v>
      </c>
      <c r="E165" t="s">
        <v>200</v>
      </c>
      <c r="F165" t="s">
        <v>28</v>
      </c>
      <c r="G165">
        <v>7</v>
      </c>
      <c r="H165" t="s">
        <v>57</v>
      </c>
      <c r="I165" s="8" t="s">
        <v>123</v>
      </c>
      <c r="J165" t="s">
        <v>127</v>
      </c>
      <c r="K165" t="s">
        <v>128</v>
      </c>
      <c r="Q165" s="5" t="s">
        <v>501</v>
      </c>
      <c r="S165" t="s">
        <v>53</v>
      </c>
      <c r="T165" t="s">
        <v>139</v>
      </c>
      <c r="U165" t="s">
        <v>85</v>
      </c>
      <c r="Y165" t="s">
        <v>134</v>
      </c>
      <c r="AC165">
        <v>3</v>
      </c>
    </row>
    <row r="166" spans="1:29" x14ac:dyDescent="0.3">
      <c r="A166">
        <v>1</v>
      </c>
      <c r="B166" s="23">
        <v>26</v>
      </c>
      <c r="C166" t="s">
        <v>50</v>
      </c>
      <c r="D166" t="s">
        <v>26</v>
      </c>
      <c r="E166" t="s">
        <v>133</v>
      </c>
      <c r="F166" t="s">
        <v>28</v>
      </c>
      <c r="G166">
        <v>9</v>
      </c>
      <c r="H166" t="s">
        <v>150</v>
      </c>
      <c r="I166" s="6" t="s">
        <v>122</v>
      </c>
      <c r="Q166" s="7" t="s">
        <v>497</v>
      </c>
      <c r="S166" t="s">
        <v>53</v>
      </c>
      <c r="T166" t="s">
        <v>33</v>
      </c>
      <c r="U166" s="26" t="s">
        <v>508</v>
      </c>
      <c r="Y166" t="s">
        <v>59</v>
      </c>
      <c r="AC166">
        <v>3</v>
      </c>
    </row>
    <row r="167" spans="1:29" x14ac:dyDescent="0.3">
      <c r="A167">
        <v>1</v>
      </c>
      <c r="B167" s="23">
        <v>39</v>
      </c>
      <c r="C167" t="s">
        <v>25</v>
      </c>
      <c r="D167" t="s">
        <v>102</v>
      </c>
      <c r="E167" t="s">
        <v>200</v>
      </c>
      <c r="F167" t="s">
        <v>235</v>
      </c>
      <c r="G167">
        <v>7</v>
      </c>
      <c r="H167" t="s">
        <v>158</v>
      </c>
      <c r="I167" s="8" t="s">
        <v>81</v>
      </c>
      <c r="J167" t="s">
        <v>126</v>
      </c>
      <c r="K167" t="s">
        <v>127</v>
      </c>
      <c r="L167" t="s">
        <v>127</v>
      </c>
      <c r="M167" t="s">
        <v>128</v>
      </c>
      <c r="Q167" s="5" t="s">
        <v>501</v>
      </c>
      <c r="S167" t="s">
        <v>53</v>
      </c>
      <c r="T167" t="s">
        <v>54</v>
      </c>
      <c r="U167" s="26" t="s">
        <v>62</v>
      </c>
      <c r="Y167" t="s">
        <v>35</v>
      </c>
      <c r="AC167">
        <v>3</v>
      </c>
    </row>
    <row r="168" spans="1:29" x14ac:dyDescent="0.3">
      <c r="A168">
        <v>1</v>
      </c>
      <c r="B168" s="23">
        <v>64</v>
      </c>
      <c r="C168" t="s">
        <v>50</v>
      </c>
      <c r="D168" t="s">
        <v>129</v>
      </c>
      <c r="E168" t="s">
        <v>27</v>
      </c>
      <c r="F168" t="s">
        <v>28</v>
      </c>
      <c r="G168">
        <v>6</v>
      </c>
      <c r="H168" t="s">
        <v>158</v>
      </c>
      <c r="I168" s="6" t="s">
        <v>81</v>
      </c>
      <c r="J168" t="s">
        <v>126</v>
      </c>
      <c r="K168" t="s">
        <v>128</v>
      </c>
      <c r="Q168" s="5" t="s">
        <v>498</v>
      </c>
      <c r="S168" t="s">
        <v>43</v>
      </c>
      <c r="T168" t="s">
        <v>33</v>
      </c>
      <c r="U168" t="s">
        <v>85</v>
      </c>
      <c r="Y168" t="s">
        <v>134</v>
      </c>
      <c r="AC168">
        <v>3</v>
      </c>
    </row>
    <row r="169" spans="1:29" x14ac:dyDescent="0.3">
      <c r="A169">
        <v>1</v>
      </c>
      <c r="B169" s="23">
        <v>67</v>
      </c>
      <c r="C169" t="s">
        <v>50</v>
      </c>
      <c r="D169" t="s">
        <v>104</v>
      </c>
      <c r="E169" t="s">
        <v>200</v>
      </c>
      <c r="F169" t="s">
        <v>235</v>
      </c>
      <c r="G169">
        <v>10</v>
      </c>
      <c r="H169" t="s">
        <v>150</v>
      </c>
      <c r="I169" s="8" t="s">
        <v>81</v>
      </c>
      <c r="J169" t="s">
        <v>128</v>
      </c>
      <c r="Q169" s="5" t="s">
        <v>501</v>
      </c>
      <c r="S169" t="s">
        <v>53</v>
      </c>
      <c r="T169" t="s">
        <v>33</v>
      </c>
      <c r="U169" t="s">
        <v>85</v>
      </c>
      <c r="Y169" t="s">
        <v>134</v>
      </c>
      <c r="AC169">
        <v>5</v>
      </c>
    </row>
    <row r="170" spans="1:29" x14ac:dyDescent="0.3">
      <c r="A170">
        <v>1</v>
      </c>
      <c r="B170" s="23">
        <v>50</v>
      </c>
      <c r="C170" t="s">
        <v>225</v>
      </c>
      <c r="D170" t="s">
        <v>102</v>
      </c>
      <c r="E170" t="s">
        <v>27</v>
      </c>
      <c r="F170" t="s">
        <v>40</v>
      </c>
      <c r="G170">
        <v>10</v>
      </c>
      <c r="H170" t="s">
        <v>150</v>
      </c>
      <c r="I170" s="6" t="s">
        <v>123</v>
      </c>
      <c r="Q170" s="7" t="s">
        <v>501</v>
      </c>
      <c r="S170" t="s">
        <v>53</v>
      </c>
      <c r="T170" t="s">
        <v>33</v>
      </c>
      <c r="U170" t="s">
        <v>86</v>
      </c>
      <c r="Y170" t="s">
        <v>134</v>
      </c>
      <c r="AC170">
        <v>3</v>
      </c>
    </row>
    <row r="171" spans="1:29" x14ac:dyDescent="0.3">
      <c r="A171">
        <v>1</v>
      </c>
      <c r="B171" s="23">
        <v>22</v>
      </c>
      <c r="C171" t="s">
        <v>25</v>
      </c>
      <c r="D171" t="s">
        <v>129</v>
      </c>
      <c r="E171" t="s">
        <v>133</v>
      </c>
      <c r="F171" t="s">
        <v>235</v>
      </c>
      <c r="G171">
        <v>2</v>
      </c>
      <c r="H171" t="s">
        <v>57</v>
      </c>
      <c r="I171" s="8" t="s">
        <v>124</v>
      </c>
      <c r="Q171" s="5" t="s">
        <v>496</v>
      </c>
      <c r="S171" t="s">
        <v>43</v>
      </c>
      <c r="T171" t="s">
        <v>139</v>
      </c>
      <c r="U171" t="s">
        <v>85</v>
      </c>
      <c r="Y171" t="s">
        <v>45</v>
      </c>
      <c r="AC171">
        <v>5</v>
      </c>
    </row>
    <row r="172" spans="1:29" x14ac:dyDescent="0.3">
      <c r="A172">
        <v>1</v>
      </c>
      <c r="B172" s="23">
        <v>39</v>
      </c>
      <c r="C172" t="s">
        <v>25</v>
      </c>
      <c r="D172" t="s">
        <v>104</v>
      </c>
      <c r="E172" t="s">
        <v>133</v>
      </c>
      <c r="F172" t="s">
        <v>28</v>
      </c>
      <c r="G172">
        <v>2</v>
      </c>
      <c r="H172" t="s">
        <v>29</v>
      </c>
      <c r="I172" s="8" t="s">
        <v>82</v>
      </c>
      <c r="Q172" s="7" t="s">
        <v>501</v>
      </c>
      <c r="S172" t="s">
        <v>53</v>
      </c>
      <c r="T172" t="s">
        <v>54</v>
      </c>
      <c r="U172" s="26" t="s">
        <v>508</v>
      </c>
      <c r="Y172" t="s">
        <v>45</v>
      </c>
      <c r="AC172">
        <v>4</v>
      </c>
    </row>
    <row r="173" spans="1:29" x14ac:dyDescent="0.3">
      <c r="A173">
        <v>1</v>
      </c>
      <c r="B173" s="23">
        <v>30</v>
      </c>
      <c r="C173" t="s">
        <v>225</v>
      </c>
      <c r="D173" t="s">
        <v>104</v>
      </c>
      <c r="E173" t="s">
        <v>133</v>
      </c>
      <c r="F173" t="s">
        <v>40</v>
      </c>
      <c r="G173">
        <v>6</v>
      </c>
      <c r="H173" t="s">
        <v>158</v>
      </c>
      <c r="I173" s="8" t="s">
        <v>123</v>
      </c>
      <c r="Q173" s="5" t="s">
        <v>496</v>
      </c>
      <c r="S173" t="s">
        <v>32</v>
      </c>
      <c r="T173" t="s">
        <v>139</v>
      </c>
      <c r="U173" t="s">
        <v>85</v>
      </c>
      <c r="Y173" t="s">
        <v>134</v>
      </c>
      <c r="AC173">
        <v>5</v>
      </c>
    </row>
    <row r="174" spans="1:29" x14ac:dyDescent="0.3">
      <c r="A174">
        <v>1</v>
      </c>
      <c r="B174" s="23">
        <v>29</v>
      </c>
      <c r="C174" t="s">
        <v>225</v>
      </c>
      <c r="D174" t="s">
        <v>102</v>
      </c>
      <c r="E174" t="s">
        <v>27</v>
      </c>
      <c r="F174" t="s">
        <v>28</v>
      </c>
      <c r="G174">
        <v>3</v>
      </c>
      <c r="H174" t="s">
        <v>158</v>
      </c>
      <c r="I174" s="6" t="s">
        <v>122</v>
      </c>
      <c r="Q174" s="5" t="s">
        <v>496</v>
      </c>
      <c r="S174" t="s">
        <v>32</v>
      </c>
      <c r="T174" t="s">
        <v>33</v>
      </c>
      <c r="U174" t="s">
        <v>85</v>
      </c>
      <c r="Y174" t="s">
        <v>45</v>
      </c>
      <c r="AC174">
        <v>3</v>
      </c>
    </row>
    <row r="175" spans="1:29" x14ac:dyDescent="0.3">
      <c r="A175">
        <v>1</v>
      </c>
      <c r="B175" s="23">
        <v>20</v>
      </c>
      <c r="C175" t="s">
        <v>50</v>
      </c>
      <c r="D175" t="s">
        <v>26</v>
      </c>
      <c r="E175" t="s">
        <v>107</v>
      </c>
      <c r="F175" t="s">
        <v>28</v>
      </c>
      <c r="G175">
        <v>5</v>
      </c>
      <c r="H175" t="s">
        <v>29</v>
      </c>
      <c r="I175" s="8" t="s">
        <v>81</v>
      </c>
      <c r="J175" t="s">
        <v>126</v>
      </c>
      <c r="K175" t="s">
        <v>127</v>
      </c>
      <c r="L175" t="s">
        <v>128</v>
      </c>
      <c r="Q175" s="5" t="s">
        <v>496</v>
      </c>
      <c r="S175" t="s">
        <v>53</v>
      </c>
      <c r="T175" t="s">
        <v>54</v>
      </c>
      <c r="U175" t="s">
        <v>86</v>
      </c>
      <c r="Y175" t="s">
        <v>134</v>
      </c>
      <c r="AC175">
        <v>2</v>
      </c>
    </row>
    <row r="176" spans="1:29" x14ac:dyDescent="0.3">
      <c r="A176">
        <v>1</v>
      </c>
      <c r="B176" s="23">
        <v>61</v>
      </c>
      <c r="C176" t="s">
        <v>50</v>
      </c>
      <c r="D176" t="s">
        <v>104</v>
      </c>
      <c r="E176" t="s">
        <v>27</v>
      </c>
      <c r="F176" t="s">
        <v>28</v>
      </c>
      <c r="G176">
        <v>2</v>
      </c>
      <c r="H176" t="s">
        <v>57</v>
      </c>
      <c r="I176" s="6" t="s">
        <v>81</v>
      </c>
      <c r="J176" t="s">
        <v>126</v>
      </c>
      <c r="K176" t="s">
        <v>128</v>
      </c>
      <c r="Q176" s="7" t="s">
        <v>501</v>
      </c>
      <c r="S176" t="s">
        <v>53</v>
      </c>
      <c r="T176" t="s">
        <v>54</v>
      </c>
      <c r="U176" t="s">
        <v>85</v>
      </c>
      <c r="Y176" t="s">
        <v>134</v>
      </c>
      <c r="AC176">
        <v>5</v>
      </c>
    </row>
    <row r="177" spans="1:29" x14ac:dyDescent="0.3">
      <c r="A177">
        <v>1</v>
      </c>
      <c r="B177" s="23">
        <v>47</v>
      </c>
      <c r="C177" t="s">
        <v>225</v>
      </c>
      <c r="D177" t="s">
        <v>129</v>
      </c>
      <c r="E177" t="s">
        <v>107</v>
      </c>
      <c r="F177" t="s">
        <v>235</v>
      </c>
      <c r="G177">
        <v>9</v>
      </c>
      <c r="H177" t="s">
        <v>29</v>
      </c>
      <c r="I177" s="8" t="s">
        <v>123</v>
      </c>
      <c r="Q177" s="5" t="s">
        <v>496</v>
      </c>
      <c r="S177" t="s">
        <v>53</v>
      </c>
      <c r="T177" t="s">
        <v>33</v>
      </c>
      <c r="U177" s="26" t="s">
        <v>508</v>
      </c>
      <c r="Y177" t="s">
        <v>35</v>
      </c>
      <c r="AC177">
        <v>2</v>
      </c>
    </row>
    <row r="178" spans="1:29" x14ac:dyDescent="0.3">
      <c r="A178">
        <v>1</v>
      </c>
      <c r="B178" s="23">
        <v>19</v>
      </c>
      <c r="C178" t="s">
        <v>25</v>
      </c>
      <c r="D178" t="s">
        <v>102</v>
      </c>
      <c r="E178" t="s">
        <v>107</v>
      </c>
      <c r="F178" t="s">
        <v>235</v>
      </c>
      <c r="G178">
        <v>8</v>
      </c>
      <c r="H178" t="s">
        <v>158</v>
      </c>
      <c r="I178" s="6" t="s">
        <v>123</v>
      </c>
      <c r="Q178" s="7" t="s">
        <v>501</v>
      </c>
      <c r="S178" t="s">
        <v>43</v>
      </c>
      <c r="T178" t="s">
        <v>33</v>
      </c>
      <c r="U178" s="26" t="s">
        <v>62</v>
      </c>
      <c r="Y178" t="s">
        <v>35</v>
      </c>
      <c r="AC178">
        <v>5</v>
      </c>
    </row>
    <row r="179" spans="1:29" x14ac:dyDescent="0.3">
      <c r="A179">
        <v>1</v>
      </c>
      <c r="B179" s="23">
        <v>39</v>
      </c>
      <c r="C179" t="s">
        <v>225</v>
      </c>
      <c r="D179" t="s">
        <v>26</v>
      </c>
      <c r="E179" t="s">
        <v>200</v>
      </c>
      <c r="F179" t="s">
        <v>40</v>
      </c>
      <c r="G179">
        <v>5</v>
      </c>
      <c r="H179" t="s">
        <v>57</v>
      </c>
      <c r="I179" s="8" t="s">
        <v>122</v>
      </c>
      <c r="Q179" s="5" t="s">
        <v>498</v>
      </c>
      <c r="S179" t="s">
        <v>32</v>
      </c>
      <c r="T179" t="s">
        <v>33</v>
      </c>
      <c r="U179" t="s">
        <v>85</v>
      </c>
      <c r="Y179" t="s">
        <v>45</v>
      </c>
      <c r="AC179">
        <v>1</v>
      </c>
    </row>
    <row r="180" spans="1:29" x14ac:dyDescent="0.3">
      <c r="A180">
        <v>1</v>
      </c>
      <c r="B180" s="23">
        <v>52</v>
      </c>
      <c r="C180" t="s">
        <v>25</v>
      </c>
      <c r="D180" t="s">
        <v>26</v>
      </c>
      <c r="E180" t="s">
        <v>107</v>
      </c>
      <c r="F180" t="s">
        <v>28</v>
      </c>
      <c r="G180">
        <v>7</v>
      </c>
      <c r="H180" t="s">
        <v>150</v>
      </c>
      <c r="I180" s="6" t="s">
        <v>81</v>
      </c>
      <c r="Q180" s="5" t="s">
        <v>496</v>
      </c>
      <c r="S180" t="s">
        <v>32</v>
      </c>
      <c r="T180" t="s">
        <v>33</v>
      </c>
      <c r="U180" t="s">
        <v>85</v>
      </c>
      <c r="Y180" t="s">
        <v>45</v>
      </c>
      <c r="AC180">
        <v>1</v>
      </c>
    </row>
    <row r="181" spans="1:29" x14ac:dyDescent="0.3">
      <c r="A181">
        <v>1</v>
      </c>
      <c r="B181" s="23">
        <v>53</v>
      </c>
      <c r="C181" t="s">
        <v>25</v>
      </c>
      <c r="D181" t="s">
        <v>26</v>
      </c>
      <c r="E181" t="s">
        <v>27</v>
      </c>
      <c r="F181" t="s">
        <v>28</v>
      </c>
      <c r="G181">
        <v>3</v>
      </c>
      <c r="H181" t="s">
        <v>29</v>
      </c>
      <c r="I181" s="8" t="s">
        <v>81</v>
      </c>
      <c r="Q181" s="5" t="s">
        <v>500</v>
      </c>
      <c r="S181" t="s">
        <v>43</v>
      </c>
      <c r="T181" t="s">
        <v>54</v>
      </c>
      <c r="U181" t="s">
        <v>86</v>
      </c>
      <c r="Y181" t="s">
        <v>59</v>
      </c>
      <c r="AC181">
        <v>2</v>
      </c>
    </row>
    <row r="182" spans="1:29" x14ac:dyDescent="0.3">
      <c r="A182">
        <v>1</v>
      </c>
      <c r="B182" s="23">
        <v>52</v>
      </c>
      <c r="C182" t="s">
        <v>50</v>
      </c>
      <c r="D182" t="s">
        <v>26</v>
      </c>
      <c r="E182" t="s">
        <v>133</v>
      </c>
      <c r="F182" t="s">
        <v>235</v>
      </c>
      <c r="G182">
        <v>2</v>
      </c>
      <c r="H182" t="s">
        <v>57</v>
      </c>
      <c r="I182" s="6" t="s">
        <v>81</v>
      </c>
      <c r="Q182" s="7" t="s">
        <v>501</v>
      </c>
      <c r="S182" t="s">
        <v>43</v>
      </c>
      <c r="T182" t="s">
        <v>139</v>
      </c>
      <c r="U182" t="s">
        <v>85</v>
      </c>
      <c r="Y182" t="s">
        <v>59</v>
      </c>
      <c r="AC182">
        <v>5</v>
      </c>
    </row>
    <row r="183" spans="1:29" x14ac:dyDescent="0.3">
      <c r="A183">
        <v>1</v>
      </c>
      <c r="B183" s="23">
        <v>34</v>
      </c>
      <c r="C183" t="s">
        <v>225</v>
      </c>
      <c r="D183" t="s">
        <v>26</v>
      </c>
      <c r="E183" t="s">
        <v>200</v>
      </c>
      <c r="F183" t="s">
        <v>28</v>
      </c>
      <c r="G183">
        <v>7</v>
      </c>
      <c r="H183" t="s">
        <v>150</v>
      </c>
      <c r="I183" s="8" t="s">
        <v>81</v>
      </c>
      <c r="Q183" s="5" t="s">
        <v>501</v>
      </c>
      <c r="S183" t="s">
        <v>53</v>
      </c>
      <c r="T183" t="s">
        <v>33</v>
      </c>
      <c r="U183" s="26" t="s">
        <v>508</v>
      </c>
      <c r="Y183" t="s">
        <v>35</v>
      </c>
      <c r="AC183">
        <v>4</v>
      </c>
    </row>
    <row r="184" spans="1:29" x14ac:dyDescent="0.3">
      <c r="A184">
        <v>1</v>
      </c>
      <c r="B184" s="23">
        <v>43</v>
      </c>
      <c r="C184" t="s">
        <v>50</v>
      </c>
      <c r="D184" t="s">
        <v>26</v>
      </c>
      <c r="E184" t="s">
        <v>27</v>
      </c>
      <c r="F184" t="s">
        <v>40</v>
      </c>
      <c r="G184">
        <v>4</v>
      </c>
      <c r="H184" t="s">
        <v>150</v>
      </c>
      <c r="I184" s="6" t="s">
        <v>81</v>
      </c>
      <c r="Q184" s="7" t="s">
        <v>497</v>
      </c>
      <c r="S184" t="s">
        <v>53</v>
      </c>
      <c r="T184" t="s">
        <v>54</v>
      </c>
      <c r="U184" t="s">
        <v>85</v>
      </c>
      <c r="Y184" t="s">
        <v>59</v>
      </c>
      <c r="AC184">
        <v>1</v>
      </c>
    </row>
    <row r="185" spans="1:29" x14ac:dyDescent="0.3">
      <c r="A185">
        <v>1</v>
      </c>
      <c r="B185" s="23">
        <v>48</v>
      </c>
      <c r="C185" t="s">
        <v>50</v>
      </c>
      <c r="D185" t="s">
        <v>104</v>
      </c>
      <c r="E185" t="s">
        <v>133</v>
      </c>
      <c r="F185" t="s">
        <v>40</v>
      </c>
      <c r="G185">
        <v>1</v>
      </c>
      <c r="H185" t="s">
        <v>150</v>
      </c>
      <c r="I185" s="8" t="s">
        <v>81</v>
      </c>
      <c r="Q185" s="5" t="s">
        <v>501</v>
      </c>
      <c r="S185" t="s">
        <v>53</v>
      </c>
      <c r="T185" t="s">
        <v>33</v>
      </c>
      <c r="U185" t="s">
        <v>85</v>
      </c>
      <c r="Y185" t="s">
        <v>35</v>
      </c>
      <c r="AC185">
        <v>5</v>
      </c>
    </row>
    <row r="186" spans="1:29" x14ac:dyDescent="0.3">
      <c r="A186">
        <v>1</v>
      </c>
      <c r="B186" s="23">
        <v>45</v>
      </c>
      <c r="C186" t="s">
        <v>25</v>
      </c>
      <c r="D186" t="s">
        <v>102</v>
      </c>
      <c r="E186" t="s">
        <v>133</v>
      </c>
      <c r="F186" t="s">
        <v>28</v>
      </c>
      <c r="G186">
        <v>7</v>
      </c>
      <c r="H186" t="s">
        <v>158</v>
      </c>
      <c r="I186" s="6" t="s">
        <v>122</v>
      </c>
      <c r="Q186" s="5" t="s">
        <v>498</v>
      </c>
      <c r="S186" t="s">
        <v>32</v>
      </c>
      <c r="T186" t="s">
        <v>139</v>
      </c>
      <c r="U186" t="s">
        <v>86</v>
      </c>
      <c r="Y186" t="s">
        <v>35</v>
      </c>
      <c r="AC186">
        <v>1</v>
      </c>
    </row>
    <row r="187" spans="1:29" x14ac:dyDescent="0.3">
      <c r="A187">
        <v>1</v>
      </c>
      <c r="B187" s="23">
        <v>43</v>
      </c>
      <c r="C187" t="s">
        <v>225</v>
      </c>
      <c r="D187" t="s">
        <v>26</v>
      </c>
      <c r="E187" t="s">
        <v>133</v>
      </c>
      <c r="F187" t="s">
        <v>28</v>
      </c>
      <c r="G187">
        <v>5</v>
      </c>
      <c r="H187" t="s">
        <v>29</v>
      </c>
      <c r="I187" s="8" t="s">
        <v>81</v>
      </c>
      <c r="J187" t="s">
        <v>126</v>
      </c>
      <c r="K187" t="s">
        <v>127</v>
      </c>
      <c r="Q187" s="5" t="s">
        <v>501</v>
      </c>
      <c r="S187" t="s">
        <v>32</v>
      </c>
      <c r="T187" t="s">
        <v>33</v>
      </c>
      <c r="U187" t="s">
        <v>85</v>
      </c>
      <c r="Y187" t="s">
        <v>134</v>
      </c>
      <c r="AC187">
        <v>3</v>
      </c>
    </row>
    <row r="188" spans="1:29" x14ac:dyDescent="0.3">
      <c r="A188">
        <v>1</v>
      </c>
      <c r="B188" s="23">
        <v>49</v>
      </c>
      <c r="C188" t="s">
        <v>25</v>
      </c>
      <c r="D188" t="s">
        <v>26</v>
      </c>
      <c r="E188" t="s">
        <v>200</v>
      </c>
      <c r="F188" t="s">
        <v>28</v>
      </c>
      <c r="G188">
        <v>4</v>
      </c>
      <c r="H188" t="s">
        <v>158</v>
      </c>
      <c r="I188" s="6" t="s">
        <v>81</v>
      </c>
      <c r="J188" t="s">
        <v>126</v>
      </c>
      <c r="Q188" s="7" t="s">
        <v>501</v>
      </c>
      <c r="S188" t="s">
        <v>43</v>
      </c>
      <c r="T188" t="s">
        <v>54</v>
      </c>
      <c r="U188" s="26" t="s">
        <v>508</v>
      </c>
      <c r="Y188" t="s">
        <v>45</v>
      </c>
      <c r="AC188">
        <v>3</v>
      </c>
    </row>
    <row r="189" spans="1:29" x14ac:dyDescent="0.3">
      <c r="A189">
        <v>1</v>
      </c>
      <c r="B189" s="23">
        <v>21</v>
      </c>
      <c r="C189" t="s">
        <v>50</v>
      </c>
      <c r="D189" t="s">
        <v>102</v>
      </c>
      <c r="E189" t="s">
        <v>133</v>
      </c>
      <c r="F189" t="s">
        <v>235</v>
      </c>
      <c r="G189">
        <v>3</v>
      </c>
      <c r="H189" t="s">
        <v>57</v>
      </c>
      <c r="I189" s="8" t="s">
        <v>81</v>
      </c>
      <c r="Q189" s="5" t="s">
        <v>496</v>
      </c>
      <c r="S189" t="s">
        <v>32</v>
      </c>
      <c r="T189" t="s">
        <v>33</v>
      </c>
      <c r="U189" s="26" t="s">
        <v>62</v>
      </c>
      <c r="Y189" t="s">
        <v>35</v>
      </c>
      <c r="AC189">
        <v>1</v>
      </c>
    </row>
    <row r="190" spans="1:29" x14ac:dyDescent="0.3">
      <c r="A190">
        <v>1</v>
      </c>
      <c r="B190" s="23">
        <v>24</v>
      </c>
      <c r="C190" t="s">
        <v>225</v>
      </c>
      <c r="D190" t="s">
        <v>26</v>
      </c>
      <c r="E190" t="s">
        <v>107</v>
      </c>
      <c r="F190" t="s">
        <v>28</v>
      </c>
      <c r="G190">
        <v>8</v>
      </c>
      <c r="H190" t="s">
        <v>150</v>
      </c>
      <c r="I190" s="6" t="s">
        <v>123</v>
      </c>
      <c r="Q190" s="7" t="s">
        <v>501</v>
      </c>
      <c r="S190" t="s">
        <v>53</v>
      </c>
      <c r="T190" t="s">
        <v>33</v>
      </c>
      <c r="U190" t="s">
        <v>85</v>
      </c>
      <c r="Y190" t="s">
        <v>134</v>
      </c>
      <c r="AC190">
        <v>1</v>
      </c>
    </row>
    <row r="191" spans="1:29" x14ac:dyDescent="0.3">
      <c r="A191">
        <v>1</v>
      </c>
      <c r="B191" s="23">
        <v>37</v>
      </c>
      <c r="C191" t="s">
        <v>225</v>
      </c>
      <c r="D191" t="s">
        <v>26</v>
      </c>
      <c r="E191" t="s">
        <v>27</v>
      </c>
      <c r="F191" t="s">
        <v>28</v>
      </c>
      <c r="G191">
        <v>3</v>
      </c>
      <c r="H191" t="s">
        <v>57</v>
      </c>
      <c r="I191" s="8" t="s">
        <v>81</v>
      </c>
      <c r="J191" t="s">
        <v>127</v>
      </c>
      <c r="K191" t="s">
        <v>128</v>
      </c>
      <c r="Q191" s="5" t="s">
        <v>496</v>
      </c>
      <c r="S191" t="s">
        <v>53</v>
      </c>
      <c r="T191" t="s">
        <v>33</v>
      </c>
      <c r="U191" t="s">
        <v>85</v>
      </c>
      <c r="Y191" t="s">
        <v>45</v>
      </c>
      <c r="AC191">
        <v>2</v>
      </c>
    </row>
    <row r="192" spans="1:29" x14ac:dyDescent="0.3">
      <c r="A192">
        <v>1</v>
      </c>
      <c r="B192" s="23">
        <v>33</v>
      </c>
      <c r="C192" t="s">
        <v>25</v>
      </c>
      <c r="D192" t="s">
        <v>26</v>
      </c>
      <c r="E192" t="s">
        <v>133</v>
      </c>
      <c r="F192" t="s">
        <v>28</v>
      </c>
      <c r="G192">
        <v>7</v>
      </c>
      <c r="H192" t="s">
        <v>158</v>
      </c>
      <c r="I192" s="6" t="s">
        <v>81</v>
      </c>
      <c r="J192" t="s">
        <v>126</v>
      </c>
      <c r="K192" t="s">
        <v>127</v>
      </c>
      <c r="Q192" s="5" t="s">
        <v>496</v>
      </c>
      <c r="S192" t="s">
        <v>53</v>
      </c>
      <c r="T192" t="s">
        <v>54</v>
      </c>
      <c r="U192" t="s">
        <v>86</v>
      </c>
      <c r="Y192" t="s">
        <v>134</v>
      </c>
      <c r="AC192">
        <v>5</v>
      </c>
    </row>
    <row r="193" spans="1:29" x14ac:dyDescent="0.3">
      <c r="A193">
        <v>1</v>
      </c>
      <c r="B193" s="23">
        <v>55</v>
      </c>
      <c r="C193" t="s">
        <v>225</v>
      </c>
      <c r="D193" t="s">
        <v>26</v>
      </c>
      <c r="E193" t="s">
        <v>27</v>
      </c>
      <c r="F193" t="s">
        <v>28</v>
      </c>
      <c r="G193">
        <v>9</v>
      </c>
      <c r="H193" t="s">
        <v>29</v>
      </c>
      <c r="I193" s="8" t="s">
        <v>123</v>
      </c>
      <c r="J193" t="s">
        <v>128</v>
      </c>
      <c r="Q193" s="5" t="s">
        <v>496</v>
      </c>
      <c r="S193" t="s">
        <v>43</v>
      </c>
      <c r="T193" t="s">
        <v>139</v>
      </c>
      <c r="U193" t="s">
        <v>85</v>
      </c>
      <c r="Y193" t="s">
        <v>45</v>
      </c>
      <c r="AC193">
        <v>2</v>
      </c>
    </row>
    <row r="194" spans="1:29" x14ac:dyDescent="0.3">
      <c r="A194">
        <v>1</v>
      </c>
      <c r="B194" s="23">
        <v>20</v>
      </c>
      <c r="C194" t="s">
        <v>50</v>
      </c>
      <c r="D194" t="s">
        <v>129</v>
      </c>
      <c r="E194" t="s">
        <v>200</v>
      </c>
      <c r="F194" t="s">
        <v>235</v>
      </c>
      <c r="G194">
        <v>7</v>
      </c>
      <c r="H194" t="s">
        <v>158</v>
      </c>
      <c r="I194" s="6" t="s">
        <v>123</v>
      </c>
      <c r="Q194" s="7" t="s">
        <v>501</v>
      </c>
      <c r="S194" t="s">
        <v>32</v>
      </c>
      <c r="T194" t="s">
        <v>139</v>
      </c>
      <c r="U194" s="26" t="s">
        <v>508</v>
      </c>
      <c r="Y194" t="s">
        <v>134</v>
      </c>
      <c r="AC194">
        <v>5</v>
      </c>
    </row>
    <row r="195" spans="1:29" x14ac:dyDescent="0.3">
      <c r="A195">
        <v>1</v>
      </c>
      <c r="B195" s="23">
        <v>42</v>
      </c>
      <c r="C195" t="s">
        <v>25</v>
      </c>
      <c r="D195" t="s">
        <v>102</v>
      </c>
      <c r="E195" t="s">
        <v>107</v>
      </c>
      <c r="F195" t="s">
        <v>235</v>
      </c>
      <c r="G195">
        <v>9</v>
      </c>
      <c r="H195" t="s">
        <v>57</v>
      </c>
      <c r="I195" s="8" t="s">
        <v>125</v>
      </c>
      <c r="Q195" s="5" t="s">
        <v>496</v>
      </c>
      <c r="S195" t="s">
        <v>43</v>
      </c>
      <c r="T195" t="s">
        <v>33</v>
      </c>
      <c r="U195" t="s">
        <v>85</v>
      </c>
      <c r="Y195" t="s">
        <v>134</v>
      </c>
      <c r="AC195">
        <v>1</v>
      </c>
    </row>
    <row r="196" spans="1:29" x14ac:dyDescent="0.3">
      <c r="A196">
        <v>1</v>
      </c>
      <c r="B196" s="23">
        <v>39</v>
      </c>
      <c r="C196" t="s">
        <v>25</v>
      </c>
      <c r="D196" t="s">
        <v>129</v>
      </c>
      <c r="E196" t="s">
        <v>200</v>
      </c>
      <c r="F196" t="s">
        <v>235</v>
      </c>
      <c r="G196">
        <v>5</v>
      </c>
      <c r="H196" t="s">
        <v>29</v>
      </c>
      <c r="I196" s="6" t="s">
        <v>123</v>
      </c>
      <c r="Q196" s="7" t="s">
        <v>501</v>
      </c>
      <c r="S196" t="s">
        <v>53</v>
      </c>
      <c r="T196" t="s">
        <v>33</v>
      </c>
      <c r="U196" t="s">
        <v>85</v>
      </c>
      <c r="Y196" t="s">
        <v>59</v>
      </c>
      <c r="AC196">
        <v>4</v>
      </c>
    </row>
    <row r="197" spans="1:29" x14ac:dyDescent="0.3">
      <c r="A197">
        <v>1</v>
      </c>
      <c r="B197" s="23">
        <v>54</v>
      </c>
      <c r="C197" t="s">
        <v>25</v>
      </c>
      <c r="D197" t="s">
        <v>104</v>
      </c>
      <c r="E197" t="s">
        <v>200</v>
      </c>
      <c r="F197" t="s">
        <v>28</v>
      </c>
      <c r="G197">
        <v>4</v>
      </c>
      <c r="H197" t="s">
        <v>150</v>
      </c>
      <c r="I197" s="8" t="s">
        <v>122</v>
      </c>
      <c r="Q197" s="5" t="s">
        <v>498</v>
      </c>
      <c r="S197" t="s">
        <v>53</v>
      </c>
      <c r="T197" t="s">
        <v>33</v>
      </c>
      <c r="U197" t="s">
        <v>86</v>
      </c>
      <c r="Y197" t="s">
        <v>134</v>
      </c>
      <c r="AC197">
        <v>2</v>
      </c>
    </row>
    <row r="198" spans="1:29" x14ac:dyDescent="0.3">
      <c r="A198">
        <v>1</v>
      </c>
      <c r="B198" s="23">
        <v>22</v>
      </c>
      <c r="C198" t="s">
        <v>50</v>
      </c>
      <c r="D198" t="s">
        <v>26</v>
      </c>
      <c r="E198" t="s">
        <v>107</v>
      </c>
      <c r="F198" t="s">
        <v>40</v>
      </c>
      <c r="G198">
        <v>5</v>
      </c>
      <c r="H198" t="s">
        <v>150</v>
      </c>
      <c r="I198" s="6" t="s">
        <v>124</v>
      </c>
      <c r="Q198" s="5" t="s">
        <v>496</v>
      </c>
      <c r="S198" t="s">
        <v>53</v>
      </c>
      <c r="T198" t="s">
        <v>33</v>
      </c>
      <c r="U198" t="s">
        <v>85</v>
      </c>
      <c r="Y198" t="s">
        <v>59</v>
      </c>
      <c r="AC198">
        <v>1</v>
      </c>
    </row>
    <row r="199" spans="1:29" x14ac:dyDescent="0.3">
      <c r="A199">
        <v>1</v>
      </c>
      <c r="B199" s="23">
        <v>36</v>
      </c>
      <c r="C199" t="s">
        <v>225</v>
      </c>
      <c r="D199" t="s">
        <v>26</v>
      </c>
      <c r="E199" t="s">
        <v>133</v>
      </c>
      <c r="F199" t="s">
        <v>40</v>
      </c>
      <c r="G199">
        <v>1</v>
      </c>
      <c r="H199" t="s">
        <v>29</v>
      </c>
      <c r="I199" s="8" t="s">
        <v>122</v>
      </c>
      <c r="Q199" s="5" t="s">
        <v>500</v>
      </c>
      <c r="S199" t="s">
        <v>43</v>
      </c>
      <c r="T199" t="s">
        <v>139</v>
      </c>
      <c r="U199" s="26" t="s">
        <v>508</v>
      </c>
      <c r="Y199" t="s">
        <v>35</v>
      </c>
      <c r="AC199">
        <v>1</v>
      </c>
    </row>
    <row r="200" spans="1:29" x14ac:dyDescent="0.3">
      <c r="A200">
        <v>1</v>
      </c>
      <c r="B200" s="23">
        <v>55</v>
      </c>
      <c r="C200" t="s">
        <v>50</v>
      </c>
      <c r="D200" t="s">
        <v>26</v>
      </c>
      <c r="E200" t="s">
        <v>133</v>
      </c>
      <c r="F200" t="s">
        <v>40</v>
      </c>
      <c r="G200">
        <v>7</v>
      </c>
      <c r="H200" t="s">
        <v>57</v>
      </c>
      <c r="I200" s="6" t="s">
        <v>81</v>
      </c>
      <c r="J200" t="s">
        <v>128</v>
      </c>
      <c r="Q200" s="7" t="s">
        <v>501</v>
      </c>
      <c r="S200" t="s">
        <v>43</v>
      </c>
      <c r="T200" t="s">
        <v>54</v>
      </c>
      <c r="U200" s="26" t="s">
        <v>62</v>
      </c>
      <c r="Y200" t="s">
        <v>134</v>
      </c>
      <c r="AC200">
        <v>3</v>
      </c>
    </row>
    <row r="201" spans="1:29" x14ac:dyDescent="0.3">
      <c r="A201">
        <v>1</v>
      </c>
      <c r="B201" s="23">
        <v>49</v>
      </c>
      <c r="C201" t="s">
        <v>25</v>
      </c>
      <c r="D201" t="s">
        <v>26</v>
      </c>
      <c r="E201" t="s">
        <v>27</v>
      </c>
      <c r="F201" t="s">
        <v>28</v>
      </c>
      <c r="G201">
        <v>3</v>
      </c>
      <c r="H201" t="s">
        <v>158</v>
      </c>
      <c r="I201" s="8" t="s">
        <v>124</v>
      </c>
      <c r="Q201" s="5" t="s">
        <v>501</v>
      </c>
      <c r="S201" t="s">
        <v>32</v>
      </c>
      <c r="T201" t="s">
        <v>139</v>
      </c>
      <c r="U201" s="8" t="s">
        <v>62</v>
      </c>
      <c r="Y201" t="s">
        <v>134</v>
      </c>
      <c r="AC201">
        <v>1</v>
      </c>
    </row>
    <row r="202" spans="1:29" x14ac:dyDescent="0.3">
      <c r="A202">
        <v>1</v>
      </c>
      <c r="B202" s="23">
        <v>59</v>
      </c>
      <c r="C202" t="s">
        <v>25</v>
      </c>
      <c r="D202" t="s">
        <v>102</v>
      </c>
      <c r="E202" t="s">
        <v>107</v>
      </c>
      <c r="F202" t="s">
        <v>235</v>
      </c>
      <c r="G202">
        <v>7</v>
      </c>
      <c r="H202" t="s">
        <v>29</v>
      </c>
      <c r="I202" s="6" t="s">
        <v>81</v>
      </c>
      <c r="Q202" s="7" t="s">
        <v>497</v>
      </c>
      <c r="S202" t="s">
        <v>43</v>
      </c>
      <c r="T202" t="s">
        <v>33</v>
      </c>
      <c r="U202" s="6" t="s">
        <v>62</v>
      </c>
      <c r="Y202" t="s">
        <v>45</v>
      </c>
      <c r="AC202">
        <v>2</v>
      </c>
    </row>
    <row r="203" spans="1:29" x14ac:dyDescent="0.3">
      <c r="A203">
        <v>1</v>
      </c>
      <c r="B203" s="23">
        <v>22</v>
      </c>
      <c r="C203" t="s">
        <v>225</v>
      </c>
      <c r="D203" t="s">
        <v>104</v>
      </c>
      <c r="E203" t="s">
        <v>133</v>
      </c>
      <c r="F203" t="s">
        <v>28</v>
      </c>
      <c r="G203">
        <v>9</v>
      </c>
      <c r="H203" t="s">
        <v>57</v>
      </c>
      <c r="I203" s="8" t="s">
        <v>81</v>
      </c>
      <c r="Q203" s="5" t="s">
        <v>501</v>
      </c>
      <c r="S203" t="s">
        <v>43</v>
      </c>
      <c r="T203" t="s">
        <v>139</v>
      </c>
      <c r="U203" t="s">
        <v>85</v>
      </c>
      <c r="Y203" t="s">
        <v>35</v>
      </c>
      <c r="AC203">
        <v>4</v>
      </c>
    </row>
    <row r="204" spans="1:29" x14ac:dyDescent="0.3">
      <c r="A204">
        <v>1</v>
      </c>
      <c r="B204" s="23">
        <v>66</v>
      </c>
      <c r="C204" t="s">
        <v>50</v>
      </c>
      <c r="D204" t="s">
        <v>102</v>
      </c>
      <c r="E204" t="s">
        <v>107</v>
      </c>
      <c r="F204" t="s">
        <v>40</v>
      </c>
      <c r="G204">
        <v>7</v>
      </c>
      <c r="H204" t="s">
        <v>57</v>
      </c>
      <c r="I204" s="6" t="s">
        <v>81</v>
      </c>
      <c r="J204" t="s">
        <v>487</v>
      </c>
      <c r="K204" t="s">
        <v>128</v>
      </c>
      <c r="Q204" s="5" t="s">
        <v>498</v>
      </c>
      <c r="S204" t="s">
        <v>43</v>
      </c>
      <c r="T204" t="s">
        <v>139</v>
      </c>
      <c r="U204" t="s">
        <v>85</v>
      </c>
      <c r="Y204" t="s">
        <v>35</v>
      </c>
      <c r="AC204">
        <v>1</v>
      </c>
    </row>
    <row r="205" spans="1:29" x14ac:dyDescent="0.3">
      <c r="A205">
        <v>1</v>
      </c>
      <c r="B205" s="23">
        <v>49</v>
      </c>
      <c r="C205" t="s">
        <v>25</v>
      </c>
      <c r="D205" t="s">
        <v>129</v>
      </c>
      <c r="E205" t="s">
        <v>107</v>
      </c>
      <c r="F205" t="s">
        <v>235</v>
      </c>
      <c r="G205">
        <v>3</v>
      </c>
      <c r="H205" t="s">
        <v>57</v>
      </c>
      <c r="I205" s="8" t="s">
        <v>81</v>
      </c>
      <c r="Q205" s="5" t="s">
        <v>501</v>
      </c>
      <c r="S205" t="s">
        <v>53</v>
      </c>
      <c r="T205" t="s">
        <v>139</v>
      </c>
      <c r="U205" t="s">
        <v>86</v>
      </c>
      <c r="Y205" t="s">
        <v>134</v>
      </c>
      <c r="AC205">
        <v>4</v>
      </c>
    </row>
    <row r="206" spans="1:29" x14ac:dyDescent="0.3">
      <c r="A206">
        <v>1</v>
      </c>
      <c r="B206" s="23">
        <v>38</v>
      </c>
      <c r="C206" t="s">
        <v>225</v>
      </c>
      <c r="D206" t="s">
        <v>26</v>
      </c>
      <c r="E206" t="s">
        <v>200</v>
      </c>
      <c r="F206" t="s">
        <v>28</v>
      </c>
      <c r="G206">
        <v>10</v>
      </c>
      <c r="H206" t="s">
        <v>29</v>
      </c>
      <c r="I206" s="6" t="s">
        <v>122</v>
      </c>
      <c r="J206" t="s">
        <v>126</v>
      </c>
      <c r="Q206" s="7" t="s">
        <v>501</v>
      </c>
      <c r="S206" t="s">
        <v>53</v>
      </c>
      <c r="T206" t="s">
        <v>54</v>
      </c>
      <c r="U206" t="s">
        <v>85</v>
      </c>
      <c r="Y206" t="s">
        <v>35</v>
      </c>
      <c r="AC206">
        <v>4</v>
      </c>
    </row>
    <row r="207" spans="1:29" x14ac:dyDescent="0.3">
      <c r="A207">
        <v>1</v>
      </c>
      <c r="B207" s="23">
        <v>42</v>
      </c>
      <c r="C207" t="s">
        <v>225</v>
      </c>
      <c r="D207" t="s">
        <v>26</v>
      </c>
      <c r="E207" t="s">
        <v>27</v>
      </c>
      <c r="F207" t="s">
        <v>40</v>
      </c>
      <c r="G207">
        <v>2</v>
      </c>
      <c r="H207" t="s">
        <v>29</v>
      </c>
      <c r="I207" s="8" t="s">
        <v>81</v>
      </c>
      <c r="Q207" s="5" t="s">
        <v>496</v>
      </c>
      <c r="S207" t="s">
        <v>32</v>
      </c>
      <c r="T207" t="s">
        <v>33</v>
      </c>
      <c r="U207" s="26" t="s">
        <v>508</v>
      </c>
      <c r="Y207" t="s">
        <v>59</v>
      </c>
      <c r="AC207">
        <v>2</v>
      </c>
    </row>
    <row r="208" spans="1:29" x14ac:dyDescent="0.3">
      <c r="A208">
        <v>1</v>
      </c>
      <c r="B208" s="23">
        <v>35</v>
      </c>
      <c r="C208" t="s">
        <v>25</v>
      </c>
      <c r="D208" t="s">
        <v>26</v>
      </c>
      <c r="E208" t="s">
        <v>27</v>
      </c>
      <c r="F208" t="s">
        <v>40</v>
      </c>
      <c r="G208">
        <v>3</v>
      </c>
      <c r="H208" t="s">
        <v>158</v>
      </c>
      <c r="I208" s="6" t="s">
        <v>122</v>
      </c>
      <c r="J208" t="s">
        <v>126</v>
      </c>
      <c r="K208" t="s">
        <v>128</v>
      </c>
      <c r="Q208" s="7" t="s">
        <v>501</v>
      </c>
      <c r="S208" t="s">
        <v>43</v>
      </c>
      <c r="T208" t="s">
        <v>54</v>
      </c>
      <c r="U208" t="s">
        <v>85</v>
      </c>
      <c r="Y208" t="s">
        <v>59</v>
      </c>
      <c r="AC208">
        <v>1</v>
      </c>
    </row>
    <row r="209" spans="1:29" x14ac:dyDescent="0.3">
      <c r="A209">
        <v>1</v>
      </c>
      <c r="B209" s="23">
        <v>52</v>
      </c>
      <c r="C209" t="s">
        <v>25</v>
      </c>
      <c r="D209" t="s">
        <v>104</v>
      </c>
      <c r="E209" t="s">
        <v>27</v>
      </c>
      <c r="F209" t="s">
        <v>235</v>
      </c>
      <c r="G209">
        <v>5</v>
      </c>
      <c r="H209" t="s">
        <v>57</v>
      </c>
      <c r="I209" s="8" t="s">
        <v>81</v>
      </c>
      <c r="Q209" s="5" t="s">
        <v>496</v>
      </c>
      <c r="S209" t="s">
        <v>43</v>
      </c>
      <c r="T209" t="s">
        <v>54</v>
      </c>
      <c r="U209" t="s">
        <v>85</v>
      </c>
      <c r="Y209" t="s">
        <v>35</v>
      </c>
      <c r="AC209">
        <v>4</v>
      </c>
    </row>
    <row r="210" spans="1:29" x14ac:dyDescent="0.3">
      <c r="A210">
        <v>1</v>
      </c>
      <c r="B210" s="23">
        <v>57</v>
      </c>
      <c r="C210" t="s">
        <v>50</v>
      </c>
      <c r="D210" t="s">
        <v>26</v>
      </c>
      <c r="E210" t="s">
        <v>200</v>
      </c>
      <c r="F210" t="s">
        <v>235</v>
      </c>
      <c r="G210">
        <v>8</v>
      </c>
      <c r="H210" t="s">
        <v>57</v>
      </c>
      <c r="I210" s="6" t="s">
        <v>122</v>
      </c>
      <c r="Q210" s="5" t="s">
        <v>496</v>
      </c>
      <c r="S210" t="s">
        <v>32</v>
      </c>
      <c r="T210" t="s">
        <v>139</v>
      </c>
      <c r="U210" t="s">
        <v>86</v>
      </c>
      <c r="Y210" t="s">
        <v>59</v>
      </c>
      <c r="AC210">
        <v>4</v>
      </c>
    </row>
    <row r="211" spans="1:29" x14ac:dyDescent="0.3">
      <c r="A211">
        <v>1</v>
      </c>
      <c r="B211" s="23">
        <v>52</v>
      </c>
      <c r="C211" t="s">
        <v>225</v>
      </c>
      <c r="D211" t="s">
        <v>104</v>
      </c>
      <c r="E211" t="s">
        <v>107</v>
      </c>
      <c r="F211" t="s">
        <v>235</v>
      </c>
      <c r="G211">
        <v>2</v>
      </c>
      <c r="H211" t="s">
        <v>150</v>
      </c>
      <c r="I211" s="8" t="s">
        <v>82</v>
      </c>
      <c r="Q211" s="5" t="s">
        <v>496</v>
      </c>
      <c r="S211" t="s">
        <v>53</v>
      </c>
      <c r="T211" t="s">
        <v>54</v>
      </c>
      <c r="U211" t="s">
        <v>85</v>
      </c>
      <c r="Y211" t="s">
        <v>134</v>
      </c>
      <c r="AC211">
        <v>2</v>
      </c>
    </row>
    <row r="212" spans="1:29" x14ac:dyDescent="0.3">
      <c r="A212">
        <v>1</v>
      </c>
      <c r="B212" s="23">
        <v>57</v>
      </c>
      <c r="C212" t="s">
        <v>25</v>
      </c>
      <c r="D212" t="s">
        <v>26</v>
      </c>
      <c r="E212" t="s">
        <v>200</v>
      </c>
      <c r="F212" t="s">
        <v>28</v>
      </c>
      <c r="G212">
        <v>10</v>
      </c>
      <c r="H212" t="s">
        <v>150</v>
      </c>
      <c r="I212" s="6" t="s">
        <v>122</v>
      </c>
      <c r="Q212" s="7" t="s">
        <v>501</v>
      </c>
      <c r="S212" t="s">
        <v>43</v>
      </c>
      <c r="T212" t="s">
        <v>139</v>
      </c>
      <c r="U212" s="26" t="s">
        <v>508</v>
      </c>
      <c r="Y212" t="s">
        <v>45</v>
      </c>
      <c r="AC212">
        <v>1</v>
      </c>
    </row>
    <row r="213" spans="1:29" x14ac:dyDescent="0.3">
      <c r="A213">
        <v>1</v>
      </c>
      <c r="B213" s="23">
        <v>36</v>
      </c>
      <c r="C213" t="s">
        <v>225</v>
      </c>
      <c r="D213" t="s">
        <v>26</v>
      </c>
      <c r="E213" t="s">
        <v>133</v>
      </c>
      <c r="F213" t="s">
        <v>28</v>
      </c>
      <c r="G213">
        <v>6</v>
      </c>
      <c r="H213" t="s">
        <v>150</v>
      </c>
      <c r="I213" s="8" t="s">
        <v>81</v>
      </c>
      <c r="Q213" s="5" t="s">
        <v>496</v>
      </c>
      <c r="S213" t="s">
        <v>43</v>
      </c>
      <c r="T213" t="s">
        <v>139</v>
      </c>
      <c r="U213" s="26" t="s">
        <v>62</v>
      </c>
      <c r="Y213" t="s">
        <v>35</v>
      </c>
      <c r="AC213">
        <v>3</v>
      </c>
    </row>
    <row r="214" spans="1:29" x14ac:dyDescent="0.3">
      <c r="A214">
        <v>1</v>
      </c>
      <c r="B214" s="23">
        <v>34</v>
      </c>
      <c r="C214" t="s">
        <v>25</v>
      </c>
      <c r="D214" t="s">
        <v>102</v>
      </c>
      <c r="E214" t="s">
        <v>27</v>
      </c>
      <c r="F214" t="s">
        <v>40</v>
      </c>
      <c r="G214">
        <v>3</v>
      </c>
      <c r="H214" t="s">
        <v>158</v>
      </c>
      <c r="I214" s="6" t="s">
        <v>81</v>
      </c>
      <c r="Q214" s="7" t="s">
        <v>501</v>
      </c>
      <c r="S214" t="s">
        <v>32</v>
      </c>
      <c r="T214" t="s">
        <v>54</v>
      </c>
      <c r="U214" t="s">
        <v>85</v>
      </c>
      <c r="Y214" t="s">
        <v>59</v>
      </c>
      <c r="AC214">
        <v>2</v>
      </c>
    </row>
    <row r="215" spans="1:29" x14ac:dyDescent="0.3">
      <c r="A215">
        <v>1</v>
      </c>
      <c r="B215" s="23">
        <v>66</v>
      </c>
      <c r="C215" t="s">
        <v>225</v>
      </c>
      <c r="D215" t="s">
        <v>26</v>
      </c>
      <c r="E215" t="s">
        <v>107</v>
      </c>
      <c r="F215" t="s">
        <v>235</v>
      </c>
      <c r="G215">
        <v>9</v>
      </c>
      <c r="H215" t="s">
        <v>29</v>
      </c>
      <c r="I215" s="8" t="s">
        <v>81</v>
      </c>
      <c r="Q215" s="5" t="s">
        <v>498</v>
      </c>
      <c r="S215" t="s">
        <v>32</v>
      </c>
      <c r="T215" t="s">
        <v>54</v>
      </c>
      <c r="U215" t="s">
        <v>85</v>
      </c>
      <c r="Y215" t="s">
        <v>45</v>
      </c>
      <c r="AC215">
        <v>1</v>
      </c>
    </row>
    <row r="216" spans="1:29" x14ac:dyDescent="0.3">
      <c r="A216">
        <v>1</v>
      </c>
      <c r="B216" s="23">
        <v>62</v>
      </c>
      <c r="C216" t="s">
        <v>225</v>
      </c>
      <c r="D216" t="s">
        <v>26</v>
      </c>
      <c r="E216" t="s">
        <v>107</v>
      </c>
      <c r="F216" t="s">
        <v>40</v>
      </c>
      <c r="G216">
        <v>9</v>
      </c>
      <c r="H216" t="s">
        <v>57</v>
      </c>
      <c r="I216" s="6" t="s">
        <v>124</v>
      </c>
      <c r="Q216" s="5" t="s">
        <v>496</v>
      </c>
      <c r="S216" t="s">
        <v>43</v>
      </c>
      <c r="T216" t="s">
        <v>139</v>
      </c>
      <c r="U216" t="s">
        <v>86</v>
      </c>
      <c r="Y216" t="s">
        <v>45</v>
      </c>
      <c r="AC216">
        <v>1</v>
      </c>
    </row>
    <row r="217" spans="1:29" x14ac:dyDescent="0.3">
      <c r="A217">
        <v>1</v>
      </c>
      <c r="B217" s="23">
        <v>28</v>
      </c>
      <c r="C217" t="s">
        <v>25</v>
      </c>
      <c r="D217" t="s">
        <v>26</v>
      </c>
      <c r="E217" t="s">
        <v>107</v>
      </c>
      <c r="F217" t="s">
        <v>235</v>
      </c>
      <c r="G217">
        <v>4</v>
      </c>
      <c r="H217" t="s">
        <v>150</v>
      </c>
      <c r="I217" s="8" t="s">
        <v>81</v>
      </c>
      <c r="J217" t="s">
        <v>127</v>
      </c>
      <c r="Q217" s="5" t="s">
        <v>500</v>
      </c>
      <c r="S217" t="s">
        <v>53</v>
      </c>
      <c r="T217" t="s">
        <v>54</v>
      </c>
      <c r="U217" t="s">
        <v>85</v>
      </c>
      <c r="Y217" t="s">
        <v>45</v>
      </c>
      <c r="AC217">
        <v>3</v>
      </c>
    </row>
    <row r="218" spans="1:29" x14ac:dyDescent="0.3">
      <c r="A218">
        <v>1</v>
      </c>
      <c r="B218" s="23">
        <v>44</v>
      </c>
      <c r="C218" t="s">
        <v>225</v>
      </c>
      <c r="D218" t="s">
        <v>129</v>
      </c>
      <c r="E218" t="s">
        <v>107</v>
      </c>
      <c r="F218" t="s">
        <v>40</v>
      </c>
      <c r="G218">
        <v>5</v>
      </c>
      <c r="H218" t="s">
        <v>57</v>
      </c>
      <c r="I218" s="6" t="s">
        <v>81</v>
      </c>
      <c r="Q218" s="7" t="s">
        <v>501</v>
      </c>
      <c r="S218" t="s">
        <v>32</v>
      </c>
      <c r="T218" t="s">
        <v>139</v>
      </c>
      <c r="U218" s="26" t="s">
        <v>508</v>
      </c>
      <c r="Y218" t="s">
        <v>35</v>
      </c>
      <c r="AC218">
        <v>2</v>
      </c>
    </row>
    <row r="219" spans="1:29" x14ac:dyDescent="0.3">
      <c r="A219">
        <v>1</v>
      </c>
      <c r="B219" s="23">
        <v>57</v>
      </c>
      <c r="C219" t="s">
        <v>25</v>
      </c>
      <c r="D219" t="s">
        <v>26</v>
      </c>
      <c r="E219" t="s">
        <v>133</v>
      </c>
      <c r="F219" t="s">
        <v>235</v>
      </c>
      <c r="G219">
        <v>10</v>
      </c>
      <c r="H219" t="s">
        <v>150</v>
      </c>
      <c r="I219" s="8" t="s">
        <v>124</v>
      </c>
      <c r="Q219" s="5" t="s">
        <v>501</v>
      </c>
      <c r="S219" t="s">
        <v>43</v>
      </c>
      <c r="T219" t="s">
        <v>33</v>
      </c>
      <c r="U219" t="s">
        <v>85</v>
      </c>
      <c r="Y219" t="s">
        <v>134</v>
      </c>
      <c r="AC219">
        <v>1</v>
      </c>
    </row>
    <row r="220" spans="1:29" x14ac:dyDescent="0.3">
      <c r="A220">
        <v>1</v>
      </c>
      <c r="B220" s="23">
        <v>43</v>
      </c>
      <c r="C220" t="s">
        <v>50</v>
      </c>
      <c r="D220" t="s">
        <v>104</v>
      </c>
      <c r="E220" t="s">
        <v>133</v>
      </c>
      <c r="F220" t="s">
        <v>40</v>
      </c>
      <c r="G220">
        <v>9</v>
      </c>
      <c r="H220" t="s">
        <v>29</v>
      </c>
      <c r="I220" s="6" t="s">
        <v>122</v>
      </c>
      <c r="Q220" s="7" t="s">
        <v>497</v>
      </c>
      <c r="S220" t="s">
        <v>53</v>
      </c>
      <c r="T220" t="s">
        <v>139</v>
      </c>
      <c r="U220" t="s">
        <v>85</v>
      </c>
      <c r="Y220" t="s">
        <v>134</v>
      </c>
      <c r="AC220">
        <v>5</v>
      </c>
    </row>
    <row r="221" spans="1:29" x14ac:dyDescent="0.3">
      <c r="A221">
        <v>1</v>
      </c>
      <c r="B221" s="23">
        <v>30</v>
      </c>
      <c r="C221" t="s">
        <v>225</v>
      </c>
      <c r="D221" t="s">
        <v>26</v>
      </c>
      <c r="E221" t="s">
        <v>200</v>
      </c>
      <c r="F221" t="s">
        <v>235</v>
      </c>
      <c r="G221">
        <v>6</v>
      </c>
      <c r="H221" t="s">
        <v>150</v>
      </c>
      <c r="I221" s="8" t="s">
        <v>81</v>
      </c>
      <c r="J221" t="s">
        <v>487</v>
      </c>
      <c r="K221" t="s">
        <v>127</v>
      </c>
      <c r="Q221" s="5" t="s">
        <v>501</v>
      </c>
      <c r="S221" t="s">
        <v>53</v>
      </c>
      <c r="T221" t="s">
        <v>139</v>
      </c>
      <c r="U221" t="s">
        <v>86</v>
      </c>
      <c r="Y221" t="s">
        <v>35</v>
      </c>
      <c r="AC221">
        <v>4</v>
      </c>
    </row>
    <row r="222" spans="1:29" x14ac:dyDescent="0.3">
      <c r="A222">
        <v>1</v>
      </c>
      <c r="B222" s="23">
        <v>22</v>
      </c>
      <c r="C222" t="s">
        <v>25</v>
      </c>
      <c r="D222" t="s">
        <v>102</v>
      </c>
      <c r="E222" t="s">
        <v>27</v>
      </c>
      <c r="F222" t="s">
        <v>235</v>
      </c>
      <c r="G222">
        <v>1</v>
      </c>
      <c r="H222" t="s">
        <v>150</v>
      </c>
      <c r="I222" s="6" t="s">
        <v>81</v>
      </c>
      <c r="Q222" s="5" t="s">
        <v>498</v>
      </c>
      <c r="S222" t="s">
        <v>53</v>
      </c>
      <c r="T222" t="s">
        <v>33</v>
      </c>
      <c r="U222" t="s">
        <v>85</v>
      </c>
      <c r="Y222" t="s">
        <v>59</v>
      </c>
      <c r="AC222">
        <v>3</v>
      </c>
    </row>
    <row r="223" spans="1:29" x14ac:dyDescent="0.3">
      <c r="A223">
        <v>1</v>
      </c>
      <c r="B223" s="23">
        <v>25</v>
      </c>
      <c r="C223" t="s">
        <v>50</v>
      </c>
      <c r="D223" t="s">
        <v>102</v>
      </c>
      <c r="E223" t="s">
        <v>133</v>
      </c>
      <c r="F223" t="s">
        <v>235</v>
      </c>
      <c r="G223">
        <v>3</v>
      </c>
      <c r="H223" t="s">
        <v>29</v>
      </c>
      <c r="I223" s="8" t="s">
        <v>122</v>
      </c>
      <c r="Q223" s="5" t="s">
        <v>501</v>
      </c>
      <c r="S223" t="s">
        <v>43</v>
      </c>
      <c r="T223" t="s">
        <v>139</v>
      </c>
      <c r="U223" s="26" t="s">
        <v>508</v>
      </c>
      <c r="Y223" t="s">
        <v>134</v>
      </c>
      <c r="AC223">
        <v>1</v>
      </c>
    </row>
    <row r="224" spans="1:29" x14ac:dyDescent="0.3">
      <c r="A224">
        <v>1</v>
      </c>
      <c r="B224" s="23">
        <v>39</v>
      </c>
      <c r="C224" t="s">
        <v>25</v>
      </c>
      <c r="D224" t="s">
        <v>102</v>
      </c>
      <c r="E224" t="s">
        <v>200</v>
      </c>
      <c r="F224" t="s">
        <v>40</v>
      </c>
      <c r="G224">
        <v>3</v>
      </c>
      <c r="H224" t="s">
        <v>57</v>
      </c>
      <c r="I224" s="6" t="s">
        <v>81</v>
      </c>
      <c r="Q224" s="7" t="s">
        <v>501</v>
      </c>
      <c r="S224" t="s">
        <v>53</v>
      </c>
      <c r="T224" t="s">
        <v>33</v>
      </c>
      <c r="U224" s="26" t="s">
        <v>62</v>
      </c>
      <c r="Y224" t="s">
        <v>45</v>
      </c>
      <c r="AC224">
        <v>3</v>
      </c>
    </row>
    <row r="225" spans="1:29" x14ac:dyDescent="0.3">
      <c r="A225">
        <v>1</v>
      </c>
      <c r="B225" s="23">
        <v>56</v>
      </c>
      <c r="C225" t="s">
        <v>225</v>
      </c>
      <c r="D225" t="s">
        <v>26</v>
      </c>
      <c r="E225" t="s">
        <v>200</v>
      </c>
      <c r="F225" t="s">
        <v>28</v>
      </c>
      <c r="G225">
        <v>6</v>
      </c>
      <c r="H225" t="s">
        <v>29</v>
      </c>
      <c r="I225" s="8" t="s">
        <v>122</v>
      </c>
      <c r="Q225" s="5" t="s">
        <v>496</v>
      </c>
      <c r="S225" t="s">
        <v>32</v>
      </c>
      <c r="T225" t="s">
        <v>54</v>
      </c>
      <c r="U225" s="8" t="s">
        <v>62</v>
      </c>
      <c r="Y225" t="s">
        <v>134</v>
      </c>
      <c r="AC225">
        <v>5</v>
      </c>
    </row>
    <row r="226" spans="1:29" x14ac:dyDescent="0.3">
      <c r="A226">
        <v>1</v>
      </c>
      <c r="B226" s="23">
        <v>22</v>
      </c>
      <c r="C226" t="s">
        <v>225</v>
      </c>
      <c r="D226" t="s">
        <v>26</v>
      </c>
      <c r="E226" t="s">
        <v>133</v>
      </c>
      <c r="F226" t="s">
        <v>235</v>
      </c>
      <c r="G226">
        <v>9</v>
      </c>
      <c r="H226" t="s">
        <v>29</v>
      </c>
      <c r="I226" s="8" t="s">
        <v>82</v>
      </c>
      <c r="Q226" s="7" t="s">
        <v>501</v>
      </c>
      <c r="S226" t="s">
        <v>53</v>
      </c>
      <c r="T226" t="s">
        <v>139</v>
      </c>
      <c r="U226" t="s">
        <v>85</v>
      </c>
      <c r="Y226" t="s">
        <v>35</v>
      </c>
      <c r="AC226">
        <v>1</v>
      </c>
    </row>
    <row r="227" spans="1:29" x14ac:dyDescent="0.3">
      <c r="A227">
        <v>1</v>
      </c>
      <c r="B227" s="23">
        <v>54</v>
      </c>
      <c r="C227" t="s">
        <v>50</v>
      </c>
      <c r="D227" t="s">
        <v>129</v>
      </c>
      <c r="E227" t="s">
        <v>27</v>
      </c>
      <c r="F227" t="s">
        <v>40</v>
      </c>
      <c r="G227">
        <v>8</v>
      </c>
      <c r="H227" t="s">
        <v>158</v>
      </c>
      <c r="I227" s="8" t="s">
        <v>81</v>
      </c>
      <c r="Q227" s="5" t="s">
        <v>496</v>
      </c>
      <c r="S227" t="s">
        <v>32</v>
      </c>
      <c r="T227" t="s">
        <v>139</v>
      </c>
      <c r="U227" t="s">
        <v>85</v>
      </c>
      <c r="Y227" t="s">
        <v>45</v>
      </c>
      <c r="AC227">
        <v>5</v>
      </c>
    </row>
    <row r="228" spans="1:29" x14ac:dyDescent="0.3">
      <c r="A228">
        <v>1</v>
      </c>
      <c r="B228" s="23">
        <v>63</v>
      </c>
      <c r="C228" t="s">
        <v>50</v>
      </c>
      <c r="D228" t="s">
        <v>104</v>
      </c>
      <c r="E228" t="s">
        <v>27</v>
      </c>
      <c r="F228" t="s">
        <v>235</v>
      </c>
      <c r="G228">
        <v>4</v>
      </c>
      <c r="H228" t="s">
        <v>158</v>
      </c>
      <c r="I228" s="6" t="s">
        <v>81</v>
      </c>
      <c r="Q228" s="5" t="s">
        <v>496</v>
      </c>
      <c r="S228" t="s">
        <v>53</v>
      </c>
      <c r="T228" t="s">
        <v>33</v>
      </c>
      <c r="U228" t="s">
        <v>86</v>
      </c>
      <c r="Y228" t="s">
        <v>134</v>
      </c>
      <c r="AC228">
        <v>3</v>
      </c>
    </row>
    <row r="229" spans="1:29" x14ac:dyDescent="0.3">
      <c r="A229">
        <v>1</v>
      </c>
      <c r="B229" s="23">
        <v>53</v>
      </c>
      <c r="C229" t="s">
        <v>25</v>
      </c>
      <c r="D229" t="s">
        <v>26</v>
      </c>
      <c r="E229" t="s">
        <v>27</v>
      </c>
      <c r="F229" t="s">
        <v>28</v>
      </c>
      <c r="G229">
        <v>9</v>
      </c>
      <c r="H229" t="s">
        <v>29</v>
      </c>
      <c r="I229" s="8" t="s">
        <v>81</v>
      </c>
      <c r="Q229" s="5" t="s">
        <v>496</v>
      </c>
      <c r="S229" t="s">
        <v>53</v>
      </c>
      <c r="T229" t="s">
        <v>54</v>
      </c>
      <c r="U229" t="s">
        <v>85</v>
      </c>
      <c r="Y229" t="s">
        <v>35</v>
      </c>
      <c r="AC229">
        <v>5</v>
      </c>
    </row>
    <row r="230" spans="1:29" x14ac:dyDescent="0.3">
      <c r="A230">
        <v>1</v>
      </c>
      <c r="B230" s="23">
        <v>69</v>
      </c>
      <c r="C230" t="s">
        <v>225</v>
      </c>
      <c r="D230" t="s">
        <v>26</v>
      </c>
      <c r="E230" t="s">
        <v>107</v>
      </c>
      <c r="F230" t="s">
        <v>235</v>
      </c>
      <c r="G230">
        <v>7</v>
      </c>
      <c r="H230" t="s">
        <v>29</v>
      </c>
      <c r="I230" s="6" t="s">
        <v>123</v>
      </c>
      <c r="Q230" s="7" t="s">
        <v>501</v>
      </c>
      <c r="S230" t="s">
        <v>32</v>
      </c>
      <c r="T230" t="s">
        <v>54</v>
      </c>
      <c r="U230" s="26" t="s">
        <v>508</v>
      </c>
      <c r="Y230" t="s">
        <v>35</v>
      </c>
      <c r="AC230">
        <v>4</v>
      </c>
    </row>
    <row r="231" spans="1:29" x14ac:dyDescent="0.3">
      <c r="A231">
        <v>1</v>
      </c>
      <c r="B231" s="23">
        <v>20</v>
      </c>
      <c r="C231" t="s">
        <v>225</v>
      </c>
      <c r="D231" t="s">
        <v>129</v>
      </c>
      <c r="E231" t="s">
        <v>133</v>
      </c>
      <c r="F231" t="s">
        <v>28</v>
      </c>
      <c r="G231">
        <v>2</v>
      </c>
      <c r="H231" t="s">
        <v>150</v>
      </c>
      <c r="I231" s="8" t="s">
        <v>81</v>
      </c>
      <c r="Q231" s="5" t="s">
        <v>496</v>
      </c>
      <c r="S231" t="s">
        <v>32</v>
      </c>
      <c r="T231" t="s">
        <v>33</v>
      </c>
      <c r="U231" t="s">
        <v>85</v>
      </c>
      <c r="Y231" t="s">
        <v>134</v>
      </c>
      <c r="AC231">
        <v>1</v>
      </c>
    </row>
    <row r="232" spans="1:29" x14ac:dyDescent="0.3">
      <c r="A232">
        <v>1</v>
      </c>
      <c r="B232" s="23">
        <v>18</v>
      </c>
      <c r="C232" t="s">
        <v>25</v>
      </c>
      <c r="D232" t="s">
        <v>102</v>
      </c>
      <c r="E232" t="s">
        <v>107</v>
      </c>
      <c r="F232" t="s">
        <v>235</v>
      </c>
      <c r="G232">
        <v>8</v>
      </c>
      <c r="H232" t="s">
        <v>29</v>
      </c>
      <c r="I232" s="6" t="s">
        <v>81</v>
      </c>
      <c r="Q232" s="7" t="s">
        <v>501</v>
      </c>
      <c r="S232" t="s">
        <v>43</v>
      </c>
      <c r="T232" t="s">
        <v>33</v>
      </c>
      <c r="U232" t="s">
        <v>85</v>
      </c>
      <c r="Y232" t="s">
        <v>35</v>
      </c>
      <c r="AC232">
        <v>5</v>
      </c>
    </row>
    <row r="233" spans="1:29" x14ac:dyDescent="0.3">
      <c r="A233">
        <v>1</v>
      </c>
      <c r="B233" s="23">
        <v>61</v>
      </c>
      <c r="C233" t="s">
        <v>50</v>
      </c>
      <c r="D233" t="s">
        <v>104</v>
      </c>
      <c r="E233" t="s">
        <v>133</v>
      </c>
      <c r="F233" t="s">
        <v>40</v>
      </c>
      <c r="G233">
        <v>7</v>
      </c>
      <c r="H233" t="s">
        <v>150</v>
      </c>
      <c r="I233" s="8" t="s">
        <v>81</v>
      </c>
      <c r="Q233" s="5" t="s">
        <v>498</v>
      </c>
      <c r="S233" t="s">
        <v>32</v>
      </c>
      <c r="T233" t="s">
        <v>139</v>
      </c>
      <c r="U233" t="s">
        <v>86</v>
      </c>
      <c r="Y233" t="s">
        <v>45</v>
      </c>
      <c r="AC233">
        <v>4</v>
      </c>
    </row>
    <row r="234" spans="1:29" x14ac:dyDescent="0.3">
      <c r="A234">
        <v>1</v>
      </c>
      <c r="B234" s="23">
        <v>19</v>
      </c>
      <c r="C234" t="s">
        <v>25</v>
      </c>
      <c r="D234" t="s">
        <v>102</v>
      </c>
      <c r="E234" t="s">
        <v>27</v>
      </c>
      <c r="F234" t="s">
        <v>28</v>
      </c>
      <c r="G234">
        <v>9</v>
      </c>
      <c r="H234" t="s">
        <v>158</v>
      </c>
      <c r="I234" s="6" t="s">
        <v>123</v>
      </c>
      <c r="Q234" s="5" t="s">
        <v>496</v>
      </c>
      <c r="S234" t="s">
        <v>53</v>
      </c>
      <c r="T234" t="s">
        <v>33</v>
      </c>
      <c r="U234" t="s">
        <v>85</v>
      </c>
      <c r="Y234" t="s">
        <v>134</v>
      </c>
      <c r="AC234">
        <v>1</v>
      </c>
    </row>
    <row r="235" spans="1:29" x14ac:dyDescent="0.3">
      <c r="A235">
        <v>1</v>
      </c>
      <c r="B235" s="23">
        <v>29</v>
      </c>
      <c r="C235" t="s">
        <v>25</v>
      </c>
      <c r="D235" t="s">
        <v>102</v>
      </c>
      <c r="E235" t="s">
        <v>107</v>
      </c>
      <c r="F235" t="s">
        <v>235</v>
      </c>
      <c r="G235">
        <v>8</v>
      </c>
      <c r="H235" t="s">
        <v>57</v>
      </c>
      <c r="I235" s="8" t="s">
        <v>122</v>
      </c>
      <c r="J235" t="s">
        <v>128</v>
      </c>
      <c r="Q235" s="5" t="s">
        <v>500</v>
      </c>
      <c r="S235" t="s">
        <v>43</v>
      </c>
      <c r="T235" t="s">
        <v>33</v>
      </c>
      <c r="U235" s="26" t="s">
        <v>508</v>
      </c>
      <c r="Y235" t="s">
        <v>134</v>
      </c>
      <c r="AC235">
        <v>3</v>
      </c>
    </row>
    <row r="236" spans="1:29" x14ac:dyDescent="0.3">
      <c r="A236">
        <v>1</v>
      </c>
      <c r="B236" s="23">
        <v>29</v>
      </c>
      <c r="C236" t="s">
        <v>225</v>
      </c>
      <c r="D236" t="s">
        <v>26</v>
      </c>
      <c r="E236" t="s">
        <v>200</v>
      </c>
      <c r="F236" t="s">
        <v>28</v>
      </c>
      <c r="G236">
        <v>6</v>
      </c>
      <c r="H236" t="s">
        <v>29</v>
      </c>
      <c r="I236" s="6" t="s">
        <v>81</v>
      </c>
      <c r="Q236" s="7" t="s">
        <v>501</v>
      </c>
      <c r="S236" t="s">
        <v>53</v>
      </c>
      <c r="T236" t="s">
        <v>33</v>
      </c>
      <c r="U236" s="26" t="s">
        <v>62</v>
      </c>
      <c r="Y236" t="s">
        <v>35</v>
      </c>
      <c r="AC236">
        <v>3</v>
      </c>
    </row>
    <row r="237" spans="1:29" x14ac:dyDescent="0.3">
      <c r="A237">
        <v>1</v>
      </c>
      <c r="B237" s="23">
        <v>62</v>
      </c>
      <c r="C237" t="s">
        <v>50</v>
      </c>
      <c r="D237" t="s">
        <v>129</v>
      </c>
      <c r="E237" t="s">
        <v>107</v>
      </c>
      <c r="F237" t="s">
        <v>28</v>
      </c>
      <c r="G237">
        <v>1</v>
      </c>
      <c r="H237" t="s">
        <v>29</v>
      </c>
      <c r="I237" s="8" t="s">
        <v>122</v>
      </c>
      <c r="Q237" s="5" t="s">
        <v>501</v>
      </c>
      <c r="S237" t="s">
        <v>43</v>
      </c>
      <c r="T237" t="s">
        <v>33</v>
      </c>
      <c r="U237" t="s">
        <v>85</v>
      </c>
      <c r="Y237" t="s">
        <v>35</v>
      </c>
      <c r="AC237">
        <v>2</v>
      </c>
    </row>
    <row r="238" spans="1:29" x14ac:dyDescent="0.3">
      <c r="A238">
        <v>1</v>
      </c>
      <c r="B238" s="23">
        <v>27</v>
      </c>
      <c r="C238" t="s">
        <v>50</v>
      </c>
      <c r="D238" t="s">
        <v>26</v>
      </c>
      <c r="E238" t="s">
        <v>200</v>
      </c>
      <c r="F238" t="s">
        <v>235</v>
      </c>
      <c r="G238">
        <v>8</v>
      </c>
      <c r="H238" t="s">
        <v>150</v>
      </c>
      <c r="I238" s="6" t="s">
        <v>123</v>
      </c>
      <c r="Q238" s="7" t="s">
        <v>497</v>
      </c>
      <c r="S238" t="s">
        <v>43</v>
      </c>
      <c r="T238" t="s">
        <v>33</v>
      </c>
      <c r="U238" t="s">
        <v>85</v>
      </c>
      <c r="Y238" t="s">
        <v>59</v>
      </c>
      <c r="AC238">
        <v>1</v>
      </c>
    </row>
    <row r="239" spans="1:29" x14ac:dyDescent="0.3">
      <c r="A239">
        <v>1</v>
      </c>
      <c r="B239" s="23">
        <v>47</v>
      </c>
      <c r="C239" t="s">
        <v>225</v>
      </c>
      <c r="D239" t="s">
        <v>26</v>
      </c>
      <c r="E239" t="s">
        <v>133</v>
      </c>
      <c r="F239" t="s">
        <v>235</v>
      </c>
      <c r="G239">
        <v>6</v>
      </c>
      <c r="H239" t="s">
        <v>158</v>
      </c>
      <c r="I239" s="8" t="s">
        <v>124</v>
      </c>
      <c r="J239" s="8"/>
      <c r="P239" s="8"/>
      <c r="Q239" s="5" t="s">
        <v>501</v>
      </c>
      <c r="S239" t="s">
        <v>32</v>
      </c>
      <c r="T239" t="s">
        <v>54</v>
      </c>
      <c r="U239" t="s">
        <v>86</v>
      </c>
      <c r="Y239" t="s">
        <v>35</v>
      </c>
      <c r="AC239">
        <v>3</v>
      </c>
    </row>
    <row r="240" spans="1:29" x14ac:dyDescent="0.3">
      <c r="A240">
        <v>1</v>
      </c>
      <c r="B240" s="23">
        <v>43</v>
      </c>
      <c r="C240" t="s">
        <v>50</v>
      </c>
      <c r="D240" t="s">
        <v>102</v>
      </c>
      <c r="E240" t="s">
        <v>133</v>
      </c>
      <c r="F240" t="s">
        <v>28</v>
      </c>
      <c r="G240">
        <v>6</v>
      </c>
      <c r="H240" t="s">
        <v>57</v>
      </c>
      <c r="I240" s="6" t="s">
        <v>122</v>
      </c>
      <c r="J240" s="6" t="s">
        <v>127</v>
      </c>
      <c r="P240" s="6"/>
      <c r="Q240" s="5" t="s">
        <v>498</v>
      </c>
      <c r="S240" t="s">
        <v>53</v>
      </c>
      <c r="T240" t="s">
        <v>54</v>
      </c>
      <c r="U240" t="s">
        <v>85</v>
      </c>
      <c r="Y240" t="s">
        <v>134</v>
      </c>
      <c r="AC240">
        <v>5</v>
      </c>
    </row>
    <row r="241" spans="1:29" x14ac:dyDescent="0.3">
      <c r="A241">
        <v>1</v>
      </c>
      <c r="B241" s="23">
        <v>61</v>
      </c>
      <c r="C241" t="s">
        <v>25</v>
      </c>
      <c r="D241" t="s">
        <v>26</v>
      </c>
      <c r="E241" t="s">
        <v>107</v>
      </c>
      <c r="F241" t="s">
        <v>40</v>
      </c>
      <c r="G241">
        <v>3</v>
      </c>
      <c r="H241" t="s">
        <v>158</v>
      </c>
      <c r="I241" s="8" t="s">
        <v>125</v>
      </c>
      <c r="J241" s="8"/>
      <c r="P241" s="8"/>
      <c r="Q241" s="5" t="s">
        <v>501</v>
      </c>
      <c r="S241" t="s">
        <v>43</v>
      </c>
      <c r="T241" t="s">
        <v>139</v>
      </c>
      <c r="U241" s="26" t="s">
        <v>508</v>
      </c>
      <c r="Y241" t="s">
        <v>134</v>
      </c>
      <c r="AC241">
        <v>5</v>
      </c>
    </row>
    <row r="242" spans="1:29" x14ac:dyDescent="0.3">
      <c r="A242">
        <v>1</v>
      </c>
      <c r="B242" s="23">
        <v>58</v>
      </c>
      <c r="C242" t="s">
        <v>225</v>
      </c>
      <c r="D242" t="s">
        <v>26</v>
      </c>
      <c r="E242" t="s">
        <v>107</v>
      </c>
      <c r="F242" t="s">
        <v>28</v>
      </c>
      <c r="G242">
        <v>10</v>
      </c>
      <c r="H242" t="s">
        <v>29</v>
      </c>
      <c r="I242" s="6" t="s">
        <v>123</v>
      </c>
      <c r="J242" s="6" t="s">
        <v>126</v>
      </c>
      <c r="K242" s="6" t="s">
        <v>127</v>
      </c>
      <c r="L242" t="s">
        <v>128</v>
      </c>
      <c r="Q242" t="s">
        <v>500</v>
      </c>
      <c r="S242" t="s">
        <v>43</v>
      </c>
      <c r="T242" t="s">
        <v>139</v>
      </c>
      <c r="U242" t="s">
        <v>85</v>
      </c>
      <c r="Y242" t="s">
        <v>35</v>
      </c>
      <c r="AC242">
        <v>4</v>
      </c>
    </row>
    <row r="243" spans="1:29" x14ac:dyDescent="0.3">
      <c r="A243">
        <v>1</v>
      </c>
      <c r="B243" s="23">
        <v>28</v>
      </c>
      <c r="C243" t="s">
        <v>50</v>
      </c>
      <c r="D243" t="s">
        <v>129</v>
      </c>
      <c r="E243" t="s">
        <v>200</v>
      </c>
      <c r="F243" t="s">
        <v>235</v>
      </c>
      <c r="G243">
        <v>5</v>
      </c>
      <c r="H243" t="s">
        <v>150</v>
      </c>
      <c r="I243" s="8" t="s">
        <v>81</v>
      </c>
      <c r="J243" s="8" t="s">
        <v>128</v>
      </c>
      <c r="K243" s="8"/>
      <c r="O243" s="8"/>
      <c r="Q243" s="5" t="s">
        <v>498</v>
      </c>
      <c r="S243" t="s">
        <v>32</v>
      </c>
      <c r="T243" t="s">
        <v>33</v>
      </c>
      <c r="U243" t="s">
        <v>85</v>
      </c>
      <c r="Y243" t="s">
        <v>134</v>
      </c>
      <c r="AC243">
        <v>4</v>
      </c>
    </row>
    <row r="244" spans="1:29" x14ac:dyDescent="0.3">
      <c r="A244">
        <v>1</v>
      </c>
      <c r="B244" s="23">
        <v>37</v>
      </c>
      <c r="C244" t="s">
        <v>225</v>
      </c>
      <c r="D244" t="s">
        <v>26</v>
      </c>
      <c r="E244" t="s">
        <v>107</v>
      </c>
      <c r="F244" t="s">
        <v>28</v>
      </c>
      <c r="G244">
        <v>6</v>
      </c>
      <c r="H244" t="s">
        <v>158</v>
      </c>
      <c r="I244" s="6" t="s">
        <v>81</v>
      </c>
      <c r="J244" s="8" t="s">
        <v>125</v>
      </c>
      <c r="K244" s="6" t="s">
        <v>126</v>
      </c>
      <c r="L244" t="s">
        <v>127</v>
      </c>
      <c r="O244" s="6"/>
      <c r="Q244" t="s">
        <v>497</v>
      </c>
      <c r="R244" t="s">
        <v>500</v>
      </c>
      <c r="S244" t="s">
        <v>32</v>
      </c>
      <c r="T244" t="s">
        <v>33</v>
      </c>
      <c r="U244" t="s">
        <v>86</v>
      </c>
      <c r="Y244" t="s">
        <v>45</v>
      </c>
      <c r="AC244">
        <v>5</v>
      </c>
    </row>
    <row r="245" spans="1:29" x14ac:dyDescent="0.3">
      <c r="A245">
        <v>1</v>
      </c>
      <c r="B245" s="23">
        <v>53</v>
      </c>
      <c r="C245" t="s">
        <v>225</v>
      </c>
      <c r="D245" t="s">
        <v>104</v>
      </c>
      <c r="E245" t="s">
        <v>27</v>
      </c>
      <c r="F245" t="s">
        <v>235</v>
      </c>
      <c r="G245">
        <v>7</v>
      </c>
      <c r="H245" t="s">
        <v>29</v>
      </c>
      <c r="I245" s="8" t="s">
        <v>122</v>
      </c>
      <c r="J245" s="8" t="s">
        <v>128</v>
      </c>
      <c r="O245" s="8"/>
      <c r="P245" s="8"/>
      <c r="Q245" s="5" t="s">
        <v>498</v>
      </c>
      <c r="R245" t="s">
        <v>500</v>
      </c>
      <c r="S245" t="s">
        <v>53</v>
      </c>
      <c r="T245" t="s">
        <v>33</v>
      </c>
      <c r="U245" t="s">
        <v>85</v>
      </c>
      <c r="Y245" t="s">
        <v>59</v>
      </c>
      <c r="AC245">
        <v>5</v>
      </c>
    </row>
    <row r="246" spans="1:29" x14ac:dyDescent="0.3">
      <c r="A246">
        <v>1</v>
      </c>
      <c r="B246" s="23">
        <v>65</v>
      </c>
      <c r="C246" t="s">
        <v>50</v>
      </c>
      <c r="D246" t="s">
        <v>102</v>
      </c>
      <c r="E246" t="s">
        <v>27</v>
      </c>
      <c r="F246" t="s">
        <v>235</v>
      </c>
      <c r="G246">
        <v>7</v>
      </c>
      <c r="H246" t="s">
        <v>57</v>
      </c>
      <c r="I246" s="8" t="s">
        <v>82</v>
      </c>
      <c r="J246" s="6" t="s">
        <v>128</v>
      </c>
      <c r="M246" s="6"/>
      <c r="O246" s="6"/>
      <c r="P246" s="6"/>
      <c r="Q246" t="s">
        <v>497</v>
      </c>
      <c r="R246" t="s">
        <v>502</v>
      </c>
      <c r="S246" t="s">
        <v>32</v>
      </c>
      <c r="T246" t="s">
        <v>139</v>
      </c>
      <c r="U246" s="26" t="s">
        <v>508</v>
      </c>
      <c r="Y246" t="s">
        <v>59</v>
      </c>
      <c r="AC246">
        <v>5</v>
      </c>
    </row>
    <row r="247" spans="1:29" x14ac:dyDescent="0.3">
      <c r="A247">
        <v>1</v>
      </c>
      <c r="B247" s="23">
        <v>21</v>
      </c>
      <c r="C247" t="s">
        <v>50</v>
      </c>
      <c r="D247" t="s">
        <v>129</v>
      </c>
      <c r="E247" t="s">
        <v>107</v>
      </c>
      <c r="F247" t="s">
        <v>40</v>
      </c>
      <c r="G247">
        <v>4</v>
      </c>
      <c r="H247" t="s">
        <v>150</v>
      </c>
      <c r="I247" s="8" t="s">
        <v>81</v>
      </c>
      <c r="J247" s="8" t="s">
        <v>124</v>
      </c>
      <c r="K247" s="8" t="s">
        <v>82</v>
      </c>
      <c r="L247" s="8" t="s">
        <v>125</v>
      </c>
      <c r="M247" s="8" t="s">
        <v>126</v>
      </c>
      <c r="N247" t="s">
        <v>127</v>
      </c>
      <c r="O247" t="s">
        <v>128</v>
      </c>
      <c r="Q247" t="s">
        <v>502</v>
      </c>
      <c r="S247" t="s">
        <v>32</v>
      </c>
      <c r="T247" t="s">
        <v>139</v>
      </c>
      <c r="U247" s="26" t="s">
        <v>62</v>
      </c>
      <c r="Y247" t="s">
        <v>35</v>
      </c>
      <c r="AC247">
        <v>4</v>
      </c>
    </row>
    <row r="248" spans="1:29" x14ac:dyDescent="0.3">
      <c r="A248">
        <v>1</v>
      </c>
      <c r="B248" s="23">
        <v>51</v>
      </c>
      <c r="C248" t="s">
        <v>50</v>
      </c>
      <c r="D248" t="s">
        <v>102</v>
      </c>
      <c r="E248" t="s">
        <v>107</v>
      </c>
      <c r="F248" t="s">
        <v>28</v>
      </c>
      <c r="G248">
        <v>2</v>
      </c>
      <c r="H248" t="s">
        <v>158</v>
      </c>
      <c r="I248" s="6" t="s">
        <v>80</v>
      </c>
      <c r="J248" s="6" t="s">
        <v>81</v>
      </c>
      <c r="K248" s="6" t="s">
        <v>122</v>
      </c>
      <c r="L248" s="6" t="s">
        <v>123</v>
      </c>
      <c r="M248" s="6" t="s">
        <v>124</v>
      </c>
      <c r="N248" s="6" t="s">
        <v>82</v>
      </c>
      <c r="O248" s="6" t="s">
        <v>127</v>
      </c>
      <c r="P248" t="s">
        <v>128</v>
      </c>
      <c r="Q248" t="s">
        <v>502</v>
      </c>
      <c r="S248" t="s">
        <v>53</v>
      </c>
      <c r="T248" t="s">
        <v>139</v>
      </c>
      <c r="U248" t="s">
        <v>85</v>
      </c>
      <c r="Y248" t="s">
        <v>59</v>
      </c>
      <c r="AC248">
        <v>3</v>
      </c>
    </row>
    <row r="249" spans="1:29" x14ac:dyDescent="0.3">
      <c r="A249">
        <v>1</v>
      </c>
      <c r="B249" s="23">
        <v>23</v>
      </c>
      <c r="C249" t="s">
        <v>25</v>
      </c>
      <c r="D249" t="s">
        <v>129</v>
      </c>
      <c r="E249" t="s">
        <v>27</v>
      </c>
      <c r="F249" t="s">
        <v>235</v>
      </c>
      <c r="G249">
        <v>9</v>
      </c>
      <c r="H249" t="s">
        <v>29</v>
      </c>
      <c r="I249" s="8" t="s">
        <v>80</v>
      </c>
      <c r="J249" s="8" t="s">
        <v>122</v>
      </c>
      <c r="K249" s="8" t="s">
        <v>126</v>
      </c>
      <c r="L249" s="8" t="s">
        <v>127</v>
      </c>
      <c r="M249" s="8"/>
      <c r="N249" s="8"/>
      <c r="O249" s="8"/>
      <c r="P249" s="8"/>
      <c r="Q249" t="s">
        <v>502</v>
      </c>
      <c r="S249" t="s">
        <v>53</v>
      </c>
      <c r="T249" t="s">
        <v>33</v>
      </c>
      <c r="U249" t="s">
        <v>85</v>
      </c>
      <c r="Y249" t="s">
        <v>35</v>
      </c>
      <c r="AC249">
        <v>3</v>
      </c>
    </row>
    <row r="250" spans="1:29" x14ac:dyDescent="0.3">
      <c r="A250">
        <v>1</v>
      </c>
      <c r="B250" s="23">
        <v>47</v>
      </c>
      <c r="C250" t="s">
        <v>50</v>
      </c>
      <c r="D250" t="s">
        <v>104</v>
      </c>
      <c r="E250" t="s">
        <v>200</v>
      </c>
      <c r="F250" t="s">
        <v>40</v>
      </c>
      <c r="G250">
        <v>10</v>
      </c>
      <c r="H250" t="s">
        <v>29</v>
      </c>
      <c r="I250" s="6" t="s">
        <v>80</v>
      </c>
      <c r="J250" s="6" t="s">
        <v>81</v>
      </c>
      <c r="K250" s="6" t="s">
        <v>124</v>
      </c>
      <c r="L250" s="6" t="s">
        <v>128</v>
      </c>
      <c r="M250" s="6"/>
      <c r="N250" s="6"/>
      <c r="O250" s="6"/>
      <c r="P250" s="6"/>
      <c r="Q250" t="s">
        <v>502</v>
      </c>
      <c r="S250" t="s">
        <v>43</v>
      </c>
      <c r="T250" t="s">
        <v>33</v>
      </c>
      <c r="U250" t="s">
        <v>86</v>
      </c>
      <c r="Y250" t="s">
        <v>134</v>
      </c>
      <c r="AC250">
        <v>2</v>
      </c>
    </row>
    <row r="251" spans="1:29" x14ac:dyDescent="0.3">
      <c r="A251">
        <v>1</v>
      </c>
      <c r="B251" s="23">
        <v>58</v>
      </c>
      <c r="C251" t="s">
        <v>225</v>
      </c>
      <c r="D251" t="s">
        <v>129</v>
      </c>
      <c r="E251" t="s">
        <v>107</v>
      </c>
      <c r="F251" t="s">
        <v>40</v>
      </c>
      <c r="G251">
        <v>5</v>
      </c>
      <c r="H251" t="s">
        <v>158</v>
      </c>
      <c r="I251" s="8" t="s">
        <v>80</v>
      </c>
      <c r="J251" s="8" t="s">
        <v>122</v>
      </c>
      <c r="K251" s="8" t="s">
        <v>123</v>
      </c>
      <c r="L251" s="8" t="s">
        <v>82</v>
      </c>
      <c r="M251" s="8" t="s">
        <v>125</v>
      </c>
      <c r="N251" s="8" t="s">
        <v>127</v>
      </c>
      <c r="O251" s="8"/>
      <c r="Q251" t="s">
        <v>497</v>
      </c>
      <c r="R251" t="s">
        <v>500</v>
      </c>
      <c r="S251" t="s">
        <v>32</v>
      </c>
      <c r="T251" t="s">
        <v>54</v>
      </c>
      <c r="U251" t="s">
        <v>85</v>
      </c>
      <c r="Y251" t="s">
        <v>35</v>
      </c>
      <c r="AC251">
        <v>5</v>
      </c>
    </row>
    <row r="252" spans="1:29" x14ac:dyDescent="0.3">
      <c r="A252">
        <v>1</v>
      </c>
      <c r="B252" s="23">
        <v>21</v>
      </c>
      <c r="C252" t="s">
        <v>225</v>
      </c>
      <c r="D252" t="s">
        <v>129</v>
      </c>
      <c r="E252" t="s">
        <v>107</v>
      </c>
      <c r="F252" t="s">
        <v>28</v>
      </c>
      <c r="G252">
        <v>4</v>
      </c>
      <c r="H252" t="s">
        <v>158</v>
      </c>
      <c r="I252" s="25" t="s">
        <v>80</v>
      </c>
      <c r="J252" s="25" t="s">
        <v>81</v>
      </c>
      <c r="K252" s="25" t="s">
        <v>122</v>
      </c>
      <c r="L252" s="25" t="s">
        <v>123</v>
      </c>
      <c r="M252" s="25" t="s">
        <v>126</v>
      </c>
      <c r="N252" s="25" t="s">
        <v>127</v>
      </c>
      <c r="O252" s="25" t="s">
        <v>128</v>
      </c>
      <c r="P252" s="25"/>
      <c r="Q252" t="s">
        <v>501</v>
      </c>
      <c r="R252" t="s">
        <v>497</v>
      </c>
      <c r="S252" t="s">
        <v>53</v>
      </c>
      <c r="T252" t="s">
        <v>33</v>
      </c>
      <c r="U252" s="26" t="s">
        <v>508</v>
      </c>
      <c r="Y252" t="s">
        <v>35</v>
      </c>
      <c r="AC252">
        <v>5</v>
      </c>
    </row>
  </sheetData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BD420-F088-419D-8152-F5438A96E1A3}">
  <sheetPr codeName="Planilha15"/>
  <dimension ref="A1:Z103"/>
  <sheetViews>
    <sheetView topLeftCell="D1" zoomScale="85" zoomScaleNormal="85" workbookViewId="0">
      <selection activeCell="H45" sqref="H45"/>
    </sheetView>
  </sheetViews>
  <sheetFormatPr defaultRowHeight="14.4" x14ac:dyDescent="0.3"/>
  <cols>
    <col min="1" max="1" width="17.21875" bestFit="1" customWidth="1"/>
    <col min="2" max="2" width="18.5546875" bestFit="1" customWidth="1"/>
    <col min="3" max="3" width="12" bestFit="1" customWidth="1"/>
    <col min="7" max="7" width="8.88671875" style="30"/>
    <col min="8" max="8" width="30.44140625" bestFit="1" customWidth="1"/>
    <col min="9" max="9" width="24.44140625" customWidth="1"/>
    <col min="10" max="10" width="11" customWidth="1"/>
    <col min="11" max="11" width="26.88671875" bestFit="1" customWidth="1"/>
    <col min="12" max="12" width="16.33203125" bestFit="1" customWidth="1"/>
    <col min="19" max="19" width="16.33203125" bestFit="1" customWidth="1"/>
  </cols>
  <sheetData>
    <row r="1" spans="1:21" x14ac:dyDescent="0.3">
      <c r="A1" s="32" t="s">
        <v>524</v>
      </c>
      <c r="B1" s="27" t="str">
        <f>B19</f>
        <v>Centro-Oeste</v>
      </c>
      <c r="C1" s="27" t="str">
        <f>C19</f>
        <v>Nordeste</v>
      </c>
      <c r="D1" s="27" t="str">
        <f>D19</f>
        <v>Norte</v>
      </c>
      <c r="E1" s="27" t="str">
        <f>E19</f>
        <v>Sudeste</v>
      </c>
      <c r="F1" s="27" t="str">
        <f>F19</f>
        <v>Sul</v>
      </c>
      <c r="H1" s="32" t="s">
        <v>525</v>
      </c>
      <c r="I1" s="27" t="str">
        <f>I18</f>
        <v>Clientes</v>
      </c>
      <c r="J1" s="30"/>
      <c r="K1" s="15" t="s">
        <v>530</v>
      </c>
      <c r="L1" t="s">
        <v>531</v>
      </c>
      <c r="M1" t="s">
        <v>532</v>
      </c>
      <c r="N1" t="s">
        <v>533</v>
      </c>
      <c r="O1" t="s">
        <v>536</v>
      </c>
      <c r="S1" s="32" t="s">
        <v>524</v>
      </c>
    </row>
    <row r="2" spans="1:21" x14ac:dyDescent="0.3">
      <c r="A2" t="s">
        <v>124</v>
      </c>
      <c r="B2" s="40">
        <f>GETPIVOTDATA("REGIÃO",$A$18,"REGIÃO","Centro-Oeste","POSTO 1","Ale")+GETPIVOTDATA("ID",$A$30,"REGIÃO","Centro-Oeste","POSTO 2","Ale")</f>
        <v>1</v>
      </c>
      <c r="C2">
        <f>GETPIVOTDATA("REGIÃO",$A$18,"REGIÃO","Nordeste","POSTO 1","Ale")+GETPIVOTDATA("ID",$A$30,"REGIÃO","Nordeste","POSTO 2","Ale")+GETPIVOTDATA("ID",$A$42,"REGIÃO","Nordeste","POSTO 3","Ale")</f>
        <v>2</v>
      </c>
      <c r="D2">
        <f>GETPIVOTDATA("REGIÃO",$A$18,"REGIÃO","Norte","POSTO 1","Ale")+GETPIVOTDATA("ID",$A$30,"REGIÃO","Norte","POSTO 2","Ale")+GETPIVOTDATA("ID",$A$42,"REGIÃO","Norte","POSTO 3","Ale")</f>
        <v>4</v>
      </c>
      <c r="E2">
        <f>GETPIVOTDATA("REGIÃO",$A$18,"REGIÃO","Sudeste","POSTO 1","Ale")+GETPIVOTDATA("ID",$A$30,"REGIÃO","Sudeste","POSTO 2","Ale")</f>
        <v>9</v>
      </c>
      <c r="F2">
        <f ca="1">SUMIF(A20:A103,A2,F20:F59)</f>
        <v>0</v>
      </c>
      <c r="H2" s="16" t="s">
        <v>497</v>
      </c>
      <c r="I2">
        <f>SUMIF(H19:H33,H2,I19:I33)</f>
        <v>22</v>
      </c>
      <c r="J2" s="30"/>
      <c r="K2" s="16">
        <v>1</v>
      </c>
      <c r="L2">
        <v>136</v>
      </c>
      <c r="M2">
        <v>73</v>
      </c>
      <c r="N2">
        <v>155</v>
      </c>
      <c r="O2">
        <f>SUM(L2:N2)</f>
        <v>364</v>
      </c>
      <c r="S2" t="s">
        <v>124</v>
      </c>
      <c r="T2">
        <f ca="1">SUM(B66:F66)</f>
        <v>16</v>
      </c>
      <c r="U2" s="39">
        <f ca="1">T2/T8</f>
        <v>5.3333333333333337E-2</v>
      </c>
    </row>
    <row r="3" spans="1:21" x14ac:dyDescent="0.3">
      <c r="A3" t="s">
        <v>122</v>
      </c>
      <c r="B3" s="40">
        <f>GETPIVOTDATA("REGIÃO",$A$18,"REGIÃO","Centro-Oeste","POSTO 1","Boxxter")</f>
        <v>9</v>
      </c>
      <c r="C3">
        <f>GETPIVOTDATA("REGIÃO",$A$18,"REGIÃO","Nordeste","POSTO 1","Boxxter")</f>
        <v>11</v>
      </c>
      <c r="D3">
        <f>GETPIVOTDATA("REGIÃO",$A$18,"REGIÃO","Norte","POSTO 1","Boxxter")+GETPIVOTDATA("ID",$A$30,"REGIÃO","Norte","POSTO 2","Boxxter")+GETPIVOTDATA("ID",$A$42,"REGIÃO","Norte","POSTO 3","Boxxter")</f>
        <v>9</v>
      </c>
      <c r="E3">
        <f>GETPIVOTDATA("REGIÃO",$A$18,"REGIÃO","Sudeste","POSTO 1","Boxxter")</f>
        <v>22</v>
      </c>
      <c r="F3">
        <f>SUMIF(A21:A60,A3,F21:F60)</f>
        <v>0</v>
      </c>
      <c r="H3" s="16" t="s">
        <v>496</v>
      </c>
      <c r="I3">
        <f t="shared" ref="I3:I8" si="0">SUMIF(H20:H34,H3,I20:I34)</f>
        <v>87</v>
      </c>
      <c r="J3" s="30"/>
      <c r="K3">
        <v>251</v>
      </c>
      <c r="L3" s="33">
        <f>GETPIVOTDATA("Escolher o Posto Ipiranga",$K$1,"ID",1)/K3</f>
        <v>0.54183266932270913</v>
      </c>
      <c r="M3" s="33">
        <f>GETPIVOTDATA("O que pode ser melhorado",$K$1,"ID",1)/K3</f>
        <v>0.2908366533864542</v>
      </c>
      <c r="N3" s="33">
        <f>GETPIVOTDATA("benefícios ao obter um app",$K$1,"ID",1)/K3</f>
        <v>0.61752988047808766</v>
      </c>
      <c r="O3" s="34" cm="1">
        <f t="array" ref="O3">SUM(L3:N3/3)</f>
        <v>0.48339973439575035</v>
      </c>
      <c r="S3" t="s">
        <v>122</v>
      </c>
      <c r="T3">
        <f ca="1">SUM(B67:F67)</f>
        <v>51</v>
      </c>
      <c r="U3" s="39">
        <f ca="1">T3/T8</f>
        <v>0.17</v>
      </c>
    </row>
    <row r="4" spans="1:21" x14ac:dyDescent="0.3">
      <c r="A4" t="s">
        <v>80</v>
      </c>
      <c r="B4" s="40">
        <f>GETPIVOTDATA("REGIÃO",$A$18,"REGIÃO","Centro-Oeste","POSTO 1","Ipiranga")</f>
        <v>2</v>
      </c>
      <c r="C4">
        <f>GETPIVOTDATA("REGIÃO",$A$18,"REGIÃO","Nordeste","POSTO 1","Ipiranga")+GETPIVOTDATA("ID",$A$30,"REGIÃO","Nordeste","POSTO 2","Boxxter")</f>
        <v>3</v>
      </c>
      <c r="D4">
        <f>GETPIVOTDATA("REGIÃO",$A$18,"REGIÃO","Norte","POSTO 1","Ipiranga")</f>
        <v>3</v>
      </c>
      <c r="E4">
        <f>GETPIVOTDATA("REGIÃO",$A$18,"REGIÃO","Sudeste","POSTO 1","Ipiranga")</f>
        <v>20</v>
      </c>
      <c r="F4">
        <f>GETPIVOTDATA("REGIÃO",$A$18,"REGIÃO","Sul","POSTO 1","Ipiranga")</f>
        <v>1</v>
      </c>
      <c r="H4" s="16" t="s">
        <v>498</v>
      </c>
      <c r="I4">
        <f t="shared" si="0"/>
        <v>27</v>
      </c>
      <c r="J4" s="30"/>
      <c r="K4" s="35">
        <f>K3*3</f>
        <v>753</v>
      </c>
      <c r="L4" s="35">
        <f>K3-GETPIVOTDATA("Escolher o Posto Ipiranga",$K$1,"ID",1)</f>
        <v>115</v>
      </c>
      <c r="M4" s="35">
        <f>K3-GETPIVOTDATA("O que pode ser melhorado",$K$1,"ID",1)</f>
        <v>178</v>
      </c>
      <c r="N4" s="35">
        <f>K3-GETPIVOTDATA("benefícios ao obter um app",$K$1,"ID",1)</f>
        <v>96</v>
      </c>
      <c r="O4" s="35">
        <f>SUM(L4:N4)</f>
        <v>389</v>
      </c>
      <c r="P4" s="35"/>
      <c r="S4" t="s">
        <v>80</v>
      </c>
      <c r="T4">
        <f ca="1">SUM(B68:F68)</f>
        <v>29</v>
      </c>
      <c r="U4" s="39">
        <f ca="1">T4/T8</f>
        <v>9.6666666666666665E-2</v>
      </c>
    </row>
    <row r="5" spans="1:21" x14ac:dyDescent="0.3">
      <c r="A5" t="s">
        <v>123</v>
      </c>
      <c r="B5" s="40">
        <f>GETPIVOTDATA("REGIÃO",$A$18,"REGIÃO","Centro-Oeste","POSTO 1","Petrobras")+GETPIVOTDATA("ID",$A$42,"REGIÃO","Centro-Oeste","POSTO 3","Petrobras")</f>
        <v>5</v>
      </c>
      <c r="C5">
        <f>GETPIVOTDATA("REGIÃO",$A$18,"REGIÃO","Nordeste","POSTO 1","Petrobras")+GETPIVOTDATA("ID",$A$42,"REGIÃO","Nordeste","POSTO 3","Petrobras")</f>
        <v>5</v>
      </c>
      <c r="D5">
        <f>GETPIVOTDATA("REGIÃO",$A$18,"REGIÃO","Norte","POSTO 1","Petrobras")+GETPIVOTDATA("ID",$A$42,"REGIÃO","Norte","POSTO 3","Petrobras")</f>
        <v>8</v>
      </c>
      <c r="E5">
        <f>GETPIVOTDATA("REGIÃO",$A$18,"REGIÃO","Sudeste","POSTO 1","Petrobras")+GETPIVOTDATA("ID",$A$42,"REGIÃO","Sudeste","POSTO 3","Petrobras")</f>
        <v>10</v>
      </c>
      <c r="F5">
        <f>GETPIVOTDATA("REGIÃO",$A$18,"REGIÃO","Sul","POSTO 1","Petrobras")</f>
        <v>2</v>
      </c>
      <c r="H5" s="16" t="s">
        <v>499</v>
      </c>
      <c r="I5">
        <f t="shared" si="0"/>
        <v>5</v>
      </c>
      <c r="J5" s="30"/>
      <c r="K5" s="35" t="s">
        <v>535</v>
      </c>
      <c r="L5" s="36">
        <f>L4/K3</f>
        <v>0.45816733067729082</v>
      </c>
      <c r="M5" s="36">
        <f>M4/K3</f>
        <v>0.70916334661354585</v>
      </c>
      <c r="N5" s="36">
        <f>N4/K3</f>
        <v>0.38247011952191234</v>
      </c>
      <c r="O5" s="37" cm="1">
        <f t="array" ref="O5">SUM(L5:N5/3)</f>
        <v>0.51660026560424965</v>
      </c>
      <c r="P5" s="35"/>
      <c r="S5" t="s">
        <v>123</v>
      </c>
      <c r="T5">
        <f ca="1">SUM(B69:F69)</f>
        <v>30</v>
      </c>
      <c r="U5" s="39">
        <f ca="1">T5/T8</f>
        <v>0.1</v>
      </c>
    </row>
    <row r="6" spans="1:21" x14ac:dyDescent="0.3">
      <c r="A6" t="s">
        <v>82</v>
      </c>
      <c r="B6" s="40">
        <f>GETPIVOTDATA("REGIÃO",$A$18,"REGIÃO","Centro-Oeste","POSTO 1","Rede Graal")+GETPIVOTDATA("ID",$A$42,"REGIÃO","Centro-Oeste","POSTO 3","Rede Graal")</f>
        <v>2</v>
      </c>
      <c r="C6">
        <f>GETPIVOTDATA("REGIÃO",$A$18,"REGIÃO","Nordeste","POSTO 1","Rede Graal")+GETPIVOTDATA("ID",$A$42,"REGIÃO","Nordeste","POSTO 3","Rede Graal")</f>
        <v>2</v>
      </c>
      <c r="D6">
        <f>GETPIVOTDATA("REGIÃO",$A$18,"REGIÃO","Norte","POSTO 1","Rede Graal")+GETPIVOTDATA("ID",$A$42,"REGIÃO","Norte","POSTO 3","Rede Graal")</f>
        <v>1</v>
      </c>
      <c r="E6">
        <f>GETPIVOTDATA("REGIÃO",$A$18,"REGIÃO","Sudeste","POSTO 1","Rede Graal")+GETPIVOTDATA("ID",$A$42,"REGIÃO","Sudeste","POSTO 3","Rede Graal")</f>
        <v>2</v>
      </c>
      <c r="F6">
        <f t="shared" ref="F4:F9" ca="1" si="1">SUMIF(A24:A77,A6,F24:F77)</f>
        <v>0</v>
      </c>
      <c r="H6" s="16" t="s">
        <v>502</v>
      </c>
      <c r="I6">
        <f t="shared" si="0"/>
        <v>6</v>
      </c>
      <c r="J6" s="30"/>
      <c r="K6" s="33"/>
      <c r="S6" t="s">
        <v>81</v>
      </c>
      <c r="T6">
        <f ca="1">SUM(B73:F73)</f>
        <v>122</v>
      </c>
      <c r="U6" s="39">
        <f ca="1">T6/T8</f>
        <v>0.40666666666666668</v>
      </c>
    </row>
    <row r="7" spans="1:21" x14ac:dyDescent="0.3">
      <c r="A7" t="s">
        <v>126</v>
      </c>
      <c r="B7" s="40">
        <f>GETPIVOTDATA("REGIÃO",$A$18,"REGIÃO","Centro-Oeste","POSTO 1","Setee")+GETPIVOTDATA("ID",$A$30,"REGIÃO","Centro-Oeste","POSTO 2","Setee")+GETPIVOTDATA("ID",$A$42,"REGIÃO","Centro-Oeste","POSTO 3","Setee")</f>
        <v>6</v>
      </c>
      <c r="C7">
        <f>GETPIVOTDATA("REGIÃO",$A$18,"REGIÃO","Nordeste","POSTO 1","Setee")+GETPIVOTDATA("ID",$A$42,"REGIÃO","Nordeste","POSTO 3","Setee")</f>
        <v>0</v>
      </c>
      <c r="D7">
        <f>GETPIVOTDATA("REGIÃO",$A$18,"REGIÃO","Norte","POSTO 1","Setee")+GETPIVOTDATA("ID",$A$30,"REGIÃO","Norte","POSTO 2","Setee")+GETPIVOTDATA("ID",$A$42,"REGIÃO","Norte","POSTO 3","Setee")</f>
        <v>4</v>
      </c>
      <c r="E7">
        <f>GETPIVOTDATA("REGIÃO",$A$18,"REGIÃO","Sudeste","POSTO 1","Setee")+GETPIVOTDATA("ID",$A$30,"REGIÃO","Sudeste","POSTO 2","Setee")+GETPIVOTDATA("ID",$A$42,"REGIÃO","Sudeste","POSTO 3","Setee")</f>
        <v>13</v>
      </c>
      <c r="F7">
        <f t="shared" ca="1" si="1"/>
        <v>0</v>
      </c>
      <c r="H7" s="16" t="s">
        <v>500</v>
      </c>
      <c r="I7">
        <f t="shared" si="0"/>
        <v>17</v>
      </c>
      <c r="J7" s="30"/>
      <c r="K7" s="16"/>
      <c r="S7" t="s">
        <v>548</v>
      </c>
      <c r="T7">
        <f>T8-248</f>
        <v>52</v>
      </c>
      <c r="U7" s="34">
        <f>T7/T8</f>
        <v>0.17333333333333334</v>
      </c>
    </row>
    <row r="8" spans="1:21" x14ac:dyDescent="0.3">
      <c r="A8" t="s">
        <v>127</v>
      </c>
      <c r="B8" s="40">
        <f>GETPIVOTDATA("REGIÃO",$A$18,"REGIÃO","Centro-Oeste","POSTO 1","Setta")+GETPIVOTDATA("ID",$A$30,"REGIÃO","Centro-Oeste","POSTO 2","Setta")+GETPIVOTDATA("ID",$A$42,"REGIÃO","Centro-Oeste","POSTO 3","Setta")</f>
        <v>3</v>
      </c>
      <c r="C8">
        <f>GETPIVOTDATA("REGIÃO",$A$18,"REGIÃO","Nordeste","POSTO 1","Setta")+GETPIVOTDATA("ID",$A$30,"REGIÃO","Nordeste","POSTO 2","Setta")+GETPIVOTDATA("ID",$A$42,"REGIÃO","Nordeste","POSTO 3","Setta")</f>
        <v>5</v>
      </c>
      <c r="D8">
        <f>GETPIVOTDATA("REGIÃO",$A$18,"REGIÃO","Norte","POSTO 1","Setta")+GETPIVOTDATA("ID",$A$30,"REGIÃO","Nordeste","POSTO 2","Setta")+GETPIVOTDATA("ID",$A$42,"REGIÃO","Nordeste","POSTO 3","Setta")</f>
        <v>5</v>
      </c>
      <c r="E8">
        <f>GETPIVOTDATA("ID",$A$30,"REGIÃO","Sudeste","POSTO 2","Shell")+GETPIVOTDATA("ID",$A$42,"REGIÃO","Sudeste","POSTO 3","Setta")</f>
        <v>9</v>
      </c>
      <c r="F8">
        <f t="shared" ca="1" si="1"/>
        <v>0</v>
      </c>
      <c r="H8" s="16" t="s">
        <v>501</v>
      </c>
      <c r="I8">
        <f t="shared" si="0"/>
        <v>112</v>
      </c>
      <c r="J8" s="30"/>
      <c r="K8" s="16"/>
      <c r="T8">
        <v>300</v>
      </c>
    </row>
    <row r="9" spans="1:21" ht="15" thickBot="1" x14ac:dyDescent="0.35">
      <c r="A9" t="s">
        <v>81</v>
      </c>
      <c r="B9" s="40">
        <f>GETPIVOTDATA("REGIÃO",$A$18,"REGIÃO","Centro-Oeste","POSTO 1","Shell")+GETPIVOTDATA("ID",$A$30,"REGIÃO","Centro-Oeste","POSTO 2","Shell")</f>
        <v>22</v>
      </c>
      <c r="C9">
        <f>GETPIVOTDATA("REGIÃO",$A$18,"REGIÃO","Nordeste","POSTO 1","Shell")+GETPIVOTDATA("ID",$A$30,"REGIÃO","Nordeste","POSTO 2","Shell")</f>
        <v>19</v>
      </c>
      <c r="D9">
        <f>GETPIVOTDATA("REGIÃO",$A$18,"REGIÃO","Norte","POSTO 1","Shell")+GETPIVOTDATA("ID",$A$30,"REGIÃO","Norte","POSTO 2","Shell")</f>
        <v>23</v>
      </c>
      <c r="E9">
        <f>GETPIVOTDATA("REGIÃO",$A$18,"REGIÃO","Sudeste","POSTO 1","Shell")+GETPIVOTDATA("ID",$A$30,"REGIÃO","Sudeste","POSTO 2","Shell")</f>
        <v>58</v>
      </c>
      <c r="F9">
        <f t="shared" ca="1" si="1"/>
        <v>0</v>
      </c>
      <c r="H9" s="16" t="s">
        <v>503</v>
      </c>
      <c r="I9">
        <f>SUMIF(H26:H39,H9,I26:I39)</f>
        <v>1</v>
      </c>
      <c r="J9" s="30"/>
      <c r="K9" s="16"/>
    </row>
    <row r="10" spans="1:21" s="29" customFormat="1" ht="15" thickBot="1" x14ac:dyDescent="0.35">
      <c r="A10" s="28"/>
    </row>
    <row r="11" spans="1:21" x14ac:dyDescent="0.3">
      <c r="A11" s="31" t="s">
        <v>526</v>
      </c>
      <c r="B11" s="15" t="s">
        <v>517</v>
      </c>
      <c r="G11"/>
      <c r="H11" s="15" t="s">
        <v>522</v>
      </c>
      <c r="I11" t="s">
        <v>516</v>
      </c>
      <c r="L11" s="15" t="s">
        <v>522</v>
      </c>
      <c r="M11" s="15" t="s">
        <v>519</v>
      </c>
      <c r="S11" s="15" t="s">
        <v>522</v>
      </c>
      <c r="T11" t="s">
        <v>518</v>
      </c>
    </row>
    <row r="12" spans="1:21" x14ac:dyDescent="0.3">
      <c r="A12" s="15" t="s">
        <v>514</v>
      </c>
      <c r="B12" t="s">
        <v>40</v>
      </c>
      <c r="C12" t="s">
        <v>117</v>
      </c>
      <c r="D12" t="s">
        <v>235</v>
      </c>
      <c r="E12" t="s">
        <v>28</v>
      </c>
      <c r="F12" t="s">
        <v>101</v>
      </c>
      <c r="G12"/>
      <c r="H12" s="16" t="s">
        <v>107</v>
      </c>
      <c r="I12" s="44">
        <v>378</v>
      </c>
      <c r="J12">
        <f>SUMIF(H12:H15,H12,I12:I15)*10</f>
        <v>3780</v>
      </c>
      <c r="L12" s="15" t="s">
        <v>514</v>
      </c>
      <c r="M12" t="s">
        <v>150</v>
      </c>
      <c r="N12" t="s">
        <v>57</v>
      </c>
      <c r="O12" t="s">
        <v>29</v>
      </c>
      <c r="P12" t="s">
        <v>158</v>
      </c>
      <c r="Q12" t="s">
        <v>101</v>
      </c>
      <c r="S12" s="16" t="s">
        <v>107</v>
      </c>
      <c r="T12" s="44">
        <v>65</v>
      </c>
    </row>
    <row r="13" spans="1:21" x14ac:dyDescent="0.3">
      <c r="A13" s="16" t="s">
        <v>107</v>
      </c>
      <c r="B13" s="44">
        <v>19</v>
      </c>
      <c r="C13" s="44"/>
      <c r="D13" s="44">
        <v>20</v>
      </c>
      <c r="E13" s="44">
        <v>26</v>
      </c>
      <c r="F13" s="44">
        <v>65</v>
      </c>
      <c r="G13">
        <f>GETPIVOTDATA("ID",$A$11,"MEIO DE LOCOMOÇÃO","Caminhão")</f>
        <v>65</v>
      </c>
      <c r="H13" s="16" t="s">
        <v>27</v>
      </c>
      <c r="I13" s="44">
        <v>435</v>
      </c>
      <c r="J13">
        <f t="shared" ref="J13:J15" si="2">SUMIF(H13:H16,H13,I13:I16)*10</f>
        <v>4350</v>
      </c>
      <c r="L13" s="16" t="s">
        <v>107</v>
      </c>
      <c r="M13" s="44">
        <v>20</v>
      </c>
      <c r="N13" s="44">
        <v>20</v>
      </c>
      <c r="O13" s="44">
        <v>14</v>
      </c>
      <c r="P13" s="44">
        <v>11</v>
      </c>
      <c r="Q13" s="44">
        <v>65</v>
      </c>
      <c r="S13" s="16" t="s">
        <v>27</v>
      </c>
      <c r="T13" s="44">
        <v>81</v>
      </c>
    </row>
    <row r="14" spans="1:21" x14ac:dyDescent="0.3">
      <c r="A14" s="16" t="s">
        <v>27</v>
      </c>
      <c r="B14" s="44">
        <v>40</v>
      </c>
      <c r="C14" s="44">
        <v>4</v>
      </c>
      <c r="D14" s="44">
        <v>15</v>
      </c>
      <c r="E14" s="44">
        <v>22</v>
      </c>
      <c r="F14" s="44">
        <v>81</v>
      </c>
      <c r="G14">
        <f>GETPIVOTDATA("ID",$A$11,"MEIO DE LOCOMOÇÃO","Carro")</f>
        <v>81</v>
      </c>
      <c r="H14" s="16" t="s">
        <v>200</v>
      </c>
      <c r="I14" s="44">
        <v>258</v>
      </c>
      <c r="J14">
        <f t="shared" si="2"/>
        <v>2580</v>
      </c>
      <c r="L14" s="16" t="s">
        <v>27</v>
      </c>
      <c r="M14" s="44">
        <v>11</v>
      </c>
      <c r="N14" s="44">
        <v>27</v>
      </c>
      <c r="O14" s="44">
        <v>30</v>
      </c>
      <c r="P14" s="44">
        <v>13</v>
      </c>
      <c r="Q14" s="44">
        <v>81</v>
      </c>
      <c r="S14" s="16" t="s">
        <v>200</v>
      </c>
      <c r="T14" s="44">
        <v>42</v>
      </c>
    </row>
    <row r="15" spans="1:21" x14ac:dyDescent="0.3">
      <c r="A15" s="16" t="s">
        <v>200</v>
      </c>
      <c r="B15" s="44">
        <v>11</v>
      </c>
      <c r="C15" s="44"/>
      <c r="D15" s="44">
        <v>21</v>
      </c>
      <c r="E15" s="44">
        <v>10</v>
      </c>
      <c r="F15" s="44">
        <v>42</v>
      </c>
      <c r="G15">
        <f>GETPIVOTDATA("ID",$A$11,"MEIO DE LOCOMOÇÃO","Motocicleta")</f>
        <v>42</v>
      </c>
      <c r="H15" s="16" t="s">
        <v>133</v>
      </c>
      <c r="I15" s="44">
        <v>324</v>
      </c>
      <c r="J15">
        <f t="shared" si="2"/>
        <v>3240</v>
      </c>
      <c r="L15" s="16" t="s">
        <v>200</v>
      </c>
      <c r="M15" s="44">
        <v>12</v>
      </c>
      <c r="N15" s="44">
        <v>11</v>
      </c>
      <c r="O15" s="44">
        <v>9</v>
      </c>
      <c r="P15" s="44">
        <v>10</v>
      </c>
      <c r="Q15" s="44">
        <v>42</v>
      </c>
      <c r="S15" s="16" t="s">
        <v>133</v>
      </c>
      <c r="T15" s="44">
        <v>63</v>
      </c>
    </row>
    <row r="16" spans="1:21" ht="15" thickBot="1" x14ac:dyDescent="0.35">
      <c r="A16" s="16" t="s">
        <v>133</v>
      </c>
      <c r="B16" s="44">
        <v>19</v>
      </c>
      <c r="C16" s="44">
        <v>1</v>
      </c>
      <c r="D16" s="44">
        <v>19</v>
      </c>
      <c r="E16" s="44">
        <v>24</v>
      </c>
      <c r="F16" s="44">
        <v>63</v>
      </c>
      <c r="G16">
        <f>GETPIVOTDATA("ID",$A$11,"MEIO DE LOCOMOÇÃO","Transporte público")</f>
        <v>63</v>
      </c>
      <c r="L16" s="16" t="s">
        <v>133</v>
      </c>
      <c r="M16" s="44">
        <v>18</v>
      </c>
      <c r="N16" s="44">
        <v>19</v>
      </c>
      <c r="O16" s="44">
        <v>11</v>
      </c>
      <c r="P16" s="44">
        <v>15</v>
      </c>
      <c r="Q16" s="44">
        <v>63</v>
      </c>
    </row>
    <row r="17" spans="1:9" s="29" customFormat="1" ht="15" thickBot="1" x14ac:dyDescent="0.35">
      <c r="A17" s="28"/>
    </row>
    <row r="18" spans="1:9" x14ac:dyDescent="0.3">
      <c r="A18" s="15" t="s">
        <v>547</v>
      </c>
      <c r="B18" s="15" t="s">
        <v>515</v>
      </c>
      <c r="H18" s="15" t="s">
        <v>523</v>
      </c>
      <c r="I18" t="s">
        <v>520</v>
      </c>
    </row>
    <row r="19" spans="1:9" x14ac:dyDescent="0.3">
      <c r="A19" s="15" t="s">
        <v>514</v>
      </c>
      <c r="B19" t="s">
        <v>104</v>
      </c>
      <c r="C19" t="s">
        <v>102</v>
      </c>
      <c r="D19" t="s">
        <v>129</v>
      </c>
      <c r="E19" t="s">
        <v>26</v>
      </c>
      <c r="F19" t="s">
        <v>103</v>
      </c>
      <c r="H19" s="16" t="s">
        <v>497</v>
      </c>
      <c r="I19" s="44">
        <v>17</v>
      </c>
    </row>
    <row r="20" spans="1:9" x14ac:dyDescent="0.3">
      <c r="A20" s="16" t="s">
        <v>124</v>
      </c>
      <c r="B20" s="44">
        <v>1</v>
      </c>
      <c r="C20" s="44">
        <v>2</v>
      </c>
      <c r="D20" s="44">
        <v>3</v>
      </c>
      <c r="E20" s="44">
        <v>9</v>
      </c>
      <c r="F20" s="44"/>
      <c r="H20" s="16" t="s">
        <v>496</v>
      </c>
      <c r="I20" s="44">
        <v>84</v>
      </c>
    </row>
    <row r="21" spans="1:9" x14ac:dyDescent="0.3">
      <c r="A21" s="16" t="s">
        <v>122</v>
      </c>
      <c r="B21" s="44">
        <v>9</v>
      </c>
      <c r="C21" s="44">
        <v>11</v>
      </c>
      <c r="D21" s="44">
        <v>6</v>
      </c>
      <c r="E21" s="44">
        <v>22</v>
      </c>
      <c r="F21" s="44"/>
      <c r="H21" s="16" t="s">
        <v>498</v>
      </c>
      <c r="I21" s="44">
        <v>27</v>
      </c>
    </row>
    <row r="22" spans="1:9" x14ac:dyDescent="0.3">
      <c r="A22" s="16" t="s">
        <v>80</v>
      </c>
      <c r="B22" s="44">
        <v>2</v>
      </c>
      <c r="C22" s="44">
        <v>3</v>
      </c>
      <c r="D22" s="44">
        <v>3</v>
      </c>
      <c r="E22" s="44">
        <v>20</v>
      </c>
      <c r="F22" s="44">
        <v>1</v>
      </c>
      <c r="H22" s="16" t="s">
        <v>499</v>
      </c>
      <c r="I22" s="44">
        <v>1</v>
      </c>
    </row>
    <row r="23" spans="1:9" x14ac:dyDescent="0.3">
      <c r="A23" s="16" t="s">
        <v>123</v>
      </c>
      <c r="B23" s="44">
        <v>5</v>
      </c>
      <c r="C23" s="44">
        <v>5</v>
      </c>
      <c r="D23" s="44">
        <v>7</v>
      </c>
      <c r="E23" s="44">
        <v>10</v>
      </c>
      <c r="F23" s="44">
        <v>2</v>
      </c>
      <c r="H23" s="16" t="s">
        <v>502</v>
      </c>
      <c r="I23" s="44">
        <v>5</v>
      </c>
    </row>
    <row r="24" spans="1:9" x14ac:dyDescent="0.3">
      <c r="A24" s="16" t="s">
        <v>82</v>
      </c>
      <c r="B24" s="44">
        <v>2</v>
      </c>
      <c r="C24" s="44">
        <v>2</v>
      </c>
      <c r="D24" s="44"/>
      <c r="E24" s="44">
        <v>1</v>
      </c>
      <c r="F24" s="44"/>
      <c r="H24" s="16" t="s">
        <v>500</v>
      </c>
      <c r="I24" s="44">
        <v>13</v>
      </c>
    </row>
    <row r="25" spans="1:9" x14ac:dyDescent="0.3">
      <c r="A25" s="16" t="s">
        <v>125</v>
      </c>
      <c r="B25" s="44"/>
      <c r="C25" s="44">
        <v>1</v>
      </c>
      <c r="D25" s="44"/>
      <c r="E25" s="44">
        <v>3</v>
      </c>
      <c r="F25" s="44"/>
      <c r="H25" s="16" t="s">
        <v>501</v>
      </c>
      <c r="I25" s="44">
        <v>104</v>
      </c>
    </row>
    <row r="26" spans="1:9" x14ac:dyDescent="0.3">
      <c r="A26" s="16" t="s">
        <v>126</v>
      </c>
      <c r="B26" s="44">
        <v>1</v>
      </c>
      <c r="C26" s="44"/>
      <c r="D26" s="44"/>
      <c r="E26" s="44">
        <v>2</v>
      </c>
      <c r="F26" s="44"/>
      <c r="H26" s="15" t="s">
        <v>523</v>
      </c>
      <c r="I26" t="s">
        <v>521</v>
      </c>
    </row>
    <row r="27" spans="1:9" x14ac:dyDescent="0.3">
      <c r="A27" s="16" t="s">
        <v>127</v>
      </c>
      <c r="B27" s="44">
        <v>1</v>
      </c>
      <c r="C27" s="44"/>
      <c r="D27" s="44"/>
      <c r="E27" s="44"/>
      <c r="F27" s="44"/>
      <c r="H27" s="16" t="s">
        <v>497</v>
      </c>
      <c r="I27" s="44">
        <v>5</v>
      </c>
    </row>
    <row r="28" spans="1:9" x14ac:dyDescent="0.3">
      <c r="A28" s="16" t="s">
        <v>81</v>
      </c>
      <c r="B28" s="44">
        <v>21</v>
      </c>
      <c r="C28" s="44">
        <v>18</v>
      </c>
      <c r="D28" s="44">
        <v>22</v>
      </c>
      <c r="E28" s="44">
        <v>56</v>
      </c>
      <c r="F28" s="44"/>
      <c r="H28" s="16" t="s">
        <v>496</v>
      </c>
      <c r="I28" s="44">
        <v>3</v>
      </c>
    </row>
    <row r="29" spans="1:9" x14ac:dyDescent="0.3">
      <c r="H29" s="16" t="s">
        <v>499</v>
      </c>
      <c r="I29" s="44">
        <v>4</v>
      </c>
    </row>
    <row r="30" spans="1:9" x14ac:dyDescent="0.3">
      <c r="A30" s="15" t="s">
        <v>523</v>
      </c>
      <c r="B30" s="15" t="s">
        <v>515</v>
      </c>
      <c r="H30" s="16" t="s">
        <v>503</v>
      </c>
      <c r="I30" s="44">
        <v>1</v>
      </c>
    </row>
    <row r="31" spans="1:9" x14ac:dyDescent="0.3">
      <c r="A31" s="15" t="s">
        <v>514</v>
      </c>
      <c r="B31" t="s">
        <v>104</v>
      </c>
      <c r="C31" t="s">
        <v>102</v>
      </c>
      <c r="D31" t="s">
        <v>129</v>
      </c>
      <c r="E31" t="s">
        <v>26</v>
      </c>
      <c r="H31" s="16" t="s">
        <v>502</v>
      </c>
      <c r="I31" s="44">
        <v>1</v>
      </c>
    </row>
    <row r="32" spans="1:9" x14ac:dyDescent="0.3">
      <c r="A32" s="16" t="s">
        <v>124</v>
      </c>
      <c r="B32" s="44"/>
      <c r="C32" s="44"/>
      <c r="D32" s="44">
        <v>1</v>
      </c>
      <c r="E32" s="44"/>
      <c r="H32" s="16" t="s">
        <v>500</v>
      </c>
      <c r="I32" s="44">
        <v>4</v>
      </c>
    </row>
    <row r="33" spans="1:26" ht="15" thickBot="1" x14ac:dyDescent="0.35">
      <c r="A33" s="16" t="s">
        <v>122</v>
      </c>
      <c r="B33" s="44"/>
      <c r="C33" s="44"/>
      <c r="D33" s="44">
        <v>2</v>
      </c>
      <c r="E33" s="44"/>
      <c r="H33" s="16" t="s">
        <v>501</v>
      </c>
      <c r="I33" s="44">
        <v>8</v>
      </c>
    </row>
    <row r="34" spans="1:26" s="29" customFormat="1" ht="15" thickBot="1" x14ac:dyDescent="0.35">
      <c r="A34" s="16" t="s">
        <v>128</v>
      </c>
      <c r="B34" s="44">
        <v>3</v>
      </c>
      <c r="C34" s="44">
        <v>4</v>
      </c>
      <c r="D34" s="44">
        <v>4</v>
      </c>
      <c r="E34" s="44">
        <v>5</v>
      </c>
      <c r="F34"/>
      <c r="G34" s="30"/>
      <c r="H34" s="28"/>
    </row>
    <row r="35" spans="1:26" x14ac:dyDescent="0.3">
      <c r="A35" s="16" t="s">
        <v>125</v>
      </c>
      <c r="B35" s="44"/>
      <c r="C35" s="44"/>
      <c r="D35" s="44"/>
      <c r="E35" s="44">
        <v>1</v>
      </c>
      <c r="H35" s="31" t="s">
        <v>527</v>
      </c>
      <c r="I35" t="s">
        <v>529</v>
      </c>
      <c r="J35" s="30"/>
      <c r="K35" s="15" t="s">
        <v>66</v>
      </c>
      <c r="L35" s="31" t="s">
        <v>517</v>
      </c>
      <c r="T35" s="15" t="s">
        <v>66</v>
      </c>
      <c r="U35" s="31" t="s">
        <v>517</v>
      </c>
    </row>
    <row r="36" spans="1:26" x14ac:dyDescent="0.3">
      <c r="A36" s="16" t="s">
        <v>126</v>
      </c>
      <c r="B36" s="44">
        <v>4</v>
      </c>
      <c r="C36" s="44">
        <v>2</v>
      </c>
      <c r="D36" s="44">
        <v>3</v>
      </c>
      <c r="E36" s="44">
        <v>10</v>
      </c>
      <c r="H36" s="16" t="s">
        <v>43</v>
      </c>
      <c r="I36" s="44">
        <v>74</v>
      </c>
      <c r="J36" s="30"/>
      <c r="K36" s="15" t="s">
        <v>527</v>
      </c>
      <c r="L36" t="s">
        <v>33</v>
      </c>
      <c r="M36" t="s">
        <v>54</v>
      </c>
      <c r="N36" t="s">
        <v>139</v>
      </c>
      <c r="O36" t="s">
        <v>101</v>
      </c>
      <c r="Q36" t="s">
        <v>538</v>
      </c>
      <c r="R36" t="s">
        <v>539</v>
      </c>
      <c r="T36" s="15" t="s">
        <v>527</v>
      </c>
      <c r="U36" t="s">
        <v>33</v>
      </c>
      <c r="V36" t="s">
        <v>54</v>
      </c>
      <c r="W36" t="s">
        <v>139</v>
      </c>
      <c r="X36" t="s">
        <v>101</v>
      </c>
      <c r="Z36" t="s">
        <v>539</v>
      </c>
    </row>
    <row r="37" spans="1:26" x14ac:dyDescent="0.3">
      <c r="A37" s="16" t="s">
        <v>127</v>
      </c>
      <c r="B37" s="44">
        <v>1</v>
      </c>
      <c r="C37" s="44">
        <v>4</v>
      </c>
      <c r="D37" s="44">
        <v>1</v>
      </c>
      <c r="E37" s="44">
        <v>4</v>
      </c>
      <c r="H37" s="16" t="s">
        <v>53</v>
      </c>
      <c r="I37" s="44">
        <v>112</v>
      </c>
      <c r="J37" s="30"/>
      <c r="K37" s="16" t="s">
        <v>104</v>
      </c>
      <c r="L37" s="44">
        <v>18</v>
      </c>
      <c r="M37" s="44">
        <v>12</v>
      </c>
      <c r="N37" s="44">
        <v>12</v>
      </c>
      <c r="O37" s="44">
        <v>42</v>
      </c>
      <c r="Q37">
        <f>GETPIVOTDATA("ID",$K$35,"REGIÃO","Centro-Oeste")</f>
        <v>42</v>
      </c>
      <c r="R37">
        <f>IFERROR(Q37,0)</f>
        <v>42</v>
      </c>
      <c r="T37" s="16" t="s">
        <v>104</v>
      </c>
      <c r="U37" s="44">
        <v>18</v>
      </c>
      <c r="V37" s="44">
        <v>12</v>
      </c>
      <c r="W37" s="44">
        <v>12</v>
      </c>
      <c r="X37" s="44">
        <v>42</v>
      </c>
      <c r="Y37">
        <f>GETPIVOTDATA("ID",$T$35,"REGIÃO","Centro-Oeste")</f>
        <v>42</v>
      </c>
      <c r="Z37">
        <f>IFERROR(Y37,"0")</f>
        <v>42</v>
      </c>
    </row>
    <row r="38" spans="1:26" x14ac:dyDescent="0.3">
      <c r="A38" s="16" t="s">
        <v>81</v>
      </c>
      <c r="B38" s="44">
        <v>1</v>
      </c>
      <c r="C38" s="44">
        <v>1</v>
      </c>
      <c r="D38" s="44">
        <v>1</v>
      </c>
      <c r="E38" s="44">
        <v>2</v>
      </c>
      <c r="H38" s="16" t="s">
        <v>32</v>
      </c>
      <c r="I38" s="44">
        <v>65</v>
      </c>
      <c r="J38" s="30"/>
      <c r="K38" s="16" t="s">
        <v>102</v>
      </c>
      <c r="L38" s="44">
        <v>22</v>
      </c>
      <c r="M38" s="44">
        <v>6</v>
      </c>
      <c r="N38" s="44">
        <v>14</v>
      </c>
      <c r="O38" s="44">
        <v>42</v>
      </c>
      <c r="Q38">
        <f>GETPIVOTDATA("ID",$K$35,"REGIÃO","Nordeste")</f>
        <v>42</v>
      </c>
      <c r="R38">
        <f t="shared" ref="R38:R41" si="3">IFERROR(Q38,0)</f>
        <v>42</v>
      </c>
      <c r="T38" s="16" t="s">
        <v>102</v>
      </c>
      <c r="U38" s="44">
        <v>22</v>
      </c>
      <c r="V38" s="44">
        <v>6</v>
      </c>
      <c r="W38" s="44">
        <v>14</v>
      </c>
      <c r="X38" s="44">
        <v>42</v>
      </c>
      <c r="Y38">
        <f>GETPIVOTDATA("ID",$T$35,"REGIÃO","Nordeste")</f>
        <v>42</v>
      </c>
      <c r="Z38">
        <f t="shared" ref="Z38:Z41" si="4">IFERROR(Y38,"0")</f>
        <v>42</v>
      </c>
    </row>
    <row r="39" spans="1:26" x14ac:dyDescent="0.3">
      <c r="A39" s="16" t="s">
        <v>487</v>
      </c>
      <c r="B39" s="44">
        <v>1</v>
      </c>
      <c r="C39" s="44">
        <v>1</v>
      </c>
      <c r="D39" s="44"/>
      <c r="E39" s="44">
        <v>1</v>
      </c>
      <c r="J39" s="30"/>
      <c r="K39" s="16" t="s">
        <v>129</v>
      </c>
      <c r="L39" s="44">
        <v>15</v>
      </c>
      <c r="M39" s="44">
        <v>11</v>
      </c>
      <c r="N39" s="44">
        <v>15</v>
      </c>
      <c r="O39" s="44">
        <v>41</v>
      </c>
      <c r="Q39">
        <f>GETPIVOTDATA("ID",$K$35,"REGIÃO","Norte")</f>
        <v>41</v>
      </c>
      <c r="R39">
        <f t="shared" si="3"/>
        <v>41</v>
      </c>
      <c r="T39" s="16" t="s">
        <v>129</v>
      </c>
      <c r="U39" s="44">
        <v>15</v>
      </c>
      <c r="V39" s="44">
        <v>11</v>
      </c>
      <c r="W39" s="44">
        <v>15</v>
      </c>
      <c r="X39" s="44">
        <v>41</v>
      </c>
      <c r="Y39">
        <f>GETPIVOTDATA("ID",$T$35,"REGIÃO","Norte")</f>
        <v>41</v>
      </c>
      <c r="Z39">
        <f t="shared" si="4"/>
        <v>41</v>
      </c>
    </row>
    <row r="40" spans="1:26" x14ac:dyDescent="0.3">
      <c r="H40" s="15" t="s">
        <v>522</v>
      </c>
      <c r="I40" t="s">
        <v>528</v>
      </c>
      <c r="J40" s="30"/>
      <c r="K40" s="16" t="s">
        <v>26</v>
      </c>
      <c r="L40" s="44">
        <v>29</v>
      </c>
      <c r="M40" s="44">
        <v>44</v>
      </c>
      <c r="N40" s="44">
        <v>50</v>
      </c>
      <c r="O40" s="44">
        <v>123</v>
      </c>
      <c r="Q40">
        <f>GETPIVOTDATA("ID",$K$35,"REGIÃO","Sudeste")</f>
        <v>123</v>
      </c>
      <c r="R40">
        <f t="shared" si="3"/>
        <v>123</v>
      </c>
      <c r="T40" s="16" t="s">
        <v>26</v>
      </c>
      <c r="U40" s="44">
        <v>29</v>
      </c>
      <c r="V40" s="44">
        <v>44</v>
      </c>
      <c r="W40" s="44">
        <v>50</v>
      </c>
      <c r="X40" s="44">
        <v>123</v>
      </c>
      <c r="Y40">
        <f>GETPIVOTDATA("ID",$T$35,"REGIÃO","Sudeste")</f>
        <v>123</v>
      </c>
      <c r="Z40">
        <f t="shared" si="4"/>
        <v>123</v>
      </c>
    </row>
    <row r="41" spans="1:26" x14ac:dyDescent="0.3">
      <c r="H41" s="16" t="s">
        <v>45</v>
      </c>
      <c r="I41" s="44">
        <v>47</v>
      </c>
      <c r="J41" s="30"/>
      <c r="K41" s="16" t="s">
        <v>103</v>
      </c>
      <c r="L41" s="44"/>
      <c r="M41" s="44">
        <v>1</v>
      </c>
      <c r="N41" s="44">
        <v>2</v>
      </c>
      <c r="O41" s="44">
        <v>3</v>
      </c>
      <c r="Q41">
        <f>GETPIVOTDATA("ID",$K$35,"REGIÃO","Sul")</f>
        <v>3</v>
      </c>
      <c r="R41">
        <f t="shared" si="3"/>
        <v>3</v>
      </c>
      <c r="T41" s="16" t="s">
        <v>103</v>
      </c>
      <c r="U41" s="44"/>
      <c r="V41" s="44">
        <v>1</v>
      </c>
      <c r="W41" s="44">
        <v>2</v>
      </c>
      <c r="X41" s="44">
        <v>3</v>
      </c>
      <c r="Y41">
        <f>GETPIVOTDATA("ID",$T$35,"REGIÃO","Sul")</f>
        <v>3</v>
      </c>
      <c r="Z41">
        <f t="shared" si="4"/>
        <v>3</v>
      </c>
    </row>
    <row r="42" spans="1:26" x14ac:dyDescent="0.3">
      <c r="A42" s="15" t="s">
        <v>523</v>
      </c>
      <c r="B42" s="15" t="s">
        <v>515</v>
      </c>
      <c r="H42" s="16" t="s">
        <v>59</v>
      </c>
      <c r="I42" s="44">
        <v>57</v>
      </c>
      <c r="J42" s="30"/>
      <c r="K42" s="16" t="s">
        <v>101</v>
      </c>
      <c r="L42" s="44">
        <v>84</v>
      </c>
      <c r="M42" s="44">
        <v>74</v>
      </c>
      <c r="N42" s="44">
        <v>93</v>
      </c>
      <c r="O42" s="44">
        <v>251</v>
      </c>
      <c r="T42" s="16" t="s">
        <v>101</v>
      </c>
      <c r="U42" s="44">
        <v>84</v>
      </c>
      <c r="V42" s="44">
        <v>74</v>
      </c>
      <c r="W42" s="44">
        <v>93</v>
      </c>
      <c r="X42" s="44">
        <v>251</v>
      </c>
    </row>
    <row r="43" spans="1:26" x14ac:dyDescent="0.3">
      <c r="A43" s="15" t="s">
        <v>514</v>
      </c>
      <c r="B43" t="s">
        <v>104</v>
      </c>
      <c r="C43" t="s">
        <v>102</v>
      </c>
      <c r="D43" t="s">
        <v>129</v>
      </c>
      <c r="E43" t="s">
        <v>26</v>
      </c>
      <c r="H43" s="16" t="s">
        <v>134</v>
      </c>
      <c r="I43" s="44">
        <v>75</v>
      </c>
      <c r="J43" s="30"/>
      <c r="L43">
        <f>GETPIVOTDATA("ID",$K$35,"CONHECE APP ABASTECE AI?","Conheço e sempre utilizo")</f>
        <v>84</v>
      </c>
      <c r="M43">
        <f>GETPIVOTDATA("ID",$K$35,"CONHECE APP ABASTECE AI?","Conheço mas não utilizo")</f>
        <v>74</v>
      </c>
      <c r="N43">
        <f>GETPIVOTDATA("ID",$K$35,"CONHECE APP ABASTECE AI?","Não conheço")</f>
        <v>93</v>
      </c>
      <c r="O43">
        <f>GETPIVOTDATA("ID",$K$35)</f>
        <v>251</v>
      </c>
      <c r="U43">
        <f>GETPIVOTDATA("ID",$T$35,"CONHECE APP ABASTECE AI?","Conheço e sempre utilizo")</f>
        <v>84</v>
      </c>
      <c r="V43">
        <f>GETPIVOTDATA("ID",$T$35,"CONHECE APP ABASTECE AI?","Conheço mas não utilizo")</f>
        <v>74</v>
      </c>
      <c r="W43">
        <f>GETPIVOTDATA("ID",$T$35,"CONHECE APP ABASTECE AI?","Não conheço")</f>
        <v>93</v>
      </c>
      <c r="X43">
        <f>GETPIVOTDATA("ID",$T$35)</f>
        <v>251</v>
      </c>
    </row>
    <row r="44" spans="1:26" x14ac:dyDescent="0.3">
      <c r="A44" s="16" t="s">
        <v>124</v>
      </c>
      <c r="B44" s="44">
        <v>1</v>
      </c>
      <c r="C44" s="44"/>
      <c r="D44" s="44"/>
      <c r="E44" s="44"/>
      <c r="H44" s="16" t="s">
        <v>35</v>
      </c>
      <c r="I44" s="44">
        <v>72</v>
      </c>
      <c r="J44" s="30"/>
      <c r="K44" s="16" t="s">
        <v>101</v>
      </c>
      <c r="L44" s="39">
        <f>L43/O43</f>
        <v>0.33466135458167329</v>
      </c>
      <c r="M44" s="39">
        <f>M43/O43</f>
        <v>0.29482071713147412</v>
      </c>
      <c r="N44" s="39">
        <f>N43/O43</f>
        <v>0.37051792828685259</v>
      </c>
      <c r="O44">
        <f>O43</f>
        <v>251</v>
      </c>
      <c r="T44" s="16" t="s">
        <v>101</v>
      </c>
      <c r="U44" s="39">
        <f>U43/X43</f>
        <v>0.33466135458167329</v>
      </c>
      <c r="V44" s="39">
        <f>V43/X43</f>
        <v>0.29482071713147412</v>
      </c>
      <c r="W44" s="39">
        <f>W43/X43</f>
        <v>0.37051792828685259</v>
      </c>
      <c r="X44">
        <f>X43</f>
        <v>251</v>
      </c>
    </row>
    <row r="45" spans="1:26" ht="15" thickBot="1" x14ac:dyDescent="0.35">
      <c r="A45" s="16" t="s">
        <v>122</v>
      </c>
      <c r="B45" s="44"/>
      <c r="C45" s="44">
        <v>1</v>
      </c>
      <c r="D45" s="44">
        <v>1</v>
      </c>
      <c r="E45" s="44"/>
      <c r="J45" s="30"/>
      <c r="K45" s="16" t="s">
        <v>539</v>
      </c>
      <c r="L45" s="39">
        <f>IFERROR(L44,"0%")</f>
        <v>0.33466135458167329</v>
      </c>
      <c r="M45" s="39">
        <f t="shared" ref="M45:N45" si="5">IFERROR(M44,"0%")</f>
        <v>0.29482071713147412</v>
      </c>
      <c r="N45" s="39">
        <f t="shared" si="5"/>
        <v>0.37051792828685259</v>
      </c>
      <c r="O45">
        <f>IFERROR(O44,"0")</f>
        <v>251</v>
      </c>
      <c r="T45" s="16" t="s">
        <v>539</v>
      </c>
      <c r="U45" s="39">
        <f>IFERROR(U44,"0%")</f>
        <v>0.33466135458167329</v>
      </c>
      <c r="V45" s="39">
        <f t="shared" ref="V45:W45" si="6">IFERROR(V44,"0%")</f>
        <v>0.29482071713147412</v>
      </c>
      <c r="W45" s="39">
        <f t="shared" si="6"/>
        <v>0.37051792828685259</v>
      </c>
      <c r="X45">
        <f>IFERROR(X44,"0")</f>
        <v>251</v>
      </c>
    </row>
    <row r="46" spans="1:26" s="29" customFormat="1" ht="15" thickBot="1" x14ac:dyDescent="0.35">
      <c r="A46" s="16" t="s">
        <v>128</v>
      </c>
      <c r="B46" s="44">
        <v>2</v>
      </c>
      <c r="C46" s="44">
        <v>2</v>
      </c>
      <c r="D46" s="44">
        <v>3</v>
      </c>
      <c r="E46" s="44">
        <v>4</v>
      </c>
      <c r="F46"/>
      <c r="G46" s="30"/>
      <c r="H46" s="28"/>
    </row>
    <row r="47" spans="1:26" x14ac:dyDescent="0.3">
      <c r="A47" s="16" t="s">
        <v>123</v>
      </c>
      <c r="B47" s="44"/>
      <c r="C47" s="44"/>
      <c r="D47" s="44">
        <v>1</v>
      </c>
      <c r="E47" s="44"/>
      <c r="H47" s="31" t="s">
        <v>537</v>
      </c>
      <c r="I47" t="s">
        <v>534</v>
      </c>
    </row>
    <row r="48" spans="1:26" x14ac:dyDescent="0.3">
      <c r="A48" s="16" t="s">
        <v>82</v>
      </c>
      <c r="B48" s="44"/>
      <c r="C48" s="44"/>
      <c r="D48" s="44">
        <v>1</v>
      </c>
      <c r="E48" s="44">
        <v>1</v>
      </c>
      <c r="H48" s="16">
        <v>1</v>
      </c>
      <c r="I48" s="44">
        <v>46</v>
      </c>
      <c r="J48" t="s">
        <v>542</v>
      </c>
      <c r="K48">
        <f>GETPIVOTDATA("ID",$H$47,"Por fim você recomendaria um aplicativo de descontos para abastecimento e serviços em postos de combustível para para amigos e familiares? ",1)</f>
        <v>46</v>
      </c>
      <c r="L48">
        <f>IFERROR(K48,"")</f>
        <v>46</v>
      </c>
      <c r="M48" s="34">
        <f>L48/L53</f>
        <v>0.18326693227091634</v>
      </c>
    </row>
    <row r="49" spans="1:13" x14ac:dyDescent="0.3">
      <c r="A49" s="16" t="s">
        <v>126</v>
      </c>
      <c r="B49" s="44">
        <v>1</v>
      </c>
      <c r="C49" s="44"/>
      <c r="D49" s="44">
        <v>1</v>
      </c>
      <c r="E49" s="44">
        <v>1</v>
      </c>
      <c r="H49" s="16">
        <v>2</v>
      </c>
      <c r="I49" s="44">
        <v>37</v>
      </c>
      <c r="J49" t="s">
        <v>546</v>
      </c>
      <c r="K49">
        <f>GETPIVOTDATA("ID",$H$47,"Por fim você recomendaria um aplicativo de descontos para abastecimento e serviços em postos de combustível para para amigos e familiares? ",2)</f>
        <v>37</v>
      </c>
      <c r="L49">
        <f t="shared" ref="L49:L52" si="7">IFERROR(K49,"")</f>
        <v>37</v>
      </c>
      <c r="M49" s="34">
        <f>L49/L53</f>
        <v>0.14741035856573706</v>
      </c>
    </row>
    <row r="50" spans="1:13" x14ac:dyDescent="0.3">
      <c r="A50" s="16" t="s">
        <v>127</v>
      </c>
      <c r="B50" s="44">
        <v>1</v>
      </c>
      <c r="C50" s="44">
        <v>1</v>
      </c>
      <c r="D50" s="44">
        <v>1</v>
      </c>
      <c r="E50" s="44">
        <v>7</v>
      </c>
      <c r="H50" s="16">
        <v>3</v>
      </c>
      <c r="I50" s="44">
        <v>49</v>
      </c>
      <c r="J50" t="s">
        <v>543</v>
      </c>
      <c r="K50">
        <f>GETPIVOTDATA("ID",$H$47,"Por fim você recomendaria um aplicativo de descontos para abastecimento e serviços em postos de combustível para para amigos e familiares? ",3)</f>
        <v>49</v>
      </c>
      <c r="L50">
        <f t="shared" si="7"/>
        <v>49</v>
      </c>
      <c r="M50" s="34">
        <f>L50/L53</f>
        <v>0.19521912350597609</v>
      </c>
    </row>
    <row r="51" spans="1:13" x14ac:dyDescent="0.3">
      <c r="H51" s="16">
        <v>4</v>
      </c>
      <c r="I51" s="44">
        <v>58</v>
      </c>
      <c r="J51" t="s">
        <v>545</v>
      </c>
      <c r="K51">
        <f>GETPIVOTDATA("ID",$H$47,"Por fim você recomendaria um aplicativo de descontos para abastecimento e serviços em postos de combustível para para amigos e familiares? ",4)</f>
        <v>58</v>
      </c>
      <c r="L51">
        <f t="shared" si="7"/>
        <v>58</v>
      </c>
      <c r="M51" s="34">
        <f>L51/L53</f>
        <v>0.23107569721115537</v>
      </c>
    </row>
    <row r="52" spans="1:13" x14ac:dyDescent="0.3">
      <c r="H52" s="16">
        <v>5</v>
      </c>
      <c r="I52" s="44">
        <v>61</v>
      </c>
      <c r="J52" t="s">
        <v>544</v>
      </c>
      <c r="K52">
        <f>GETPIVOTDATA("ID",$H$47,"Por fim você recomendaria um aplicativo de descontos para abastecimento e serviços em postos de combustível para para amigos e familiares? ",5)</f>
        <v>61</v>
      </c>
      <c r="L52">
        <f t="shared" si="7"/>
        <v>61</v>
      </c>
      <c r="M52" s="34">
        <f>L52/L53</f>
        <v>0.24302788844621515</v>
      </c>
    </row>
    <row r="53" spans="1:13" x14ac:dyDescent="0.3">
      <c r="L53">
        <f>SUM(L48:L52)</f>
        <v>251</v>
      </c>
    </row>
    <row r="59" spans="1:13" ht="15" thickBot="1" x14ac:dyDescent="0.35"/>
    <row r="60" spans="1:13" s="29" customFormat="1" ht="15" thickBot="1" x14ac:dyDescent="0.35">
      <c r="A60" s="28"/>
      <c r="G60" s="30"/>
      <c r="H60" s="28"/>
    </row>
    <row r="65" spans="1:6" x14ac:dyDescent="0.3">
      <c r="A65" s="32" t="s">
        <v>524</v>
      </c>
      <c r="B65" s="27" t="str">
        <f>B76</f>
        <v>Centro-Oeste</v>
      </c>
      <c r="C65" s="27" t="str">
        <f>C76</f>
        <v>Nordeste</v>
      </c>
      <c r="D65" s="27" t="str">
        <f>D76</f>
        <v>Norte</v>
      </c>
      <c r="E65" s="27" t="str">
        <f>E76</f>
        <v>Sudeste</v>
      </c>
      <c r="F65" s="27" t="str">
        <f>F76</f>
        <v>Sul</v>
      </c>
    </row>
    <row r="66" spans="1:6" x14ac:dyDescent="0.3">
      <c r="A66" t="s">
        <v>124</v>
      </c>
      <c r="B66" s="16">
        <v>1</v>
      </c>
      <c r="C66">
        <f ca="1">SUMIF(A77:A160,A66,C77:C158)</f>
        <v>2</v>
      </c>
      <c r="D66">
        <v>4</v>
      </c>
      <c r="E66">
        <f>SUMIF(A77:A160,A66,E77:E160)</f>
        <v>9</v>
      </c>
      <c r="F66">
        <f ca="1">SUMIF(A77:A160,A66,F77:F116)</f>
        <v>0</v>
      </c>
    </row>
    <row r="67" spans="1:6" x14ac:dyDescent="0.3">
      <c r="A67" t="s">
        <v>122</v>
      </c>
      <c r="B67" s="16">
        <f t="shared" ref="B67:B73" si="8">SUMIF(A78:A161,A67,B78:B161)</f>
        <v>9</v>
      </c>
      <c r="C67">
        <v>11</v>
      </c>
      <c r="D67">
        <v>9</v>
      </c>
      <c r="E67">
        <f t="shared" ref="E67:E73" si="9">SUMIF(A78:A161,A67,E78:E161)</f>
        <v>22</v>
      </c>
      <c r="F67">
        <f t="shared" ref="F67:F73" ca="1" si="10">SUMIF(A78:A161,A67,F78:F117)</f>
        <v>0</v>
      </c>
    </row>
    <row r="68" spans="1:6" x14ac:dyDescent="0.3">
      <c r="A68" t="s">
        <v>80</v>
      </c>
      <c r="B68" s="16">
        <f t="shared" si="8"/>
        <v>2</v>
      </c>
      <c r="C68">
        <v>3</v>
      </c>
      <c r="D68">
        <v>3</v>
      </c>
      <c r="E68">
        <f t="shared" si="9"/>
        <v>20</v>
      </c>
      <c r="F68">
        <f t="shared" ca="1" si="10"/>
        <v>1</v>
      </c>
    </row>
    <row r="69" spans="1:6" x14ac:dyDescent="0.3">
      <c r="A69" t="s">
        <v>123</v>
      </c>
      <c r="B69" s="16">
        <f t="shared" si="8"/>
        <v>5</v>
      </c>
      <c r="C69">
        <v>5</v>
      </c>
      <c r="D69">
        <v>8</v>
      </c>
      <c r="E69">
        <f t="shared" si="9"/>
        <v>10</v>
      </c>
      <c r="F69">
        <f t="shared" ca="1" si="10"/>
        <v>2</v>
      </c>
    </row>
    <row r="70" spans="1:6" x14ac:dyDescent="0.3">
      <c r="A70" t="s">
        <v>82</v>
      </c>
      <c r="B70" s="16">
        <f t="shared" si="8"/>
        <v>2</v>
      </c>
      <c r="C70">
        <v>2</v>
      </c>
      <c r="D70">
        <v>1</v>
      </c>
      <c r="E70">
        <f t="shared" si="9"/>
        <v>2</v>
      </c>
      <c r="F70">
        <f t="shared" ca="1" si="10"/>
        <v>0</v>
      </c>
    </row>
    <row r="71" spans="1:6" x14ac:dyDescent="0.3">
      <c r="A71" t="s">
        <v>126</v>
      </c>
      <c r="B71" s="16">
        <v>6</v>
      </c>
      <c r="C71">
        <v>0</v>
      </c>
      <c r="D71">
        <v>4</v>
      </c>
      <c r="E71">
        <v>13</v>
      </c>
      <c r="F71">
        <f t="shared" ca="1" si="10"/>
        <v>0</v>
      </c>
    </row>
    <row r="72" spans="1:6" x14ac:dyDescent="0.3">
      <c r="A72" t="s">
        <v>127</v>
      </c>
      <c r="B72" s="16">
        <v>3</v>
      </c>
      <c r="C72">
        <v>5</v>
      </c>
      <c r="D72">
        <v>5</v>
      </c>
      <c r="E72">
        <v>9</v>
      </c>
      <c r="F72">
        <f t="shared" ca="1" si="10"/>
        <v>0</v>
      </c>
    </row>
    <row r="73" spans="1:6" x14ac:dyDescent="0.3">
      <c r="A73" t="s">
        <v>81</v>
      </c>
      <c r="B73" s="16">
        <v>22</v>
      </c>
      <c r="C73">
        <v>19</v>
      </c>
      <c r="D73">
        <v>23</v>
      </c>
      <c r="E73">
        <v>58</v>
      </c>
      <c r="F73">
        <f t="shared" ca="1" si="10"/>
        <v>0</v>
      </c>
    </row>
    <row r="75" spans="1:6" x14ac:dyDescent="0.3">
      <c r="A75" s="15" t="s">
        <v>526</v>
      </c>
      <c r="B75" s="15" t="s">
        <v>540</v>
      </c>
    </row>
    <row r="76" spans="1:6" x14ac:dyDescent="0.3">
      <c r="A76" s="15" t="s">
        <v>514</v>
      </c>
      <c r="B76" t="s">
        <v>104</v>
      </c>
      <c r="C76" t="s">
        <v>102</v>
      </c>
      <c r="D76" t="s">
        <v>129</v>
      </c>
      <c r="E76" t="s">
        <v>26</v>
      </c>
      <c r="F76" t="s">
        <v>103</v>
      </c>
    </row>
    <row r="77" spans="1:6" x14ac:dyDescent="0.3">
      <c r="A77" s="16" t="s">
        <v>124</v>
      </c>
      <c r="B77" s="44">
        <v>1</v>
      </c>
      <c r="C77" s="44">
        <v>2</v>
      </c>
      <c r="D77" s="44">
        <v>3</v>
      </c>
      <c r="E77" s="44">
        <v>9</v>
      </c>
      <c r="F77" s="44"/>
    </row>
    <row r="78" spans="1:6" x14ac:dyDescent="0.3">
      <c r="A78" s="16" t="s">
        <v>122</v>
      </c>
      <c r="B78" s="44">
        <v>9</v>
      </c>
      <c r="C78" s="44">
        <v>11</v>
      </c>
      <c r="D78" s="44">
        <v>6</v>
      </c>
      <c r="E78" s="44">
        <v>22</v>
      </c>
      <c r="F78" s="44"/>
    </row>
    <row r="79" spans="1:6" x14ac:dyDescent="0.3">
      <c r="A79" s="16" t="s">
        <v>80</v>
      </c>
      <c r="B79" s="44">
        <v>2</v>
      </c>
      <c r="C79" s="44">
        <v>3</v>
      </c>
      <c r="D79" s="44">
        <v>3</v>
      </c>
      <c r="E79" s="44">
        <v>20</v>
      </c>
      <c r="F79" s="44">
        <v>1</v>
      </c>
    </row>
    <row r="80" spans="1:6" x14ac:dyDescent="0.3">
      <c r="A80" s="16" t="s">
        <v>123</v>
      </c>
      <c r="B80" s="44">
        <v>5</v>
      </c>
      <c r="C80" s="44">
        <v>5</v>
      </c>
      <c r="D80" s="44">
        <v>7</v>
      </c>
      <c r="E80" s="44">
        <v>10</v>
      </c>
      <c r="F80" s="44">
        <v>2</v>
      </c>
    </row>
    <row r="81" spans="1:6" x14ac:dyDescent="0.3">
      <c r="A81" s="16" t="s">
        <v>82</v>
      </c>
      <c r="B81" s="44">
        <v>2</v>
      </c>
      <c r="C81" s="44">
        <v>2</v>
      </c>
      <c r="D81" s="44"/>
      <c r="E81" s="44">
        <v>1</v>
      </c>
      <c r="F81" s="44"/>
    </row>
    <row r="82" spans="1:6" x14ac:dyDescent="0.3">
      <c r="A82" s="16" t="s">
        <v>125</v>
      </c>
      <c r="B82" s="44"/>
      <c r="C82" s="44">
        <v>1</v>
      </c>
      <c r="D82" s="44"/>
      <c r="E82" s="44">
        <v>3</v>
      </c>
      <c r="F82" s="44"/>
    </row>
    <row r="83" spans="1:6" x14ac:dyDescent="0.3">
      <c r="A83" s="16" t="s">
        <v>126</v>
      </c>
      <c r="B83" s="44">
        <v>1</v>
      </c>
      <c r="C83" s="44"/>
      <c r="D83" s="44"/>
      <c r="E83" s="44">
        <v>2</v>
      </c>
      <c r="F83" s="44"/>
    </row>
    <row r="84" spans="1:6" x14ac:dyDescent="0.3">
      <c r="A84" s="16" t="s">
        <v>127</v>
      </c>
      <c r="B84" s="44">
        <v>1</v>
      </c>
      <c r="C84" s="44"/>
      <c r="D84" s="44"/>
      <c r="E84" s="44"/>
      <c r="F84" s="44"/>
    </row>
    <row r="85" spans="1:6" x14ac:dyDescent="0.3">
      <c r="A85" s="16" t="s">
        <v>81</v>
      </c>
      <c r="B85" s="44">
        <v>21</v>
      </c>
      <c r="C85" s="44">
        <v>18</v>
      </c>
      <c r="D85" s="44">
        <v>22</v>
      </c>
      <c r="E85" s="44">
        <v>56</v>
      </c>
      <c r="F85" s="44"/>
    </row>
    <row r="87" spans="1:6" x14ac:dyDescent="0.3">
      <c r="A87" s="15" t="s">
        <v>523</v>
      </c>
      <c r="B87" s="15" t="s">
        <v>541</v>
      </c>
    </row>
    <row r="88" spans="1:6" x14ac:dyDescent="0.3">
      <c r="A88" s="15" t="s">
        <v>514</v>
      </c>
      <c r="B88" t="s">
        <v>104</v>
      </c>
      <c r="C88" t="s">
        <v>102</v>
      </c>
      <c r="D88" t="s">
        <v>129</v>
      </c>
      <c r="E88" t="s">
        <v>26</v>
      </c>
    </row>
    <row r="89" spans="1:6" x14ac:dyDescent="0.3">
      <c r="A89" s="16" t="s">
        <v>124</v>
      </c>
      <c r="B89" s="44">
        <v>1</v>
      </c>
      <c r="C89" s="44"/>
      <c r="D89" s="44"/>
      <c r="E89" s="44"/>
    </row>
    <row r="90" spans="1:6" x14ac:dyDescent="0.3">
      <c r="A90" s="16" t="s">
        <v>122</v>
      </c>
      <c r="B90" s="44"/>
      <c r="C90" s="44">
        <v>1</v>
      </c>
      <c r="D90" s="44">
        <v>1</v>
      </c>
      <c r="E90" s="44"/>
    </row>
    <row r="91" spans="1:6" x14ac:dyDescent="0.3">
      <c r="A91" s="16" t="s">
        <v>128</v>
      </c>
      <c r="B91" s="44">
        <v>2</v>
      </c>
      <c r="C91" s="44">
        <v>2</v>
      </c>
      <c r="D91" s="44">
        <v>3</v>
      </c>
      <c r="E91" s="44">
        <v>4</v>
      </c>
    </row>
    <row r="92" spans="1:6" x14ac:dyDescent="0.3">
      <c r="A92" s="16" t="s">
        <v>123</v>
      </c>
      <c r="B92" s="44"/>
      <c r="C92" s="44"/>
      <c r="D92" s="44">
        <v>1</v>
      </c>
      <c r="E92" s="44"/>
    </row>
    <row r="93" spans="1:6" x14ac:dyDescent="0.3">
      <c r="A93" s="16" t="s">
        <v>82</v>
      </c>
      <c r="B93" s="44"/>
      <c r="C93" s="44"/>
      <c r="D93" s="44">
        <v>1</v>
      </c>
      <c r="E93" s="44">
        <v>1</v>
      </c>
    </row>
    <row r="94" spans="1:6" x14ac:dyDescent="0.3">
      <c r="A94" s="16" t="s">
        <v>126</v>
      </c>
      <c r="B94" s="44">
        <v>1</v>
      </c>
      <c r="C94" s="44"/>
      <c r="D94" s="44">
        <v>1</v>
      </c>
      <c r="E94" s="44">
        <v>1</v>
      </c>
    </row>
    <row r="95" spans="1:6" x14ac:dyDescent="0.3">
      <c r="A95" s="16" t="s">
        <v>127</v>
      </c>
      <c r="B95" s="44">
        <v>1</v>
      </c>
      <c r="C95" s="44">
        <v>1</v>
      </c>
      <c r="D95" s="44">
        <v>1</v>
      </c>
      <c r="E95" s="44">
        <v>7</v>
      </c>
    </row>
    <row r="97" spans="1:5" x14ac:dyDescent="0.3">
      <c r="A97" s="15" t="s">
        <v>523</v>
      </c>
      <c r="B97" s="15" t="s">
        <v>515</v>
      </c>
    </row>
    <row r="98" spans="1:5" x14ac:dyDescent="0.3">
      <c r="A98" s="15" t="s">
        <v>514</v>
      </c>
      <c r="B98" t="s">
        <v>104</v>
      </c>
      <c r="C98" t="s">
        <v>102</v>
      </c>
      <c r="D98" t="s">
        <v>129</v>
      </c>
      <c r="E98" t="s">
        <v>26</v>
      </c>
    </row>
    <row r="99" spans="1:5" x14ac:dyDescent="0.3">
      <c r="A99" s="16" t="s">
        <v>128</v>
      </c>
      <c r="B99" s="44">
        <v>2</v>
      </c>
      <c r="C99" s="44"/>
      <c r="D99" s="44"/>
      <c r="E99" s="44">
        <v>3</v>
      </c>
    </row>
    <row r="100" spans="1:5" x14ac:dyDescent="0.3">
      <c r="A100" s="16" t="s">
        <v>123</v>
      </c>
      <c r="B100" s="44"/>
      <c r="C100" s="44">
        <v>1</v>
      </c>
      <c r="D100" s="44">
        <v>1</v>
      </c>
      <c r="E100" s="44"/>
    </row>
    <row r="101" spans="1:5" x14ac:dyDescent="0.3">
      <c r="A101" s="16" t="s">
        <v>82</v>
      </c>
      <c r="B101" s="44"/>
      <c r="C101" s="44"/>
      <c r="D101" s="44">
        <v>1</v>
      </c>
      <c r="E101" s="44"/>
    </row>
    <row r="102" spans="1:5" x14ac:dyDescent="0.3">
      <c r="A102" s="16" t="s">
        <v>125</v>
      </c>
      <c r="B102" s="44"/>
      <c r="C102" s="44"/>
      <c r="D102" s="44">
        <v>1</v>
      </c>
      <c r="E102" s="44"/>
    </row>
    <row r="103" spans="1:5" x14ac:dyDescent="0.3">
      <c r="A103" s="16" t="s">
        <v>127</v>
      </c>
      <c r="B103" s="44"/>
      <c r="C103" s="44">
        <v>1</v>
      </c>
      <c r="D103" s="44">
        <v>1</v>
      </c>
      <c r="E103" s="44">
        <v>1</v>
      </c>
    </row>
  </sheetData>
  <pageMargins left="0.511811024" right="0.511811024" top="0.78740157499999996" bottom="0.78740157499999996" header="0.31496062000000002" footer="0.31496062000000002"/>
  <drawing r:id="rId19"/>
  <extLst>
    <ext xmlns:x14="http://schemas.microsoft.com/office/spreadsheetml/2009/9/main" uri="{A8765BA9-456A-4dab-B4F3-ACF838C121DE}">
      <x14:slicerList>
        <x14:slicer r:id="rId20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670B1-68F5-4593-A170-DA4B4AD3EDBC}">
  <sheetPr codeName="Planilha5"/>
  <dimension ref="A1:Y45"/>
  <sheetViews>
    <sheetView showGridLines="0" showRowColHeaders="0" topLeftCell="A4" zoomScaleNormal="100" workbookViewId="0">
      <selection activeCell="Y32" sqref="Y32"/>
    </sheetView>
  </sheetViews>
  <sheetFormatPr defaultRowHeight="14.4" x14ac:dyDescent="0.3"/>
  <sheetData>
    <row r="1" spans="1:25" x14ac:dyDescent="0.3">
      <c r="A1" t="s">
        <v>100</v>
      </c>
    </row>
    <row r="14" spans="1:25" x14ac:dyDescent="0.3">
      <c r="Y14" s="45"/>
    </row>
    <row r="31" spans="25:25" ht="15" x14ac:dyDescent="0.35">
      <c r="Y31" s="38"/>
    </row>
    <row r="32" spans="25:25" x14ac:dyDescent="0.3">
      <c r="Y32" s="46"/>
    </row>
    <row r="42" spans="20:22" x14ac:dyDescent="0.3">
      <c r="T42" s="41"/>
      <c r="U42" s="41"/>
      <c r="V42" s="41"/>
    </row>
    <row r="45" spans="20:22" x14ac:dyDescent="0.3">
      <c r="U45" s="42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BA249-300B-4363-BF0A-0EFF2491588A}">
  <sheetPr codeName="Planilha7"/>
  <dimension ref="Y31"/>
  <sheetViews>
    <sheetView showGridLines="0" showRowColHeaders="0" topLeftCell="A13" zoomScaleNormal="100" workbookViewId="0"/>
  </sheetViews>
  <sheetFormatPr defaultRowHeight="14.4" x14ac:dyDescent="0.3"/>
  <sheetData>
    <row r="31" spans="25:25" ht="15" x14ac:dyDescent="0.35">
      <c r="Y31" s="38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E8707-4796-4EA9-AD1F-2957E01FB5C6}">
  <sheetPr codeName="Planilha9"/>
  <dimension ref="Y31"/>
  <sheetViews>
    <sheetView tabSelected="1" zoomScale="70" zoomScaleNormal="70" workbookViewId="0"/>
  </sheetViews>
  <sheetFormatPr defaultRowHeight="14.4" x14ac:dyDescent="0.3"/>
  <sheetData>
    <row r="31" spans="25:25" ht="15" x14ac:dyDescent="0.35">
      <c r="Y31" s="38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9E314-5E01-4F13-A100-7582CE96E066}">
  <sheetPr codeName="Planilha8"/>
  <dimension ref="A1:Y31"/>
  <sheetViews>
    <sheetView topLeftCell="A7" zoomScaleNormal="100" workbookViewId="0">
      <selection activeCell="T42" sqref="T42:V42"/>
    </sheetView>
  </sheetViews>
  <sheetFormatPr defaultRowHeight="14.4" x14ac:dyDescent="0.3"/>
  <sheetData>
    <row r="1" spans="1:1" x14ac:dyDescent="0.3">
      <c r="A1" t="s">
        <v>100</v>
      </c>
    </row>
    <row r="31" spans="25:25" ht="15" x14ac:dyDescent="0.35">
      <c r="Y31" s="38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Planilha1</vt:lpstr>
      <vt:lpstr>Planilha2</vt:lpstr>
      <vt:lpstr>Sheet1</vt:lpstr>
      <vt:lpstr>Base de Dados</vt:lpstr>
      <vt:lpstr>Planilha9</vt:lpstr>
      <vt:lpstr>Base de dados G4</vt:lpstr>
      <vt:lpstr>Tabela Dinânima</vt:lpstr>
      <vt:lpstr>Dashboard IPIRANGA</vt:lpstr>
      <vt:lpstr>Abastecimento</vt:lpstr>
      <vt:lpstr>Recomendação</vt:lpstr>
      <vt:lpstr>Visual 2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Sansao Cunha Santos</dc:creator>
  <cp:lastModifiedBy>Sansao Cunha Santos</cp:lastModifiedBy>
  <dcterms:created xsi:type="dcterms:W3CDTF">2023-05-18T12:47:03Z</dcterms:created>
  <dcterms:modified xsi:type="dcterms:W3CDTF">2023-05-22T20:54:20Z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qinzen@microsoft.com</vt:lpwstr>
  </property>
  <property fmtid="{D5CDD505-2E9C-101B-9397-08002B2CF9AE}" pid="5" name="MSIP_Label_f42aa342-8706-4288-bd11-ebb85995028c_SetDate">
    <vt:lpwstr>2018-05-23T11:41:12.6969027Z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