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bfcd83e8a1b8a1/Documents/1m. UWA Data Analytics bootcamp/1. Bootcamp spot/Module 1_Excel/"/>
    </mc:Choice>
  </mc:AlternateContent>
  <xr:revisionPtr revIDLastSave="1102" documentId="8_{F72712C9-4B80-44FD-8165-D12CC734109C}" xr6:coauthVersionLast="47" xr6:coauthVersionMax="47" xr10:uidLastSave="{C3061B29-660A-4A22-8702-28664889D6A9}"/>
  <bookViews>
    <workbookView xWindow="28680" yWindow="-120" windowWidth="29040" windowHeight="15720" xr2:uid="{00000000-000D-0000-FFFF-FFFF00000000}"/>
  </bookViews>
  <sheets>
    <sheet name="Crowdfunding" sheetId="1" r:id="rId1"/>
    <sheet name="Sheet1" sheetId="3" r:id="rId2"/>
    <sheet name="Sheet2" sheetId="4" r:id="rId3"/>
    <sheet name="Sheet3" sheetId="6" r:id="rId4"/>
    <sheet name="written reports" sheetId="7" r:id="rId5"/>
    <sheet name="bonus" sheetId="8" r:id="rId6"/>
    <sheet name="statistical analysis" sheetId="10" r:id="rId7"/>
  </sheets>
  <definedNames>
    <definedName name="_xlnm._FilterDatabase" localSheetId="0" hidden="1">Crowdfunding!$A$1:$T$1001</definedName>
    <definedName name="_xlchart.v1.0" hidden="1">'statistical analysis'!$R$11</definedName>
    <definedName name="_xlchart.v1.1" hidden="1">'statistical analysis'!$R$12:$R$375</definedName>
    <definedName name="_xlchart.v1.2" hidden="1">'statistical analysis'!$P$16</definedName>
    <definedName name="_xlchart.v1.3" hidden="1">'statistical analysis'!$P$17:$P$581</definedName>
    <definedName name="_xlchart.v1.4" hidden="1">'statistical analysis'!$S$16</definedName>
    <definedName name="_xlchart.v1.5" hidden="1">'statistical analysis'!$S$17:$S$380</definedName>
    <definedName name="_xlcn.WorksheetConnection_CrowdfundingAT1" hidden="1">Crowdfunding!$A:$T</definedName>
  </definedNames>
  <calcPr calcId="191029"/>
  <pivotCaches>
    <pivotCache cacheId="31" r:id="rId8"/>
    <pivotCache cacheId="89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09" i="10" l="1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110" i="10"/>
  <c r="Y111" i="10"/>
  <c r="Y190" i="10"/>
  <c r="Y112" i="10"/>
  <c r="Y113" i="10"/>
  <c r="Y114" i="10"/>
  <c r="Y115" i="10"/>
  <c r="Y53" i="10"/>
  <c r="Y54" i="10"/>
  <c r="Y55" i="10"/>
  <c r="Y56" i="10"/>
  <c r="Y116" i="10"/>
  <c r="Y117" i="10"/>
  <c r="Y118" i="10"/>
  <c r="Y119" i="10"/>
  <c r="Y120" i="10"/>
  <c r="Y121" i="10"/>
  <c r="Y42" i="10"/>
  <c r="Y43" i="10"/>
  <c r="Y44" i="10"/>
  <c r="Y45" i="10"/>
  <c r="Y46" i="10"/>
  <c r="Y47" i="10"/>
  <c r="Y57" i="10"/>
  <c r="Y58" i="10"/>
  <c r="Y59" i="10"/>
  <c r="Y60" i="10"/>
  <c r="Y69" i="10"/>
  <c r="Y70" i="10"/>
  <c r="Y71" i="10"/>
  <c r="Y122" i="10"/>
  <c r="Y123" i="10"/>
  <c r="Y72" i="10"/>
  <c r="Y73" i="10"/>
  <c r="Y74" i="10"/>
  <c r="Y75" i="10"/>
  <c r="Y76" i="10"/>
  <c r="Y77" i="10"/>
  <c r="Y191" i="10"/>
  <c r="Y192" i="10"/>
  <c r="Y78" i="10"/>
  <c r="Y79" i="10"/>
  <c r="Y80" i="10"/>
  <c r="Y124" i="10"/>
  <c r="Y125" i="10"/>
  <c r="Y81" i="10"/>
  <c r="Y82" i="10"/>
  <c r="Y83" i="10"/>
  <c r="Y126" i="10"/>
  <c r="Y127" i="10"/>
  <c r="Y193" i="10"/>
  <c r="Y128" i="10"/>
  <c r="Y129" i="10"/>
  <c r="Y48" i="10"/>
  <c r="Y49" i="10"/>
  <c r="Y50" i="10"/>
  <c r="Y51" i="10"/>
  <c r="Y52" i="10"/>
  <c r="Y130" i="10"/>
  <c r="Y131" i="10"/>
  <c r="Y84" i="10"/>
  <c r="Y85" i="10"/>
  <c r="Y86" i="10"/>
  <c r="Y194" i="10"/>
  <c r="Y87" i="10"/>
  <c r="Y88" i="10"/>
  <c r="Y89" i="10"/>
  <c r="Y195" i="10"/>
  <c r="Y90" i="10"/>
  <c r="Y91" i="10"/>
  <c r="Y92" i="10"/>
  <c r="Y93" i="10"/>
  <c r="Y94" i="10"/>
  <c r="Y95" i="10"/>
  <c r="Y196" i="10"/>
  <c r="Y96" i="10"/>
  <c r="Y97" i="10"/>
  <c r="Y98" i="10"/>
  <c r="Y132" i="10"/>
  <c r="Y133" i="10"/>
  <c r="Y197" i="10"/>
  <c r="Y134" i="10"/>
  <c r="Y135" i="10"/>
  <c r="Y198" i="10"/>
  <c r="Y199" i="10"/>
  <c r="Y200" i="10"/>
  <c r="Y201" i="10"/>
  <c r="Y136" i="10"/>
  <c r="Y137" i="10"/>
  <c r="Y202" i="10"/>
  <c r="Y203" i="10"/>
  <c r="Y204" i="10"/>
  <c r="Y138" i="10"/>
  <c r="Y139" i="10"/>
  <c r="Y140" i="10"/>
  <c r="Y141" i="10"/>
  <c r="Y142" i="10"/>
  <c r="Y143" i="10"/>
  <c r="Y205" i="10"/>
  <c r="Y206" i="10"/>
  <c r="Y144" i="10"/>
  <c r="Y145" i="10"/>
  <c r="Y146" i="10"/>
  <c r="Y147" i="10"/>
  <c r="Y61" i="10"/>
  <c r="Y62" i="10"/>
  <c r="Y63" i="10"/>
  <c r="Y64" i="10"/>
  <c r="Y148" i="10"/>
  <c r="Y149" i="10"/>
  <c r="Y35" i="10"/>
  <c r="Y36" i="10"/>
  <c r="Y37" i="10"/>
  <c r="Y38" i="10"/>
  <c r="Y39" i="10"/>
  <c r="Y40" i="10"/>
  <c r="Y41" i="10"/>
  <c r="Y207" i="10"/>
  <c r="Y208" i="10"/>
  <c r="Y150" i="10"/>
  <c r="Y151" i="10"/>
  <c r="Y65" i="10"/>
  <c r="Y66" i="10"/>
  <c r="Y67" i="10"/>
  <c r="Y68" i="10"/>
  <c r="Y209" i="10"/>
  <c r="Y99" i="10"/>
  <c r="Y100" i="10"/>
  <c r="Y101" i="10"/>
  <c r="Y152" i="10"/>
  <c r="Y153" i="10"/>
  <c r="Y210" i="10"/>
  <c r="Y154" i="10"/>
  <c r="Y155" i="10"/>
  <c r="Y211" i="10"/>
  <c r="Y156" i="10"/>
  <c r="Y157" i="10"/>
  <c r="Y212" i="10"/>
  <c r="Y102" i="10"/>
  <c r="Y103" i="10"/>
  <c r="Y104" i="10"/>
  <c r="Y213" i="10"/>
  <c r="Y214" i="10"/>
  <c r="Y215" i="10"/>
  <c r="Y105" i="10"/>
  <c r="Y106" i="10"/>
  <c r="Y107" i="10"/>
  <c r="Y158" i="10"/>
  <c r="Y159" i="10"/>
  <c r="Y216" i="10"/>
  <c r="Y217" i="10"/>
  <c r="Y218" i="10"/>
  <c r="Y219" i="10"/>
  <c r="Y160" i="10"/>
  <c r="Y161" i="10"/>
  <c r="Y220" i="10"/>
  <c r="Y221" i="10"/>
  <c r="Y222" i="10"/>
  <c r="Y223" i="10"/>
  <c r="Y162" i="10"/>
  <c r="Y163" i="10"/>
  <c r="Y224" i="10"/>
  <c r="Y225" i="10"/>
  <c r="Y226" i="10"/>
  <c r="Y227" i="10"/>
  <c r="Y228" i="10"/>
  <c r="Y164" i="10"/>
  <c r="Y165" i="10"/>
  <c r="Y229" i="10"/>
  <c r="Y230" i="10"/>
  <c r="Y231" i="10"/>
  <c r="Y232" i="10"/>
  <c r="Y233" i="10"/>
  <c r="Y234" i="10"/>
  <c r="Y166" i="10"/>
  <c r="Y167" i="10"/>
  <c r="Y235" i="10"/>
  <c r="Y236" i="10"/>
  <c r="Y237" i="10"/>
  <c r="Y238" i="10"/>
  <c r="Y239" i="10"/>
  <c r="Y240" i="10"/>
  <c r="Y241" i="10"/>
  <c r="Y242" i="10"/>
  <c r="Y243" i="10"/>
  <c r="Y244" i="10"/>
  <c r="Y245" i="10"/>
  <c r="Y246" i="10"/>
  <c r="Y247" i="10"/>
  <c r="Y248" i="10"/>
  <c r="Y249" i="10"/>
  <c r="Y168" i="10"/>
  <c r="Y169" i="10"/>
  <c r="Y250" i="10"/>
  <c r="Y170" i="10"/>
  <c r="Y171" i="10"/>
  <c r="Y251" i="10"/>
  <c r="Y252" i="10"/>
  <c r="Y172" i="10"/>
  <c r="Y173" i="10"/>
  <c r="Y174" i="10"/>
  <c r="Y175" i="10"/>
  <c r="Y253" i="10"/>
  <c r="Y254" i="10"/>
  <c r="Y255" i="10"/>
  <c r="Y256" i="10"/>
  <c r="Y257" i="10"/>
  <c r="Y258" i="10"/>
  <c r="Y259" i="10"/>
  <c r="Y260" i="10"/>
  <c r="Y261" i="10"/>
  <c r="Y262" i="10"/>
  <c r="Y263" i="10"/>
  <c r="Y264" i="10"/>
  <c r="Y265" i="10"/>
  <c r="Y266" i="10"/>
  <c r="Y267" i="10"/>
  <c r="Y268" i="10"/>
  <c r="Y269" i="10"/>
  <c r="Y270" i="10"/>
  <c r="Y271" i="10"/>
  <c r="Y176" i="10"/>
  <c r="Y177" i="10"/>
  <c r="Y178" i="10"/>
  <c r="Y179" i="10"/>
  <c r="Y180" i="10"/>
  <c r="Y181" i="10"/>
  <c r="Y182" i="10"/>
  <c r="Y183" i="10"/>
  <c r="Y184" i="10"/>
  <c r="Y185" i="10"/>
  <c r="Y186" i="10"/>
  <c r="Y187" i="10"/>
  <c r="Y188" i="10"/>
  <c r="Y189" i="10"/>
  <c r="Y108" i="10"/>
  <c r="V20" i="10"/>
  <c r="Q13" i="10"/>
  <c r="V61" i="10"/>
  <c r="V37" i="10"/>
  <c r="V38" i="10"/>
  <c r="V129" i="10"/>
  <c r="V62" i="10"/>
  <c r="V130" i="10"/>
  <c r="V131" i="10"/>
  <c r="V132" i="10"/>
  <c r="V133" i="10"/>
  <c r="V134" i="10"/>
  <c r="V135" i="10"/>
  <c r="V63" i="10"/>
  <c r="V136" i="10"/>
  <c r="V137" i="10"/>
  <c r="V64" i="10"/>
  <c r="V138" i="10"/>
  <c r="V139" i="10"/>
  <c r="V140" i="10"/>
  <c r="V65" i="10"/>
  <c r="V66" i="10"/>
  <c r="V18" i="10"/>
  <c r="V141" i="10"/>
  <c r="V67" i="10"/>
  <c r="V68" i="10"/>
  <c r="V69" i="10"/>
  <c r="V19" i="10"/>
  <c r="V39" i="10"/>
  <c r="V40" i="10"/>
  <c r="V27" i="10"/>
  <c r="V70" i="10"/>
  <c r="V142" i="10"/>
  <c r="V143" i="10"/>
  <c r="V41" i="10"/>
  <c r="V144" i="10"/>
  <c r="V42" i="10"/>
  <c r="V145" i="10"/>
  <c r="V71" i="10"/>
  <c r="V72" i="10"/>
  <c r="V73" i="10"/>
  <c r="V74" i="10"/>
  <c r="V75" i="10"/>
  <c r="V146" i="10"/>
  <c r="V76" i="10"/>
  <c r="V21" i="10"/>
  <c r="V28" i="10"/>
  <c r="V147" i="10"/>
  <c r="V43" i="10"/>
  <c r="V77" i="10"/>
  <c r="V44" i="10"/>
  <c r="V148" i="10"/>
  <c r="V78" i="10"/>
  <c r="V79" i="10"/>
  <c r="V149" i="10"/>
  <c r="V45" i="10"/>
  <c r="V29" i="10"/>
  <c r="V46" i="10"/>
  <c r="V150" i="10"/>
  <c r="V22" i="10"/>
  <c r="V80" i="10"/>
  <c r="V81" i="10"/>
  <c r="V82" i="10"/>
  <c r="V83" i="10"/>
  <c r="V23" i="10"/>
  <c r="V47" i="10"/>
  <c r="V48" i="10"/>
  <c r="V49" i="10"/>
  <c r="V50" i="10"/>
  <c r="V151" i="10"/>
  <c r="V84" i="10"/>
  <c r="V51" i="10"/>
  <c r="V85" i="10"/>
  <c r="V52" i="10"/>
  <c r="V30" i="10"/>
  <c r="V152" i="10"/>
  <c r="V31" i="10"/>
  <c r="V153" i="10"/>
  <c r="V53" i="10"/>
  <c r="V86" i="10"/>
  <c r="V87" i="10"/>
  <c r="V88" i="10"/>
  <c r="V32" i="10"/>
  <c r="V33" i="10"/>
  <c r="V89" i="10"/>
  <c r="V24" i="10"/>
  <c r="V90" i="10"/>
  <c r="V54" i="10"/>
  <c r="V91" i="10"/>
  <c r="V154" i="10"/>
  <c r="V92" i="10"/>
  <c r="V25" i="10"/>
  <c r="V34" i="10"/>
  <c r="V155" i="10"/>
  <c r="V93" i="10"/>
  <c r="V156" i="10"/>
  <c r="V55" i="10"/>
  <c r="V157" i="10"/>
  <c r="V158" i="10"/>
  <c r="V94" i="10"/>
  <c r="V159" i="10"/>
  <c r="V160" i="10"/>
  <c r="V161" i="10"/>
  <c r="V35" i="10"/>
  <c r="V95" i="10"/>
  <c r="V162" i="10"/>
  <c r="V96" i="10"/>
  <c r="V163" i="10"/>
  <c r="V164" i="10"/>
  <c r="V26" i="10"/>
  <c r="V165" i="10"/>
  <c r="V97" i="10"/>
  <c r="V98" i="10"/>
  <c r="V56" i="10"/>
  <c r="V99" i="10"/>
  <c r="V166" i="10"/>
  <c r="V36" i="10"/>
  <c r="V100" i="10"/>
  <c r="V167" i="10"/>
  <c r="V57" i="10"/>
  <c r="V58" i="10"/>
  <c r="V168" i="10"/>
  <c r="V101" i="10"/>
  <c r="V102" i="10"/>
  <c r="V169" i="10"/>
  <c r="V170" i="10"/>
  <c r="V103" i="10"/>
  <c r="V171" i="10"/>
  <c r="V172" i="10"/>
  <c r="V104" i="10"/>
  <c r="V173" i="10"/>
  <c r="V174" i="10"/>
  <c r="V175" i="10"/>
  <c r="V105" i="10"/>
  <c r="V176" i="10"/>
  <c r="V106" i="10"/>
  <c r="V107" i="10"/>
  <c r="V108" i="10"/>
  <c r="V177" i="10"/>
  <c r="V178" i="10"/>
  <c r="V109" i="10"/>
  <c r="V179" i="10"/>
  <c r="V180" i="10"/>
  <c r="V181" i="10"/>
  <c r="V182" i="10"/>
  <c r="V110" i="10"/>
  <c r="V183" i="10"/>
  <c r="V111" i="10"/>
  <c r="V184" i="10"/>
  <c r="V185" i="10"/>
  <c r="V112" i="10"/>
  <c r="V186" i="10"/>
  <c r="V113" i="10"/>
  <c r="V114" i="10"/>
  <c r="V115" i="10"/>
  <c r="V187" i="10"/>
  <c r="V188" i="10"/>
  <c r="V189" i="10"/>
  <c r="V190" i="10"/>
  <c r="V191" i="10"/>
  <c r="V116" i="10"/>
  <c r="V192" i="10"/>
  <c r="V193" i="10"/>
  <c r="V194" i="10"/>
  <c r="V195" i="10"/>
  <c r="V196" i="10"/>
  <c r="V197" i="10"/>
  <c r="V198" i="10"/>
  <c r="V199" i="10"/>
  <c r="V200" i="10"/>
  <c r="V201" i="10"/>
  <c r="V202" i="10"/>
  <c r="V203" i="10"/>
  <c r="V204" i="10"/>
  <c r="V205" i="10"/>
  <c r="V206" i="10"/>
  <c r="V207" i="10"/>
  <c r="V117" i="10"/>
  <c r="V208" i="10"/>
  <c r="V118" i="10"/>
  <c r="V209" i="10"/>
  <c r="V210" i="10"/>
  <c r="V211" i="10"/>
  <c r="V212" i="10"/>
  <c r="V213" i="10"/>
  <c r="V214" i="10"/>
  <c r="V215" i="10"/>
  <c r="V216" i="10"/>
  <c r="V217" i="10"/>
  <c r="V218" i="10"/>
  <c r="V219" i="10"/>
  <c r="V220" i="10"/>
  <c r="V221" i="10"/>
  <c r="V222" i="10"/>
  <c r="V119" i="10"/>
  <c r="V223" i="10"/>
  <c r="V224" i="10"/>
  <c r="V225" i="10"/>
  <c r="V226" i="10"/>
  <c r="V227" i="10"/>
  <c r="V228" i="10"/>
  <c r="V229" i="10"/>
  <c r="V230" i="10"/>
  <c r="V231" i="10"/>
  <c r="V232" i="10"/>
  <c r="V233" i="10"/>
  <c r="V234" i="10"/>
  <c r="V235" i="10"/>
  <c r="V236" i="10"/>
  <c r="V237" i="10"/>
  <c r="V238" i="10"/>
  <c r="V239" i="10"/>
  <c r="V240" i="10"/>
  <c r="V241" i="10"/>
  <c r="V242" i="10"/>
  <c r="V243" i="10"/>
  <c r="V244" i="10"/>
  <c r="V245" i="10"/>
  <c r="V246" i="10"/>
  <c r="V247" i="10"/>
  <c r="V248" i="10"/>
  <c r="V249" i="10"/>
  <c r="V250" i="10"/>
  <c r="V251" i="10"/>
  <c r="V252" i="10"/>
  <c r="V253" i="10"/>
  <c r="V254" i="10"/>
  <c r="V255" i="10"/>
  <c r="V256" i="10"/>
  <c r="V257" i="10"/>
  <c r="V258" i="10"/>
  <c r="V120" i="10"/>
  <c r="V259" i="10"/>
  <c r="V260" i="10"/>
  <c r="V261" i="10"/>
  <c r="V262" i="10"/>
  <c r="V263" i="10"/>
  <c r="V264" i="10"/>
  <c r="V265" i="10"/>
  <c r="V266" i="10"/>
  <c r="V267" i="10"/>
  <c r="V268" i="10"/>
  <c r="V269" i="10"/>
  <c r="V270" i="10"/>
  <c r="V271" i="10"/>
  <c r="V272" i="10"/>
  <c r="V273" i="10"/>
  <c r="V121" i="10"/>
  <c r="V274" i="10"/>
  <c r="V275" i="10"/>
  <c r="V276" i="10"/>
  <c r="V277" i="10"/>
  <c r="V278" i="10"/>
  <c r="V279" i="10"/>
  <c r="V280" i="10"/>
  <c r="V281" i="10"/>
  <c r="V282" i="10"/>
  <c r="V283" i="10"/>
  <c r="V284" i="10"/>
  <c r="V285" i="10"/>
  <c r="V286" i="10"/>
  <c r="V287" i="10"/>
  <c r="V288" i="10"/>
  <c r="V289" i="10"/>
  <c r="V290" i="10"/>
  <c r="V291" i="10"/>
  <c r="V292" i="10"/>
  <c r="V293" i="10"/>
  <c r="V294" i="10"/>
  <c r="V295" i="10"/>
  <c r="V296" i="10"/>
  <c r="V297" i="10"/>
  <c r="V298" i="10"/>
  <c r="V299" i="10"/>
  <c r="V300" i="10"/>
  <c r="V301" i="10"/>
  <c r="V302" i="10"/>
  <c r="V303" i="10"/>
  <c r="V304" i="10"/>
  <c r="V305" i="10"/>
  <c r="V306" i="10"/>
  <c r="V307" i="10"/>
  <c r="V308" i="10"/>
  <c r="V309" i="10"/>
  <c r="V310" i="10"/>
  <c r="V311" i="10"/>
  <c r="V312" i="10"/>
  <c r="V313" i="10"/>
  <c r="V314" i="10"/>
  <c r="V315" i="10"/>
  <c r="V316" i="10"/>
  <c r="V317" i="10"/>
  <c r="V318" i="10"/>
  <c r="V319" i="10"/>
  <c r="V320" i="10"/>
  <c r="V321" i="10"/>
  <c r="V322" i="10"/>
  <c r="V323" i="10"/>
  <c r="V324" i="10"/>
  <c r="V325" i="10"/>
  <c r="V326" i="10"/>
  <c r="V327" i="10"/>
  <c r="V328" i="10"/>
  <c r="V329" i="10"/>
  <c r="V330" i="10"/>
  <c r="V331" i="10"/>
  <c r="V332" i="10"/>
  <c r="V333" i="10"/>
  <c r="V334" i="10"/>
  <c r="V335" i="10"/>
  <c r="V336" i="10"/>
  <c r="V337" i="10"/>
  <c r="V338" i="10"/>
  <c r="V339" i="10"/>
  <c r="V340" i="10"/>
  <c r="V341" i="10"/>
  <c r="V342" i="10"/>
  <c r="V343" i="10"/>
  <c r="V344" i="10"/>
  <c r="V345" i="10"/>
  <c r="V122" i="10"/>
  <c r="V346" i="10"/>
  <c r="V347" i="10"/>
  <c r="V348" i="10"/>
  <c r="V349" i="10"/>
  <c r="V350" i="10"/>
  <c r="V351" i="10"/>
  <c r="V352" i="10"/>
  <c r="V353" i="10"/>
  <c r="V354" i="10"/>
  <c r="V355" i="10"/>
  <c r="V356" i="10"/>
  <c r="V357" i="10"/>
  <c r="V358" i="10"/>
  <c r="V359" i="10"/>
  <c r="V360" i="10"/>
  <c r="V361" i="10"/>
  <c r="V362" i="10"/>
  <c r="V363" i="10"/>
  <c r="V364" i="10"/>
  <c r="V365" i="10"/>
  <c r="V366" i="10"/>
  <c r="V367" i="10"/>
  <c r="V368" i="10"/>
  <c r="V369" i="10"/>
  <c r="V370" i="10"/>
  <c r="V371" i="10"/>
  <c r="V372" i="10"/>
  <c r="V373" i="10"/>
  <c r="V374" i="10"/>
  <c r="V375" i="10"/>
  <c r="V376" i="10"/>
  <c r="V377" i="10"/>
  <c r="V378" i="10"/>
  <c r="V379" i="10"/>
  <c r="V380" i="10"/>
  <c r="V381" i="10"/>
  <c r="V382" i="10"/>
  <c r="V383" i="10"/>
  <c r="V384" i="10"/>
  <c r="V385" i="10"/>
  <c r="V386" i="10"/>
  <c r="V387" i="10"/>
  <c r="V388" i="10"/>
  <c r="V389" i="10"/>
  <c r="V390" i="10"/>
  <c r="V391" i="10"/>
  <c r="V392" i="10"/>
  <c r="V393" i="10"/>
  <c r="V394" i="10"/>
  <c r="V395" i="10"/>
  <c r="V396" i="10"/>
  <c r="V397" i="10"/>
  <c r="V398" i="10"/>
  <c r="V399" i="10"/>
  <c r="V400" i="10"/>
  <c r="V401" i="10"/>
  <c r="V402" i="10"/>
  <c r="V403" i="10"/>
  <c r="V404" i="10"/>
  <c r="V405" i="10"/>
  <c r="V406" i="10"/>
  <c r="V128" i="10"/>
  <c r="V126" i="10"/>
  <c r="V59" i="10"/>
  <c r="V125" i="10"/>
  <c r="V124" i="10"/>
  <c r="V127" i="10"/>
  <c r="V60" i="10"/>
  <c r="V123" i="10"/>
  <c r="P13" i="10"/>
  <c r="P6" i="10"/>
  <c r="Q14" i="10"/>
  <c r="Q6" i="10"/>
  <c r="P14" i="10"/>
  <c r="J136" i="10" a="1"/>
  <c r="J136" i="10" s="1"/>
  <c r="J135" i="10" a="1"/>
  <c r="J135" i="10" s="1"/>
  <c r="J134" i="10" a="1"/>
  <c r="J134" i="10" s="1"/>
  <c r="J133" i="10" a="1"/>
  <c r="J133" i="10" s="1"/>
  <c r="J132" i="10" a="1"/>
  <c r="J132" i="10" s="1"/>
  <c r="J131" i="10" a="1"/>
  <c r="J131" i="10" s="1"/>
  <c r="J130" i="10" a="1"/>
  <c r="J130" i="10" s="1"/>
  <c r="J129" i="10" a="1"/>
  <c r="J129" i="10" s="1"/>
  <c r="J128" i="10" a="1"/>
  <c r="J128" i="10" s="1"/>
  <c r="I136" i="10" a="1"/>
  <c r="I136" i="10" s="1"/>
  <c r="I135" i="10" a="1"/>
  <c r="I135" i="10" s="1"/>
  <c r="I134" i="10" a="1"/>
  <c r="I134" i="10" s="1"/>
  <c r="I133" i="10" a="1"/>
  <c r="I133" i="10" s="1"/>
  <c r="I132" i="10" a="1"/>
  <c r="I132" i="10" s="1"/>
  <c r="I131" i="10" a="1"/>
  <c r="I131" i="10" s="1"/>
  <c r="I130" i="10" a="1"/>
  <c r="I130" i="10" s="1"/>
  <c r="I129" i="10" a="1"/>
  <c r="I129" i="10" s="1"/>
  <c r="I128" i="10" a="1"/>
  <c r="I128" i="10" s="1"/>
  <c r="J137" i="10" a="1"/>
  <c r="J137" i="10" s="1"/>
  <c r="I137" i="10" a="1"/>
  <c r="I137" i="10" s="1"/>
  <c r="I118" i="10" a="1"/>
  <c r="I118" i="10" s="1"/>
  <c r="I109" i="10" a="1"/>
  <c r="I109" i="10" s="1"/>
  <c r="J118" i="10" a="1"/>
  <c r="J118" i="10" s="1"/>
  <c r="J117" i="10" a="1"/>
  <c r="J117" i="10" s="1"/>
  <c r="J116" i="10" a="1"/>
  <c r="J116" i="10" s="1"/>
  <c r="J115" i="10" a="1"/>
  <c r="J115" i="10" s="1"/>
  <c r="J114" i="10" a="1"/>
  <c r="J114" i="10" s="1"/>
  <c r="J113" i="10" a="1"/>
  <c r="J113" i="10" s="1"/>
  <c r="J112" i="10" a="1"/>
  <c r="J112" i="10" s="1"/>
  <c r="J111" i="10" a="1"/>
  <c r="J111" i="10" s="1"/>
  <c r="J110" i="10" a="1"/>
  <c r="J110" i="10" s="1"/>
  <c r="J109" i="10" a="1"/>
  <c r="J109" i="10" s="1"/>
  <c r="I117" i="10" a="1"/>
  <c r="I117" i="10" s="1"/>
  <c r="I116" i="10" a="1"/>
  <c r="I116" i="10" s="1"/>
  <c r="I115" i="10" a="1"/>
  <c r="I115" i="10" s="1"/>
  <c r="I114" i="10" a="1"/>
  <c r="I114" i="10" s="1"/>
  <c r="I113" i="10" a="1"/>
  <c r="I113" i="10" s="1"/>
  <c r="I112" i="10" a="1"/>
  <c r="I112" i="10" s="1"/>
  <c r="I111" i="10" a="1"/>
  <c r="I111" i="10" s="1"/>
  <c r="I110" i="10" a="1"/>
  <c r="I110" i="10" s="1"/>
  <c r="J49" i="10" a="1"/>
  <c r="J49" i="10" s="1"/>
  <c r="I49" i="10" a="1"/>
  <c r="I49" i="10" s="1"/>
  <c r="J58" i="10" a="1"/>
  <c r="J58" i="10" s="1"/>
  <c r="J57" i="10" a="1"/>
  <c r="J57" i="10" s="1"/>
  <c r="J56" i="10" a="1"/>
  <c r="J56" i="10" s="1"/>
  <c r="J55" i="10" a="1"/>
  <c r="J55" i="10" s="1"/>
  <c r="J54" i="10" a="1"/>
  <c r="J54" i="10" s="1"/>
  <c r="J53" i="10" a="1"/>
  <c r="J53" i="10" s="1"/>
  <c r="J52" i="10" a="1"/>
  <c r="J52" i="10" s="1"/>
  <c r="J51" i="10" a="1"/>
  <c r="J51" i="10" s="1"/>
  <c r="J50" i="10" a="1"/>
  <c r="J50" i="10" s="1"/>
  <c r="I57" i="10" a="1"/>
  <c r="I57" i="10" s="1"/>
  <c r="I56" i="10" a="1"/>
  <c r="I56" i="10" s="1"/>
  <c r="I55" i="10" a="1"/>
  <c r="I55" i="10" s="1"/>
  <c r="I54" i="10" a="1"/>
  <c r="I54" i="10" s="1"/>
  <c r="I53" i="10" a="1"/>
  <c r="I53" i="10" s="1"/>
  <c r="I52" i="10" a="1"/>
  <c r="I52" i="10" s="1"/>
  <c r="I51" i="10" a="1"/>
  <c r="I51" i="10" s="1"/>
  <c r="I50" i="10" a="1"/>
  <c r="I50" i="10" s="1"/>
  <c r="I58" i="10" a="1"/>
  <c r="I58" i="10" s="1"/>
  <c r="I10" i="10"/>
  <c r="I29" i="10"/>
  <c r="D13" i="8"/>
  <c r="D12" i="8"/>
  <c r="D11" i="8"/>
  <c r="D10" i="8"/>
  <c r="D9" i="8"/>
  <c r="D8" i="8"/>
  <c r="D7" i="8"/>
  <c r="D6" i="8"/>
  <c r="D5" i="8"/>
  <c r="D4" i="8"/>
  <c r="D3" i="8"/>
  <c r="C13" i="8"/>
  <c r="C12" i="8"/>
  <c r="C11" i="8"/>
  <c r="C10" i="8"/>
  <c r="C9" i="8"/>
  <c r="C8" i="8"/>
  <c r="C7" i="8"/>
  <c r="C6" i="8"/>
  <c r="C5" i="8"/>
  <c r="C4" i="8"/>
  <c r="C3" i="8"/>
  <c r="B13" i="8"/>
  <c r="B12" i="8"/>
  <c r="B11" i="8"/>
  <c r="B10" i="8"/>
  <c r="B9" i="8"/>
  <c r="B8" i="8"/>
  <c r="B7" i="8"/>
  <c r="E7" i="8" s="1"/>
  <c r="B6" i="8"/>
  <c r="B5" i="8"/>
  <c r="B4" i="8"/>
  <c r="B3" i="8"/>
  <c r="B2" i="8"/>
  <c r="E2" i="8" s="1"/>
  <c r="H2" i="8" s="1"/>
  <c r="Q11" i="10"/>
  <c r="P11" i="10"/>
  <c r="Q10" i="10"/>
  <c r="P10" i="10"/>
  <c r="D2" i="8"/>
  <c r="C2" i="8"/>
  <c r="Q9" i="10"/>
  <c r="P9" i="10"/>
  <c r="Q7" i="10"/>
  <c r="P7" i="10"/>
  <c r="Q8" i="10"/>
  <c r="P8" i="10"/>
  <c r="I38" i="10"/>
  <c r="J38" i="10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E9" i="8" l="1"/>
  <c r="H9" i="8" s="1"/>
  <c r="E10" i="8"/>
  <c r="G10" i="8" s="1"/>
  <c r="E11" i="8"/>
  <c r="H11" i="8" s="1"/>
  <c r="E3" i="8"/>
  <c r="F3" i="8" s="1"/>
  <c r="E4" i="8"/>
  <c r="F4" i="8" s="1"/>
  <c r="E8" i="8"/>
  <c r="F8" i="8" s="1"/>
  <c r="E13" i="8"/>
  <c r="E12" i="8"/>
  <c r="F7" i="8"/>
  <c r="G7" i="8"/>
  <c r="H7" i="8"/>
  <c r="E6" i="8"/>
  <c r="E5" i="8"/>
  <c r="J96" i="10"/>
  <c r="I92" i="10"/>
  <c r="J16" i="10"/>
  <c r="I35" i="10"/>
  <c r="J76" i="10"/>
  <c r="J95" i="10"/>
  <c r="I91" i="10"/>
  <c r="I18" i="10"/>
  <c r="J15" i="10"/>
  <c r="I36" i="10"/>
  <c r="I77" i="10"/>
  <c r="J75" i="10"/>
  <c r="J94" i="10"/>
  <c r="I90" i="10"/>
  <c r="I17" i="10"/>
  <c r="J14" i="10"/>
  <c r="I37" i="10"/>
  <c r="I76" i="10"/>
  <c r="J74" i="10"/>
  <c r="J93" i="10"/>
  <c r="I89" i="10"/>
  <c r="I16" i="10"/>
  <c r="J13" i="10"/>
  <c r="J37" i="10"/>
  <c r="I75" i="10"/>
  <c r="J73" i="10"/>
  <c r="J92" i="10"/>
  <c r="I15" i="10"/>
  <c r="J12" i="10"/>
  <c r="J36" i="10"/>
  <c r="I74" i="10"/>
  <c r="J72" i="10"/>
  <c r="J91" i="10"/>
  <c r="I14" i="10"/>
  <c r="J11" i="10"/>
  <c r="J35" i="10"/>
  <c r="I73" i="10"/>
  <c r="J71" i="10"/>
  <c r="J90" i="10"/>
  <c r="I13" i="10"/>
  <c r="J34" i="10"/>
  <c r="I72" i="10"/>
  <c r="J70" i="10"/>
  <c r="I97" i="10"/>
  <c r="I12" i="10"/>
  <c r="I30" i="10"/>
  <c r="J33" i="10"/>
  <c r="I71" i="10"/>
  <c r="I69" i="10"/>
  <c r="I96" i="10"/>
  <c r="I11" i="10"/>
  <c r="I31" i="10"/>
  <c r="J32" i="10"/>
  <c r="I70" i="10"/>
  <c r="J69" i="10"/>
  <c r="I95" i="10"/>
  <c r="J10" i="10"/>
  <c r="I32" i="10"/>
  <c r="J31" i="10"/>
  <c r="J89" i="10"/>
  <c r="I94" i="10"/>
  <c r="J18" i="10"/>
  <c r="I33" i="10"/>
  <c r="J30" i="10"/>
  <c r="J29" i="10"/>
  <c r="J97" i="10"/>
  <c r="I93" i="10"/>
  <c r="J17" i="10"/>
  <c r="I34" i="10"/>
  <c r="J77" i="10"/>
  <c r="G2" i="8"/>
  <c r="F2" i="8"/>
  <c r="G11" i="8" l="1"/>
  <c r="F11" i="8"/>
  <c r="F9" i="8"/>
  <c r="G9" i="8"/>
  <c r="G4" i="8"/>
  <c r="H8" i="8"/>
  <c r="G8" i="8"/>
  <c r="H10" i="8"/>
  <c r="F10" i="8"/>
  <c r="H4" i="8"/>
  <c r="G3" i="8"/>
  <c r="H3" i="8"/>
  <c r="H13" i="8"/>
  <c r="G13" i="8"/>
  <c r="F13" i="8"/>
  <c r="H12" i="8"/>
  <c r="G12" i="8"/>
  <c r="F12" i="8"/>
  <c r="G6" i="8"/>
  <c r="H6" i="8"/>
  <c r="F6" i="8"/>
  <c r="G5" i="8"/>
  <c r="H5" i="8"/>
  <c r="F5" i="8"/>
  <c r="J98" i="10"/>
  <c r="J19" i="10"/>
  <c r="J78" i="10"/>
  <c r="I78" i="10"/>
  <c r="I19" i="10"/>
  <c r="I98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916BB6-F934-4A4C-843D-EB1C1AFED37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C3B31C7-7DBC-417B-A3F7-E41D5A34A391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country].[All]}"/>
    <s v="{[Range].[currency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<sst xmlns="http://schemas.openxmlformats.org/spreadsheetml/2006/main" count="7292" uniqueCount="2128">
  <si>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</si>
  <si>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</si>
  <si>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</si>
  <si>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</si>
  <si>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</si>
  <si>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</si>
  <si>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</si>
  <si>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</si>
  <si>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</si>
  <si>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</si>
  <si>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</si>
  <si>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</si>
  <si>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</si>
  <si>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</si>
  <si>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</si>
  <si>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</si>
  <si>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</si>
  <si>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</si>
  <si>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</si>
  <si>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</si>
  <si>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</si>
  <si>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</si>
  <si>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</si>
  <si>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</si>
  <si>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</si>
  <si>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</si>
  <si>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</si>
  <si>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</si>
  <si>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</si>
  <si>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</si>
  <si>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</si>
  <si>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</si>
  <si>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</si>
  <si>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</si>
  <si>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</si>
  <si>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</si>
  <si>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</si>
  <si>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</si>
  <si>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</si>
  <si>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</si>
  <si>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</si>
  <si>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</si>
  <si>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</si>
  <si>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</si>
  <si>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</si>
  <si>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</si>
  <si>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</si>
  <si>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</si>
  <si>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</si>
  <si>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</si>
  <si>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</si>
  <si>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</si>
  <si>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</si>
  <si>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</si>
  <si>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</si>
  <si>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</si>
  <si>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</si>
  <si>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</si>
  <si>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</si>
  <si>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</si>
  <si>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</si>
  <si>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</si>
  <si>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</si>
  <si>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</si>
  <si>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</si>
  <si>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</si>
  <si>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</si>
  <si>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</si>
  <si>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</si>
  <si>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</si>
  <si>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</si>
  <si>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</si>
  <si>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</si>
  <si>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</si>
  <si>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</si>
  <si>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</si>
  <si>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</si>
  <si>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</si>
  <si>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</si>
  <si>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</si>
  <si>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</si>
  <si>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</si>
  <si>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</si>
  <si>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</si>
  <si>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</si>
  <si>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</si>
  <si>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</si>
  <si>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</si>
  <si>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</si>
  <si>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</si>
  <si>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</si>
  <si>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</si>
  <si>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</si>
  <si>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</si>
  <si>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</si>
  <si>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</si>
  <si>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</si>
  <si>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</si>
  <si>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</si>
  <si>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</si>
  <si>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</si>
  <si>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</si>
  <si>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</si>
  <si>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</si>
  <si>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</si>
  <si>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</si>
  <si>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</si>
  <si>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</si>
  <si>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</si>
  <si>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</si>
  <si>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</si>
  <si>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</si>
  <si>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</si>
  <si>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</si>
  <si>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</si>
  <si>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</si>
  <si>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</si>
  <si>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</si>
  <si>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</si>
  <si>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</si>
  <si>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</si>
  <si>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</si>
  <si>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</si>
  <si>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</si>
  <si>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</si>
  <si>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</si>
  <si>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</si>
  <si>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</si>
  <si>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</si>
  <si>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</si>
  <si>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</si>
  <si>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</si>
  <si>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</si>
  <si>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</si>
  <si>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</si>
  <si>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</si>
  <si>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</si>
  <si>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</si>
  <si>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</si>
  <si>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</si>
  <si>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</si>
  <si>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</si>
  <si>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</si>
  <si>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</si>
  <si>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</si>
  <si>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</si>
  <si>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</si>
  <si>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</si>
  <si>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</si>
  <si>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</si>
  <si>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</si>
  <si>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</si>
  <si>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</si>
  <si>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</si>
  <si>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</si>
  <si>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</si>
  <si>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</si>
  <si>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</si>
  <si>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</si>
  <si>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</si>
  <si>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</si>
  <si>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</si>
  <si>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</si>
  <si>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</si>
  <si>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</si>
  <si>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</si>
  <si>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</si>
  <si>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</si>
  <si>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</si>
  <si>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</si>
  <si>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</si>
  <si>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</si>
  <si>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</si>
  <si>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</si>
  <si>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</si>
  <si>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</si>
  <si>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</si>
  <si>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</si>
  <si>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</si>
  <si>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</si>
  <si>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</si>
  <si>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</si>
  <si>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</si>
  <si>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</si>
  <si>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</si>
  <si>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</si>
  <si>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</si>
  <si>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</si>
  <si>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</si>
  <si>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</si>
  <si>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</si>
  <si>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</si>
  <si>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</si>
  <si>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</si>
  <si>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</si>
  <si>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</si>
  <si>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</si>
  <si>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</si>
  <si>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</si>
  <si>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</si>
  <si>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</si>
  <si>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</si>
  <si>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</si>
  <si>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</si>
  <si>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</si>
  <si>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</si>
  <si>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</si>
  <si>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</si>
  <si>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</si>
  <si>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</si>
  <si>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</si>
  <si>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</si>
  <si>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</si>
  <si>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</si>
  <si>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</si>
  <si>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</si>
  <si>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</si>
  <si>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</si>
  <si>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</si>
  <si>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</si>
  <si>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</si>
  <si>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</si>
  <si>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</si>
  <si>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</si>
  <si>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</si>
  <si>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</si>
  <si>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</si>
  <si>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</si>
  <si>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</si>
  <si>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</si>
  <si>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</si>
  <si>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</si>
  <si>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</si>
  <si>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</si>
  <si>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</si>
  <si>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</si>
  <si>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</si>
  <si>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</si>
  <si>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</si>
  <si>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</si>
  <si>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</si>
  <si>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</si>
  <si>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</si>
  <si>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</si>
  <si>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</si>
  <si>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</si>
  <si>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</si>
  <si>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</si>
  <si>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</si>
  <si>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</si>
  <si>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</si>
  <si>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</si>
  <si>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</si>
  <si>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</si>
  <si>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</si>
  <si>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</si>
  <si>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</si>
  <si>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</si>
  <si>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</si>
  <si>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</si>
  <si>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</si>
  <si>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</si>
  <si>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</si>
  <si>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</si>
  <si>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</si>
  <si>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</si>
  <si>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</si>
  <si>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</si>
  <si>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</si>
  <si>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</si>
  <si>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</si>
  <si>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</si>
  <si>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</si>
  <si>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</si>
  <si>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</si>
  <si>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</si>
  <si>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</si>
  <si>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</si>
  <si>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</si>
  <si>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</si>
  <si>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</si>
  <si>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</si>
  <si>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</si>
  <si>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</si>
  <si>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</si>
  <si>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</si>
  <si>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</si>
  <si>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</si>
  <si>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</si>
  <si>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</si>
  <si>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</si>
  <si>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</si>
  <si>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</si>
  <si>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</si>
  <si>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</si>
  <si>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</si>
  <si>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</si>
  <si>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</si>
  <si>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</si>
  <si>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</si>
  <si>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</si>
  <si>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</si>
  <si>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</si>
  <si>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</si>
  <si>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</si>
  <si>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</si>
  <si>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</si>
  <si>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</si>
  <si>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</si>
  <si>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</si>
  <si>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</si>
  <si>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</si>
  <si>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</si>
  <si>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</si>
  <si>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</si>
  <si>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</si>
  <si>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</si>
  <si>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</si>
  <si>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</si>
  <si>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</si>
  <si>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</si>
  <si>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</si>
  <si>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</si>
  <si>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</si>
  <si>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</si>
  <si>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</si>
  <si>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</si>
  <si>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</si>
  <si>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</si>
  <si>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</si>
  <si>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</si>
  <si>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</si>
  <si>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</si>
  <si>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</si>
  <si>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</si>
  <si>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</si>
  <si>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</si>
  <si>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</si>
  <si>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</si>
  <si>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</si>
  <si>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</si>
  <si>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</si>
  <si>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</si>
  <si>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</si>
  <si>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</si>
  <si>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</si>
  <si>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</si>
  <si>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</si>
  <si>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</si>
  <si>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</si>
  <si>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</si>
  <si>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</si>
  <si>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</si>
  <si>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</si>
  <si>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</si>
  <si>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</si>
  <si>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</si>
  <si>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</si>
  <si>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</si>
  <si>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</si>
  <si>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</si>
  <si>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</si>
  <si>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</si>
  <si>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</si>
  <si>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</si>
  <si>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</si>
  <si>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</si>
  <si>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</si>
  <si>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</si>
  <si>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</si>
  <si>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</si>
  <si>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</si>
  <si>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</si>
  <si>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</si>
  <si>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</si>
  <si>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</si>
  <si>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</si>
  <si>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</si>
  <si>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</si>
  <si>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</si>
  <si>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</si>
  <si>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</si>
  <si>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</si>
  <si>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</si>
  <si>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</si>
  <si>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</si>
  <si>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</si>
  <si>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</si>
  <si>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</si>
  <si>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</si>
  <si>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</si>
  <si>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</si>
  <si>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</si>
  <si>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</si>
  <si>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</si>
  <si>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</si>
  <si>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</si>
  <si>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</si>
  <si>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</si>
  <si>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</si>
  <si>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</si>
  <si>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</si>
  <si>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</si>
  <si>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</si>
  <si>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</si>
  <si>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</si>
  <si>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</si>
  <si>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</si>
  <si>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</si>
  <si>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</si>
  <si>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</si>
  <si>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</si>
  <si>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</si>
  <si>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</si>
  <si>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</si>
  <si>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</si>
  <si>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</si>
  <si>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</si>
  <si>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</si>
  <si>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</si>
  <si>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</si>
  <si>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</si>
  <si>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</si>
  <si>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</si>
  <si>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</si>
  <si>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</si>
  <si>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</si>
  <si>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</si>
  <si>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</si>
  <si>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</si>
  <si>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</si>
  <si>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</si>
  <si>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</si>
  <si>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</si>
  <si>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</si>
  <si>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</si>
  <si>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</si>
  <si>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</si>
  <si>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</si>
  <si>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</si>
  <si>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</si>
  <si>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</si>
  <si>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</si>
  <si>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</si>
  <si>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</si>
  <si>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</si>
  <si>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</si>
  <si>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</si>
  <si>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</si>
  <si>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</si>
  <si>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</si>
  <si>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</si>
  <si>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</si>
  <si>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</si>
  <si>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</si>
  <si>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</si>
  <si>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</si>
  <si>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</si>
  <si>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</si>
  <si>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</si>
  <si>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</si>
  <si>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</si>
  <si>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</si>
  <si>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</si>
  <si>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</si>
  <si>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</si>
  <si>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</si>
  <si>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</si>
  <si>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</si>
  <si>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</si>
  <si>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</si>
  <si>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</si>
  <si>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</si>
  <si>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</si>
  <si>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</si>
  <si>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</si>
  <si>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</si>
  <si>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</si>
  <si>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</si>
  <si>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</si>
  <si>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</si>
  <si>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</si>
  <si>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</si>
  <si>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</si>
  <si>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</si>
  <si>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</si>
  <si>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</si>
  <si>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</si>
  <si>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</si>
  <si>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</si>
  <si>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</si>
  <si>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</si>
  <si>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</si>
  <si>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</si>
  <si>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</si>
  <si>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</si>
  <si>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</si>
  <si>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</si>
  <si>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</si>
  <si>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</si>
  <si>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</si>
  <si>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</si>
  <si>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</si>
  <si>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</si>
  <si>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</si>
  <si>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</si>
  <si>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</si>
  <si>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</si>
  <si>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</si>
  <si>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</si>
  <si>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</si>
  <si>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</si>
  <si>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</si>
  <si>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</si>
  <si>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</si>
  <si>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</si>
  <si>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</si>
  <si>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</si>
  <si>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</si>
  <si>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</si>
  <si>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</si>
  <si>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</si>
  <si>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</si>
  <si>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</si>
  <si>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</si>
  <si>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</si>
  <si>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</si>
  <si>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</si>
  <si>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</si>
  <si>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</si>
  <si>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</si>
  <si>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</si>
  <si>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</si>
  <si>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</si>
  <si>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</si>
  <si>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</si>
  <si>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</si>
  <si>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</si>
  <si>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</si>
  <si>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</si>
  <si>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</si>
  <si>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</si>
  <si>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</si>
  <si>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</si>
  <si>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</si>
  <si>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</si>
  <si>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</si>
  <si>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</si>
  <si>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</si>
  <si>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</si>
  <si>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</si>
  <si>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</si>
  <si>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</si>
  <si>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</si>
  <si>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</si>
  <si>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</si>
  <si>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</si>
  <si>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</si>
  <si>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</si>
  <si>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</si>
  <si>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</si>
  <si>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</si>
  <si>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</si>
  <si>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</si>
  <si>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</si>
  <si>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</si>
  <si>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</si>
  <si>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</si>
  <si>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</si>
  <si>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</si>
  <si>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</si>
  <si>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</si>
  <si>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</si>
  <si>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</si>
  <si>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</si>
  <si>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</si>
  <si>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</si>
  <si>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</si>
  <si>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</si>
  <si>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</si>
  <si>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</si>
  <si>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</si>
  <si>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</si>
  <si>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</si>
  <si>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</si>
  <si>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</si>
  <si>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</si>
  <si>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</si>
  <si>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</si>
  <si>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</si>
  <si>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</si>
  <si>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</si>
  <si>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</si>
  <si>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</si>
  <si>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</si>
  <si>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</si>
  <si>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</si>
  <si>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</si>
  <si>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</si>
  <si>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</si>
  <si>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</si>
  <si>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</si>
  <si>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</si>
  <si>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</si>
  <si>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</si>
  <si>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</si>
  <si>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</si>
  <si>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</si>
  <si>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</si>
  <si>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</si>
  <si>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</si>
  <si>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</si>
  <si>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</si>
  <si>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</si>
  <si>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</si>
  <si>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</si>
  <si>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</si>
  <si>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</si>
  <si>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</si>
  <si>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</si>
  <si>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</si>
  <si>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</si>
  <si>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</si>
  <si>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</si>
  <si>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</si>
  <si>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</si>
  <si>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</si>
  <si>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</si>
  <si>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</si>
  <si>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</si>
  <si>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</si>
  <si>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</si>
  <si>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</si>
  <si>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</si>
  <si>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</si>
  <si>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</si>
  <si>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</si>
  <si>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</si>
  <si>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</si>
  <si>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</si>
  <si>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</si>
  <si>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</si>
  <si>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</si>
  <si>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</si>
  <si>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</si>
  <si>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</si>
  <si>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</si>
  <si>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</si>
  <si>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</si>
  <si>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</si>
  <si>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</si>
  <si>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</si>
  <si>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</si>
  <si>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</si>
  <si>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</si>
  <si>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</si>
  <si>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</si>
  <si>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</si>
  <si>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</si>
  <si>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</si>
  <si>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</si>
  <si>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</si>
  <si>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</si>
  <si>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</si>
  <si>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</si>
  <si>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</si>
  <si>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</si>
  <si>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</si>
  <si>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</si>
  <si>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</si>
  <si>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</si>
  <si>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</si>
  <si>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</si>
  <si>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</si>
  <si>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</si>
  <si>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</si>
  <si>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</si>
  <si>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</si>
  <si>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</si>
  <si>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</si>
  <si>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</si>
  <si>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</si>
  <si>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</si>
  <si>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</si>
  <si>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</si>
  <si>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</si>
  <si>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</si>
  <si>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</si>
  <si>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</si>
  <si>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</si>
  <si>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</si>
  <si>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</si>
  <si>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</si>
  <si>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</si>
  <si>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</si>
  <si>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</si>
  <si>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</si>
  <si>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</si>
  <si>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</si>
  <si>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</si>
  <si>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</si>
  <si>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</si>
  <si>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</si>
  <si>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</si>
  <si>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</si>
  <si>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</si>
  <si>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</si>
  <si>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</si>
  <si>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</si>
  <si>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</si>
  <si>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</si>
  <si>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</si>
  <si>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</si>
  <si>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</si>
  <si>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</si>
  <si>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</si>
  <si>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</si>
  <si>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</si>
  <si>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</si>
  <si>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</si>
  <si>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</si>
  <si>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</si>
  <si>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</si>
  <si>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</si>
  <si>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</si>
  <si>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</si>
  <si>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</si>
  <si>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</si>
  <si>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</si>
  <si>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</si>
  <si>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</si>
  <si>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</si>
  <si>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</si>
  <si>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</si>
  <si>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</si>
  <si>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</si>
  <si>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</si>
  <si>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</si>
  <si>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</si>
  <si>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</si>
  <si>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</si>
  <si>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</si>
  <si>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</si>
  <si>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</si>
  <si>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</si>
  <si>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</si>
  <si>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</si>
  <si>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</si>
  <si>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</si>
  <si>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</si>
  <si>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</si>
  <si>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</si>
  <si>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</si>
  <si>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</si>
  <si>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</si>
  <si>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</si>
  <si>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</si>
  <si>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</si>
  <si>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</si>
  <si>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</si>
  <si>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</si>
  <si>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</si>
  <si>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</si>
  <si>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</si>
  <si>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</si>
  <si>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</si>
  <si>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</si>
  <si>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</si>
  <si>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</si>
  <si>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</si>
  <si>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</si>
  <si>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</si>
  <si>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</si>
  <si>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</si>
  <si>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</si>
  <si>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</si>
  <si>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</si>
  <si>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</si>
  <si>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</si>
  <si>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</si>
  <si>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</si>
  <si>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</si>
  <si>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</si>
  <si>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</si>
  <si>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</si>
  <si>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</si>
  <si>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</si>
  <si>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</si>
  <si>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</si>
  <si>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</si>
  <si>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</si>
  <si>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</si>
  <si>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</si>
  <si>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</si>
  <si>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</si>
  <si>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</si>
  <si>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</si>
  <si>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</si>
  <si>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</si>
  <si>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</si>
  <si>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</si>
  <si>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</si>
  <si>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</si>
  <si>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</si>
  <si>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</si>
  <si>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</si>
  <si>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</si>
  <si>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</si>
  <si>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</si>
  <si>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</si>
  <si>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</si>
  <si>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</si>
  <si>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</si>
  <si>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</si>
  <si>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</si>
  <si>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</si>
  <si>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</si>
  <si>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</si>
  <si>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</si>
  <si>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</si>
  <si>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</si>
  <si>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</si>
  <si>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</si>
  <si>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</si>
  <si>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</si>
  <si>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</si>
  <si>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</si>
  <si>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</si>
  <si>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</si>
  <si>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</si>
  <si>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</si>
  <si>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</si>
  <si>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</si>
  <si>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</si>
  <si>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</si>
  <si>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</si>
  <si>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</si>
  <si>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</si>
  <si>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</si>
  <si>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</si>
  <si>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</si>
  <si>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</si>
  <si>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</si>
  <si>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</si>
  <si>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</si>
  <si>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</si>
  <si>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</si>
  <si>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</si>
  <si>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</si>
  <si>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</si>
  <si>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</si>
  <si>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</si>
  <si>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</si>
  <si>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</si>
  <si>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</si>
  <si>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</si>
  <si>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</si>
  <si>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</si>
  <si>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</si>
  <si>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</si>
  <si>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</si>
  <si>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</si>
  <si>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</si>
  <si>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</si>
  <si>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</si>
  <si>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</si>
  <si>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</si>
  <si>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</si>
  <si>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</si>
  <si>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</si>
  <si>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</si>
  <si>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</si>
  <si>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</si>
  <si>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</si>
  <si>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</si>
  <si>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</si>
  <si>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</si>
  <si>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</si>
  <si>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</si>
  <si>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</si>
  <si>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</si>
  <si>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</si>
  <si>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</si>
  <si>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</si>
  <si>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</si>
  <si>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</si>
  <si>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</si>
  <si>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</si>
  <si>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</si>
  <si>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</si>
  <si>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</si>
  <si>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</si>
  <si>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</si>
  <si>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</si>
  <si>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</si>
  <si>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</si>
  <si>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</si>
  <si>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</si>
  <si>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</si>
  <si>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</si>
  <si>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</si>
  <si>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</si>
  <si>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</si>
  <si>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</si>
  <si>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</si>
  <si>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</si>
  <si>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</si>
  <si>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</si>
  <si>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</si>
  <si>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</si>
  <si>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</si>
  <si>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</si>
  <si>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</si>
  <si>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</si>
  <si>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</si>
  <si>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</si>
  <si>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</si>
  <si>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</si>
  <si>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</si>
  <si>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</si>
  <si>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</si>
  <si>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</si>
  <si>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</si>
  <si>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</si>
  <si>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</si>
  <si>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</si>
  <si>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</si>
  <si>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</si>
  <si>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</si>
  <si>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</si>
  <si>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</si>
  <si>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</si>
  <si>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</si>
  <si>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</si>
  <si>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</si>
  <si>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</si>
  <si>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</si>
  <si>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</si>
  <si>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</si>
  <si>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</si>
  <si>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</si>
  <si>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</si>
  <si>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</si>
  <si>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</si>
  <si>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</si>
  <si>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</si>
  <si>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</si>
  <si>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</si>
  <si>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</si>
  <si>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</si>
  <si>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</si>
  <si>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</si>
  <si>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</si>
  <si>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</si>
  <si>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</si>
  <si>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</si>
  <si>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</si>
  <si>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</si>
  <si>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</si>
  <si>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</si>
  <si>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</si>
  <si>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</si>
  <si>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</si>
  <si>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</si>
  <si>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</si>
  <si>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</si>
  <si>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</si>
  <si>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</si>
  <si>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</si>
  <si>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</si>
  <si>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</si>
  <si>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</si>
  <si>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</si>
  <si>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</si>
  <si>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</si>
  <si>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</si>
  <si>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</si>
  <si>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</si>
  <si>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</si>
  <si>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</si>
  <si>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</si>
  <si>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</si>
  <si>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</si>
  <si>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</si>
  <si>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</si>
  <si>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</si>
  <si>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</si>
  <si>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</si>
  <si>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</si>
  <si>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</si>
  <si>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</si>
  <si>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</si>
  <si>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</si>
  <si>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</si>
  <si>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</si>
  <si>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</si>
  <si>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</si>
  <si>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</si>
  <si>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</si>
  <si>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</si>
  <si>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</si>
  <si>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</si>
  <si>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</si>
  <si>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</si>
  <si>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</si>
  <si>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</si>
  <si>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</si>
  <si>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</si>
  <si>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</si>
  <si>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</si>
  <si>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</si>
  <si>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</si>
  <si>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</si>
  <si>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</si>
  <si>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</si>
  <si>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</si>
  <si>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</si>
  <si>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</si>
  <si>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</si>
  <si>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</si>
  <si>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</si>
  <si>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</si>
  <si>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</si>
  <si>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</si>
  <si>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</si>
  <si>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</si>
  <si>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</si>
  <si>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</si>
  <si>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</si>
  <si>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</si>
  <si>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</si>
  <si>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</si>
  <si>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</si>
  <si>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</si>
  <si>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</si>
  <si>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</si>
  <si>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</si>
  <si>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</si>
  <si>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</si>
  <si>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</si>
  <si>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</si>
  <si>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</si>
  <si>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</si>
  <si>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</si>
  <si>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</si>
  <si>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</si>
  <si>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</si>
  <si>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</si>
  <si>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</si>
  <si>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</si>
  <si>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</si>
  <si>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</si>
  <si>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</si>
  <si>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</si>
  <si>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</si>
  <si>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</si>
  <si>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</si>
  <si>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</si>
  <si>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</si>
  <si>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</si>
  <si>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</si>
  <si>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</si>
  <si>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</si>
  <si>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</si>
  <si>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</si>
  <si>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</si>
  <si>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</si>
  <si>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</si>
  <si>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</si>
  <si>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</si>
  <si>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</si>
  <si>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</si>
  <si>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</si>
  <si>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</si>
  <si>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</si>
  <si>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</si>
  <si>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</si>
  <si>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</si>
  <si>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</si>
  <si>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</si>
  <si>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</si>
  <si>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</si>
  <si>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</si>
  <si>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</si>
  <si>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</si>
  <si>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</si>
  <si>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</si>
  <si>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</si>
  <si>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</si>
  <si>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</si>
  <si>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</si>
  <si>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</si>
  <si>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</si>
  <si>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</si>
  <si>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</si>
  <si>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</si>
  <si>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</si>
  <si>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</si>
  <si>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</si>
  <si>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</si>
  <si>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</si>
  <si>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</si>
  <si>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</si>
  <si>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</si>
  <si>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</si>
  <si>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</si>
  <si>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</si>
  <si>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</si>
  <si>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</si>
  <si>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</si>
  <si>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</si>
  <si>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</si>
  <si>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</si>
  <si>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</si>
  <si>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</si>
  <si>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</si>
  <si>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</si>
  <si>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</si>
  <si>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</si>
  <si>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</si>
  <si>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</si>
  <si>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</si>
  <si>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</si>
  <si>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</si>
  <si>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</si>
  <si>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</si>
  <si>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</si>
  <si>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</si>
  <si>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</si>
  <si>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</si>
  <si>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</si>
  <si>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</si>
  <si>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</si>
  <si>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</si>
  <si>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</si>
  <si>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</si>
  <si>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</si>
  <si>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</si>
  <si>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</si>
  <si>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</si>
  <si>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</si>
  <si>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</si>
  <si>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</si>
  <si>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</si>
  <si>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</si>
  <si>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</si>
  <si>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</si>
  <si>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</si>
  <si>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</si>
  <si>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</si>
  <si>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</si>
  <si>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</si>
  <si>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</si>
  <si>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</si>
  <si>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</si>
  <si>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</si>
  <si>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</si>
  <si>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</si>
  <si>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</si>
  <si>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</si>
  <si>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</si>
  <si>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</si>
  <si>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</si>
  <si>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</si>
  <si>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</si>
  <si>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</si>
  <si>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</si>
  <si>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</si>
  <si>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</si>
  <si>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</si>
  <si>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</si>
  <si>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</si>
  <si>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</si>
  <si>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</si>
  <si>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</si>
  <si>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</si>
  <si>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</si>
  <si>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</si>
  <si>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</si>
  <si>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</si>
  <si>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</si>
  <si>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</si>
  <si>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</si>
  <si>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</si>
  <si>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</si>
  <si>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</si>
  <si>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</si>
  <si>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</si>
  <si>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</si>
  <si>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</si>
  <si>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</si>
  <si>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</si>
  <si>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</si>
  <si>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</si>
  <si>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</si>
  <si>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</si>
  <si>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</si>
  <si>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</si>
  <si>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</si>
  <si>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</si>
  <si>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</si>
  <si>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</si>
  <si>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</si>
  <si>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</si>
  <si>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</si>
  <si>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</si>
  <si>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</si>
  <si>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</si>
  <si>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</si>
  <si>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</si>
  <si>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</si>
  <si>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</si>
  <si>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</si>
  <si>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</si>
  <si>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</si>
  <si>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</si>
  <si>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</si>
  <si>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</si>
  <si>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</si>
  <si>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</si>
  <si>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</si>
  <si>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</si>
  <si>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</si>
  <si>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</si>
  <si>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</si>
  <si>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</si>
  <si>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</si>
  <si>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</si>
  <si>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</si>
  <si>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</si>
  <si>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</si>
  <si>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</si>
  <si>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</si>
  <si>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</si>
  <si>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</si>
  <si>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</si>
  <si>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</si>
  <si>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</si>
  <si>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</si>
  <si>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</si>
  <si>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</si>
  <si>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</si>
  <si>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</si>
  <si>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</si>
  <si>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</si>
  <si>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</si>
  <si>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</si>
  <si>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</si>
  <si>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</si>
  <si>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</si>
  <si>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</si>
  <si>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</si>
  <si>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</si>
  <si>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</si>
  <si>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</si>
  <si>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</si>
  <si>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</si>
  <si>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</si>
  <si>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</si>
  <si>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</si>
  <si>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</si>
  <si>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</si>
  <si>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</si>
  <si>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</si>
  <si>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</si>
  <si>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</si>
  <si>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</si>
  <si>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</si>
  <si>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</si>
  <si>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</si>
  <si>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</si>
  <si>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</si>
  <si>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</si>
  <si>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</si>
  <si>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</si>
  <si>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</si>
  <si>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</si>
  <si>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</si>
  <si>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</si>
  <si>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</si>
  <si>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</si>
  <si>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</si>
  <si>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</si>
  <si>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</si>
  <si>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</si>
  <si>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</si>
  <si>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</si>
  <si>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</si>
  <si>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</si>
  <si>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</si>
  <si>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</si>
  <si>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</si>
  <si>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</si>
  <si>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</si>
  <si>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</si>
  <si>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</si>
  <si>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</si>
  <si>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</si>
  <si>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</si>
  <si>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</si>
  <si>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</si>
  <si>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</si>
  <si>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</si>
  <si>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</si>
  <si>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</si>
  <si>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</si>
  <si>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</si>
  <si>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</si>
  <si>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</si>
  <si>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</si>
  <si>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</si>
  <si>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</si>
  <si>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</si>
  <si>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</si>
  <si>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</si>
  <si>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</si>
  <si>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</si>
  <si>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</si>
  <si>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</si>
  <si>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</si>
  <si>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</si>
  <si>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</si>
  <si>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</si>
  <si>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</si>
  <si>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</si>
  <si>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</si>
  <si>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</si>
  <si>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</si>
  <si>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</si>
  <si>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</si>
  <si>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</si>
  <si>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</si>
  <si>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</si>
  <si>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</si>
  <si>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</si>
  <si>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</si>
  <si>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</si>
  <si>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</si>
  <si>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</si>
  <si>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</si>
  <si>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</si>
  <si>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</si>
  <si>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</si>
  <si>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</si>
  <si>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</si>
  <si>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</si>
  <si>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</si>
  <si>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</si>
  <si>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</si>
  <si>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</si>
  <si>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</si>
  <si>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</si>
  <si>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</si>
  <si>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</si>
  <si>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</si>
  <si>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</si>
  <si>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</si>
  <si>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</si>
  <si>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</si>
  <si>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</si>
  <si>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</si>
  <si>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</si>
  <si>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</si>
  <si>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</si>
  <si>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</si>
  <si>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</si>
  <si>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</si>
  <si>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</si>
  <si>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</si>
  <si>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</si>
  <si>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</si>
  <si>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</si>
  <si>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</si>
  <si>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</si>
  <si>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</si>
  <si>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</si>
  <si>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</si>
  <si>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</si>
  <si>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</si>
  <si>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</si>
  <si>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</si>
  <si>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</si>
  <si>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</si>
  <si>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</si>
  <si>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</si>
  <si>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</si>
  <si>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</si>
  <si>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</si>
  <si>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</si>
  <si>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</si>
  <si>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</si>
  <si>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</si>
  <si>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</si>
  <si>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</si>
  <si>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</si>
  <si>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</si>
  <si>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</si>
  <si>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</si>
  <si>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</si>
  <si>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</si>
  <si>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</si>
  <si>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</si>
  <si>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</si>
  <si>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</si>
  <si>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</si>
  <si>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</si>
  <si>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</si>
  <si>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</si>
  <si>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</si>
  <si>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</si>
  <si>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</si>
  <si>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</si>
  <si>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</si>
  <si>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</si>
  <si>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</si>
  <si>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</si>
  <si>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</si>
  <si>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</si>
  <si>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</si>
  <si>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</si>
  <si>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</si>
  <si>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</si>
  <si>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</si>
  <si>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</si>
  <si>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</si>
  <si>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</si>
  <si>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</si>
  <si>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</si>
  <si>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</si>
  <si>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</si>
  <si>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</si>
  <si>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</si>
  <si>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</si>
  <si>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</si>
  <si>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</si>
  <si>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</si>
  <si>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</si>
  <si>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</si>
  <si>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</si>
  <si>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</si>
  <si>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</si>
  <si>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</si>
  <si>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</si>
  <si>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</si>
  <si>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</si>
  <si>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</si>
  <si>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</si>
  <si>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</si>
  <si>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</si>
  <si>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</si>
  <si>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</si>
  <si>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</si>
  <si>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</si>
  <si>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</si>
  <si>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</si>
  <si>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</si>
  <si>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</si>
  <si>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</si>
  <si>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</si>
  <si>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</si>
  <si>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</si>
  <si>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</si>
  <si>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</si>
  <si>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</si>
  <si>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</si>
  <si>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</si>
  <si>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</si>
  <si>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</si>
  <si>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</si>
  <si>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</si>
  <si>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</si>
  <si>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</si>
  <si>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</si>
  <si>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</si>
  <si>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</si>
  <si>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</si>
  <si>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</si>
  <si>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</si>
  <si>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</si>
  <si>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</si>
  <si>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</si>
  <si>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</si>
  <si>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</si>
  <si>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</si>
  <si>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</si>
  <si>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</si>
  <si>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</si>
  <si>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</si>
  <si>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</si>
  <si>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</si>
  <si>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</si>
  <si>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</si>
  <si>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</si>
  <si>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</si>
  <si>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</si>
  <si>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</si>
  <si>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</si>
  <si>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</si>
  <si>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</si>
  <si>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</si>
  <si>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</si>
  <si>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</si>
  <si>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</si>
  <si>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</si>
  <si>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</si>
  <si>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</si>
  <si>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</si>
  <si>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</si>
  <si>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</si>
  <si>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</si>
  <si>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</si>
  <si>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</si>
  <si>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</si>
  <si>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</si>
  <si>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</si>
  <si>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</si>
  <si>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</si>
  <si>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</si>
  <si>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</si>
  <si>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</si>
  <si>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</si>
  <si>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</si>
  <si>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</si>
  <si>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</si>
  <si>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</si>
  <si>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</si>
  <si>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</si>
  <si>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</si>
  <si>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</si>
  <si>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</si>
  <si>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</si>
  <si>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</si>
  <si>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</si>
  <si>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</si>
  <si>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</si>
  <si>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</si>
  <si>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</si>
  <si>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</si>
  <si>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</si>
  <si>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</si>
  <si>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</si>
  <si>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</si>
  <si>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</si>
  <si>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</si>
  <si>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</si>
  <si>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</si>
  <si>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</si>
  <si>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</si>
  <si>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</si>
  <si>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</si>
  <si>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</si>
  <si>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</si>
  <si>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</si>
  <si>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</si>
  <si>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</si>
  <si>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</si>
  <si>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</si>
  <si>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</si>
  <si>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</si>
  <si>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</si>
  <si>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</si>
  <si>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</si>
  <si>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</si>
  <si>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</si>
  <si>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</si>
  <si>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</si>
  <si>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</si>
  <si>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</si>
  <si>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</si>
  <si>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</si>
  <si>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</si>
  <si>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</si>
  <si>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</si>
  <si>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</si>
  <si>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</si>
  <si>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</si>
  <si>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</si>
  <si>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</si>
  <si>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</si>
  <si>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</si>
  <si>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</si>
  <si>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</si>
  <si>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</si>
  <si>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</si>
  <si>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</si>
  <si>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</si>
  <si>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</si>
  <si>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</si>
  <si>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</si>
  <si>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</si>
  <si>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</si>
  <si>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</si>
  <si>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</si>
  <si>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</si>
  <si>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</si>
  <si>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</si>
  <si>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</si>
  <si>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</si>
  <si>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</si>
  <si>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</si>
  <si>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</si>
  <si>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</si>
  <si>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</si>
  <si>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</si>
  <si>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</si>
  <si>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</si>
  <si>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</si>
  <si>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</si>
  <si>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</si>
  <si>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</si>
  <si>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</si>
  <si>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</si>
  <si>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</si>
  <si>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</si>
  <si>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</si>
  <si>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</si>
  <si>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</si>
  <si>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</si>
  <si>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</si>
  <si>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</si>
  <si>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</si>
  <si>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</si>
  <si>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</si>
  <si>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</si>
  <si>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</si>
  <si>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</si>
  <si>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</si>
  <si>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</si>
  <si>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</si>
  <si>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</si>
  <si>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</si>
  <si>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</si>
  <si>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</si>
  <si>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</si>
  <si>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</si>
  <si>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</si>
  <si>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</si>
  <si>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</si>
  <si>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</si>
  <si>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</si>
  <si>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</si>
  <si>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</si>
  <si>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</si>
  <si>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</si>
  <si>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</si>
  <si>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</si>
  <si>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</si>
  <si>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</si>
  <si>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</si>
  <si>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</si>
  <si>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</si>
  <si>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</si>
  <si>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</si>
  <si>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</si>
  <si>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</si>
  <si>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</si>
  <si>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</si>
  <si>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</si>
  <si>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</si>
  <si>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</si>
  <si>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</si>
  <si>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</si>
  <si>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</si>
  <si>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</si>
  <si>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</si>
  <si>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</si>
  <si>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</si>
  <si>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</si>
  <si>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</si>
  <si>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</si>
  <si>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</si>
  <si>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</si>
  <si>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</si>
  <si>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</si>
  <si>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</si>
  <si>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</si>
  <si>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</si>
  <si>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</si>
  <si>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</si>
  <si>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</si>
  <si>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</si>
  <si>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</si>
  <si>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</si>
  <si>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</si>
  <si>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</si>
  <si>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</si>
  <si>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</si>
  <si>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</si>
  <si>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</si>
  <si>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</si>
  <si>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</si>
  <si>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</si>
  <si>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</si>
  <si>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</si>
  <si>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</si>
  <si>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</si>
  <si>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</si>
  <si>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</si>
  <si>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</si>
  <si>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</si>
  <si>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</si>
  <si>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</si>
  <si>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</si>
  <si>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</si>
  <si>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</si>
  <si>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</si>
  <si>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</si>
  <si>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</si>
  <si>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</si>
  <si>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</si>
  <si>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</si>
  <si>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</si>
  <si>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</si>
  <si>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</si>
  <si>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</si>
  <si>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</si>
  <si>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</si>
  <si>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</si>
  <si>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</si>
  <si>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</si>
  <si>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</si>
  <si>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</si>
  <si>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</si>
  <si>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</si>
  <si>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</si>
  <si>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</si>
  <si>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</si>
  <si>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</si>
  <si>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</si>
  <si>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</si>
  <si>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</si>
  <si>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</si>
  <si>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</si>
  <si>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</si>
  <si>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</si>
  <si>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</si>
  <si>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</si>
  <si>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</si>
  <si>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</si>
  <si>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</si>
  <si>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</si>
  <si>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</si>
  <si>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</si>
  <si>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</si>
  <si>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</si>
  <si>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</si>
  <si>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</si>
  <si>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</si>
  <si>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</si>
  <si>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</si>
  <si>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</si>
  <si>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</si>
  <si>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</si>
  <si>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</si>
  <si>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</si>
  <si>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</si>
  <si>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</si>
  <si>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</si>
  <si>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</si>
  <si>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</si>
  <si>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</si>
  <si>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</si>
  <si>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</si>
  <si>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</si>
  <si>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</si>
  <si>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</si>
  <si>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</si>
  <si>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</si>
  <si>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</si>
  <si>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</si>
  <si>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</si>
  <si>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</si>
  <si>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</si>
  <si>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</si>
  <si>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</si>
  <si>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</si>
  <si>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</si>
  <si>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</si>
  <si>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</si>
  <si>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</si>
  <si>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</si>
  <si>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</si>
  <si>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</si>
  <si>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</si>
  <si>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</si>
  <si>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</si>
  <si>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</si>
  <si>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</si>
  <si>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</si>
  <si>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</si>
  <si>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</si>
  <si>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</si>
  <si>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</si>
  <si>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</si>
  <si>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</si>
  <si>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</si>
  <si>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</si>
  <si>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</si>
  <si>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</si>
  <si>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</si>
  <si>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</si>
  <si>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</si>
  <si>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</si>
  <si>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</si>
  <si>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</si>
  <si>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</si>
  <si>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</si>
  <si>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</si>
  <si>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</si>
  <si>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</si>
  <si>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</si>
  <si>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</si>
  <si>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</si>
  <si>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</si>
  <si>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</si>
  <si>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</si>
  <si>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</si>
  <si>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</si>
  <si>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</si>
  <si>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</si>
  <si>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</si>
  <si>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</si>
  <si>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</si>
  <si>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</si>
  <si>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</si>
  <si>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</si>
  <si>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</si>
  <si>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</si>
  <si>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</si>
  <si>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</si>
  <si>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</si>
  <si>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</si>
  <si>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</si>
  <si>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</si>
  <si>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</si>
  <si>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</si>
  <si>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</si>
  <si>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</si>
  <si>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</si>
  <si>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</si>
  <si>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</si>
  <si>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</si>
  <si>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</si>
  <si>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</si>
  <si>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</si>
  <si>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</si>
  <si>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</si>
  <si>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</si>
  <si>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</si>
  <si>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</si>
  <si>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</si>
  <si>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</si>
  <si>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</si>
  <si>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</si>
  <si>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</si>
  <si>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</si>
  <si>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</si>
  <si>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</si>
  <si>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</si>
  <si>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</si>
  <si>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</si>
  <si>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</si>
  <si>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</si>
  <si>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</si>
  <si>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</si>
  <si>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</si>
  <si>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</si>
  <si>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</si>
  <si>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</si>
  <si>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</si>
  <si>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</si>
  <si>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</si>
  <si>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</si>
  <si>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</si>
  <si>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</si>
  <si>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</si>
  <si>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</si>
  <si>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</si>
  <si>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</si>
  <si>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</si>
  <si>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</si>
  <si>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</si>
  <si>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</si>
  <si>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</si>
  <si>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</si>
  <si>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</si>
  <si>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</si>
  <si>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</si>
  <si>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</si>
  <si>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</si>
  <si>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</si>
  <si>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</si>
  <si>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</si>
  <si>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</si>
  <si>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</si>
  <si>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</si>
  <si>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</si>
  <si>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</si>
  <si>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</si>
  <si>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</si>
  <si>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</si>
  <si>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</si>
  <si>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</si>
  <si>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</si>
  <si>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</si>
  <si>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</si>
  <si>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</si>
  <si>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</si>
  <si>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</si>
  <si>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</si>
  <si>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</si>
  <si>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</si>
  <si>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</si>
  <si>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</si>
  <si>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</si>
  <si>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</si>
  <si>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</si>
  <si>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</si>
  <si>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</si>
  <si>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</si>
  <si>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</si>
  <si>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</si>
  <si>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</si>
  <si>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</si>
  <si>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</si>
  <si>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</si>
  <si>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</si>
  <si>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</si>
  <si>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</si>
  <si>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</si>
  <si>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</si>
  <si>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</si>
  <si>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</si>
  <si>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</si>
  <si>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</si>
  <si>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</si>
  <si>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</si>
  <si>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</si>
  <si>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</si>
  <si>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</si>
  <si>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</si>
  <si>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</si>
  <si>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</si>
  <si>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</si>
  <si>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</si>
  <si>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</si>
  <si>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</si>
  <si>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</si>
  <si>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</si>
  <si>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</si>
  <si>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</si>
  <si>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</si>
  <si>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</si>
  <si>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</si>
  <si>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</si>
  <si>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</si>
  <si>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</si>
  <si>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</si>
  <si>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</si>
  <si>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</si>
  <si>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</si>
  <si>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</si>
  <si>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</si>
  <si>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</si>
  <si>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</si>
  <si>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</si>
  <si>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</si>
  <si>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</si>
  <si>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</si>
  <si>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</si>
  <si>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</si>
  <si>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</si>
  <si>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</si>
  <si>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</si>
  <si>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</si>
  <si>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</si>
  <si>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</si>
  <si>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</si>
  <si>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</si>
  <si>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</si>
  <si>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</si>
  <si>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</si>
  <si>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</si>
  <si>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</si>
  <si>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</si>
  <si>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</si>
  <si>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</si>
  <si>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</si>
  <si>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</si>
  <si>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</si>
  <si>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</si>
  <si>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</si>
  <si>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</si>
  <si>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</si>
  <si>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</si>
  <si>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</si>
  <si>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</si>
  <si>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</si>
  <si>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</si>
  <si>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</si>
  <si>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</si>
  <si>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</si>
  <si>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</si>
  <si>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</si>
  <si>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</si>
  <si>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</si>
  <si>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</si>
  <si>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</si>
  <si>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</si>
  <si>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</si>
  <si>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</si>
  <si>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</si>
  <si>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</si>
  <si>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</si>
  <si>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</si>
  <si>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</si>
  <si>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</si>
  <si>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</si>
  <si>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</si>
  <si>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</si>
  <si>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</si>
  <si>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</si>
  <si>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</si>
  <si>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</si>
  <si>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</si>
  <si>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</si>
  <si>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</si>
  <si>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</si>
  <si>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</si>
  <si>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</si>
  <si>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</si>
  <si>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</si>
  <si>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</si>
  <si>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</si>
  <si>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</si>
  <si>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</si>
  <si>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</si>
  <si>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</si>
  <si>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</si>
  <si>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</si>
  <si>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</si>
  <si>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</si>
  <si>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</si>
  <si>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</si>
  <si>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Sum of backers_count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</si>
  <si>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</si>
  <si>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</si>
  <si>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</si>
  <si>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</si>
  <si>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</si>
  <si>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</si>
  <si>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</si>
  <si>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</si>
  <si>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</si>
  <si>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</si>
  <si>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</si>
  <si>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</si>
  <si>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</si>
  <si>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</si>
  <si>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</si>
  <si>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</si>
  <si>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</si>
  <si>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</si>
  <si>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</si>
  <si>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</si>
  <si>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</si>
  <si>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</si>
  <si>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</si>
  <si>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</si>
  <si>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(All)</t>
  </si>
  <si>
    <t>Column Labels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</si>
  <si>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</si>
  <si>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</si>
  <si>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</si>
  <si>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</si>
  <si>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</si>
  <si>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</si>
  <si>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</si>
  <si>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</si>
  <si>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</si>
  <si>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</si>
  <si>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</si>
  <si>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</si>
  <si>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</si>
  <si>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</si>
  <si>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</si>
  <si>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</si>
  <si>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</si>
  <si>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</si>
  <si>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</si>
  <si>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</si>
  <si>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</si>
  <si>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</si>
  <si>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</si>
  <si>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</si>
  <si>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1,000</t>
  </si>
  <si>
    <t>1,000 to 4,999</t>
  </si>
  <si>
    <t>5,000 to 9,999</t>
  </si>
  <si>
    <t>10,000 to 14,999</t>
  </si>
  <si>
    <t>15,000 to 19,999</t>
  </si>
  <si>
    <t>20,000 to 24,999</t>
  </si>
  <si>
    <t>25,000 to 29,999</t>
  </si>
  <si>
    <t>30,000 to 34,999</t>
  </si>
  <si>
    <t>35,000 to 39,999</t>
  </si>
  <si>
    <t>40,000 to 44,999</t>
  </si>
  <si>
    <t>45,000 to 49,999</t>
  </si>
  <si>
    <t>Greater than or equal to 50,000</t>
  </si>
  <si>
    <t>Average of backers_count</t>
  </si>
  <si>
    <t>count</t>
  </si>
  <si>
    <t>mean</t>
  </si>
  <si>
    <t>median</t>
  </si>
  <si>
    <t>All</t>
  </si>
  <si>
    <t>Median backers count</t>
  </si>
  <si>
    <t>minimum</t>
  </si>
  <si>
    <t>Min of backers_count</t>
  </si>
  <si>
    <t>maximum</t>
  </si>
  <si>
    <t>Max of backers_count</t>
  </si>
  <si>
    <t>variance</t>
  </si>
  <si>
    <t>StdDevp of backers_count</t>
  </si>
  <si>
    <t>standard deviation</t>
  </si>
  <si>
    <t>measure</t>
  </si>
  <si>
    <t>succesful</t>
  </si>
  <si>
    <t>Varp of backers_count</t>
  </si>
  <si>
    <t>version 3</t>
  </si>
  <si>
    <t>version 1</t>
  </si>
  <si>
    <t>version 2</t>
  </si>
  <si>
    <t>mode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</si>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</sst>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_-* #,##0_-;\-* #,##0_-;_-* &quot;-&quot;??_-;_-@_-"/>
    <numFmt numFmtId="166" formatCode="#,##0.00_ ;[Red]\-#,##0.00\ "/>
    <numFmt numFmtId="168" formatCode="#,##0_ ;[Red]\-#,##0\ 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16" fillId="35" borderId="0" xfId="0" applyFont="1" applyFill="1" applyAlignment="1">
      <alignment horizontal="center"/>
    </xf>
    <xf numFmtId="9" fontId="0" fillId="0" borderId="0" xfId="43" applyFont="1"/>
    <xf numFmtId="165" fontId="0" fillId="0" borderId="0" xfId="42" applyNumberFormat="1" applyFont="1"/>
    <xf numFmtId="166" fontId="0" fillId="0" borderId="0" xfId="42" applyNumberFormat="1" applyFon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6" fillId="0" borderId="0" xfId="0" applyFont="1"/>
    <xf numFmtId="168" fontId="0" fillId="0" borderId="0" xfId="0" applyNumberFormat="1"/>
    <xf numFmtId="3" fontId="0" fillId="0" borderId="0" xfId="0" applyNumberFormat="1"/>
    <xf numFmtId="0" fontId="0" fillId="36" borderId="0" xfId="0" applyFill="1"/>
    <xf numFmtId="165" fontId="0" fillId="0" borderId="10" xfId="0" applyNumberFormat="1" applyBorder="1"/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0" fillId="0" borderId="13" xfId="0" applyBorder="1"/>
    <xf numFmtId="0" fontId="16" fillId="0" borderId="13" xfId="0" applyFont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43" fontId="0" fillId="0" borderId="0" xfId="42" applyFont="1" applyBorder="1"/>
    <xf numFmtId="165" fontId="0" fillId="0" borderId="0" xfId="42" applyNumberFormat="1" applyFont="1" applyBorder="1"/>
    <xf numFmtId="0" fontId="0" fillId="34" borderId="0" xfId="0" applyFill="1"/>
    <xf numFmtId="0" fontId="16" fillId="0" borderId="0" xfId="0" applyFont="1" applyBorder="1"/>
    <xf numFmtId="0" fontId="18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10" xfId="42" applyNumberFormat="1" applyFont="1" applyBorder="1"/>
    <xf numFmtId="0" fontId="19" fillId="0" borderId="0" xfId="0" applyFont="1"/>
    <xf numFmtId="0" fontId="19" fillId="34" borderId="0" xfId="0" applyFont="1" applyFill="1"/>
    <xf numFmtId="0" fontId="19" fillId="0" borderId="0" xfId="0" pivotButton="1" applyFont="1"/>
    <xf numFmtId="0" fontId="19" fillId="0" borderId="11" xfId="0" applyFont="1" applyBorder="1"/>
    <xf numFmtId="0" fontId="19" fillId="0" borderId="0" xfId="0" applyFont="1" applyAlignment="1">
      <alignment horizontal="left"/>
    </xf>
    <xf numFmtId="168" fontId="19" fillId="0" borderId="0" xfId="0" applyNumberFormat="1" applyFont="1"/>
    <xf numFmtId="165" fontId="19" fillId="0" borderId="0" xfId="42" applyNumberFormat="1" applyFont="1"/>
    <xf numFmtId="165" fontId="19" fillId="0" borderId="10" xfId="0" applyNumberFormat="1" applyFont="1" applyBorder="1"/>
    <xf numFmtId="0" fontId="19" fillId="33" borderId="0" xfId="0" applyFont="1" applyFill="1"/>
    <xf numFmtId="0" fontId="18" fillId="0" borderId="0" xfId="0" applyFont="1" applyFill="1" applyBorder="1"/>
    <xf numFmtId="0" fontId="0" fillId="0" borderId="0" xfId="0" applyFill="1" applyBorder="1"/>
    <xf numFmtId="0" fontId="20" fillId="0" borderId="0" xfId="0" applyFont="1"/>
    <xf numFmtId="0" fontId="0" fillId="34" borderId="0" xfId="0" applyFill="1" applyBorder="1"/>
    <xf numFmtId="0" fontId="0" fillId="33" borderId="0" xfId="0" applyFill="1" applyBorder="1"/>
    <xf numFmtId="9" fontId="0" fillId="0" borderId="0" xfId="43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9"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</dxfs>
  <tableStyles count="0" defaultTableStyle="TableStyleMedium2" defaultPivotStyle="PivotStyleLight16"/>
  <colors>
    <mruColors>
      <color rgb="FF1681DA"/>
      <color rgb="FF57E04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[V2_CrowdfundingBook.xlsx]Sheet1!PivotTable2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8-467F-A5A8-9EE711C9D80C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98-467F-A5A8-9EE711C9D80C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98-467F-A5A8-9EE711C9D80C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98-467F-A5A8-9EE711C9D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96031279"/>
        <c:axId val="1601600255"/>
      </c:barChart>
      <c:catAx>
        <c:axId val="159603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600255"/>
        <c:crosses val="autoZero"/>
        <c:auto val="1"/>
        <c:lblAlgn val="ctr"/>
        <c:lblOffset val="100"/>
        <c:noMultiLvlLbl val="0"/>
      </c:catAx>
      <c:valAx>
        <c:axId val="160160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03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[V2_CrowdfundingBook.xlsx]Sheet2!PivotTable3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2E-402F-B11E-6B0AF8FCA81B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2E-402F-B11E-6B0AF8FCA81B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2E-402F-B11E-6B0AF8FCA81B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2E-402F-B11E-6B0AF8FCA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75941983"/>
        <c:axId val="1601614143"/>
      </c:barChart>
      <c:catAx>
        <c:axId val="107594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614143"/>
        <c:crosses val="autoZero"/>
        <c:auto val="1"/>
        <c:lblAlgn val="ctr"/>
        <c:lblOffset val="100"/>
        <c:noMultiLvlLbl val="0"/>
      </c:catAx>
      <c:valAx>
        <c:axId val="160161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94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[V2_CrowdfundingBook.xlsx]Sheet3!PivotTable4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11-44AD-91A3-D3C8DF5C9389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11-44AD-91A3-D3C8DF5C9389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11-44AD-91A3-D3C8DF5C9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8355855"/>
        <c:axId val="1601617119"/>
      </c:lineChart>
      <c:catAx>
        <c:axId val="193835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617119"/>
        <c:crosses val="autoZero"/>
        <c:auto val="1"/>
        <c:lblAlgn val="ctr"/>
        <c:lblOffset val="100"/>
        <c:noMultiLvlLbl val="0"/>
      </c:catAx>
      <c:valAx>
        <c:axId val="160161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35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7A-485C-BF20-4F8089F21389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7A-485C-BF20-4F8089F21389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7A-485C-BF20-4F8089F21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363808"/>
        <c:axId val="538885056"/>
      </c:lineChart>
      <c:catAx>
        <c:axId val="63136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85056"/>
        <c:crosses val="autoZero"/>
        <c:auto val="1"/>
        <c:lblAlgn val="ctr"/>
        <c:lblOffset val="100"/>
        <c:noMultiLvlLbl val="0"/>
      </c:catAx>
      <c:valAx>
        <c:axId val="53888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36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Measures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'statistical analysis'!$O$6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'statistical analysis'!$P$5:$Q$5</c:f>
              <c:strCache>
                <c:ptCount val="2"/>
                <c:pt idx="0">
                  <c:v>succesful</c:v>
                </c:pt>
                <c:pt idx="1">
                  <c:v>failed</c:v>
                </c:pt>
              </c:strCache>
            </c:strRef>
          </c:cat>
          <c:val>
            <c:numRef>
              <c:f>'statistical analysis'!$P$6:$Q$6</c:f>
              <c:numCache>
                <c:formatCode>General</c:formatCode>
                <c:ptCount val="2"/>
                <c:pt idx="0">
                  <c:v>16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1-46A9-94FC-237825846E60}"/>
            </c:ext>
          </c:extLst>
        </c:ser>
        <c:ser>
          <c:idx val="1"/>
          <c:order val="1"/>
          <c:tx>
            <c:strRef>
              <c:f>'statistical analysis'!$O$7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'statistical analysis'!$P$5:$Q$5</c:f>
              <c:strCache>
                <c:ptCount val="2"/>
                <c:pt idx="0">
                  <c:v>succesful</c:v>
                </c:pt>
                <c:pt idx="1">
                  <c:v>failed</c:v>
                </c:pt>
              </c:strCache>
            </c:strRef>
          </c:cat>
          <c:val>
            <c:numRef>
              <c:f>'statistical analysis'!$P$7:$Q$7</c:f>
              <c:numCache>
                <c:formatCode>General</c:formatCode>
                <c:ptCount val="2"/>
                <c:pt idx="0">
                  <c:v>201</c:v>
                </c:pt>
                <c:pt idx="1">
                  <c:v>114.5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1-46A9-94FC-237825846E60}"/>
            </c:ext>
          </c:extLst>
        </c:ser>
        <c:ser>
          <c:idx val="2"/>
          <c:order val="2"/>
          <c:tx>
            <c:strRef>
              <c:f>'statistical analysis'!$O$8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'statistical analysis'!$P$5:$Q$5</c:f>
              <c:strCache>
                <c:ptCount val="2"/>
                <c:pt idx="0">
                  <c:v>succesful</c:v>
                </c:pt>
                <c:pt idx="1">
                  <c:v>failed</c:v>
                </c:pt>
              </c:strCache>
            </c:strRef>
          </c:cat>
          <c:val>
            <c:numRef>
              <c:f>'statistical analysis'!$P$8:$Q$8</c:f>
              <c:numCache>
                <c:formatCode>_(* #,##0.00_);_(* \(#,##0.00\);_(* "-"??_);_(@_)</c:formatCode>
                <c:ptCount val="2"/>
                <c:pt idx="0">
                  <c:v>851.14690265486729</c:v>
                </c:pt>
                <c:pt idx="1">
                  <c:v>585.61538461538464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31-46A9-94FC-237825846E60}"/>
            </c:ext>
          </c:extLst>
        </c:ser>
        <c:ser>
          <c:idx val="3"/>
          <c:order val="3"/>
          <c:tx>
            <c:strRef>
              <c:f>'statistical analysis'!$O$9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'statistical analysis'!$P$5:$Q$5</c:f>
              <c:strCache>
                <c:ptCount val="2"/>
                <c:pt idx="0">
                  <c:v>succesful</c:v>
                </c:pt>
                <c:pt idx="1">
                  <c:v>failed</c:v>
                </c:pt>
              </c:strCache>
            </c:strRef>
          </c:cat>
          <c:val>
            <c:numRef>
              <c:f>'statistical analysis'!$P$9:$Q$9</c:f>
              <c:numCache>
                <c:formatCode>_-* #,##0_-;\-* #,##0_-;_-* "-"??_-;_-@_-</c:formatCode>
                <c:ptCount val="2"/>
                <c:pt idx="0">
                  <c:v>7295</c:v>
                </c:pt>
                <c:pt idx="1">
                  <c:v>6080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31-46A9-94FC-237825846E60}"/>
            </c:ext>
          </c:extLst>
        </c:ser>
        <c:ser>
          <c:idx val="4"/>
          <c:order val="4"/>
          <c:tx>
            <c:strRef>
              <c:f>'statistical analysis'!$O$10</c:f>
              <c:strCache>
                <c:ptCount val="1"/>
                <c:pt idx="0">
                  <c:v>standard deviation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'statistical analysis'!$P$5:$Q$5</c:f>
              <c:strCache>
                <c:ptCount val="2"/>
                <c:pt idx="0">
                  <c:v>succesful</c:v>
                </c:pt>
                <c:pt idx="1">
                  <c:v>failed</c:v>
                </c:pt>
              </c:strCache>
            </c:strRef>
          </c:cat>
          <c:val>
            <c:numRef>
              <c:f>'statistical analysis'!$P$10:$Q$10</c:f>
              <c:numCache>
                <c:formatCode>_-* #,##0_-;\-* #,##0_-;_-* "-"??_-;_-@_-</c:formatCode>
                <c:ptCount val="2"/>
                <c:pt idx="0">
                  <c:v>1266.2439466397898</c:v>
                </c:pt>
                <c:pt idx="1">
                  <c:v>959.98681331637863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31-46A9-94FC-237825846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655600"/>
        <c:axId val="1849865391"/>
      </c:barChart>
      <c:catAx>
        <c:axId val="51665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65391"/>
        <c:crosses val="autoZero"/>
        <c:auto val="1"/>
        <c:lblAlgn val="ctr"/>
        <c:lblOffset val="100"/>
        <c:noMultiLvlLbl val="0"/>
      </c:catAx>
      <c:valAx>
        <c:axId val="184986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5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succesful ouctome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succesful ouctome</a:t>
          </a:r>
        </a:p>
      </cx:txPr>
    </cx:title>
    <cx:plotArea>
      <cx:plotAreaRegion>
        <cx:series layoutId="boxWhisker" uniqueId="{0CD19889-5933-43B3-8EF6-F3FB73FC0F1A}">
          <cx:tx>
            <cx:txData>
              <cx:f>_xlchart.v1.2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failed outcome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AU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failed outcome</a:t>
          </a:r>
        </a:p>
      </cx:txPr>
    </cx:title>
    <cx:plotArea>
      <cx:plotAreaRegion>
        <cx:series layoutId="boxWhisker" uniqueId="{67C97523-E3C3-4E48-968E-540CB6DF8AA6}">
          <cx:tx>
            <cx:txData>
              <cx:f>_xlchart.v1.4</cx:f>
              <cx:v>backers_count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 max="8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4</xdr:row>
      <xdr:rowOff>47625</xdr:rowOff>
    </xdr:from>
    <xdr:to>
      <xdr:col>16</xdr:col>
      <xdr:colOff>214312</xdr:colOff>
      <xdr:row>24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90A3D8-0EC4-6A25-BFD5-5020BD513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4</xdr:row>
      <xdr:rowOff>142874</xdr:rowOff>
    </xdr:from>
    <xdr:to>
      <xdr:col>20</xdr:col>
      <xdr:colOff>9525</xdr:colOff>
      <xdr:row>32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4829E7-615E-209E-AE4A-9DB6D1BC5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538162</xdr:colOff>
      <xdr:row>3</xdr:row>
      <xdr:rowOff>166687</xdr:rowOff>
    </xdr:from>
    <xdr:to>
      <xdr:col>16</xdr:col>
      <xdr:colOff>342900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CC80F3-6DB7-43CC-BCE2-BB7377A3F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419101</xdr:colOff>
      <xdr:row>1</xdr:row>
      <xdr:rowOff>76200</xdr:rowOff>
    </xdr:from>
    <xdr:to>
      <xdr:col>13</xdr:col>
      <xdr:colOff>228601</xdr:colOff>
      <xdr:row>22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D76B91-DA9B-FAAA-ED2F-EE15B643E5AD}"/>
            </a:ext>
          </a:extLst>
        </xdr:cNvPr>
        <xdr:cNvSpPr txBox="1"/>
      </xdr:nvSpPr>
      <xdr:spPr>
        <a:xfrm>
          <a:off x="419101" y="276225"/>
          <a:ext cx="8724900" cy="431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Part 1</a:t>
          </a:r>
        </a:p>
        <a:p>
          <a:endParaRPr lang="en-AU" sz="1100"/>
        </a:p>
        <a:p>
          <a:r>
            <a:rPr lang="en-AU" sz="1100"/>
            <a:t>1. conclusions about crowdfunding campaign</a:t>
          </a:r>
        </a:p>
        <a:p>
          <a:r>
            <a:rPr lang="en-AU" sz="1100"/>
            <a:t> - most succesful</a:t>
          </a:r>
          <a:r>
            <a:rPr lang="en-AU" sz="1100" baseline="0"/>
            <a:t> appear to be theatre plays, with indication as to what audiences are reached</a:t>
          </a:r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r>
            <a:rPr lang="en-AU" sz="1100"/>
            <a:t>2.</a:t>
          </a:r>
          <a:r>
            <a:rPr lang="en-AU" sz="1100" baseline="0"/>
            <a:t> Limitations of data set</a:t>
          </a:r>
        </a:p>
        <a:p>
          <a:r>
            <a:rPr lang="en-AU" sz="1100" baseline="0"/>
            <a:t> - additing all multiple currencies together. No exchange rate to bring all to same denominator</a:t>
          </a:r>
        </a:p>
        <a:p>
          <a:r>
            <a:rPr lang="en-AU" sz="1100" baseline="0"/>
            <a:t> - no information on $ actually collected, not necessary equal to pledged</a:t>
          </a:r>
        </a:p>
        <a:p>
          <a:r>
            <a:rPr lang="en-AU" sz="1100" baseline="0"/>
            <a:t> - uncler categories, some maybe combination</a:t>
          </a:r>
        </a:p>
        <a:p>
          <a:r>
            <a:rPr lang="en-AU" sz="1100" baseline="0"/>
            <a:t>  - lack of information of preferences by country</a:t>
          </a:r>
        </a:p>
        <a:p>
          <a:r>
            <a:rPr lang="en-AU" sz="1100" baseline="0"/>
            <a:t> - lack of information of level of organisation / professionalism of campaign organiser</a:t>
          </a:r>
        </a:p>
        <a:p>
          <a:endParaRPr lang="en-AU" sz="1100" baseline="0"/>
        </a:p>
        <a:p>
          <a:endParaRPr lang="en-AU" sz="1100" baseline="0"/>
        </a:p>
        <a:p>
          <a:endParaRPr lang="en-AU" sz="1100" baseline="0"/>
        </a:p>
        <a:p>
          <a:endParaRPr lang="en-AU" sz="1100" baseline="0"/>
        </a:p>
        <a:p>
          <a:r>
            <a:rPr lang="en-AU" sz="1100" baseline="0"/>
            <a:t>3. other possible tables and graphs to include</a:t>
          </a:r>
        </a:p>
        <a:p>
          <a:r>
            <a:rPr lang="en-AU" sz="1100" baseline="0"/>
            <a:t> - already produced tables per currency</a:t>
          </a:r>
        </a:p>
        <a:p>
          <a:r>
            <a:rPr lang="en-AU" sz="1100" baseline="0"/>
            <a:t> - statistical analysis for 1. seasonal variation, 2. correlation (i.e. campaign funding % vs outcome,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campaign funding % vs number of backers</a:t>
          </a:r>
          <a:r>
            <a:rPr lang="en-AU" sz="1100" baseline="0"/>
            <a:t>)</a:t>
          </a:r>
        </a:p>
        <a:p>
          <a:r>
            <a:rPr lang="en-AU" sz="1100" baseline="0"/>
            <a:t> - analysis by campaign type</a:t>
          </a:r>
        </a:p>
        <a:p>
          <a:r>
            <a:rPr lang="en-AU" sz="1100" baseline="0"/>
            <a:t> - average / min / max donation per country and/or category</a:t>
          </a:r>
        </a:p>
        <a:p>
          <a:r>
            <a:rPr lang="en-AU" sz="1100" baseline="0"/>
            <a:t> - $ spend per type of campaign for each outcome</a:t>
          </a:r>
          <a:endParaRPr lang="en-AU" sz="1100"/>
        </a:p>
      </xdr:txBody>
    </xdr:sp>
    <xdr:clientData/>
  </xdr:twoCellAnchor>
  <xdr:twoCellAnchor>
    <xdr:from>
      <xdr:col>0</xdr:col>
      <xdr:colOff>400050</xdr:colOff>
      <xdr:row>24</xdr:row>
      <xdr:rowOff>38100</xdr:rowOff>
    </xdr:from>
    <xdr:to>
      <xdr:col>13</xdr:col>
      <xdr:colOff>209550</xdr:colOff>
      <xdr:row>45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24ABD01-8334-457A-BFDF-FF0124E19FBB}"/>
            </a:ext>
          </a:extLst>
        </xdr:cNvPr>
        <xdr:cNvSpPr txBox="1"/>
      </xdr:nvSpPr>
      <xdr:spPr>
        <a:xfrm>
          <a:off x="400050" y="4838700"/>
          <a:ext cx="8724900" cy="431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Part 2</a:t>
          </a:r>
        </a:p>
        <a:p>
          <a:endParaRPr lang="en-AU" sz="1100"/>
        </a:p>
        <a:p>
          <a:r>
            <a:rPr lang="en-AU" sz="1100"/>
            <a:t>Both mean and median are useful in decribing</a:t>
          </a:r>
          <a:r>
            <a:rPr lang="en-AU" sz="1100" baseline="0"/>
            <a:t> the data in this example with mean and median indicating asymetrical distribution  - for both analysed outcomes.</a:t>
          </a:r>
        </a:p>
        <a:p>
          <a:r>
            <a:rPr lang="en-AU" sz="1100" baseline="0"/>
            <a:t>Combined with mode, median and mean will indicare symetrical, negatively skewed or positively skewed distribution.</a:t>
          </a:r>
        </a:p>
        <a:p>
          <a:endParaRPr lang="en-AU" sz="1100"/>
        </a:p>
        <a:p>
          <a:r>
            <a:rPr lang="en-AU" sz="1100"/>
            <a:t>There</a:t>
          </a:r>
          <a:r>
            <a:rPr lang="en-AU" sz="1100" baseline="0"/>
            <a:t> is more variability with succesful campaigns overall but to understant it better, more breakdown view is needed.</a:t>
          </a:r>
        </a:p>
        <a:p>
          <a:r>
            <a:rPr lang="en-AU" sz="1100" baseline="0"/>
            <a:t>A "bonus"tab indicates that most succesful and less risky campaigns were of medium size.</a:t>
          </a:r>
        </a:p>
        <a:p>
          <a:r>
            <a:rPr lang="en-AU" sz="1100" baseline="0"/>
            <a:t>Also, failed campaigns may have been affected by othr factors, i.e. backers and funding withdrawing early.</a:t>
          </a:r>
        </a:p>
        <a:p>
          <a:endParaRPr lang="en-AU" sz="1100" baseline="0"/>
        </a:p>
        <a:p>
          <a:r>
            <a:rPr lang="en-AU" sz="1100" baseline="0"/>
            <a:t>Journalism shows lest failures. Compared across all nine categories, journalism has highest median and minimum, as well as lowest mean, maximum, variance and standard deviation. </a:t>
          </a:r>
        </a:p>
        <a:p>
          <a:r>
            <a:rPr lang="en-AU" sz="1100" baseline="0"/>
            <a:t>This may indicate better preparation and execution of campaign strategy.</a:t>
          </a:r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486833</xdr:colOff>
      <xdr:row>16</xdr:row>
      <xdr:rowOff>62441</xdr:rowOff>
    </xdr:from>
    <xdr:to>
      <xdr:col>7</xdr:col>
      <xdr:colOff>1164166</xdr:colOff>
      <xdr:row>31</xdr:row>
      <xdr:rowOff>52916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64FE8E-E022-B0E9-9C38-C30B2F7DB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10582</xdr:colOff>
      <xdr:row>38</xdr:row>
      <xdr:rowOff>51857</xdr:rowOff>
    </xdr:from>
    <xdr:to>
      <xdr:col>36</xdr:col>
      <xdr:colOff>666749</xdr:colOff>
      <xdr:row>55</xdr:row>
      <xdr:rowOff>74083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037C59C-566E-BECA-D371-229C8904D6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13082" y="7714190"/>
              <a:ext cx="6847417" cy="34406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10583</xdr:colOff>
      <xdr:row>20</xdr:row>
      <xdr:rowOff>189442</xdr:rowOff>
    </xdr:from>
    <xdr:to>
      <xdr:col>36</xdr:col>
      <xdr:colOff>677334</xdr:colOff>
      <xdr:row>37</xdr:row>
      <xdr:rowOff>179917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4664670-5AB2-2DEF-2463-1E2E4024EA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64916" y="3819525"/>
              <a:ext cx="6858001" cy="34088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21167</xdr:colOff>
      <xdr:row>3</xdr:row>
      <xdr:rowOff>30690</xdr:rowOff>
    </xdr:from>
    <xdr:to>
      <xdr:col>36</xdr:col>
      <xdr:colOff>592667</xdr:colOff>
      <xdr:row>19</xdr:row>
      <xdr:rowOff>105832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C87E56-D8EE-FB74-3B31-C516F1A67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rena Duda" refreshedDate="45254.969185879629" createdVersion="8" refreshedVersion="8" minRefreshableVersion="3" recordCount="1000" xr:uid="{5F9DF86B-E898-4FDA-A860-6D8C6E5BDBEF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5">
      <sharedItems containsSemiMixedTypes="0" containsString="0" containsNumber="1" containsInteger="1" minValue="100" maxValue="199200"/>
    </cacheField>
    <cacheField name="pledged" numFmtId="165">
      <sharedItems containsSemiMixedTypes="0" containsString="0" containsNumber="1" containsInteger="1" minValue="0" maxValue="199110"/>
    </cacheField>
    <cacheField name="Percent Funded" numFmtId="165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166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Irena Duda" refreshedDate="45255.875984837963" backgroundQuery="1" createdVersion="8" refreshedVersion="8" minRefreshableVersion="3" recordCount="0" supportSubquery="1" supportAdvancedDrill="1" xr:uid="{00274600-6213-4E6A-9774-ACAD3D4B0F1A}">
  <cacheSource type="external" connectionId="1"/>
  <cacheFields count="5">
    <cacheField name="[Range].[Parent Category].[Parent Category]" caption="Parent Category" numFmtId="0" hierarchy="18" level="1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  <extLst>
        <ext xmlns:x15="http://schemas.microsoft.com/office/spreadsheetml/2010/11/main" uri="{4F2E5C28-24EA-4eb8-9CBF-B6C8F9C3D259}">
          <x15:cachedUniqueNames>
            <x15:cachedUniqueName index="0" name="[Range].[Parent Category].&amp;[film &amp; video]"/>
            <x15:cachedUniqueName index="1" name="[Range].[Parent Category].&amp;[food]"/>
            <x15:cachedUniqueName index="2" name="[Range].[Parent Category].&amp;[games]"/>
            <x15:cachedUniqueName index="3" name="[Range].[Parent Category].&amp;[journalism]"/>
            <x15:cachedUniqueName index="4" name="[Range].[Parent Category].&amp;[music]"/>
            <x15:cachedUniqueName index="5" name="[Range].[Parent Category].&amp;[photography]"/>
            <x15:cachedUniqueName index="6" name="[Range].[Parent Category].&amp;[publishing]"/>
            <x15:cachedUniqueName index="7" name="[Range].[Parent Category].&amp;[technology]"/>
            <x15:cachedUniqueName index="8" name="[Range].[Parent Category].&amp;[theater]"/>
          </x15:cachedUniqueNames>
        </ext>
      </extLst>
    </cacheField>
    <cacheField name="[Range].[outcome].[outcome]" caption="outcome" numFmtId="0" hierarchy="6" level="1">
      <sharedItems count="2">
        <s v="failed"/>
        <s v="successful"/>
      </sharedItems>
      <extLst>
        <ext xmlns:x15="http://schemas.microsoft.com/office/spreadsheetml/2010/11/main" uri="{4F2E5C28-24EA-4eb8-9CBF-B6C8F9C3D259}">
          <x15:cachedUniqueNames>
            <x15:cachedUniqueName index="0" name="[Range].[outcome].&amp;[failed]"/>
            <x15:cachedUniqueName index="1" name="[Range].[outcome].&amp;[successful]"/>
          </x15:cachedUniqueNames>
        </ext>
      </extLst>
    </cacheField>
    <cacheField name="[Range].[country].[country]" caption="country" numFmtId="0" hierarchy="9" level="1">
      <sharedItems containsSemiMixedTypes="0" containsNonDate="0" containsString="0"/>
    </cacheField>
    <cacheField name="[Range].[currency].[currency]" caption="currency" numFmtId="0" hierarchy="10" level="1">
      <sharedItems containsSemiMixedTypes="0" containsNonDate="0" containsString="0"/>
    </cacheField>
    <cacheField name="[Measures].[Median backers count]" caption="Median backers count" numFmtId="0" hierarchy="21" level="32767"/>
  </cacheFields>
  <cacheHierarchies count="24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currency]" caption="currency" attribute="1" defaultMemberUniqueName="[Range].[currency].[All]" allUniqueName="[Range].[currenc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Measures].[Sum of backers_count]" caption="Sum of backers_count" measure="1" displayFolder="" measureGroup="Range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Median backers count]" caption="Median backers count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n v="0"/>
    <x v="0"/>
    <x v="0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x v="1"/>
    <n v="92.151898734177209"/>
    <x v="1"/>
    <x v="1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x v="2"/>
    <n v="100.01614035087719"/>
    <x v="2"/>
    <x v="2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x v="3"/>
    <n v="103.20833333333333"/>
    <x v="1"/>
    <x v="1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x v="4"/>
    <n v="99.339622641509436"/>
    <x v="1"/>
    <x v="1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x v="5"/>
    <n v="75.833333333333329"/>
    <x v="3"/>
    <x v="3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x v="6"/>
    <n v="60.555555555555557"/>
    <x v="4"/>
    <x v="4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x v="7"/>
    <n v="64.93832599118943"/>
    <x v="3"/>
    <x v="3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x v="8"/>
    <n v="30.997175141242938"/>
    <x v="3"/>
    <x v="3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x v="9"/>
    <n v="72.909090909090907"/>
    <x v="1"/>
    <x v="1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x v="10"/>
    <n v="62.9"/>
    <x v="1"/>
    <x v="1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x v="11"/>
    <n v="112.22222222222223"/>
    <x v="1"/>
    <x v="1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x v="12"/>
    <n v="102.34545454545454"/>
    <x v="1"/>
    <x v="1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x v="13"/>
    <n v="105.05102040816327"/>
    <x v="1"/>
    <x v="1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x v="14"/>
    <n v="94.144999999999996"/>
    <x v="1"/>
    <x v="1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x v="15"/>
    <n v="84.986725663716811"/>
    <x v="1"/>
    <x v="1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x v="16"/>
    <n v="110.41"/>
    <x v="1"/>
    <x v="1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x v="17"/>
    <n v="107.96236989591674"/>
    <x v="1"/>
    <x v="1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x v="18"/>
    <n v="45.103703703703701"/>
    <x v="1"/>
    <x v="1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x v="19"/>
    <n v="45.001483679525222"/>
    <x v="1"/>
    <x v="1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x v="20"/>
    <n v="105.97134670487107"/>
    <x v="1"/>
    <x v="1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x v="21"/>
    <n v="69.055555555555557"/>
    <x v="1"/>
    <x v="1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x v="22"/>
    <n v="85.044943820224717"/>
    <x v="1"/>
    <x v="1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x v="23"/>
    <n v="105.22535211267606"/>
    <x v="4"/>
    <x v="4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x v="24"/>
    <n v="39.003741114852225"/>
    <x v="1"/>
    <x v="1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x v="25"/>
    <n v="73.030674846625772"/>
    <x v="1"/>
    <x v="1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x v="26"/>
    <n v="35.009459459459457"/>
    <x v="1"/>
    <x v="1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x v="27"/>
    <n v="106.6"/>
    <x v="1"/>
    <x v="1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x v="28"/>
    <n v="61.997747747747745"/>
    <x v="1"/>
    <x v="1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x v="29"/>
    <n v="94.000622665006233"/>
    <x v="5"/>
    <x v="5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x v="30"/>
    <n v="112.05426356589147"/>
    <x v="1"/>
    <x v="1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48.008849557522126"/>
    <x v="4"/>
    <x v="4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x v="32"/>
    <n v="38.004334633723452"/>
    <x v="6"/>
    <x v="6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x v="33"/>
    <n v="35.000184535892231"/>
    <x v="1"/>
    <x v="1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x v="34"/>
    <n v="85"/>
    <x v="1"/>
    <x v="1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x v="35"/>
    <n v="95.993893129770996"/>
    <x v="3"/>
    <x v="3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x v="36"/>
    <n v="68.8125"/>
    <x v="1"/>
    <x v="1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x v="37"/>
    <n v="105.97196261682242"/>
    <x v="1"/>
    <x v="1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x v="38"/>
    <n v="75.261194029850742"/>
    <x v="1"/>
    <x v="1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x v="39"/>
    <n v="57.125"/>
    <x v="3"/>
    <x v="3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x v="40"/>
    <n v="75.141414141414145"/>
    <x v="1"/>
    <x v="1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x v="41"/>
    <n v="107.42342342342343"/>
    <x v="6"/>
    <x v="6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x v="42"/>
    <n v="35.995495495495497"/>
    <x v="1"/>
    <x v="1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x v="43"/>
    <n v="26.998873148744366"/>
    <x v="1"/>
    <x v="1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x v="13"/>
    <n v="107.56122448979592"/>
    <x v="3"/>
    <x v="3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x v="44"/>
    <n v="94.375"/>
    <x v="1"/>
    <x v="1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x v="45"/>
    <n v="46.163043478260867"/>
    <x v="1"/>
    <x v="1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x v="46"/>
    <n v="47.845637583892618"/>
    <x v="1"/>
    <x v="1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x v="47"/>
    <n v="53.007815713698065"/>
    <x v="1"/>
    <x v="1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x v="48"/>
    <n v="45.059405940594061"/>
    <x v="1"/>
    <x v="1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n v="2"/>
    <x v="6"/>
    <x v="6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x v="50"/>
    <n v="99.006816632583508"/>
    <x v="4"/>
    <x v="4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x v="51"/>
    <n v="32.786666666666669"/>
    <x v="1"/>
    <x v="1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x v="52"/>
    <n v="59.119617224880386"/>
    <x v="1"/>
    <x v="1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x v="53"/>
    <n v="44.93333333333333"/>
    <x v="1"/>
    <x v="1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x v="54"/>
    <n v="89.664122137404576"/>
    <x v="1"/>
    <x v="1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x v="55"/>
    <n v="70.079268292682926"/>
    <x v="1"/>
    <x v="1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x v="56"/>
    <n v="31.059701492537314"/>
    <x v="1"/>
    <x v="1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x v="57"/>
    <n v="29.061611374407583"/>
    <x v="1"/>
    <x v="1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x v="58"/>
    <n v="30.0859375"/>
    <x v="1"/>
    <x v="1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x v="59"/>
    <n v="84.998125000000002"/>
    <x v="0"/>
    <x v="0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x v="60"/>
    <n v="82.001775410563695"/>
    <x v="0"/>
    <x v="0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x v="61"/>
    <n v="58.040160642570278"/>
    <x v="1"/>
    <x v="1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x v="62"/>
    <n v="111.4"/>
    <x v="1"/>
    <x v="1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x v="63"/>
    <n v="71.94736842105263"/>
    <x v="1"/>
    <x v="1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x v="64"/>
    <n v="61.038135593220339"/>
    <x v="1"/>
    <x v="1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x v="65"/>
    <n v="108.91666666666667"/>
    <x v="1"/>
    <x v="1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x v="66"/>
    <n v="29.001722017220171"/>
    <x v="4"/>
    <x v="4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x v="67"/>
    <n v="58.975609756097562"/>
    <x v="6"/>
    <x v="6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x v="68"/>
    <n v="111.82352941176471"/>
    <x v="1"/>
    <x v="1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x v="69"/>
    <n v="63.995555555555555"/>
    <x v="6"/>
    <x v="6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x v="70"/>
    <n v="85.315789473684205"/>
    <x v="1"/>
    <x v="1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x v="71"/>
    <n v="74.481481481481481"/>
    <x v="1"/>
    <x v="1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x v="39"/>
    <n v="105.14772727272727"/>
    <x v="1"/>
    <x v="1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x v="72"/>
    <n v="56.188235294117646"/>
    <x v="4"/>
    <x v="4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x v="73"/>
    <n v="85.917647058823533"/>
    <x v="1"/>
    <x v="1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x v="74"/>
    <n v="57.00296912114014"/>
    <x v="1"/>
    <x v="1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x v="75"/>
    <n v="79.642857142857139"/>
    <x v="1"/>
    <x v="1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x v="76"/>
    <n v="41.018181818181816"/>
    <x v="1"/>
    <x v="1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x v="77"/>
    <n v="48.004773269689736"/>
    <x v="1"/>
    <x v="1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x v="78"/>
    <n v="55.212598425196852"/>
    <x v="1"/>
    <x v="1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x v="79"/>
    <n v="92.109489051094897"/>
    <x v="1"/>
    <x v="1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x v="80"/>
    <n v="83.183333333333337"/>
    <x v="4"/>
    <x v="4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x v="81"/>
    <n v="39.996000000000002"/>
    <x v="1"/>
    <x v="1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x v="82"/>
    <n v="111.1336898395722"/>
    <x v="1"/>
    <x v="1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x v="83"/>
    <n v="90.563380281690144"/>
    <x v="2"/>
    <x v="2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x v="84"/>
    <n v="61.108374384236456"/>
    <x v="1"/>
    <x v="1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x v="85"/>
    <n v="83.022941970310384"/>
    <x v="2"/>
    <x v="2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x v="86"/>
    <n v="110.76106194690266"/>
    <x v="1"/>
    <x v="1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x v="87"/>
    <n v="89.458333333333329"/>
    <x v="1"/>
    <x v="1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x v="88"/>
    <n v="57.849056603773583"/>
    <x v="1"/>
    <x v="1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x v="89"/>
    <n v="109.99705449189985"/>
    <x v="6"/>
    <x v="6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x v="90"/>
    <n v="103.96586345381526"/>
    <x v="5"/>
    <x v="5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x v="91"/>
    <n v="107.99508196721311"/>
    <x v="1"/>
    <x v="1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x v="80"/>
    <n v="48.927777777777777"/>
    <x v="4"/>
    <x v="4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x v="11"/>
    <n v="37.666666666666664"/>
    <x v="1"/>
    <x v="1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x v="92"/>
    <n v="64.999141999141997"/>
    <x v="1"/>
    <x v="1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x v="86"/>
    <n v="106.61061946902655"/>
    <x v="1"/>
    <x v="1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x v="93"/>
    <n v="27.009016393442622"/>
    <x v="2"/>
    <x v="2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x v="55"/>
    <n v="91.16463414634147"/>
    <x v="1"/>
    <x v="1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x v="1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x v="55"/>
    <n v="56.054878048780488"/>
    <x v="1"/>
    <x v="1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x v="94"/>
    <n v="31.017857142857142"/>
    <x v="1"/>
    <x v="1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x v="95"/>
    <n v="66.513513513513516"/>
    <x v="6"/>
    <x v="6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x v="96"/>
    <n v="89.005216484089729"/>
    <x v="1"/>
    <x v="1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x v="97"/>
    <n v="103.46315789473684"/>
    <x v="1"/>
    <x v="1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x v="98"/>
    <n v="95.278911564625844"/>
    <x v="1"/>
    <x v="1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x v="99"/>
    <n v="75.895348837209298"/>
    <x v="1"/>
    <x v="1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x v="100"/>
    <n v="107.57831325301204"/>
    <x v="1"/>
    <x v="1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x v="101"/>
    <n v="51.31666666666667"/>
    <x v="1"/>
    <x v="1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x v="102"/>
    <n v="71.983108108108112"/>
    <x v="1"/>
    <x v="1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x v="103"/>
    <n v="108.95414201183432"/>
    <x v="1"/>
    <x v="1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x v="104"/>
    <n v="35"/>
    <x v="2"/>
    <x v="2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x v="54"/>
    <n v="94.938931297709928"/>
    <x v="1"/>
    <x v="1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x v="105"/>
    <n v="109.65079365079364"/>
    <x v="1"/>
    <x v="1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x v="106"/>
    <n v="44.001815980629537"/>
    <x v="6"/>
    <x v="6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n v="86.794520547945211"/>
    <x v="1"/>
    <x v="1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x v="108"/>
    <n v="30.992727272727272"/>
    <x v="1"/>
    <x v="1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x v="109"/>
    <n v="94.791044776119406"/>
    <x v="1"/>
    <x v="1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x v="110"/>
    <n v="69.79220779220779"/>
    <x v="1"/>
    <x v="1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x v="111"/>
    <n v="63.003367003367003"/>
    <x v="1"/>
    <x v="1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x v="112"/>
    <n v="110.0343300110742"/>
    <x v="1"/>
    <x v="1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x v="113"/>
    <n v="25.997933274284026"/>
    <x v="1"/>
    <x v="1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x v="114"/>
    <n v="49.987915407854985"/>
    <x v="0"/>
    <x v="0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x v="115"/>
    <n v="101.72340425531915"/>
    <x v="6"/>
    <x v="6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x v="80"/>
    <n v="47.083333333333336"/>
    <x v="1"/>
    <x v="1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x v="116"/>
    <n v="89.944444444444443"/>
    <x v="1"/>
    <x v="1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x v="117"/>
    <n v="78.96875"/>
    <x v="0"/>
    <x v="0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x v="118"/>
    <n v="80.067669172932327"/>
    <x v="1"/>
    <x v="1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x v="12"/>
    <n v="86.472727272727269"/>
    <x v="2"/>
    <x v="2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x v="119"/>
    <n v="28.001876172607879"/>
    <x v="3"/>
    <x v="3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x v="120"/>
    <n v="67.996725337699544"/>
    <x v="4"/>
    <x v="4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x v="121"/>
    <n v="43.078651685393261"/>
    <x v="1"/>
    <x v="1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x v="122"/>
    <n v="87.95597484276729"/>
    <x v="1"/>
    <x v="1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x v="123"/>
    <n v="94.987234042553197"/>
    <x v="5"/>
    <x v="5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x v="124"/>
    <n v="46.905982905982903"/>
    <x v="1"/>
    <x v="1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x v="125"/>
    <n v="46.913793103448278"/>
    <x v="1"/>
    <x v="1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x v="126"/>
    <n v="94.24"/>
    <x v="1"/>
    <x v="1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n v="80.139130434782615"/>
    <x v="1"/>
    <x v="1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x v="128"/>
    <n v="59.036809815950917"/>
    <x v="1"/>
    <x v="1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x v="129"/>
    <n v="65.989247311827953"/>
    <x v="1"/>
    <x v="1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x v="130"/>
    <n v="60.992530345471522"/>
    <x v="1"/>
    <x v="1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x v="124"/>
    <n v="98.307692307692307"/>
    <x v="1"/>
    <x v="1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x v="131"/>
    <n v="104.6"/>
    <x v="1"/>
    <x v="1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x v="18"/>
    <n v="86.066666666666663"/>
    <x v="1"/>
    <x v="1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x v="132"/>
    <n v="76.989583333333329"/>
    <x v="5"/>
    <x v="5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x v="133"/>
    <n v="29.764705882352942"/>
    <x v="1"/>
    <x v="1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x v="134"/>
    <n v="46.91959798994975"/>
    <x v="1"/>
    <x v="1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x v="37"/>
    <n v="105.18691588785046"/>
    <x v="1"/>
    <x v="1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x v="135"/>
    <n v="69.907692307692301"/>
    <x v="1"/>
    <x v="1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x v="1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x v="50"/>
    <n v="60.011588275391958"/>
    <x v="1"/>
    <x v="1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x v="136"/>
    <n v="52.006220379146917"/>
    <x v="1"/>
    <x v="1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x v="137"/>
    <n v="31.000176025347649"/>
    <x v="1"/>
    <x v="1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x v="138"/>
    <n v="95.042492917847028"/>
    <x v="1"/>
    <x v="1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x v="139"/>
    <n v="75.968174204355108"/>
    <x v="1"/>
    <x v="1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x v="140"/>
    <n v="71.013192612137203"/>
    <x v="2"/>
    <x v="2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x v="141"/>
    <n v="73.733333333333334"/>
    <x v="2"/>
    <x v="2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x v="142"/>
    <n v="113.17073170731707"/>
    <x v="1"/>
    <x v="1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x v="143"/>
    <n v="105.00933552992861"/>
    <x v="1"/>
    <x v="1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x v="55"/>
    <n v="79.176829268292678"/>
    <x v="1"/>
    <x v="1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x v="51"/>
    <n v="57.333333333333336"/>
    <x v="1"/>
    <x v="1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x v="144"/>
    <n v="58.178343949044589"/>
    <x v="5"/>
    <x v="5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x v="67"/>
    <n v="36.032520325203251"/>
    <x v="1"/>
    <x v="1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x v="20"/>
    <n v="107.99068767908309"/>
    <x v="1"/>
    <x v="1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x v="145"/>
    <n v="44.005985634477256"/>
    <x v="1"/>
    <x v="1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x v="146"/>
    <n v="55.077868852459019"/>
    <x v="1"/>
    <x v="1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x v="147"/>
    <n v="74"/>
    <x v="2"/>
    <x v="2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x v="148"/>
    <n v="41.996858638743454"/>
    <x v="3"/>
    <x v="3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x v="149"/>
    <n v="77.988161010260455"/>
    <x v="1"/>
    <x v="1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x v="109"/>
    <n v="82.507462686567166"/>
    <x v="1"/>
    <x v="1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x v="62"/>
    <n v="104.2"/>
    <x v="1"/>
    <x v="1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x v="150"/>
    <n v="25.5"/>
    <x v="1"/>
    <x v="1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x v="151"/>
    <n v="100.98334401024984"/>
    <x v="1"/>
    <x v="1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x v="44"/>
    <n v="111.83333333333333"/>
    <x v="1"/>
    <x v="1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x v="152"/>
    <n v="41.999115044247787"/>
    <x v="1"/>
    <x v="1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x v="153"/>
    <n v="110.05115089514067"/>
    <x v="1"/>
    <x v="1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x v="154"/>
    <n v="58.997079225994888"/>
    <x v="1"/>
    <x v="1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x v="155"/>
    <n v="32.985714285714288"/>
    <x v="1"/>
    <x v="1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x v="156"/>
    <n v="45.005654509471306"/>
    <x v="0"/>
    <x v="0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x v="157"/>
    <n v="81.98196487897485"/>
    <x v="2"/>
    <x v="2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x v="158"/>
    <n v="39.080882352941174"/>
    <x v="1"/>
    <x v="1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x v="159"/>
    <n v="58.996383363471971"/>
    <x v="3"/>
    <x v="3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x v="99"/>
    <n v="40.988372093023258"/>
    <x v="0"/>
    <x v="0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x v="160"/>
    <n v="31.029411764705884"/>
    <x v="1"/>
    <x v="1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x v="161"/>
    <n v="37.789473684210527"/>
    <x v="1"/>
    <x v="1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x v="162"/>
    <n v="32.006772009029348"/>
    <x v="1"/>
    <x v="1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x v="163"/>
    <n v="95.966712898751737"/>
    <x v="0"/>
    <x v="0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x v="164"/>
    <n v="75"/>
    <x v="6"/>
    <x v="6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x v="165"/>
    <n v="102.0498866213152"/>
    <x v="1"/>
    <x v="1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x v="3"/>
    <n v="105.75"/>
    <x v="1"/>
    <x v="1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x v="99"/>
    <n v="37.069767441860463"/>
    <x v="6"/>
    <x v="6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x v="166"/>
    <n v="35.049382716049379"/>
    <x v="1"/>
    <x v="1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x v="167"/>
    <n v="46.338461538461537"/>
    <x v="1"/>
    <x v="1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x v="105"/>
    <n v="69.174603174603178"/>
    <x v="1"/>
    <x v="1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x v="168"/>
    <n v="109.07824427480917"/>
    <x v="1"/>
    <x v="1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x v="16"/>
    <n v="51.78"/>
    <x v="3"/>
    <x v="3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x v="169"/>
    <n v="82.010055304172951"/>
    <x v="1"/>
    <x v="1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x v="170"/>
    <n v="35.958333333333336"/>
    <x v="1"/>
    <x v="1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x v="171"/>
    <n v="74.461538461538467"/>
    <x v="1"/>
    <x v="1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x v="49"/>
    <n v="2"/>
    <x v="0"/>
    <x v="0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x v="144"/>
    <n v="91.114649681528661"/>
    <x v="1"/>
    <x v="1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x v="172"/>
    <n v="79.792682926829272"/>
    <x v="1"/>
    <x v="1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x v="173"/>
    <n v="42.999777678968428"/>
    <x v="2"/>
    <x v="2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x v="174"/>
    <n v="63.225000000000001"/>
    <x v="1"/>
    <x v="1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x v="175"/>
    <n v="70.174999999999997"/>
    <x v="1"/>
    <x v="1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x v="176"/>
    <n v="61.333333333333336"/>
    <x v="1"/>
    <x v="1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x v="177"/>
    <n v="99"/>
    <x v="1"/>
    <x v="1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x v="178"/>
    <n v="96.984900146127615"/>
    <x v="1"/>
    <x v="1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x v="179"/>
    <n v="51.004950495049506"/>
    <x v="2"/>
    <x v="2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x v="31"/>
    <n v="28.044247787610619"/>
    <x v="3"/>
    <x v="3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x v="180"/>
    <n v="60.984615384615381"/>
    <x v="1"/>
    <x v="1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x v="170"/>
    <n v="73.214285714285708"/>
    <x v="1"/>
    <x v="1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x v="181"/>
    <n v="39.997435299603637"/>
    <x v="1"/>
    <x v="1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x v="34"/>
    <n v="86.812121212121212"/>
    <x v="1"/>
    <x v="1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x v="182"/>
    <n v="42.125874125874127"/>
    <x v="1"/>
    <x v="1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x v="183"/>
    <n v="103.97851239669421"/>
    <x v="1"/>
    <x v="1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x v="184"/>
    <n v="62.003211991434689"/>
    <x v="1"/>
    <x v="1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x v="185"/>
    <n v="31.005037783375315"/>
    <x v="4"/>
    <x v="4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x v="186"/>
    <n v="89.991552956465242"/>
    <x v="1"/>
    <x v="1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x v="68"/>
    <n v="39.235294117647058"/>
    <x v="1"/>
    <x v="1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x v="187"/>
    <n v="54.993116108306566"/>
    <x v="1"/>
    <x v="1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x v="188"/>
    <n v="47.992753623188406"/>
    <x v="1"/>
    <x v="1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x v="189"/>
    <n v="87.966702470461868"/>
    <x v="1"/>
    <x v="1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x v="190"/>
    <n v="51.999165275459099"/>
    <x v="1"/>
    <x v="1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x v="191"/>
    <n v="29.999659863945578"/>
    <x v="1"/>
    <x v="1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x v="192"/>
    <n v="98.205357142857139"/>
    <x v="1"/>
    <x v="1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x v="193"/>
    <n v="108.96182396606575"/>
    <x v="1"/>
    <x v="1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x v="194"/>
    <n v="66.998379254457049"/>
    <x v="1"/>
    <x v="1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x v="195"/>
    <n v="64.99333594668758"/>
    <x v="1"/>
    <x v="1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x v="196"/>
    <n v="99.841584158415841"/>
    <x v="1"/>
    <x v="1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x v="109"/>
    <n v="82.432835820895519"/>
    <x v="1"/>
    <x v="1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x v="45"/>
    <n v="63.293478260869563"/>
    <x v="1"/>
    <x v="1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x v="197"/>
    <n v="96.774193548387103"/>
    <x v="1"/>
    <x v="1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x v="46"/>
    <n v="54.906040268456373"/>
    <x v="6"/>
    <x v="6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x v="45"/>
    <n v="39.010869565217391"/>
    <x v="1"/>
    <x v="1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x v="176"/>
    <n v="75.84210526315789"/>
    <x v="2"/>
    <x v="2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x v="198"/>
    <n v="45.051671732522799"/>
    <x v="1"/>
    <x v="1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x v="199"/>
    <n v="104.51546391752578"/>
    <x v="3"/>
    <x v="3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x v="142"/>
    <n v="76.268292682926827"/>
    <x v="1"/>
    <x v="1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x v="200"/>
    <n v="69.015695067264573"/>
    <x v="1"/>
    <x v="1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x v="74"/>
    <n v="101.97684085510689"/>
    <x v="2"/>
    <x v="2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x v="201"/>
    <n v="42.915999999999997"/>
    <x v="1"/>
    <x v="1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x v="202"/>
    <n v="43.025210084033617"/>
    <x v="1"/>
    <x v="1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x v="4"/>
    <n v="75.245283018867923"/>
    <x v="1"/>
    <x v="1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x v="203"/>
    <n v="69.023364485981304"/>
    <x v="1"/>
    <x v="1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x v="42"/>
    <n v="65.986486486486484"/>
    <x v="1"/>
    <x v="1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x v="204"/>
    <n v="98.013800424628457"/>
    <x v="1"/>
    <x v="1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x v="205"/>
    <n v="60.105504587155963"/>
    <x v="2"/>
    <x v="2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x v="206"/>
    <n v="26.000773395204948"/>
    <x v="1"/>
    <x v="1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n v="3"/>
    <x v="1"/>
    <x v="1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x v="196"/>
    <n v="38.019801980198018"/>
    <x v="1"/>
    <x v="1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x v="207"/>
    <n v="106.15254237288136"/>
    <x v="1"/>
    <x v="1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x v="208"/>
    <n v="81.019475655430711"/>
    <x v="0"/>
    <x v="0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x v="39"/>
    <n v="96.647727272727266"/>
    <x v="1"/>
    <x v="1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x v="209"/>
    <n v="57.003535651149086"/>
    <x v="1"/>
    <x v="1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x v="27"/>
    <n v="63.93333333333333"/>
    <x v="4"/>
    <x v="4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x v="45"/>
    <n v="90.456521739130437"/>
    <x v="1"/>
    <x v="1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x v="129"/>
    <n v="72.172043010752688"/>
    <x v="1"/>
    <x v="1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x v="188"/>
    <n v="77.934782608695656"/>
    <x v="1"/>
    <x v="1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x v="210"/>
    <n v="38.065134099616856"/>
    <x v="1"/>
    <x v="1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x v="211"/>
    <n v="57.936123348017624"/>
    <x v="1"/>
    <x v="1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x v="37"/>
    <n v="49.794392523364486"/>
    <x v="1"/>
    <x v="1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x v="134"/>
    <n v="54.050251256281406"/>
    <x v="1"/>
    <x v="1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x v="212"/>
    <n v="30.002721335268504"/>
    <x v="1"/>
    <x v="1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x v="99"/>
    <n v="70.127906976744185"/>
    <x v="1"/>
    <x v="1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x v="213"/>
    <n v="26.996228786926462"/>
    <x v="6"/>
    <x v="6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x v="214"/>
    <n v="51.990606936416185"/>
    <x v="2"/>
    <x v="2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x v="44"/>
    <n v="56.416666666666664"/>
    <x v="1"/>
    <x v="1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x v="215"/>
    <n v="101.63218390804597"/>
    <x v="1"/>
    <x v="1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x v="216"/>
    <n v="25.005291005291006"/>
    <x v="1"/>
    <x v="1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x v="217"/>
    <n v="32.016393442622949"/>
    <x v="1"/>
    <x v="1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x v="218"/>
    <n v="82.021647307286173"/>
    <x v="1"/>
    <x v="1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x v="219"/>
    <n v="37.957446808510639"/>
    <x v="0"/>
    <x v="0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x v="27"/>
    <n v="51.533333333333331"/>
    <x v="1"/>
    <x v="1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x v="220"/>
    <n v="81.198275862068968"/>
    <x v="1"/>
    <x v="1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x v="221"/>
    <n v="40.030075187969928"/>
    <x v="1"/>
    <x v="1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x v="100"/>
    <n v="89.939759036144579"/>
    <x v="1"/>
    <x v="1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x v="222"/>
    <n v="96.692307692307693"/>
    <x v="1"/>
    <x v="1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x v="223"/>
    <n v="25.010989010989011"/>
    <x v="1"/>
    <x v="1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x v="224"/>
    <n v="36.987277353689571"/>
    <x v="1"/>
    <x v="1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x v="225"/>
    <n v="73.012609117361791"/>
    <x v="1"/>
    <x v="1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x v="221"/>
    <n v="68.240601503759393"/>
    <x v="1"/>
    <x v="1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x v="226"/>
    <n v="52.310344827586206"/>
    <x v="3"/>
    <x v="3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x v="227"/>
    <n v="61.765151515151516"/>
    <x v="1"/>
    <x v="1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x v="228"/>
    <n v="25.027559055118111"/>
    <x v="1"/>
    <x v="1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x v="229"/>
    <n v="106.28804347826087"/>
    <x v="1"/>
    <x v="1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x v="230"/>
    <n v="75.07386363636364"/>
    <x v="1"/>
    <x v="1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x v="231"/>
    <n v="39.970802919708028"/>
    <x v="3"/>
    <x v="3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x v="232"/>
    <n v="39.982195845697326"/>
    <x v="0"/>
    <x v="0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x v="233"/>
    <n v="101.01541850220265"/>
    <x v="1"/>
    <x v="1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x v="37"/>
    <n v="76.813084112149539"/>
    <x v="1"/>
    <x v="1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x v="234"/>
    <n v="71.7"/>
    <x v="1"/>
    <x v="1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x v="235"/>
    <n v="33.28125"/>
    <x v="6"/>
    <x v="6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x v="236"/>
    <n v="43.923497267759565"/>
    <x v="1"/>
    <x v="1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x v="237"/>
    <n v="36.004712041884815"/>
    <x v="5"/>
    <x v="5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x v="63"/>
    <n v="88.21052631578948"/>
    <x v="2"/>
    <x v="2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x v="238"/>
    <n v="65.240384615384613"/>
    <x v="2"/>
    <x v="2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x v="239"/>
    <n v="69.958333333333329"/>
    <x v="1"/>
    <x v="1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x v="240"/>
    <n v="39.877551020408163"/>
    <x v="1"/>
    <x v="1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x v="49"/>
    <n v="5"/>
    <x v="3"/>
    <x v="3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x v="241"/>
    <n v="41.023728813559323"/>
    <x v="1"/>
    <x v="1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x v="242"/>
    <n v="98.914285714285711"/>
    <x v="1"/>
    <x v="1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x v="235"/>
    <n v="87.78125"/>
    <x v="1"/>
    <x v="1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x v="23"/>
    <n v="80.767605633802816"/>
    <x v="1"/>
    <x v="1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x v="72"/>
    <n v="94.28235294117647"/>
    <x v="1"/>
    <x v="1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x v="243"/>
    <n v="73.428571428571431"/>
    <x v="1"/>
    <x v="1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x v="244"/>
    <n v="65.968133535660087"/>
    <x v="3"/>
    <x v="3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x v="245"/>
    <n v="109.04109589041096"/>
    <x v="1"/>
    <x v="1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x v="51"/>
    <n v="41.16"/>
    <x v="1"/>
    <x v="1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x v="36"/>
    <n v="99.125"/>
    <x v="1"/>
    <x v="1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x v="246"/>
    <n v="105.88429752066116"/>
    <x v="1"/>
    <x v="1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x v="247"/>
    <n v="48.996525921966864"/>
    <x v="1"/>
    <x v="1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x v="248"/>
    <n v="39"/>
    <x v="1"/>
    <x v="1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x v="221"/>
    <n v="31.022556390977442"/>
    <x v="1"/>
    <x v="1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x v="249"/>
    <n v="103.87096774193549"/>
    <x v="1"/>
    <x v="1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x v="250"/>
    <n v="59.268518518518519"/>
    <x v="6"/>
    <x v="6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x v="141"/>
    <n v="42.3"/>
    <x v="1"/>
    <x v="1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x v="68"/>
    <n v="53.117647058823529"/>
    <x v="1"/>
    <x v="1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x v="251"/>
    <n v="50.796875"/>
    <x v="1"/>
    <x v="1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x v="175"/>
    <n v="101.15"/>
    <x v="1"/>
    <x v="1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x v="194"/>
    <n v="65.000810372771468"/>
    <x v="1"/>
    <x v="1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x v="252"/>
    <n v="37.998645510835914"/>
    <x v="1"/>
    <x v="1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x v="150"/>
    <n v="82.615384615384613"/>
    <x v="4"/>
    <x v="4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x v="253"/>
    <n v="37.941368078175898"/>
    <x v="1"/>
    <x v="1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x v="107"/>
    <n v="80.780821917808225"/>
    <x v="1"/>
    <x v="1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x v="58"/>
    <n v="25.984375"/>
    <x v="1"/>
    <x v="1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x v="254"/>
    <n v="30.363636363636363"/>
    <x v="1"/>
    <x v="1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x v="255"/>
    <n v="54.004916018025398"/>
    <x v="1"/>
    <x v="1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x v="57"/>
    <n v="101.78672985781991"/>
    <x v="1"/>
    <x v="1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x v="256"/>
    <n v="45.003610108303249"/>
    <x v="4"/>
    <x v="4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x v="257"/>
    <n v="77.068421052631578"/>
    <x v="1"/>
    <x v="1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x v="258"/>
    <n v="88.076595744680844"/>
    <x v="1"/>
    <x v="1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x v="259"/>
    <n v="47.035573122529641"/>
    <x v="1"/>
    <x v="1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x v="260"/>
    <n v="110.99550763701707"/>
    <x v="1"/>
    <x v="1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x v="261"/>
    <n v="87.003066141042481"/>
    <x v="1"/>
    <x v="1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x v="262"/>
    <n v="63.994402985074629"/>
    <x v="1"/>
    <x v="1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x v="263"/>
    <n v="105.9945205479452"/>
    <x v="1"/>
    <x v="1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x v="264"/>
    <n v="73.989349112426041"/>
    <x v="1"/>
    <x v="1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x v="265"/>
    <n v="84.02004626060139"/>
    <x v="0"/>
    <x v="0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x v="224"/>
    <n v="88.966921119592882"/>
    <x v="1"/>
    <x v="1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x v="266"/>
    <n v="76.990453460620529"/>
    <x v="1"/>
    <x v="1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x v="267"/>
    <n v="97.146341463414629"/>
    <x v="1"/>
    <x v="1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x v="98"/>
    <n v="33.013605442176868"/>
    <x v="1"/>
    <x v="1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x v="268"/>
    <n v="99.950602409638549"/>
    <x v="1"/>
    <x v="1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x v="269"/>
    <n v="69.966767371601208"/>
    <x v="4"/>
    <x v="4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x v="270"/>
    <n v="110.32"/>
    <x v="1"/>
    <x v="1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x v="271"/>
    <n v="66.005235602094245"/>
    <x v="1"/>
    <x v="1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x v="272"/>
    <n v="41.005742176284812"/>
    <x v="1"/>
    <x v="1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x v="273"/>
    <n v="103.96316359696641"/>
    <x v="1"/>
    <x v="1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x v="49"/>
    <n v="5"/>
    <x v="1"/>
    <x v="1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x v="274"/>
    <n v="47.009935419771487"/>
    <x v="1"/>
    <x v="1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x v="254"/>
    <n v="29.606060606060606"/>
    <x v="0"/>
    <x v="0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x v="275"/>
    <n v="81.010569583088667"/>
    <x v="1"/>
    <x v="1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x v="175"/>
    <n v="94.35"/>
    <x v="3"/>
    <x v="3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x v="99"/>
    <n v="26.058139534883722"/>
    <x v="1"/>
    <x v="1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x v="174"/>
    <n v="85.775000000000006"/>
    <x v="6"/>
    <x v="6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x v="142"/>
    <n v="103.73170731707317"/>
    <x v="1"/>
    <x v="1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x v="276"/>
    <n v="49.826086956521742"/>
    <x v="0"/>
    <x v="0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x v="277"/>
    <n v="63.893048128342244"/>
    <x v="1"/>
    <x v="1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x v="278"/>
    <n v="47.002434782608695"/>
    <x v="4"/>
    <x v="4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x v="39"/>
    <n v="108.47727272727273"/>
    <x v="1"/>
    <x v="1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x v="271"/>
    <n v="72.015706806282722"/>
    <x v="1"/>
    <x v="1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x v="279"/>
    <n v="59.928057553956833"/>
    <x v="1"/>
    <x v="1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x v="129"/>
    <n v="78.209677419354833"/>
    <x v="1"/>
    <x v="1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x v="192"/>
    <n v="104.77678571428571"/>
    <x v="2"/>
    <x v="2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x v="196"/>
    <n v="105.52475247524752"/>
    <x v="1"/>
    <x v="1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x v="51"/>
    <n v="24.933333333333334"/>
    <x v="1"/>
    <x v="1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x v="280"/>
    <n v="69.873786407766985"/>
    <x v="4"/>
    <x v="4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x v="110"/>
    <n v="95.733766233766232"/>
    <x v="1"/>
    <x v="1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x v="281"/>
    <n v="29.997485752598056"/>
    <x v="1"/>
    <x v="1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x v="282"/>
    <n v="59.011948529411768"/>
    <x v="1"/>
    <x v="1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x v="283"/>
    <n v="84.757396449704146"/>
    <x v="1"/>
    <x v="1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x v="284"/>
    <n v="78.010921177587846"/>
    <x v="1"/>
    <x v="1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x v="165"/>
    <n v="50.05215419501134"/>
    <x v="1"/>
    <x v="1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x v="270"/>
    <n v="59.16"/>
    <x v="1"/>
    <x v="1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x v="54"/>
    <n v="93.702290076335885"/>
    <x v="1"/>
    <x v="1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x v="78"/>
    <n v="40.14173228346457"/>
    <x v="1"/>
    <x v="1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x v="285"/>
    <n v="70.090140845070422"/>
    <x v="1"/>
    <x v="1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x v="9"/>
    <n v="66.181818181818187"/>
    <x v="4"/>
    <x v="4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x v="286"/>
    <n v="47.714285714285715"/>
    <x v="1"/>
    <x v="1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x v="287"/>
    <n v="62.896774193548389"/>
    <x v="1"/>
    <x v="1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x v="109"/>
    <n v="86.611940298507463"/>
    <x v="1"/>
    <x v="1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x v="288"/>
    <n v="75.126984126984127"/>
    <x v="1"/>
    <x v="1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x v="289"/>
    <n v="41.004167534903104"/>
    <x v="1"/>
    <x v="1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x v="290"/>
    <n v="50.007915567282325"/>
    <x v="1"/>
    <x v="1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x v="291"/>
    <n v="96.960674157303373"/>
    <x v="1"/>
    <x v="1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x v="292"/>
    <n v="100.93160377358491"/>
    <x v="1"/>
    <x v="1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x v="293"/>
    <n v="89.227586206896547"/>
    <x v="5"/>
    <x v="5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x v="294"/>
    <n v="87.979166666666671"/>
    <x v="1"/>
    <x v="1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x v="126"/>
    <n v="89.54"/>
    <x v="1"/>
    <x v="1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x v="295"/>
    <n v="29.09271523178808"/>
    <x v="1"/>
    <x v="1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x v="296"/>
    <n v="42.006218905472636"/>
    <x v="1"/>
    <x v="1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x v="297"/>
    <n v="47.004903563255965"/>
    <x v="0"/>
    <x v="0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x v="298"/>
    <n v="110.44117647058823"/>
    <x v="1"/>
    <x v="1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x v="10"/>
    <n v="41.990909090909092"/>
    <x v="1"/>
    <x v="1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x v="299"/>
    <n v="48.012468827930178"/>
    <x v="2"/>
    <x v="2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x v="211"/>
    <n v="31.019823788546255"/>
    <x v="1"/>
    <x v="1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x v="300"/>
    <n v="99.203252032520325"/>
    <x v="6"/>
    <x v="6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x v="301"/>
    <n v="66.022316684378325"/>
    <x v="1"/>
    <x v="1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n v="2"/>
    <x v="1"/>
    <x v="1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x v="302"/>
    <n v="46.060200668896321"/>
    <x v="1"/>
    <x v="1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x v="174"/>
    <n v="73.650000000000006"/>
    <x v="1"/>
    <x v="1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x v="303"/>
    <n v="55.99336650082919"/>
    <x v="0"/>
    <x v="0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x v="304"/>
    <n v="68.985695127402778"/>
    <x v="1"/>
    <x v="1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x v="305"/>
    <n v="60.981609195402299"/>
    <x v="1"/>
    <x v="1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x v="306"/>
    <n v="110.98139534883721"/>
    <x v="1"/>
    <x v="1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x v="307"/>
    <n v="25"/>
    <x v="3"/>
    <x v="3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x v="110"/>
    <n v="78.759740259740255"/>
    <x v="0"/>
    <x v="0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x v="308"/>
    <n v="87.960784313725483"/>
    <x v="1"/>
    <x v="1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x v="309"/>
    <n v="49.987398739873989"/>
    <x v="1"/>
    <x v="1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x v="172"/>
    <n v="99.524390243902445"/>
    <x v="1"/>
    <x v="1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x v="38"/>
    <n v="104.82089552238806"/>
    <x v="1"/>
    <x v="1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x v="310"/>
    <n v="108.01469237832875"/>
    <x v="1"/>
    <x v="1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x v="311"/>
    <n v="28.998544660724033"/>
    <x v="1"/>
    <x v="1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x v="312"/>
    <n v="30.028708133971293"/>
    <x v="1"/>
    <x v="1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x v="313"/>
    <n v="41.005559416261292"/>
    <x v="1"/>
    <x v="1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x v="27"/>
    <n v="62.866666666666667"/>
    <x v="1"/>
    <x v="1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x v="314"/>
    <n v="47.005002501250623"/>
    <x v="0"/>
    <x v="0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x v="315"/>
    <n v="26.997693638285604"/>
    <x v="1"/>
    <x v="1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x v="115"/>
    <n v="68.329787234042556"/>
    <x v="1"/>
    <x v="1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x v="316"/>
    <n v="50.974576271186443"/>
    <x v="1"/>
    <x v="1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x v="317"/>
    <n v="54.024390243902438"/>
    <x v="1"/>
    <x v="1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x v="318"/>
    <n v="97.055555555555557"/>
    <x v="1"/>
    <x v="1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x v="100"/>
    <n v="24.867469879518072"/>
    <x v="1"/>
    <x v="1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x v="45"/>
    <n v="84.423913043478265"/>
    <x v="1"/>
    <x v="1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x v="319"/>
    <n v="47.091324200913242"/>
    <x v="1"/>
    <x v="1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x v="320"/>
    <n v="77.996041171813147"/>
    <x v="1"/>
    <x v="1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x v="321"/>
    <n v="62.967871485943775"/>
    <x v="1"/>
    <x v="1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x v="322"/>
    <n v="81.006080449017773"/>
    <x v="1"/>
    <x v="1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x v="286"/>
    <n v="65.321428571428569"/>
    <x v="1"/>
    <x v="1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x v="115"/>
    <n v="104.43617021276596"/>
    <x v="1"/>
    <x v="1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x v="222"/>
    <n v="69.989010989010993"/>
    <x v="1"/>
    <x v="1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x v="323"/>
    <n v="83.023989898989896"/>
    <x v="1"/>
    <x v="1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x v="234"/>
    <n v="90.3"/>
    <x v="0"/>
    <x v="0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x v="324"/>
    <n v="103.98131932282546"/>
    <x v="6"/>
    <x v="6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x v="61"/>
    <n v="54.931726907630519"/>
    <x v="1"/>
    <x v="1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x v="325"/>
    <n v="51.921875"/>
    <x v="1"/>
    <x v="1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x v="326"/>
    <n v="60.02834008097166"/>
    <x v="1"/>
    <x v="1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x v="327"/>
    <n v="44.003488879197555"/>
    <x v="1"/>
    <x v="1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x v="328"/>
    <n v="53.003513254551258"/>
    <x v="1"/>
    <x v="1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x v="235"/>
    <n v="54.5"/>
    <x v="1"/>
    <x v="1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x v="182"/>
    <n v="75.04195804195804"/>
    <x v="6"/>
    <x v="6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x v="329"/>
    <n v="35.911111111111111"/>
    <x v="1"/>
    <x v="1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x v="102"/>
    <n v="36.952702702702702"/>
    <x v="1"/>
    <x v="1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x v="73"/>
    <n v="63.170588235294119"/>
    <x v="1"/>
    <x v="1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x v="129"/>
    <n v="29.99462365591398"/>
    <x v="1"/>
    <x v="1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x v="330"/>
    <n v="86"/>
    <x v="4"/>
    <x v="4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x v="331"/>
    <n v="75.014876033057845"/>
    <x v="1"/>
    <x v="1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n v="101.19767441860465"/>
    <x v="3"/>
    <x v="3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x v="49"/>
    <n v="4"/>
    <x v="0"/>
    <x v="0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x v="332"/>
    <n v="29.001272669424118"/>
    <x v="1"/>
    <x v="1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x v="249"/>
    <n v="98.225806451612897"/>
    <x v="1"/>
    <x v="1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x v="333"/>
    <n v="87.001693480101608"/>
    <x v="1"/>
    <x v="1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x v="334"/>
    <n v="45.205128205128204"/>
    <x v="1"/>
    <x v="1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x v="335"/>
    <n v="37.001341561577675"/>
    <x v="1"/>
    <x v="1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x v="336"/>
    <n v="94.976947040498445"/>
    <x v="1"/>
    <x v="1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x v="337"/>
    <n v="28.956521739130434"/>
    <x v="1"/>
    <x v="1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x v="338"/>
    <n v="55.993396226415094"/>
    <x v="1"/>
    <x v="1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x v="339"/>
    <n v="54.038095238095238"/>
    <x v="1"/>
    <x v="1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x v="126"/>
    <n v="82.38"/>
    <x v="1"/>
    <x v="1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x v="340"/>
    <n v="66.997115384615384"/>
    <x v="1"/>
    <x v="1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x v="341"/>
    <n v="107.91401869158878"/>
    <x v="1"/>
    <x v="1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x v="342"/>
    <n v="69.009501187648453"/>
    <x v="1"/>
    <x v="1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x v="343"/>
    <n v="39.006568144499177"/>
    <x v="1"/>
    <x v="1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x v="175"/>
    <n v="110.3625"/>
    <x v="1"/>
    <x v="1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n v="94.857142857142861"/>
    <x v="1"/>
    <x v="1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x v="279"/>
    <n v="57.935251798561154"/>
    <x v="0"/>
    <x v="0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x v="36"/>
    <n v="101.25"/>
    <x v="1"/>
    <x v="1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x v="122"/>
    <n v="64.95597484276729"/>
    <x v="1"/>
    <x v="1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x v="345"/>
    <n v="27.00524934383202"/>
    <x v="1"/>
    <x v="1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n v="50.97422680412371"/>
    <x v="4"/>
    <x v="4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x v="347"/>
    <n v="104.94260869565217"/>
    <x v="1"/>
    <x v="1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x v="88"/>
    <n v="84.028301886792448"/>
    <x v="1"/>
    <x v="1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x v="23"/>
    <n v="102.85915492957747"/>
    <x v="1"/>
    <x v="1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x v="57"/>
    <n v="39.962085308056871"/>
    <x v="1"/>
    <x v="1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x v="348"/>
    <n v="51.001785714285717"/>
    <x v="1"/>
    <x v="1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x v="86"/>
    <n v="40.823008849557525"/>
    <x v="1"/>
    <x v="1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x v="349"/>
    <n v="58.999637155297535"/>
    <x v="1"/>
    <x v="1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x v="350"/>
    <n v="71.156069364161851"/>
    <x v="4"/>
    <x v="4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x v="215"/>
    <n v="99.494252873563212"/>
    <x v="1"/>
    <x v="1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x v="351"/>
    <n v="103.98634590377114"/>
    <x v="1"/>
    <x v="1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x v="352"/>
    <n v="76.555555555555557"/>
    <x v="1"/>
    <x v="1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x v="353"/>
    <n v="87.068592057761734"/>
    <x v="1"/>
    <x v="1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x v="354"/>
    <n v="48.99554707379135"/>
    <x v="4"/>
    <x v="4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x v="355"/>
    <n v="42.969135802469133"/>
    <x v="4"/>
    <x v="4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x v="356"/>
    <n v="33.428571428571431"/>
    <x v="4"/>
    <x v="4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x v="357"/>
    <n v="83.982949701619773"/>
    <x v="1"/>
    <x v="1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x v="127"/>
    <n v="101.41739130434783"/>
    <x v="1"/>
    <x v="1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x v="72"/>
    <n v="109.87058823529412"/>
    <x v="6"/>
    <x v="6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x v="358"/>
    <n v="31.916666666666668"/>
    <x v="1"/>
    <x v="1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x v="120"/>
    <n v="70.993450675399103"/>
    <x v="1"/>
    <x v="1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x v="359"/>
    <n v="77.026890756302521"/>
    <x v="1"/>
    <x v="1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x v="251"/>
    <n v="101.78125"/>
    <x v="1"/>
    <x v="1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x v="360"/>
    <n v="51.059701492537314"/>
    <x v="1"/>
    <x v="1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x v="135"/>
    <n v="68.02051282051282"/>
    <x v="3"/>
    <x v="3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x v="71"/>
    <n v="30.87037037037037"/>
    <x v="1"/>
    <x v="1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x v="53"/>
    <n v="27.908333333333335"/>
    <x v="1"/>
    <x v="1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x v="361"/>
    <n v="79.994818652849744"/>
    <x v="3"/>
    <x v="3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x v="362"/>
    <n v="38.003378378378379"/>
    <x v="1"/>
    <x v="1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n v="0"/>
    <x v="1"/>
    <x v="1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x v="363"/>
    <n v="59.990534521158132"/>
    <x v="1"/>
    <x v="1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x v="129"/>
    <n v="37.037634408602152"/>
    <x v="2"/>
    <x v="2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x v="364"/>
    <n v="99.963043478260872"/>
    <x v="1"/>
    <x v="1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x v="197"/>
    <n v="111.6774193548387"/>
    <x v="6"/>
    <x v="6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x v="365"/>
    <n v="36.014409221902014"/>
    <x v="1"/>
    <x v="1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x v="366"/>
    <n v="66.010284810126578"/>
    <x v="1"/>
    <x v="1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x v="161"/>
    <n v="44.05263157894737"/>
    <x v="1"/>
    <x v="1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x v="367"/>
    <n v="52.999726551818434"/>
    <x v="1"/>
    <x v="1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x v="368"/>
    <n v="95"/>
    <x v="1"/>
    <x v="1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x v="54"/>
    <n v="70.908396946564892"/>
    <x v="2"/>
    <x v="2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x v="369"/>
    <n v="98.060773480662988"/>
    <x v="1"/>
    <x v="1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x v="370"/>
    <n v="53.046025104602514"/>
    <x v="1"/>
    <x v="1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x v="164"/>
    <n v="93.142857142857139"/>
    <x v="1"/>
    <x v="1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x v="371"/>
    <n v="58.945075757575758"/>
    <x v="5"/>
    <x v="5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x v="221"/>
    <n v="36.067669172932334"/>
    <x v="0"/>
    <x v="0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x v="372"/>
    <n v="63.030732860520096"/>
    <x v="1"/>
    <x v="1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x v="373"/>
    <n v="84.717948717948715"/>
    <x v="1"/>
    <x v="1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x v="234"/>
    <n v="62.2"/>
    <x v="1"/>
    <x v="1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x v="374"/>
    <n v="101.97518330513255"/>
    <x v="1"/>
    <x v="1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x v="235"/>
    <n v="106.4375"/>
    <x v="1"/>
    <x v="1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x v="375"/>
    <n v="29.975609756097562"/>
    <x v="1"/>
    <x v="1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x v="271"/>
    <n v="85.806282722513089"/>
    <x v="1"/>
    <x v="1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x v="121"/>
    <n v="70.82022471910112"/>
    <x v="1"/>
    <x v="1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x v="376"/>
    <n v="40.998484082870135"/>
    <x v="1"/>
    <x v="1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x v="377"/>
    <n v="28.063492063492063"/>
    <x v="1"/>
    <x v="1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x v="98"/>
    <n v="88.054421768707485"/>
    <x v="1"/>
    <x v="1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x v="378"/>
    <n v="31"/>
    <x v="0"/>
    <x v="0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x v="175"/>
    <n v="90.337500000000006"/>
    <x v="4"/>
    <x v="4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x v="352"/>
    <n v="63.777777777777779"/>
    <x v="1"/>
    <x v="1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x v="200"/>
    <n v="53.995515695067262"/>
    <x v="1"/>
    <x v="1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x v="379"/>
    <n v="48.993956043956047"/>
    <x v="5"/>
    <x v="5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x v="105"/>
    <n v="63.857142857142854"/>
    <x v="0"/>
    <x v="0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x v="380"/>
    <n v="82.996393146979258"/>
    <x v="4"/>
    <x v="4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x v="166"/>
    <n v="55.08230452674897"/>
    <x v="1"/>
    <x v="1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x v="381"/>
    <n v="62.044554455445542"/>
    <x v="6"/>
    <x v="6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x v="382"/>
    <n v="104.97857142857143"/>
    <x v="6"/>
    <x v="6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x v="383"/>
    <n v="94.044676806083643"/>
    <x v="3"/>
    <x v="3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x v="384"/>
    <n v="44.007716049382715"/>
    <x v="1"/>
    <x v="1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x v="385"/>
    <n v="92.467532467532465"/>
    <x v="1"/>
    <x v="1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x v="326"/>
    <n v="57.072874493927124"/>
    <x v="1"/>
    <x v="1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x v="386"/>
    <n v="109.07848101265823"/>
    <x v="6"/>
    <x v="6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x v="240"/>
    <n v="39.387755102040813"/>
    <x v="4"/>
    <x v="4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x v="80"/>
    <n v="77.022222222222226"/>
    <x v="1"/>
    <x v="1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x v="286"/>
    <n v="92.166666666666671"/>
    <x v="1"/>
    <x v="1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x v="387"/>
    <n v="61.007063197026021"/>
    <x v="1"/>
    <x v="1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x v="39"/>
    <n v="78.068181818181813"/>
    <x v="1"/>
    <x v="1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n v="80.75"/>
    <x v="1"/>
    <x v="1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x v="389"/>
    <n v="59.991289782244557"/>
    <x v="1"/>
    <x v="1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x v="390"/>
    <n v="110.03018372703411"/>
    <x v="1"/>
    <x v="1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n v="4"/>
    <x v="5"/>
    <x v="5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x v="391"/>
    <n v="37.99856063332134"/>
    <x v="2"/>
    <x v="2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x v="45"/>
    <n v="96.369565217391298"/>
    <x v="1"/>
    <x v="1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x v="392"/>
    <n v="72.978599221789878"/>
    <x v="1"/>
    <x v="1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x v="353"/>
    <n v="26.007220216606498"/>
    <x v="0"/>
    <x v="0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x v="18"/>
    <n v="104.36296296296297"/>
    <x v="3"/>
    <x v="3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x v="393"/>
    <n v="102.18852459016394"/>
    <x v="1"/>
    <x v="1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x v="394"/>
    <n v="54.117647058823529"/>
    <x v="1"/>
    <x v="1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x v="105"/>
    <n v="63.222222222222221"/>
    <x v="1"/>
    <x v="1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x v="395"/>
    <n v="104.03228962818004"/>
    <x v="1"/>
    <x v="1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x v="396"/>
    <n v="49.994334277620396"/>
    <x v="1"/>
    <x v="1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x v="40"/>
    <n v="56.015151515151516"/>
    <x v="5"/>
    <x v="5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x v="150"/>
    <n v="48.807692307692307"/>
    <x v="5"/>
    <x v="5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x v="72"/>
    <n v="60.082352941176474"/>
    <x v="2"/>
    <x v="2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x v="397"/>
    <n v="78.990502793296088"/>
    <x v="1"/>
    <x v="1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x v="398"/>
    <n v="53.99499443826474"/>
    <x v="1"/>
    <x v="1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x v="95"/>
    <n v="111.45945945945945"/>
    <x v="1"/>
    <x v="1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x v="146"/>
    <n v="60.922131147540981"/>
    <x v="1"/>
    <x v="1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x v="399"/>
    <n v="26.0015444015444"/>
    <x v="1"/>
    <x v="1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x v="400"/>
    <n v="80.993208828522924"/>
    <x v="6"/>
    <x v="6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x v="401"/>
    <n v="34.995963302752294"/>
    <x v="1"/>
    <x v="1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x v="164"/>
    <n v="94.142857142857139"/>
    <x v="6"/>
    <x v="6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x v="115"/>
    <n v="52.085106382978722"/>
    <x v="1"/>
    <x v="1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x v="402"/>
    <n v="24.986666666666668"/>
    <x v="1"/>
    <x v="1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x v="358"/>
    <n v="69.215277777777771"/>
    <x v="1"/>
    <x v="1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x v="21"/>
    <n v="93.944444444444443"/>
    <x v="1"/>
    <x v="1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x v="251"/>
    <n v="98.40625"/>
    <x v="1"/>
    <x v="1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x v="95"/>
    <n v="41.783783783783782"/>
    <x v="1"/>
    <x v="1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x v="242"/>
    <n v="65.991836734693877"/>
    <x v="1"/>
    <x v="1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x v="215"/>
    <n v="72.05747126436782"/>
    <x v="1"/>
    <x v="1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x v="403"/>
    <n v="48.003209242618745"/>
    <x v="1"/>
    <x v="1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x v="83"/>
    <n v="54.098591549295776"/>
    <x v="1"/>
    <x v="1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x v="344"/>
    <n v="107.88095238095238"/>
    <x v="1"/>
    <x v="1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x v="404"/>
    <n v="67.034103410341032"/>
    <x v="1"/>
    <x v="1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x v="405"/>
    <n v="64.01425914445133"/>
    <x v="1"/>
    <x v="1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x v="158"/>
    <n v="96.066176470588232"/>
    <x v="1"/>
    <x v="1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x v="406"/>
    <n v="51.184615384615384"/>
    <x v="1"/>
    <x v="1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x v="388"/>
    <n v="43.92307692307692"/>
    <x v="0"/>
    <x v="0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x v="407"/>
    <n v="91.021198830409361"/>
    <x v="4"/>
    <x v="4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x v="408"/>
    <n v="50.127450980392155"/>
    <x v="1"/>
    <x v="1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x v="99"/>
    <n v="67.720930232558146"/>
    <x v="2"/>
    <x v="2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x v="408"/>
    <n v="61.03921568627451"/>
    <x v="1"/>
    <x v="1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x v="259"/>
    <n v="80.011857707509876"/>
    <x v="1"/>
    <x v="1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x v="409"/>
    <n v="47.001497753369947"/>
    <x v="1"/>
    <x v="1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x v="144"/>
    <n v="71.127388535031841"/>
    <x v="1"/>
    <x v="1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x v="410"/>
    <n v="89.99079189686924"/>
    <x v="1"/>
    <x v="1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x v="236"/>
    <n v="43.032786885245905"/>
    <x v="1"/>
    <x v="1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x v="411"/>
    <n v="67.997714808043881"/>
    <x v="1"/>
    <x v="1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x v="412"/>
    <n v="73.004566210045667"/>
    <x v="6"/>
    <x v="6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x v="172"/>
    <n v="62.341463414634148"/>
    <x v="3"/>
    <x v="3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n v="5"/>
    <x v="4"/>
    <x v="4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x v="346"/>
    <n v="67.103092783505161"/>
    <x v="1"/>
    <x v="1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x v="413"/>
    <n v="79.978947368421046"/>
    <x v="1"/>
    <x v="1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x v="408"/>
    <n v="62.176470588235297"/>
    <x v="1"/>
    <x v="1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x v="414"/>
    <n v="53.005950297514879"/>
    <x v="1"/>
    <x v="1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x v="37"/>
    <n v="57.738317757009348"/>
    <x v="1"/>
    <x v="1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x v="415"/>
    <n v="40.03125"/>
    <x v="4"/>
    <x v="4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x v="416"/>
    <n v="81.016591928251117"/>
    <x v="1"/>
    <x v="1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x v="417"/>
    <n v="35.047468354430379"/>
    <x v="1"/>
    <x v="1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x v="124"/>
    <n v="102.92307692307692"/>
    <x v="1"/>
    <x v="1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x v="418"/>
    <n v="27.998126756166094"/>
    <x v="1"/>
    <x v="1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x v="27"/>
    <n v="75.733333333333334"/>
    <x v="1"/>
    <x v="1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x v="325"/>
    <n v="45.026041666666664"/>
    <x v="1"/>
    <x v="1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73.615384615384613"/>
    <x v="0"/>
    <x v="0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x v="419"/>
    <n v="56.991701244813278"/>
    <x v="1"/>
    <x v="1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x v="73"/>
    <n v="85.223529411764702"/>
    <x v="6"/>
    <x v="6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x v="202"/>
    <n v="50.962184873949582"/>
    <x v="4"/>
    <x v="4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x v="12"/>
    <n v="63.563636363636363"/>
    <x v="1"/>
    <x v="1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x v="420"/>
    <n v="80.999165275459092"/>
    <x v="1"/>
    <x v="1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x v="355"/>
    <n v="86.044753086419746"/>
    <x v="1"/>
    <x v="1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x v="58"/>
    <n v="90.0390625"/>
    <x v="2"/>
    <x v="2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x v="421"/>
    <n v="74.006063432835816"/>
    <x v="1"/>
    <x v="1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x v="251"/>
    <n v="92.4375"/>
    <x v="1"/>
    <x v="1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x v="422"/>
    <n v="55.999257333828446"/>
    <x v="4"/>
    <x v="4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x v="423"/>
    <n v="32.983796296296298"/>
    <x v="1"/>
    <x v="1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x v="197"/>
    <n v="93.596774193548384"/>
    <x v="1"/>
    <x v="1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x v="288"/>
    <n v="69.867724867724874"/>
    <x v="1"/>
    <x v="1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x v="110"/>
    <n v="72.129870129870127"/>
    <x v="4"/>
    <x v="4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x v="87"/>
    <n v="30.041666666666668"/>
    <x v="1"/>
    <x v="1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x v="424"/>
    <n v="73.968000000000004"/>
    <x v="1"/>
    <x v="1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x v="215"/>
    <n v="68.65517241379311"/>
    <x v="1"/>
    <x v="1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x v="425"/>
    <n v="59.992164544564154"/>
    <x v="1"/>
    <x v="1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x v="426"/>
    <n v="111.15827338129496"/>
    <x v="1"/>
    <x v="1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x v="339"/>
    <n v="53.038095238095238"/>
    <x v="1"/>
    <x v="1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x v="427"/>
    <n v="55.985524728588658"/>
    <x v="1"/>
    <x v="1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x v="428"/>
    <n v="69.986760812003524"/>
    <x v="1"/>
    <x v="1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x v="429"/>
    <n v="48.998079877112133"/>
    <x v="3"/>
    <x v="3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x v="167"/>
    <n v="103.84615384615384"/>
    <x v="1"/>
    <x v="1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x v="115"/>
    <n v="99.127659574468083"/>
    <x v="1"/>
    <x v="1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x v="430"/>
    <n v="107.37777777777778"/>
    <x v="1"/>
    <x v="1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x v="431"/>
    <n v="76.922178988326849"/>
    <x v="1"/>
    <x v="1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x v="346"/>
    <n v="58.128865979381445"/>
    <x v="5"/>
    <x v="5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x v="30"/>
    <n v="103.73643410852713"/>
    <x v="0"/>
    <x v="0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x v="432"/>
    <n v="87.962666666666664"/>
    <x v="1"/>
    <x v="1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x v="433"/>
    <n v="28"/>
    <x v="0"/>
    <x v="0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x v="434"/>
    <n v="37.999361294443261"/>
    <x v="1"/>
    <x v="1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x v="435"/>
    <n v="29.999313893653515"/>
    <x v="1"/>
    <x v="1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x v="6"/>
    <n v="103.5"/>
    <x v="1"/>
    <x v="1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x v="419"/>
    <n v="85.994467496542185"/>
    <x v="1"/>
    <x v="1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x v="436"/>
    <n v="98.011627906976742"/>
    <x v="5"/>
    <x v="5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n v="2"/>
    <x v="1"/>
    <x v="1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x v="437"/>
    <n v="44.994570837642193"/>
    <x v="6"/>
    <x v="6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x v="438"/>
    <n v="31.012224938875306"/>
    <x v="1"/>
    <x v="1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x v="439"/>
    <n v="59.970085470085472"/>
    <x v="1"/>
    <x v="1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x v="440"/>
    <n v="58.9973474801061"/>
    <x v="1"/>
    <x v="1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x v="441"/>
    <n v="50.045454545454547"/>
    <x v="1"/>
    <x v="1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x v="442"/>
    <n v="98.966269841269835"/>
    <x v="2"/>
    <x v="2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x v="443"/>
    <n v="58.857142857142854"/>
    <x v="1"/>
    <x v="1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x v="444"/>
    <n v="81.010256410256417"/>
    <x v="1"/>
    <x v="1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x v="424"/>
    <n v="76.013333333333335"/>
    <x v="4"/>
    <x v="4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x v="385"/>
    <n v="96.597402597402592"/>
    <x v="1"/>
    <x v="1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x v="445"/>
    <n v="76.957446808510639"/>
    <x v="3"/>
    <x v="3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x v="54"/>
    <n v="67.984732824427482"/>
    <x v="1"/>
    <x v="1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x v="215"/>
    <n v="88.781609195402297"/>
    <x v="1"/>
    <x v="1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x v="446"/>
    <n v="24.99623706491063"/>
    <x v="1"/>
    <x v="1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x v="447"/>
    <n v="44.922794117647058"/>
    <x v="1"/>
    <x v="1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x v="270"/>
    <n v="79.400000000000006"/>
    <x v="1"/>
    <x v="1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x v="448"/>
    <n v="29.009546539379475"/>
    <x v="1"/>
    <x v="1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x v="70"/>
    <n v="73.59210526315789"/>
    <x v="1"/>
    <x v="1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x v="449"/>
    <n v="107.97038864898211"/>
    <x v="6"/>
    <x v="6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x v="450"/>
    <n v="68.987284287011803"/>
    <x v="1"/>
    <x v="1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x v="451"/>
    <n v="111.02236719478098"/>
    <x v="1"/>
    <x v="1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x v="452"/>
    <n v="24.997515808491418"/>
    <x v="2"/>
    <x v="2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x v="125"/>
    <n v="42.155172413793103"/>
    <x v="6"/>
    <x v="6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x v="453"/>
    <n v="47.003284072249592"/>
    <x v="1"/>
    <x v="1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x v="269"/>
    <n v="36.0392749244713"/>
    <x v="1"/>
    <x v="1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x v="454"/>
    <n v="101.03760683760684"/>
    <x v="1"/>
    <x v="1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x v="41"/>
    <n v="39.927927927927925"/>
    <x v="1"/>
    <x v="1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x v="455"/>
    <n v="83.158139534883716"/>
    <x v="1"/>
    <x v="1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x v="456"/>
    <n v="39.97520661157025"/>
    <x v="1"/>
    <x v="1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x v="457"/>
    <n v="47.993908629441627"/>
    <x v="1"/>
    <x v="1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x v="458"/>
    <n v="95.978877489438744"/>
    <x v="1"/>
    <x v="1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x v="459"/>
    <n v="78.728155339805824"/>
    <x v="1"/>
    <x v="1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x v="98"/>
    <n v="56.081632653061227"/>
    <x v="1"/>
    <x v="1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x v="460"/>
    <n v="69.090909090909093"/>
    <x v="0"/>
    <x v="0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x v="461"/>
    <n v="102.05291576673866"/>
    <x v="0"/>
    <x v="0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x v="38"/>
    <n v="107.32089552238806"/>
    <x v="1"/>
    <x v="1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51.970260223048328"/>
    <x v="1"/>
    <x v="1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x v="463"/>
    <n v="71.137142857142862"/>
    <x v="1"/>
    <x v="1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x v="464"/>
    <n v="106.49275362318841"/>
    <x v="1"/>
    <x v="1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x v="257"/>
    <n v="42.93684210526316"/>
    <x v="1"/>
    <x v="1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x v="465"/>
    <n v="30.037974683544302"/>
    <x v="1"/>
    <x v="1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x v="385"/>
    <n v="70.623376623376629"/>
    <x v="4"/>
    <x v="4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x v="466"/>
    <n v="66.016018306636155"/>
    <x v="1"/>
    <x v="1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x v="467"/>
    <n v="96.911392405063296"/>
    <x v="1"/>
    <x v="1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x v="468"/>
    <n v="62.867346938775512"/>
    <x v="6"/>
    <x v="6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x v="469"/>
    <n v="108.98537682789652"/>
    <x v="1"/>
    <x v="1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x v="470"/>
    <n v="26.999314599040439"/>
    <x v="1"/>
    <x v="1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x v="471"/>
    <n v="65.004147943311438"/>
    <x v="0"/>
    <x v="0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x v="75"/>
    <n v="111.51785714285714"/>
    <x v="1"/>
    <x v="1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3"/>
    <x v="1"/>
    <x v="1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x v="472"/>
    <n v="110.99268292682927"/>
    <x v="1"/>
    <x v="1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x v="100"/>
    <n v="56.746987951807228"/>
    <x v="1"/>
    <x v="1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x v="473"/>
    <n v="97.020608439646708"/>
    <x v="1"/>
    <x v="1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x v="220"/>
    <n v="92.08620689655173"/>
    <x v="1"/>
    <x v="1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x v="474"/>
    <n v="82.986666666666665"/>
    <x v="4"/>
    <x v="4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x v="475"/>
    <n v="103.03791821561339"/>
    <x v="2"/>
    <x v="2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x v="170"/>
    <n v="68.922619047619051"/>
    <x v="1"/>
    <x v="1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x v="231"/>
    <n v="87.737226277372258"/>
    <x v="5"/>
    <x v="5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x v="129"/>
    <n v="75.021505376344081"/>
    <x v="6"/>
    <x v="6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x v="476"/>
    <n v="50.863999999999997"/>
    <x v="1"/>
    <x v="1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x v="443"/>
    <n v="90"/>
    <x v="6"/>
    <x v="6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x v="381"/>
    <n v="72.896039603960389"/>
    <x v="1"/>
    <x v="1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x v="459"/>
    <n v="108.48543689320388"/>
    <x v="1"/>
    <x v="1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x v="477"/>
    <n v="101.98095238095237"/>
    <x v="1"/>
    <x v="1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x v="478"/>
    <n v="44.009146341463413"/>
    <x v="1"/>
    <x v="1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x v="144"/>
    <n v="65.942675159235662"/>
    <x v="1"/>
    <x v="1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x v="479"/>
    <n v="24.987387387387386"/>
    <x v="1"/>
    <x v="1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x v="480"/>
    <n v="28.003367003367003"/>
    <x v="1"/>
    <x v="1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n v="85.829268292682926"/>
    <x v="1"/>
    <x v="1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x v="63"/>
    <n v="84.921052631578945"/>
    <x v="3"/>
    <x v="3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x v="101"/>
    <n v="90.483333333333334"/>
    <x v="1"/>
    <x v="1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x v="481"/>
    <n v="25.00197628458498"/>
    <x v="1"/>
    <x v="1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x v="358"/>
    <n v="92.013888888888886"/>
    <x v="2"/>
    <x v="2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x v="246"/>
    <n v="93.066115702479337"/>
    <x v="4"/>
    <x v="4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x v="482"/>
    <n v="61.008145363408524"/>
    <x v="1"/>
    <x v="1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x v="168"/>
    <n v="92.036259541984734"/>
    <x v="1"/>
    <x v="1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n v="81.132596685082873"/>
    <x v="1"/>
    <x v="1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x v="234"/>
    <n v="73.5"/>
    <x v="1"/>
    <x v="1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x v="393"/>
    <n v="85.221311475409834"/>
    <x v="1"/>
    <x v="1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x v="130"/>
    <n v="110.96825396825396"/>
    <x v="0"/>
    <x v="0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x v="319"/>
    <n v="32.968036529680369"/>
    <x v="1"/>
    <x v="1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x v="484"/>
    <n v="96.005352363960753"/>
    <x v="1"/>
    <x v="1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x v="485"/>
    <n v="84.96632653061225"/>
    <x v="1"/>
    <x v="1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x v="486"/>
    <n v="25.007462686567163"/>
    <x v="1"/>
    <x v="1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x v="487"/>
    <n v="65.998995479658461"/>
    <x v="1"/>
    <x v="1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x v="226"/>
    <n v="87.34482758620689"/>
    <x v="1"/>
    <x v="1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x v="80"/>
    <n v="27.933333333333334"/>
    <x v="1"/>
    <x v="1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x v="27"/>
    <n v="103.8"/>
    <x v="1"/>
    <x v="1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x v="271"/>
    <n v="31.937172774869111"/>
    <x v="1"/>
    <x v="1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x v="36"/>
    <n v="99.5"/>
    <x v="1"/>
    <x v="1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x v="406"/>
    <n v="108.84615384615384"/>
    <x v="1"/>
    <x v="1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x v="393"/>
    <n v="110.76229508196721"/>
    <x v="1"/>
    <x v="1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x v="68"/>
    <n v="29.647058823529413"/>
    <x v="1"/>
    <x v="1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n v="101.71428571428571"/>
    <x v="1"/>
    <x v="1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x v="298"/>
    <n v="61.5"/>
    <x v="1"/>
    <x v="1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x v="488"/>
    <n v="35"/>
    <x v="1"/>
    <x v="1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x v="489"/>
    <n v="40.049999999999997"/>
    <x v="1"/>
    <x v="1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x v="490"/>
    <n v="110.97231270358306"/>
    <x v="1"/>
    <x v="1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x v="491"/>
    <n v="36.959016393442624"/>
    <x v="6"/>
    <x v="6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x v="4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x v="492"/>
    <n v="30.974074074074075"/>
    <x v="1"/>
    <x v="1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x v="493"/>
    <n v="47.035087719298247"/>
    <x v="1"/>
    <x v="1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x v="231"/>
    <n v="88.065693430656935"/>
    <x v="1"/>
    <x v="1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x v="494"/>
    <n v="37.005616224648989"/>
    <x v="1"/>
    <x v="1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x v="495"/>
    <n v="26.027777777777779"/>
    <x v="3"/>
    <x v="3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x v="496"/>
    <n v="67.817567567567565"/>
    <x v="1"/>
    <x v="1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x v="493"/>
    <n v="49.964912280701753"/>
    <x v="1"/>
    <x v="1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x v="497"/>
    <n v="110.01646903820817"/>
    <x v="0"/>
    <x v="0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x v="498"/>
    <n v="89.964678178963894"/>
    <x v="1"/>
    <x v="1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x v="155"/>
    <n v="79.009523809523813"/>
    <x v="6"/>
    <x v="6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x v="499"/>
    <n v="86.867469879518069"/>
    <x v="1"/>
    <x v="1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x v="16"/>
    <n v="62.04"/>
    <x v="2"/>
    <x v="2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x v="500"/>
    <n v="26.970212765957445"/>
    <x v="1"/>
    <x v="1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x v="496"/>
    <n v="54.121621621621621"/>
    <x v="1"/>
    <x v="1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x v="40"/>
    <n v="41.035353535353536"/>
    <x v="1"/>
    <x v="1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x v="501"/>
    <n v="55.052419354838712"/>
    <x v="2"/>
    <x v="2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x v="502"/>
    <n v="107.93762183235867"/>
    <x v="1"/>
    <x v="1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73.92"/>
    <x v="1"/>
    <x v="1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x v="504"/>
    <n v="31.995894428152493"/>
    <x v="1"/>
    <x v="1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x v="505"/>
    <n v="53.898148148148145"/>
    <x v="6"/>
    <x v="6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x v="150"/>
    <n v="106.5"/>
    <x v="1"/>
    <x v="1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x v="506"/>
    <n v="32.999805409612762"/>
    <x v="1"/>
    <x v="1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x v="507"/>
    <n v="43.00254993625159"/>
    <x v="1"/>
    <x v="1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x v="373"/>
    <n v="86.858974358974365"/>
    <x v="6"/>
    <x v="6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x v="234"/>
    <n v="96.8"/>
    <x v="1"/>
    <x v="1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x v="508"/>
    <n v="32.995456610631528"/>
    <x v="1"/>
    <x v="1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x v="103"/>
    <n v="68.028106508875737"/>
    <x v="1"/>
    <x v="1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x v="5"/>
    <n v="58.867816091954026"/>
    <x v="5"/>
    <x v="5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x v="509"/>
    <n v="105.04572803850782"/>
    <x v="1"/>
    <x v="1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x v="55"/>
    <n v="33.054878048780488"/>
    <x v="1"/>
    <x v="1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x v="75"/>
    <n v="78.821428571428569"/>
    <x v="5"/>
    <x v="5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x v="510"/>
    <n v="68.204968944099377"/>
    <x v="1"/>
    <x v="1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x v="188"/>
    <n v="75.731884057971016"/>
    <x v="1"/>
    <x v="1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x v="511"/>
    <n v="30.996070133010882"/>
    <x v="1"/>
    <x v="1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x v="78"/>
    <n v="101.88188976377953"/>
    <x v="2"/>
    <x v="2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x v="512"/>
    <n v="52.879227053140099"/>
    <x v="6"/>
    <x v="6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x v="513"/>
    <n v="71.005820721769496"/>
    <x v="0"/>
    <x v="0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x v="249"/>
    <n v="102.38709677419355"/>
    <x v="1"/>
    <x v="1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x v="430"/>
    <n v="74.466666666666669"/>
    <x v="1"/>
    <x v="1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x v="260"/>
    <n v="51.009883198562441"/>
    <x v="1"/>
    <x v="1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x v="514"/>
    <n v="90"/>
    <x v="1"/>
    <x v="1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n v="97.142857142857139"/>
    <x v="1"/>
    <x v="1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x v="483"/>
    <n v="72.071823204419886"/>
    <x v="5"/>
    <x v="5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x v="460"/>
    <n v="75.236363636363635"/>
    <x v="1"/>
    <x v="1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x v="249"/>
    <n v="32.967741935483872"/>
    <x v="1"/>
    <x v="1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x v="373"/>
    <n v="54.807692307692307"/>
    <x v="1"/>
    <x v="1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x v="515"/>
    <n v="45.037837837837834"/>
    <x v="1"/>
    <x v="1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x v="246"/>
    <n v="52.958677685950413"/>
    <x v="1"/>
    <x v="1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x v="516"/>
    <n v="60.017959183673469"/>
    <x v="4"/>
    <x v="4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x v="49"/>
    <n v="1"/>
    <x v="5"/>
    <x v="5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x v="88"/>
    <n v="44.028301886792455"/>
    <x v="1"/>
    <x v="1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x v="23"/>
    <n v="86.028169014084511"/>
    <x v="1"/>
    <x v="1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28.012875536480685"/>
    <x v="1"/>
    <x v="1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x v="205"/>
    <n v="32.050458715596328"/>
    <x v="1"/>
    <x v="1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x v="109"/>
    <n v="73.611940298507463"/>
    <x v="2"/>
    <x v="2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x v="70"/>
    <n v="108.71052631578948"/>
    <x v="1"/>
    <x v="1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n v="42.97674418604651"/>
    <x v="1"/>
    <x v="1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x v="161"/>
    <n v="83.315789473684205"/>
    <x v="1"/>
    <x v="1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x v="518"/>
    <n v="42"/>
    <x v="5"/>
    <x v="5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x v="394"/>
    <n v="55.927601809954751"/>
    <x v="1"/>
    <x v="1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x v="89"/>
    <n v="105.03681885125184"/>
    <x v="1"/>
    <x v="1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x v="519"/>
    <n v="48"/>
    <x v="0"/>
    <x v="0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x v="520"/>
    <n v="112.66176470588235"/>
    <x v="1"/>
    <x v="1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x v="521"/>
    <n v="81.944444444444443"/>
    <x v="3"/>
    <x v="3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x v="236"/>
    <n v="64.049180327868854"/>
    <x v="0"/>
    <x v="0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x v="221"/>
    <n v="106.39097744360902"/>
    <x v="1"/>
    <x v="1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x v="522"/>
    <n v="76.011249497790274"/>
    <x v="6"/>
    <x v="6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x v="464"/>
    <n v="111.07246376811594"/>
    <x v="1"/>
    <x v="1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x v="523"/>
    <n v="95.936170212765958"/>
    <x v="1"/>
    <x v="1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x v="524"/>
    <n v="43.043010752688176"/>
    <x v="4"/>
    <x v="4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x v="155"/>
    <n v="67.966666666666669"/>
    <x v="1"/>
    <x v="1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x v="525"/>
    <n v="89.991428571428571"/>
    <x v="1"/>
    <x v="1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x v="526"/>
    <n v="58.095238095238095"/>
    <x v="1"/>
    <x v="1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x v="527"/>
    <n v="83.996875000000003"/>
    <x v="1"/>
    <x v="1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x v="144"/>
    <n v="88.853503184713375"/>
    <x v="4"/>
    <x v="4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x v="346"/>
    <n v="65.963917525773198"/>
    <x v="1"/>
    <x v="1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x v="172"/>
    <n v="74.804878048780495"/>
    <x v="2"/>
    <x v="2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69.98571428571428"/>
    <x v="1"/>
    <x v="1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x v="110"/>
    <n v="32.006493506493506"/>
    <x v="1"/>
    <x v="1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x v="528"/>
    <n v="64.727272727272734"/>
    <x v="1"/>
    <x v="1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x v="529"/>
    <n v="24.998110087408456"/>
    <x v="1"/>
    <x v="1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x v="265"/>
    <n v="104.97764070932922"/>
    <x v="3"/>
    <x v="3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x v="34"/>
    <n v="64.987878787878785"/>
    <x v="3"/>
    <x v="3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x v="530"/>
    <n v="94.352941176470594"/>
    <x v="1"/>
    <x v="1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x v="531"/>
    <n v="44.001706484641637"/>
    <x v="1"/>
    <x v="1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x v="115"/>
    <n v="64.744680851063833"/>
    <x v="1"/>
    <x v="1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x v="532"/>
    <n v="84.00667779632721"/>
    <x v="1"/>
    <x v="1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x v="210"/>
    <n v="34.061302681992338"/>
    <x v="1"/>
    <x v="1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x v="144"/>
    <n v="93.273885350318466"/>
    <x v="1"/>
    <x v="1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x v="533"/>
    <n v="32.998301726577978"/>
    <x v="1"/>
    <x v="1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x v="287"/>
    <n v="83.812903225806451"/>
    <x v="1"/>
    <x v="1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x v="227"/>
    <n v="63.992424242424242"/>
    <x v="6"/>
    <x v="6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x v="254"/>
    <n v="81.909090909090907"/>
    <x v="1"/>
    <x v="1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x v="115"/>
    <n v="93.053191489361708"/>
    <x v="1"/>
    <x v="1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x v="534"/>
    <n v="101.98449039881831"/>
    <x v="4"/>
    <x v="4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x v="44"/>
    <n v="105.9375"/>
    <x v="1"/>
    <x v="1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x v="460"/>
    <n v="101.58181818181818"/>
    <x v="1"/>
    <x v="1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x v="535"/>
    <n v="62.970930232558139"/>
    <x v="1"/>
    <x v="1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x v="253"/>
    <n v="29.045602605863191"/>
    <x v="1"/>
    <x v="1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x v="1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x v="415"/>
    <n v="77.924999999999997"/>
    <x v="1"/>
    <x v="1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x v="249"/>
    <n v="80.806451612903231"/>
    <x v="1"/>
    <x v="1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x v="50"/>
    <n v="76.006816632583508"/>
    <x v="0"/>
    <x v="0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x v="536"/>
    <n v="72.993613824192337"/>
    <x v="0"/>
    <x v="0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x v="15"/>
    <n v="53"/>
    <x v="2"/>
    <x v="2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x v="1"/>
    <n v="54.164556962025316"/>
    <x v="1"/>
    <x v="1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x v="537"/>
    <n v="32.946666666666665"/>
    <x v="5"/>
    <x v="5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x v="164"/>
    <n v="79.371428571428567"/>
    <x v="1"/>
    <x v="1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x v="377"/>
    <n v="41.174603174603178"/>
    <x v="1"/>
    <x v="1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x v="167"/>
    <n v="77.430769230769229"/>
    <x v="1"/>
    <x v="1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x v="25"/>
    <n v="57.159509202453989"/>
    <x v="1"/>
    <x v="1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x v="72"/>
    <n v="77.17647058823529"/>
    <x v="1"/>
    <x v="1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x v="538"/>
    <n v="24.953917050691246"/>
    <x v="1"/>
    <x v="1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x v="503"/>
    <n v="97.18"/>
    <x v="1"/>
    <x v="1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x v="539"/>
    <n v="46.000916870415651"/>
    <x v="1"/>
    <x v="1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x v="540"/>
    <n v="88.023385300668153"/>
    <x v="1"/>
    <x v="1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x v="402"/>
    <n v="25.99"/>
    <x v="1"/>
    <x v="1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x v="105"/>
    <n v="102.69047619047619"/>
    <x v="1"/>
    <x v="1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x v="541"/>
    <n v="72.958174904942965"/>
    <x v="1"/>
    <x v="1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x v="246"/>
    <n v="57.190082644628099"/>
    <x v="1"/>
    <x v="1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x v="542"/>
    <n v="84.013793103448279"/>
    <x v="1"/>
    <x v="1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x v="543"/>
    <n v="98.666666666666671"/>
    <x v="2"/>
    <x v="2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x v="544"/>
    <n v="42.007419183889773"/>
    <x v="1"/>
    <x v="1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x v="545"/>
    <n v="32.002753556677376"/>
    <x v="1"/>
    <x v="1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x v="109"/>
    <n v="81.567164179104481"/>
    <x v="1"/>
    <x v="1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x v="176"/>
    <n v="37.035087719298247"/>
    <x v="0"/>
    <x v="0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x v="546"/>
    <n v="103.033360455655"/>
    <x v="1"/>
    <x v="1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x v="65"/>
    <n v="84.333333333333329"/>
    <x v="6"/>
    <x v="6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x v="4"/>
    <n v="102.60377358490567"/>
    <x v="1"/>
    <x v="1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x v="547"/>
    <n v="79.992129246064621"/>
    <x v="1"/>
    <x v="1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x v="15"/>
    <n v="70.055309734513273"/>
    <x v="1"/>
    <x v="1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n v="37"/>
    <x v="1"/>
    <x v="1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x v="548"/>
    <n v="41.911917098445599"/>
    <x v="1"/>
    <x v="1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x v="549"/>
    <n v="57.992576882290564"/>
    <x v="1"/>
    <x v="1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x v="550"/>
    <n v="40.942307692307693"/>
    <x v="1"/>
    <x v="1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x v="551"/>
    <n v="69.9972602739726"/>
    <x v="1"/>
    <x v="1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x v="249"/>
    <n v="73.838709677419359"/>
    <x v="1"/>
    <x v="1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x v="552"/>
    <n v="41.979310344827589"/>
    <x v="1"/>
    <x v="1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x v="393"/>
    <n v="77.93442622950819"/>
    <x v="1"/>
    <x v="1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x v="553"/>
    <n v="106.01972789115646"/>
    <x v="1"/>
    <x v="1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x v="34"/>
    <n v="47.018181818181816"/>
    <x v="0"/>
    <x v="0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x v="554"/>
    <n v="76.016483516483518"/>
    <x v="1"/>
    <x v="1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x v="134"/>
    <n v="54.120603015075375"/>
    <x v="6"/>
    <x v="6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x v="75"/>
    <n v="57.285714285714285"/>
    <x v="4"/>
    <x v="4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x v="37"/>
    <n v="103.81308411214954"/>
    <x v="1"/>
    <x v="1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x v="555"/>
    <n v="105.02602739726028"/>
    <x v="2"/>
    <x v="2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x v="11"/>
    <n v="90.259259259259252"/>
    <x v="1"/>
    <x v="1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x v="556"/>
    <n v="76.978705978705975"/>
    <x v="1"/>
    <x v="1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x v="300"/>
    <n v="102.60162601626017"/>
    <x v="5"/>
    <x v="5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n v="2"/>
    <x v="1"/>
    <x v="1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x v="122"/>
    <n v="55.0062893081761"/>
    <x v="1"/>
    <x v="1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x v="460"/>
    <n v="32.127272727272725"/>
    <x v="1"/>
    <x v="1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x v="443"/>
    <n v="50.642857142857146"/>
    <x v="1"/>
    <x v="1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x v="36"/>
    <n v="49.6875"/>
    <x v="1"/>
    <x v="1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x v="64"/>
    <n v="54.894067796610166"/>
    <x v="1"/>
    <x v="1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x v="271"/>
    <n v="46.931937172774866"/>
    <x v="1"/>
    <x v="1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x v="142"/>
    <n v="44.951219512195124"/>
    <x v="1"/>
    <x v="1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x v="557"/>
    <n v="30.99898322318251"/>
    <x v="1"/>
    <x v="1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x v="175"/>
    <n v="107.7625"/>
    <x v="0"/>
    <x v="0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x v="102"/>
    <n v="102.07770270270271"/>
    <x v="1"/>
    <x v="1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x v="558"/>
    <n v="24.976190476190474"/>
    <x v="1"/>
    <x v="1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n v="79.944134078212286"/>
    <x v="1"/>
    <x v="1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x v="560"/>
    <n v="67.946462715105156"/>
    <x v="2"/>
    <x v="2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x v="561"/>
    <n v="26.070921985815602"/>
    <x v="4"/>
    <x v="4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x v="562"/>
    <n v="105.0032154340836"/>
    <x v="4"/>
    <x v="4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x v="550"/>
    <n v="25.826923076923077"/>
    <x v="1"/>
    <x v="1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x v="11"/>
    <n v="77.666666666666671"/>
    <x v="4"/>
    <x v="4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x v="388"/>
    <n v="57.82692307692308"/>
    <x v="5"/>
    <x v="5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x v="537"/>
    <n v="92.955555555555549"/>
    <x v="2"/>
    <x v="2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x v="563"/>
    <n v="37.945098039215686"/>
    <x v="1"/>
    <x v="1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x v="63"/>
    <n v="31.842105263157894"/>
    <x v="1"/>
    <x v="1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x v="564"/>
    <n v="40"/>
    <x v="1"/>
    <x v="1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x v="174"/>
    <n v="101.1"/>
    <x v="1"/>
    <x v="1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x v="565"/>
    <n v="84.006989951944078"/>
    <x v="6"/>
    <x v="6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x v="167"/>
    <n v="103.41538461538461"/>
    <x v="1"/>
    <x v="1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x v="27"/>
    <n v="105.13333333333334"/>
    <x v="1"/>
    <x v="1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x v="95"/>
    <n v="89.21621621621621"/>
    <x v="1"/>
    <x v="1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x v="566"/>
    <n v="51.995234312946785"/>
    <x v="6"/>
    <x v="6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x v="229"/>
    <n v="64.956521739130437"/>
    <x v="4"/>
    <x v="4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x v="72"/>
    <n v="46.235294117647058"/>
    <x v="1"/>
    <x v="1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x v="192"/>
    <n v="51.151785714285715"/>
    <x v="1"/>
    <x v="1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x v="358"/>
    <n v="33.909722222222221"/>
    <x v="1"/>
    <x v="1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x v="567"/>
    <n v="92.016298633017882"/>
    <x v="1"/>
    <x v="1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x v="339"/>
    <n v="107.42857142857143"/>
    <x v="1"/>
    <x v="1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x v="227"/>
    <n v="75.848484848484844"/>
    <x v="1"/>
    <x v="1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x v="356"/>
    <n v="80.476190476190482"/>
    <x v="1"/>
    <x v="1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x v="568"/>
    <n v="86.978483606557376"/>
    <x v="1"/>
    <x v="1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x v="87"/>
    <n v="105.13541666666667"/>
    <x v="1"/>
    <x v="1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x v="109"/>
    <n v="57.298507462686565"/>
    <x v="1"/>
    <x v="1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x v="569"/>
    <n v="93.348484848484844"/>
    <x v="0"/>
    <x v="0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x v="373"/>
    <n v="71.987179487179489"/>
    <x v="1"/>
    <x v="1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x v="109"/>
    <n v="92.611940298507463"/>
    <x v="2"/>
    <x v="2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x v="493"/>
    <n v="104.99122807017544"/>
    <x v="1"/>
    <x v="1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x v="570"/>
    <n v="30.958174904942965"/>
    <x v="2"/>
    <x v="2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x v="571"/>
    <n v="33.001182732111175"/>
    <x v="1"/>
    <x v="1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x v="483"/>
    <n v="84.187845303867405"/>
    <x v="1"/>
    <x v="1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x v="171"/>
    <n v="73.92307692307692"/>
    <x v="1"/>
    <x v="1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x v="415"/>
    <n v="36.987499999999997"/>
    <x v="1"/>
    <x v="1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x v="84"/>
    <n v="46.896551724137929"/>
    <x v="1"/>
    <x v="1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n v="5"/>
    <x v="1"/>
    <x v="1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x v="572"/>
    <n v="102.02437459910199"/>
    <x v="1"/>
    <x v="1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x v="428"/>
    <n v="45.007502206531335"/>
    <x v="1"/>
    <x v="1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94.285714285714292"/>
    <x v="1"/>
    <x v="1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x v="573"/>
    <n v="101.02325581395348"/>
    <x v="2"/>
    <x v="2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n v="97.037499999999994"/>
    <x v="1"/>
    <x v="1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x v="268"/>
    <n v="43.00963855421687"/>
    <x v="1"/>
    <x v="1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x v="54"/>
    <n v="94.916030534351151"/>
    <x v="1"/>
    <x v="1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x v="192"/>
    <n v="72.151785714285708"/>
    <x v="1"/>
    <x v="1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x v="406"/>
    <n v="51.007692307692309"/>
    <x v="1"/>
    <x v="1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x v="12"/>
    <n v="85.054545454545448"/>
    <x v="1"/>
    <x v="1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x v="287"/>
    <n v="43.87096774193548"/>
    <x v="1"/>
    <x v="1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x v="574"/>
    <n v="40.063909774436091"/>
    <x v="1"/>
    <x v="1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x v="493"/>
    <n v="43.833333333333336"/>
    <x v="6"/>
    <x v="6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x v="287"/>
    <n v="84.92903225806451"/>
    <x v="1"/>
    <x v="1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x v="512"/>
    <n v="41.067632850241544"/>
    <x v="4"/>
    <x v="4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x v="242"/>
    <n v="54.971428571428568"/>
    <x v="1"/>
    <x v="1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x v="575"/>
    <n v="77.010807374443743"/>
    <x v="1"/>
    <x v="1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x v="493"/>
    <n v="71.201754385964918"/>
    <x v="1"/>
    <x v="1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x v="576"/>
    <n v="91.935483870967744"/>
    <x v="1"/>
    <x v="1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x v="577"/>
    <n v="97.069023569023571"/>
    <x v="1"/>
    <x v="1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x v="3"/>
    <n v="58.916666666666664"/>
    <x v="1"/>
    <x v="1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x v="578"/>
    <n v="58.015466983938133"/>
    <x v="1"/>
    <x v="1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x v="526"/>
    <n v="103.87301587301587"/>
    <x v="1"/>
    <x v="1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x v="235"/>
    <n v="93.46875"/>
    <x v="1"/>
    <x v="1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x v="18"/>
    <n v="61.970370370370368"/>
    <x v="1"/>
    <x v="1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x v="382"/>
    <n v="92.042857142857144"/>
    <x v="1"/>
    <x v="1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x v="109"/>
    <n v="77.268656716417908"/>
    <x v="1"/>
    <x v="1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x v="45"/>
    <n v="93.923913043478265"/>
    <x v="1"/>
    <x v="1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x v="579"/>
    <n v="84.969458128078813"/>
    <x v="4"/>
    <x v="4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x v="580"/>
    <n v="105.97035040431267"/>
    <x v="1"/>
    <x v="1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x v="581"/>
    <n v="36.969040247678016"/>
    <x v="1"/>
    <x v="1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x v="51"/>
    <n v="81.533333333333331"/>
    <x v="1"/>
    <x v="1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x v="582"/>
    <n v="80.999140154772135"/>
    <x v="1"/>
    <x v="1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x v="345"/>
    <n v="26.010498687664043"/>
    <x v="1"/>
    <x v="1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x v="583"/>
    <n v="25.998410896708286"/>
    <x v="1"/>
    <x v="1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x v="45"/>
    <n v="34.173913043478258"/>
    <x v="1"/>
    <x v="1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x v="584"/>
    <n v="28.002083333333335"/>
    <x v="1"/>
    <x v="1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x v="251"/>
    <n v="76.546875"/>
    <x v="1"/>
    <x v="1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x v="31"/>
    <n v="53.053097345132741"/>
    <x v="1"/>
    <x v="1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x v="251"/>
    <n v="106.859375"/>
    <x v="1"/>
    <x v="1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x v="585"/>
    <n v="46.020746887966808"/>
    <x v="1"/>
    <x v="1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x v="227"/>
    <n v="100.17424242424242"/>
    <x v="1"/>
    <x v="1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x v="51"/>
    <n v="101.44"/>
    <x v="6"/>
    <x v="6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x v="586"/>
    <n v="87.972684085510693"/>
    <x v="1"/>
    <x v="1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x v="587"/>
    <n v="74.995594713656388"/>
    <x v="1"/>
    <x v="1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x v="192"/>
    <n v="42.982142857142854"/>
    <x v="1"/>
    <x v="1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x v="279"/>
    <n v="33.115107913669064"/>
    <x v="6"/>
    <x v="6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x v="82"/>
    <n v="101.13101604278074"/>
    <x v="1"/>
    <x v="1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x v="588"/>
    <n v="55.98841354723708"/>
    <x v="1"/>
    <x v="1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5F6E9E-141A-427F-BE5C-0B995EA3554F}" name="PivotTable2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numFmtId="165" showAll="0"/>
    <pivotField numFmtId="165" showAll="0"/>
    <pivotField numFmtId="165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6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3C73F2-0349-4ECB-A015-E5350012BB20}" name="PivotTable3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3">
    <pivotField showAll="0"/>
    <pivotField showAll="0"/>
    <pivotField showAll="0"/>
    <pivotField numFmtId="165" showAll="0"/>
    <pivotField numFmtId="165" showAll="0"/>
    <pivotField numFmtId="165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6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CD1ECA-D3A6-4301-86C1-7EFA86B15FBA}" name="PivotTable4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23">
    <pivotField showAll="0"/>
    <pivotField showAll="0"/>
    <pivotField showAll="0"/>
    <pivotField numFmtId="165" showAll="0"/>
    <pivotField numFmtId="165" showAll="0"/>
    <pivotField numFmtId="165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166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E2D70C-4DAE-4647-861C-F50D83E55096}" name="PivotTable13" cacheId="3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126:C137" firstHeaderRow="1" firstDataRow="2" firstDataCol="1" rowPageCount="2" colPageCount="1"/>
  <pivotFields count="23">
    <pivotField showAll="0"/>
    <pivotField showAll="0"/>
    <pivotField showAll="0"/>
    <pivotField numFmtId="165" showAll="0"/>
    <pivotField numFmtId="165" showAll="0"/>
    <pivotField numFmtId="165" showAll="0"/>
    <pivotField axis="axisCol" showAll="0">
      <items count="5">
        <item h="1" x="3"/>
        <item x="1"/>
        <item x="0"/>
        <item h="1" x="2"/>
        <item t="default"/>
      </items>
    </pivotField>
    <pivotField dataField="1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numFmtId="166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axis="axisPage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2">
    <i>
      <x v="1"/>
    </i>
    <i>
      <x v="2"/>
    </i>
  </colItems>
  <pageFields count="2">
    <pageField fld="9" hier="-1"/>
    <pageField fld="10" hier="-1"/>
  </pageFields>
  <dataFields count="1">
    <dataField name="StdDevp of backers_count" fld="7" subtotal="stdDevp" baseField="18" baseItem="0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937925-B57F-4AA1-A9C6-418AD3662BA8}" name="PivotTable12" cacheId="3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107:C118" firstHeaderRow="1" firstDataRow="2" firstDataCol="1" rowPageCount="2" colPageCount="1"/>
  <pivotFields count="23">
    <pivotField showAll="0"/>
    <pivotField showAll="0"/>
    <pivotField showAll="0"/>
    <pivotField numFmtId="165" showAll="0"/>
    <pivotField numFmtId="165" showAll="0"/>
    <pivotField numFmtId="165" showAll="0"/>
    <pivotField axis="axisCol" showAll="0">
      <items count="5">
        <item h="1" x="3"/>
        <item x="1"/>
        <item x="0"/>
        <item h="1" x="2"/>
        <item t="default"/>
      </items>
    </pivotField>
    <pivotField dataField="1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numFmtId="166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axis="axisPage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2">
    <i>
      <x v="1"/>
    </i>
    <i>
      <x v="2"/>
    </i>
  </colItems>
  <pageFields count="2">
    <pageField fld="9" hier="-1"/>
    <pageField fld="10" hier="-1"/>
  </pageFields>
  <dataFields count="1">
    <dataField name="Varp of backers_count" fld="7" subtotal="varp" baseField="18" baseItem="4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48E76-4407-45C5-8202-8C66AECFCAF3}" name="PivotTable11" cacheId="3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87:C98" firstHeaderRow="1" firstDataRow="2" firstDataCol="1" rowPageCount="2" colPageCount="1"/>
  <pivotFields count="23">
    <pivotField showAll="0"/>
    <pivotField showAll="0"/>
    <pivotField showAll="0"/>
    <pivotField numFmtId="165" showAll="0"/>
    <pivotField numFmtId="165" showAll="0"/>
    <pivotField numFmtId="165" showAll="0"/>
    <pivotField axis="axisCol" showAll="0">
      <items count="5">
        <item h="1" x="3"/>
        <item x="1"/>
        <item x="0"/>
        <item h="1" x="2"/>
        <item t="default"/>
      </items>
    </pivotField>
    <pivotField dataField="1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numFmtId="166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axis="axisPage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2">
    <i>
      <x v="1"/>
    </i>
    <i>
      <x v="2"/>
    </i>
  </colItems>
  <pageFields count="2">
    <pageField fld="9" hier="-1"/>
    <pageField fld="10" hier="-1"/>
  </pageFields>
  <dataFields count="1">
    <dataField name="Max of backers_count" fld="7" subtotal="max" baseField="18" baseItem="5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FE7D37-9C6A-4E71-891A-50621A3FE1AC}" name="PivotTable10" cacheId="3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67:C78" firstHeaderRow="1" firstDataRow="2" firstDataCol="1" rowPageCount="2" colPageCount="1"/>
  <pivotFields count="23">
    <pivotField showAll="0"/>
    <pivotField showAll="0"/>
    <pivotField showAll="0"/>
    <pivotField numFmtId="165" showAll="0"/>
    <pivotField numFmtId="165" showAll="0"/>
    <pivotField numFmtId="165" showAll="0"/>
    <pivotField axis="axisCol" showAll="0">
      <items count="5">
        <item h="1" x="3"/>
        <item x="1"/>
        <item x="0"/>
        <item h="1" x="2"/>
        <item t="default"/>
      </items>
    </pivotField>
    <pivotField dataField="1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numFmtId="166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axis="axisPage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2">
    <i>
      <x v="1"/>
    </i>
    <i>
      <x v="2"/>
    </i>
  </colItems>
  <pageFields count="2">
    <pageField fld="9" hier="-1"/>
    <pageField fld="10" hier="-1"/>
  </pageFields>
  <dataFields count="1">
    <dataField name="Min of backers_count" fld="7" subtotal="min" baseField="18" baseItem="3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E42E75-D7B6-4C40-A572-7DF15740E60A}" name="PivotTable9" cacheId="89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47:C58" firstHeaderRow="1" firstDataRow="2" firstDataCol="1" rowPageCount="2" colPageCount="1"/>
  <pivotFields count="5"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Col" allDrilled="1" subtotalTop="0" showAll="0" defaultSubtotal="0" defaultAttributeDrillState="1">
      <items count="2">
        <item s="1" x="1"/>
        <item s="1" x="0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2">
    <i>
      <x/>
    </i>
    <i>
      <x v="1"/>
    </i>
  </colItems>
  <pageFields count="2">
    <pageField fld="2" hier="9" name="[Range].[country].[All]" cap="All"/>
    <pageField fld="3" hier="10" name="[Range].[currency].[All]" cap="All"/>
  </pageFields>
  <dataFields count="1">
    <dataField fld="4" subtotal="count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8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0B135-B58B-416E-9687-0BAD41327798}" name="PivotTable6" cacheId="3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27:C38" firstHeaderRow="1" firstDataRow="2" firstDataCol="1" rowPageCount="2" colPageCount="1"/>
  <pivotFields count="23">
    <pivotField showAll="0"/>
    <pivotField showAll="0"/>
    <pivotField showAll="0"/>
    <pivotField numFmtId="165" showAll="0"/>
    <pivotField numFmtId="165" showAll="0"/>
    <pivotField numFmtId="165" showAll="0"/>
    <pivotField axis="axisCol" showAll="0">
      <items count="5">
        <item h="1" x="3"/>
        <item x="1"/>
        <item x="0"/>
        <item h="1" x="2"/>
        <item t="default"/>
      </items>
    </pivotField>
    <pivotField dataField="1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numFmtId="166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axis="axisPage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2">
    <i>
      <x v="1"/>
    </i>
    <i>
      <x v="2"/>
    </i>
  </colItems>
  <pageFields count="2">
    <pageField fld="9" hier="-1"/>
    <pageField fld="10" hier="-1"/>
  </pageFields>
  <dataFields count="1">
    <dataField name="Average of backers_count" fld="7" subtotal="average" baseField="18" baseItem="4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D6ECC2-9B28-4E7D-A9E9-97D3E23670CC}" name="PivotTable5" cacheId="3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8:C19" firstHeaderRow="1" firstDataRow="2" firstDataCol="1" rowPageCount="2" colPageCount="1"/>
  <pivotFields count="23">
    <pivotField showAll="0"/>
    <pivotField showAll="0"/>
    <pivotField showAll="0"/>
    <pivotField numFmtId="165" showAll="0"/>
    <pivotField numFmtId="165" showAll="0"/>
    <pivotField numFmtId="165" showAll="0"/>
    <pivotField axis="axisCol" showAll="0">
      <items count="5">
        <item h="1" x="3"/>
        <item x="1"/>
        <item x="0"/>
        <item h="1" x="2"/>
        <item t="default"/>
      </items>
    </pivotField>
    <pivotField dataField="1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numFmtId="166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axis="axisPage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2">
    <i>
      <x v="1"/>
    </i>
    <i>
      <x v="2"/>
    </i>
  </colItems>
  <pageFields count="2">
    <pageField fld="9" hier="-1"/>
    <pageField fld="10" hier="-1"/>
  </pageFields>
  <dataFields count="1">
    <dataField name="Sum of backers_count" fld="7" baseField="18" baseItem="7" numFmtId="168"/>
  </dataFields>
  <formats count="9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field="6" type="button" dataOnly="0" labelOnly="1" outline="0" axis="axisCol" fieldPosition="0"/>
    </format>
    <format dxfId="34">
      <pivotArea type="topRight" dataOnly="0" labelOnly="1" outline="0" fieldPosition="0"/>
    </format>
    <format dxfId="33">
      <pivotArea field="18" type="button" dataOnly="0" labelOnly="1" outline="0" axis="axisRow" fieldPosition="0"/>
    </format>
    <format dxfId="32">
      <pivotArea dataOnly="0" labelOnly="1" fieldPosition="0">
        <references count="1">
          <reference field="18" count="0"/>
        </references>
      </pivotArea>
    </format>
    <format dxfId="31">
      <pivotArea dataOnly="0" labelOnly="1" grandRow="1" outline="0" fieldPosition="0"/>
    </format>
    <format dxfId="30">
      <pivotArea dataOnly="0" labelOnly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ivotTable" Target="../pivotTables/pivotTable6.xml"/><Relationship Id="rId7" Type="http://schemas.openxmlformats.org/officeDocument/2006/relationships/pivotTable" Target="../pivotTables/pivotTable10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T1001"/>
  <sheetViews>
    <sheetView tabSelected="1" zoomScale="90" zoomScaleNormal="90" workbookViewId="0">
      <pane ySplit="1" topLeftCell="A270" activePane="bottomLeft" state="frozen"/>
      <selection pane="bottomLeft" activeCell="C279" sqref="C279"/>
    </sheetView>
  </sheetViews>
  <sheetFormatPr defaultColWidth="11" defaultRowHeight="15.75" x14ac:dyDescent="0.25"/>
  <cols>
    <col min="1" max="1" width="6.875" bestFit="1" customWidth="1"/>
    <col min="2" max="2" width="30.375" bestFit="1" customWidth="1"/>
    <col min="3" max="3" width="33.625" style="3" bestFit="1" customWidth="1"/>
    <col min="4" max="4" width="11.375" customWidth="1"/>
    <col min="5" max="5" width="12.125" bestFit="1" customWidth="1"/>
    <col min="6" max="6" width="18.5" bestFit="1" customWidth="1"/>
    <col min="7" max="7" width="12.75" bestFit="1" customWidth="1"/>
    <col min="8" max="8" width="17.75" bestFit="1" customWidth="1"/>
    <col min="9" max="9" width="20.5" bestFit="1" customWidth="1"/>
    <col min="10" max="10" width="11.875" bestFit="1" customWidth="1"/>
    <col min="11" max="11" width="12.625" bestFit="1" customWidth="1"/>
    <col min="12" max="12" width="15.625" bestFit="1" customWidth="1"/>
    <col min="13" max="13" width="12.5" bestFit="1" customWidth="1"/>
    <col min="14" max="14" width="22.375" bestFit="1" customWidth="1"/>
    <col min="15" max="15" width="21" bestFit="1" customWidth="1"/>
    <col min="16" max="16" width="13.375" bestFit="1" customWidth="1"/>
    <col min="17" max="17" width="12.75" bestFit="1" customWidth="1"/>
    <col min="18" max="18" width="27.625" bestFit="1" customWidth="1"/>
    <col min="19" max="20" width="20.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5" t="s">
        <v>2072</v>
      </c>
      <c r="O1" s="5" t="s">
        <v>2073</v>
      </c>
      <c r="P1" s="1" t="s">
        <v>10</v>
      </c>
      <c r="Q1" s="1" t="s">
        <v>11</v>
      </c>
      <c r="R1" s="1" t="s">
        <v>2028</v>
      </c>
      <c r="S1" s="5" t="s">
        <v>2031</v>
      </c>
      <c r="T1" s="5" t="s">
        <v>2032</v>
      </c>
    </row>
    <row r="2" spans="1:20" x14ac:dyDescent="0.25">
      <c r="A2">
        <v>0</v>
      </c>
      <c r="B2" t="s">
        <v>12</v>
      </c>
      <c r="C2" s="3" t="s">
        <v>13</v>
      </c>
      <c r="D2" s="7">
        <v>100</v>
      </c>
      <c r="E2" s="7">
        <v>0</v>
      </c>
      <c r="F2" s="7">
        <f>(E2/D2)*100</f>
        <v>0</v>
      </c>
      <c r="G2" t="s">
        <v>14</v>
      </c>
      <c r="H2">
        <v>0</v>
      </c>
      <c r="I2" s="8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13">
        <f>(((L2/60)/60)/24)+DATE(1970,1,1)</f>
        <v>42336.25</v>
      </c>
      <c r="O2" s="13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 s="7">
        <v>1400</v>
      </c>
      <c r="E3" s="7">
        <v>14560</v>
      </c>
      <c r="F3" s="7">
        <f t="shared" ref="F3:F66" si="0">(E3/D3)*100</f>
        <v>1040</v>
      </c>
      <c r="G3" t="s">
        <v>20</v>
      </c>
      <c r="H3">
        <v>158</v>
      </c>
      <c r="I3" s="9">
        <f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3">
        <f t="shared" ref="N3:N66" si="1">(((L3/60)/60)/24)+DATE(1970,1,1)</f>
        <v>41870.208333333336</v>
      </c>
      <c r="O3" s="13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 s="7">
        <v>108400</v>
      </c>
      <c r="E4" s="7">
        <v>142523</v>
      </c>
      <c r="F4" s="7">
        <f t="shared" si="0"/>
        <v>131.4787822878229</v>
      </c>
      <c r="G4" t="s">
        <v>20</v>
      </c>
      <c r="H4">
        <v>1425</v>
      </c>
      <c r="I4" s="9">
        <f t="shared" ref="I4:I67" si="3">IFERROR(E4/H4,0)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3">
        <f t="shared" si="1"/>
        <v>41595.25</v>
      </c>
      <c r="O4" s="13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 s="7">
        <v>4200</v>
      </c>
      <c r="E5" s="7">
        <v>2477</v>
      </c>
      <c r="F5" s="7">
        <f t="shared" si="0"/>
        <v>58.976190476190467</v>
      </c>
      <c r="G5" t="s">
        <v>14</v>
      </c>
      <c r="H5">
        <v>24</v>
      </c>
      <c r="I5" s="9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3">
        <f t="shared" si="1"/>
        <v>43688.208333333328</v>
      </c>
      <c r="O5" s="13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 s="7">
        <v>7600</v>
      </c>
      <c r="E6" s="7">
        <v>5265</v>
      </c>
      <c r="F6" s="7">
        <f t="shared" si="0"/>
        <v>69.276315789473685</v>
      </c>
      <c r="G6" t="s">
        <v>14</v>
      </c>
      <c r="H6">
        <v>53</v>
      </c>
      <c r="I6" s="9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3">
        <f t="shared" si="1"/>
        <v>43485.25</v>
      </c>
      <c r="O6" s="13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 s="7">
        <v>7600</v>
      </c>
      <c r="E7" s="7">
        <v>13195</v>
      </c>
      <c r="F7" s="7">
        <f t="shared" si="0"/>
        <v>173.61842105263159</v>
      </c>
      <c r="G7" t="s">
        <v>20</v>
      </c>
      <c r="H7">
        <v>174</v>
      </c>
      <c r="I7" s="9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3">
        <f t="shared" si="1"/>
        <v>41149.208333333336</v>
      </c>
      <c r="O7" s="13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 s="7">
        <v>5200</v>
      </c>
      <c r="E8" s="7">
        <v>1090</v>
      </c>
      <c r="F8" s="7">
        <f t="shared" si="0"/>
        <v>20.961538461538463</v>
      </c>
      <c r="G8" t="s">
        <v>14</v>
      </c>
      <c r="H8">
        <v>18</v>
      </c>
      <c r="I8" s="9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3">
        <f t="shared" si="1"/>
        <v>42991.208333333328</v>
      </c>
      <c r="O8" s="13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 s="7">
        <v>4500</v>
      </c>
      <c r="E9" s="7">
        <v>14741</v>
      </c>
      <c r="F9" s="7">
        <f t="shared" si="0"/>
        <v>327.57777777777778</v>
      </c>
      <c r="G9" t="s">
        <v>20</v>
      </c>
      <c r="H9">
        <v>227</v>
      </c>
      <c r="I9" s="9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3">
        <f t="shared" si="1"/>
        <v>42229.208333333328</v>
      </c>
      <c r="O9" s="13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 s="7">
        <v>110100</v>
      </c>
      <c r="E10" s="7">
        <v>21946</v>
      </c>
      <c r="F10" s="7">
        <f t="shared" si="0"/>
        <v>19.932788374205266</v>
      </c>
      <c r="G10" t="s">
        <v>47</v>
      </c>
      <c r="H10">
        <v>708</v>
      </c>
      <c r="I10" s="9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3">
        <f t="shared" si="1"/>
        <v>40399.208333333336</v>
      </c>
      <c r="O10" s="13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 s="7">
        <v>6200</v>
      </c>
      <c r="E11" s="7">
        <v>3208</v>
      </c>
      <c r="F11" s="7">
        <f t="shared" si="0"/>
        <v>51.741935483870968</v>
      </c>
      <c r="G11" t="s">
        <v>14</v>
      </c>
      <c r="H11">
        <v>44</v>
      </c>
      <c r="I11" s="9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3">
        <f t="shared" si="1"/>
        <v>41536.208333333336</v>
      </c>
      <c r="O11" s="13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 s="7">
        <v>5200</v>
      </c>
      <c r="E12" s="7">
        <v>13838</v>
      </c>
      <c r="F12" s="7">
        <f t="shared" si="0"/>
        <v>266.11538461538464</v>
      </c>
      <c r="G12" t="s">
        <v>20</v>
      </c>
      <c r="H12">
        <v>220</v>
      </c>
      <c r="I12" s="9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3">
        <f t="shared" si="1"/>
        <v>40404.208333333336</v>
      </c>
      <c r="O12" s="13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 s="7">
        <v>6300</v>
      </c>
      <c r="E13" s="7">
        <v>3030</v>
      </c>
      <c r="F13" s="7">
        <f t="shared" si="0"/>
        <v>48.095238095238095</v>
      </c>
      <c r="G13" t="s">
        <v>14</v>
      </c>
      <c r="H13">
        <v>27</v>
      </c>
      <c r="I13" s="9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3">
        <f t="shared" si="1"/>
        <v>40442.208333333336</v>
      </c>
      <c r="O13" s="13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 s="7">
        <v>6300</v>
      </c>
      <c r="E14" s="7">
        <v>5629</v>
      </c>
      <c r="F14" s="7">
        <f t="shared" si="0"/>
        <v>89.349206349206341</v>
      </c>
      <c r="G14" t="s">
        <v>14</v>
      </c>
      <c r="H14">
        <v>55</v>
      </c>
      <c r="I14" s="9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3">
        <f t="shared" si="1"/>
        <v>43760.208333333328</v>
      </c>
      <c r="O14" s="13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 s="7">
        <v>4200</v>
      </c>
      <c r="E15" s="7">
        <v>10295</v>
      </c>
      <c r="F15" s="7">
        <f t="shared" si="0"/>
        <v>245.11904761904765</v>
      </c>
      <c r="G15" t="s">
        <v>20</v>
      </c>
      <c r="H15">
        <v>98</v>
      </c>
      <c r="I15" s="9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3">
        <f t="shared" si="1"/>
        <v>42532.208333333328</v>
      </c>
      <c r="O15" s="13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 s="7">
        <v>28200</v>
      </c>
      <c r="E16" s="7">
        <v>18829</v>
      </c>
      <c r="F16" s="7">
        <f t="shared" si="0"/>
        <v>66.769503546099301</v>
      </c>
      <c r="G16" t="s">
        <v>14</v>
      </c>
      <c r="H16">
        <v>200</v>
      </c>
      <c r="I16" s="9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3">
        <f t="shared" si="1"/>
        <v>40974.25</v>
      </c>
      <c r="O16" s="13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 s="7">
        <v>81200</v>
      </c>
      <c r="E17" s="7">
        <v>38414</v>
      </c>
      <c r="F17" s="7">
        <f t="shared" si="0"/>
        <v>47.307881773399011</v>
      </c>
      <c r="G17" t="s">
        <v>14</v>
      </c>
      <c r="H17">
        <v>452</v>
      </c>
      <c r="I17" s="9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3">
        <f t="shared" si="1"/>
        <v>43809.25</v>
      </c>
      <c r="O17" s="13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 s="7">
        <v>1700</v>
      </c>
      <c r="E18" s="7">
        <v>11041</v>
      </c>
      <c r="F18" s="7">
        <f t="shared" si="0"/>
        <v>649.47058823529414</v>
      </c>
      <c r="G18" t="s">
        <v>20</v>
      </c>
      <c r="H18">
        <v>100</v>
      </c>
      <c r="I18" s="9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3">
        <f t="shared" si="1"/>
        <v>41661.25</v>
      </c>
      <c r="O18" s="13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 s="7">
        <v>84600</v>
      </c>
      <c r="E19" s="7">
        <v>134845</v>
      </c>
      <c r="F19" s="7">
        <f t="shared" si="0"/>
        <v>159.39125295508273</v>
      </c>
      <c r="G19" t="s">
        <v>20</v>
      </c>
      <c r="H19">
        <v>1249</v>
      </c>
      <c r="I19" s="9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3">
        <f t="shared" si="1"/>
        <v>40555.25</v>
      </c>
      <c r="O19" s="13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 s="7">
        <v>9100</v>
      </c>
      <c r="E20" s="7">
        <v>6089</v>
      </c>
      <c r="F20" s="7">
        <f t="shared" si="0"/>
        <v>66.912087912087912</v>
      </c>
      <c r="G20" t="s">
        <v>74</v>
      </c>
      <c r="H20">
        <v>135</v>
      </c>
      <c r="I20" s="9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3">
        <f t="shared" si="1"/>
        <v>43351.208333333328</v>
      </c>
      <c r="O20" s="13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 s="7">
        <v>62500</v>
      </c>
      <c r="E21" s="7">
        <v>30331</v>
      </c>
      <c r="F21" s="7">
        <f t="shared" si="0"/>
        <v>48.529600000000002</v>
      </c>
      <c r="G21" t="s">
        <v>14</v>
      </c>
      <c r="H21">
        <v>674</v>
      </c>
      <c r="I21" s="9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3">
        <f t="shared" si="1"/>
        <v>43528.25</v>
      </c>
      <c r="O21" s="13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 s="7">
        <v>131800</v>
      </c>
      <c r="E22" s="7">
        <v>147936</v>
      </c>
      <c r="F22" s="7">
        <f t="shared" si="0"/>
        <v>112.24279210925646</v>
      </c>
      <c r="G22" t="s">
        <v>20</v>
      </c>
      <c r="H22">
        <v>1396</v>
      </c>
      <c r="I22" s="9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3">
        <f t="shared" si="1"/>
        <v>41848.208333333336</v>
      </c>
      <c r="O22" s="13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 s="7">
        <v>94000</v>
      </c>
      <c r="E23" s="7">
        <v>38533</v>
      </c>
      <c r="F23" s="7">
        <f t="shared" si="0"/>
        <v>40.992553191489364</v>
      </c>
      <c r="G23" t="s">
        <v>14</v>
      </c>
      <c r="H23">
        <v>558</v>
      </c>
      <c r="I23" s="9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3">
        <f t="shared" si="1"/>
        <v>40770.208333333336</v>
      </c>
      <c r="O23" s="13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 s="7">
        <v>59100</v>
      </c>
      <c r="E24" s="7">
        <v>75690</v>
      </c>
      <c r="F24" s="7">
        <f t="shared" si="0"/>
        <v>128.07106598984771</v>
      </c>
      <c r="G24" t="s">
        <v>20</v>
      </c>
      <c r="H24">
        <v>890</v>
      </c>
      <c r="I24" s="9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3">
        <f t="shared" si="1"/>
        <v>43193.208333333328</v>
      </c>
      <c r="O24" s="13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 s="7">
        <v>4500</v>
      </c>
      <c r="E25" s="7">
        <v>14942</v>
      </c>
      <c r="F25" s="7">
        <f t="shared" si="0"/>
        <v>332.04444444444448</v>
      </c>
      <c r="G25" t="s">
        <v>20</v>
      </c>
      <c r="H25">
        <v>142</v>
      </c>
      <c r="I25" s="9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3">
        <f t="shared" si="1"/>
        <v>43510.25</v>
      </c>
      <c r="O25" s="13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 s="7">
        <v>92400</v>
      </c>
      <c r="E26" s="7">
        <v>104257</v>
      </c>
      <c r="F26" s="7">
        <f t="shared" si="0"/>
        <v>112.83225108225108</v>
      </c>
      <c r="G26" t="s">
        <v>20</v>
      </c>
      <c r="H26">
        <v>2673</v>
      </c>
      <c r="I26" s="9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3">
        <f t="shared" si="1"/>
        <v>41811.208333333336</v>
      </c>
      <c r="O26" s="13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 s="7">
        <v>5500</v>
      </c>
      <c r="E27" s="7">
        <v>11904</v>
      </c>
      <c r="F27" s="7">
        <f t="shared" si="0"/>
        <v>216.43636363636364</v>
      </c>
      <c r="G27" t="s">
        <v>20</v>
      </c>
      <c r="H27">
        <v>163</v>
      </c>
      <c r="I27" s="9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3">
        <f t="shared" si="1"/>
        <v>40681.208333333336</v>
      </c>
      <c r="O27" s="13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 s="7">
        <v>107500</v>
      </c>
      <c r="E28" s="7">
        <v>51814</v>
      </c>
      <c r="F28" s="7">
        <f t="shared" si="0"/>
        <v>48.199069767441863</v>
      </c>
      <c r="G28" t="s">
        <v>74</v>
      </c>
      <c r="H28">
        <v>1480</v>
      </c>
      <c r="I28" s="9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3">
        <f t="shared" si="1"/>
        <v>43312.208333333328</v>
      </c>
      <c r="O28" s="13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 s="7">
        <v>2000</v>
      </c>
      <c r="E29" s="7">
        <v>1599</v>
      </c>
      <c r="F29" s="7">
        <f t="shared" si="0"/>
        <v>79.95</v>
      </c>
      <c r="G29" t="s">
        <v>14</v>
      </c>
      <c r="H29">
        <v>15</v>
      </c>
      <c r="I29" s="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3">
        <f t="shared" si="1"/>
        <v>42280.208333333328</v>
      </c>
      <c r="O29" s="13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 s="7">
        <v>130800</v>
      </c>
      <c r="E30" s="7">
        <v>137635</v>
      </c>
      <c r="F30" s="7">
        <f t="shared" si="0"/>
        <v>105.22553516819573</v>
      </c>
      <c r="G30" t="s">
        <v>20</v>
      </c>
      <c r="H30">
        <v>2220</v>
      </c>
      <c r="I30" s="9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3">
        <f t="shared" si="1"/>
        <v>40218.25</v>
      </c>
      <c r="O30" s="13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 s="7">
        <v>45900</v>
      </c>
      <c r="E31" s="7">
        <v>150965</v>
      </c>
      <c r="F31" s="7">
        <f t="shared" si="0"/>
        <v>328.89978213507629</v>
      </c>
      <c r="G31" t="s">
        <v>20</v>
      </c>
      <c r="H31">
        <v>1606</v>
      </c>
      <c r="I31" s="9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3">
        <f t="shared" si="1"/>
        <v>43301.208333333328</v>
      </c>
      <c r="O31" s="13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 s="7">
        <v>9000</v>
      </c>
      <c r="E32" s="7">
        <v>14455</v>
      </c>
      <c r="F32" s="7">
        <f t="shared" si="0"/>
        <v>160.61111111111111</v>
      </c>
      <c r="G32" t="s">
        <v>20</v>
      </c>
      <c r="H32">
        <v>129</v>
      </c>
      <c r="I32" s="9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3">
        <f t="shared" si="1"/>
        <v>43609.208333333328</v>
      </c>
      <c r="O32" s="13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 s="7">
        <v>3500</v>
      </c>
      <c r="E33" s="7">
        <v>10850</v>
      </c>
      <c r="F33" s="7">
        <f t="shared" si="0"/>
        <v>310</v>
      </c>
      <c r="G33" t="s">
        <v>20</v>
      </c>
      <c r="H33">
        <v>226</v>
      </c>
      <c r="I33" s="9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3">
        <f t="shared" si="1"/>
        <v>42374.25</v>
      </c>
      <c r="O33" s="13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 s="7">
        <v>101000</v>
      </c>
      <c r="E34" s="7">
        <v>87676</v>
      </c>
      <c r="F34" s="7">
        <f t="shared" si="0"/>
        <v>86.807920792079202</v>
      </c>
      <c r="G34" t="s">
        <v>14</v>
      </c>
      <c r="H34">
        <v>2307</v>
      </c>
      <c r="I34" s="9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3">
        <f t="shared" si="1"/>
        <v>43110.25</v>
      </c>
      <c r="O34" s="13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 s="7">
        <v>50200</v>
      </c>
      <c r="E35" s="7">
        <v>189666</v>
      </c>
      <c r="F35" s="7">
        <f t="shared" si="0"/>
        <v>377.82071713147411</v>
      </c>
      <c r="G35" t="s">
        <v>20</v>
      </c>
      <c r="H35">
        <v>5419</v>
      </c>
      <c r="I35" s="9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3">
        <f t="shared" si="1"/>
        <v>41917.208333333336</v>
      </c>
      <c r="O35" s="13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 s="7">
        <v>9300</v>
      </c>
      <c r="E36" s="7">
        <v>14025</v>
      </c>
      <c r="F36" s="7">
        <f t="shared" si="0"/>
        <v>150.80645161290323</v>
      </c>
      <c r="G36" t="s">
        <v>20</v>
      </c>
      <c r="H36">
        <v>165</v>
      </c>
      <c r="I36" s="9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3">
        <f t="shared" si="1"/>
        <v>42817.208333333328</v>
      </c>
      <c r="O36" s="13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 s="7">
        <v>125500</v>
      </c>
      <c r="E37" s="7">
        <v>188628</v>
      </c>
      <c r="F37" s="7">
        <f t="shared" si="0"/>
        <v>150.30119521912351</v>
      </c>
      <c r="G37" t="s">
        <v>20</v>
      </c>
      <c r="H37">
        <v>1965</v>
      </c>
      <c r="I37" s="9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3">
        <f t="shared" si="1"/>
        <v>43484.25</v>
      </c>
      <c r="O37" s="13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 s="7">
        <v>700</v>
      </c>
      <c r="E38" s="7">
        <v>1101</v>
      </c>
      <c r="F38" s="7">
        <f t="shared" si="0"/>
        <v>157.28571428571431</v>
      </c>
      <c r="G38" t="s">
        <v>20</v>
      </c>
      <c r="H38">
        <v>16</v>
      </c>
      <c r="I38" s="9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3">
        <f t="shared" si="1"/>
        <v>40600.25</v>
      </c>
      <c r="O38" s="13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 s="7">
        <v>8100</v>
      </c>
      <c r="E39" s="7">
        <v>11339</v>
      </c>
      <c r="F39" s="7">
        <f t="shared" si="0"/>
        <v>139.98765432098764</v>
      </c>
      <c r="G39" t="s">
        <v>20</v>
      </c>
      <c r="H39">
        <v>107</v>
      </c>
      <c r="I39" s="9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3">
        <f t="shared" si="1"/>
        <v>43744.208333333328</v>
      </c>
      <c r="O39" s="13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 s="7">
        <v>3100</v>
      </c>
      <c r="E40" s="7">
        <v>10085</v>
      </c>
      <c r="F40" s="7">
        <f t="shared" si="0"/>
        <v>325.32258064516128</v>
      </c>
      <c r="G40" t="s">
        <v>20</v>
      </c>
      <c r="H40">
        <v>134</v>
      </c>
      <c r="I40" s="9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3">
        <f t="shared" si="1"/>
        <v>40469.208333333336</v>
      </c>
      <c r="O40" s="13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 s="7">
        <v>9900</v>
      </c>
      <c r="E41" s="7">
        <v>5027</v>
      </c>
      <c r="F41" s="7">
        <f t="shared" si="0"/>
        <v>50.777777777777779</v>
      </c>
      <c r="G41" t="s">
        <v>14</v>
      </c>
      <c r="H41">
        <v>88</v>
      </c>
      <c r="I41" s="9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3">
        <f t="shared" si="1"/>
        <v>41330.25</v>
      </c>
      <c r="O41" s="13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 s="7">
        <v>8800</v>
      </c>
      <c r="E42" s="7">
        <v>14878</v>
      </c>
      <c r="F42" s="7">
        <f t="shared" si="0"/>
        <v>169.06818181818181</v>
      </c>
      <c r="G42" t="s">
        <v>20</v>
      </c>
      <c r="H42">
        <v>198</v>
      </c>
      <c r="I42" s="9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3">
        <f t="shared" si="1"/>
        <v>40334.208333333336</v>
      </c>
      <c r="O42" s="13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 s="7">
        <v>5600</v>
      </c>
      <c r="E43" s="7">
        <v>11924</v>
      </c>
      <c r="F43" s="7">
        <f t="shared" si="0"/>
        <v>212.92857142857144</v>
      </c>
      <c r="G43" t="s">
        <v>20</v>
      </c>
      <c r="H43">
        <v>111</v>
      </c>
      <c r="I43" s="9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3">
        <f t="shared" si="1"/>
        <v>41156.208333333336</v>
      </c>
      <c r="O43" s="13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 s="7">
        <v>1800</v>
      </c>
      <c r="E44" s="7">
        <v>7991</v>
      </c>
      <c r="F44" s="7">
        <f t="shared" si="0"/>
        <v>443.94444444444446</v>
      </c>
      <c r="G44" t="s">
        <v>20</v>
      </c>
      <c r="H44">
        <v>222</v>
      </c>
      <c r="I44" s="9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3">
        <f t="shared" si="1"/>
        <v>40728.208333333336</v>
      </c>
      <c r="O44" s="13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 s="7">
        <v>90200</v>
      </c>
      <c r="E45" s="7">
        <v>167717</v>
      </c>
      <c r="F45" s="7">
        <f t="shared" si="0"/>
        <v>185.9390243902439</v>
      </c>
      <c r="G45" t="s">
        <v>20</v>
      </c>
      <c r="H45">
        <v>6212</v>
      </c>
      <c r="I45" s="9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3">
        <f t="shared" si="1"/>
        <v>41844.208333333336</v>
      </c>
      <c r="O45" s="13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 s="7">
        <v>1600</v>
      </c>
      <c r="E46" s="7">
        <v>10541</v>
      </c>
      <c r="F46" s="7">
        <f t="shared" si="0"/>
        <v>658.8125</v>
      </c>
      <c r="G46" t="s">
        <v>20</v>
      </c>
      <c r="H46">
        <v>98</v>
      </c>
      <c r="I46" s="9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3">
        <f t="shared" si="1"/>
        <v>43541.208333333328</v>
      </c>
      <c r="O46" s="13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 s="7">
        <v>9500</v>
      </c>
      <c r="E47" s="7">
        <v>4530</v>
      </c>
      <c r="F47" s="7">
        <f t="shared" si="0"/>
        <v>47.684210526315788</v>
      </c>
      <c r="G47" t="s">
        <v>14</v>
      </c>
      <c r="H47">
        <v>48</v>
      </c>
      <c r="I47" s="9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3">
        <f t="shared" si="1"/>
        <v>42676.208333333328</v>
      </c>
      <c r="O47" s="13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 s="7">
        <v>3700</v>
      </c>
      <c r="E48" s="7">
        <v>4247</v>
      </c>
      <c r="F48" s="7">
        <f t="shared" si="0"/>
        <v>114.78378378378378</v>
      </c>
      <c r="G48" t="s">
        <v>20</v>
      </c>
      <c r="H48">
        <v>92</v>
      </c>
      <c r="I48" s="9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3">
        <f t="shared" si="1"/>
        <v>40367.208333333336</v>
      </c>
      <c r="O48" s="13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 s="7">
        <v>1500</v>
      </c>
      <c r="E49" s="7">
        <v>7129</v>
      </c>
      <c r="F49" s="7">
        <f t="shared" si="0"/>
        <v>475.26666666666665</v>
      </c>
      <c r="G49" t="s">
        <v>20</v>
      </c>
      <c r="H49">
        <v>149</v>
      </c>
      <c r="I49" s="9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3">
        <f t="shared" si="1"/>
        <v>41727.208333333336</v>
      </c>
      <c r="O49" s="13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 s="7">
        <v>33300</v>
      </c>
      <c r="E50" s="7">
        <v>128862</v>
      </c>
      <c r="F50" s="7">
        <f t="shared" si="0"/>
        <v>386.97297297297297</v>
      </c>
      <c r="G50" t="s">
        <v>20</v>
      </c>
      <c r="H50">
        <v>2431</v>
      </c>
      <c r="I50" s="9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3">
        <f t="shared" si="1"/>
        <v>42180.208333333328</v>
      </c>
      <c r="O50" s="13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 s="7">
        <v>7200</v>
      </c>
      <c r="E51" s="7">
        <v>13653</v>
      </c>
      <c r="F51" s="7">
        <f t="shared" si="0"/>
        <v>189.625</v>
      </c>
      <c r="G51" t="s">
        <v>20</v>
      </c>
      <c r="H51">
        <v>303</v>
      </c>
      <c r="I51" s="9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3">
        <f t="shared" si="1"/>
        <v>43758.208333333328</v>
      </c>
      <c r="O51" s="13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 s="7">
        <v>100</v>
      </c>
      <c r="E52" s="7">
        <v>2</v>
      </c>
      <c r="F52" s="7">
        <f t="shared" si="0"/>
        <v>2</v>
      </c>
      <c r="G52" t="s">
        <v>14</v>
      </c>
      <c r="H52">
        <v>1</v>
      </c>
      <c r="I52" s="9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3">
        <f t="shared" si="1"/>
        <v>41487.208333333336</v>
      </c>
      <c r="O52" s="13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 s="7">
        <v>158100</v>
      </c>
      <c r="E53" s="7">
        <v>145243</v>
      </c>
      <c r="F53" s="7">
        <f t="shared" si="0"/>
        <v>91.867805186590772</v>
      </c>
      <c r="G53" t="s">
        <v>14</v>
      </c>
      <c r="H53">
        <v>1467</v>
      </c>
      <c r="I53" s="9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3">
        <f t="shared" si="1"/>
        <v>40995.208333333336</v>
      </c>
      <c r="O53" s="13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 s="7">
        <v>7200</v>
      </c>
      <c r="E54" s="7">
        <v>2459</v>
      </c>
      <c r="F54" s="7">
        <f t="shared" si="0"/>
        <v>34.152777777777779</v>
      </c>
      <c r="G54" t="s">
        <v>14</v>
      </c>
      <c r="H54">
        <v>75</v>
      </c>
      <c r="I54" s="9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3">
        <f t="shared" si="1"/>
        <v>40436.208333333336</v>
      </c>
      <c r="O54" s="13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 s="7">
        <v>8800</v>
      </c>
      <c r="E55" s="7">
        <v>12356</v>
      </c>
      <c r="F55" s="7">
        <f t="shared" si="0"/>
        <v>140.40909090909091</v>
      </c>
      <c r="G55" t="s">
        <v>20</v>
      </c>
      <c r="H55">
        <v>209</v>
      </c>
      <c r="I55" s="9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3">
        <f t="shared" si="1"/>
        <v>41779.208333333336</v>
      </c>
      <c r="O55" s="13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 s="7">
        <v>6000</v>
      </c>
      <c r="E56" s="7">
        <v>5392</v>
      </c>
      <c r="F56" s="7">
        <f t="shared" si="0"/>
        <v>89.86666666666666</v>
      </c>
      <c r="G56" t="s">
        <v>14</v>
      </c>
      <c r="H56">
        <v>120</v>
      </c>
      <c r="I56" s="9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3">
        <f t="shared" si="1"/>
        <v>43170.25</v>
      </c>
      <c r="O56" s="13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 s="7">
        <v>6600</v>
      </c>
      <c r="E57" s="7">
        <v>11746</v>
      </c>
      <c r="F57" s="7">
        <f t="shared" si="0"/>
        <v>177.96969696969697</v>
      </c>
      <c r="G57" t="s">
        <v>20</v>
      </c>
      <c r="H57">
        <v>131</v>
      </c>
      <c r="I57" s="9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3">
        <f t="shared" si="1"/>
        <v>43311.208333333328</v>
      </c>
      <c r="O57" s="13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 s="7">
        <v>8000</v>
      </c>
      <c r="E58" s="7">
        <v>11493</v>
      </c>
      <c r="F58" s="7">
        <f t="shared" si="0"/>
        <v>143.66249999999999</v>
      </c>
      <c r="G58" t="s">
        <v>20</v>
      </c>
      <c r="H58">
        <v>164</v>
      </c>
      <c r="I58" s="9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3">
        <f t="shared" si="1"/>
        <v>42014.25</v>
      </c>
      <c r="O58" s="13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 s="7">
        <v>2900</v>
      </c>
      <c r="E59" s="7">
        <v>6243</v>
      </c>
      <c r="F59" s="7">
        <f t="shared" si="0"/>
        <v>215.27586206896552</v>
      </c>
      <c r="G59" t="s">
        <v>20</v>
      </c>
      <c r="H59">
        <v>201</v>
      </c>
      <c r="I59" s="9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3">
        <f t="shared" si="1"/>
        <v>42979.208333333328</v>
      </c>
      <c r="O59" s="13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 s="7">
        <v>2700</v>
      </c>
      <c r="E60" s="7">
        <v>6132</v>
      </c>
      <c r="F60" s="7">
        <f t="shared" si="0"/>
        <v>227.11111111111114</v>
      </c>
      <c r="G60" t="s">
        <v>20</v>
      </c>
      <c r="H60">
        <v>211</v>
      </c>
      <c r="I60" s="9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3">
        <f t="shared" si="1"/>
        <v>42268.208333333328</v>
      </c>
      <c r="O60" s="13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 s="7">
        <v>1400</v>
      </c>
      <c r="E61" s="7">
        <v>3851</v>
      </c>
      <c r="F61" s="7">
        <f t="shared" si="0"/>
        <v>275.07142857142861</v>
      </c>
      <c r="G61" t="s">
        <v>20</v>
      </c>
      <c r="H61">
        <v>128</v>
      </c>
      <c r="I61" s="9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3">
        <f t="shared" si="1"/>
        <v>42898.208333333328</v>
      </c>
      <c r="O61" s="13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 s="7">
        <v>94200</v>
      </c>
      <c r="E62" s="7">
        <v>135997</v>
      </c>
      <c r="F62" s="7">
        <f t="shared" si="0"/>
        <v>144.37048832271762</v>
      </c>
      <c r="G62" t="s">
        <v>20</v>
      </c>
      <c r="H62">
        <v>1600</v>
      </c>
      <c r="I62" s="9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3">
        <f t="shared" si="1"/>
        <v>41107.208333333336</v>
      </c>
      <c r="O62" s="13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 s="7">
        <v>199200</v>
      </c>
      <c r="E63" s="7">
        <v>184750</v>
      </c>
      <c r="F63" s="7">
        <f t="shared" si="0"/>
        <v>92.74598393574297</v>
      </c>
      <c r="G63" t="s">
        <v>14</v>
      </c>
      <c r="H63">
        <v>2253</v>
      </c>
      <c r="I63" s="9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3">
        <f t="shared" si="1"/>
        <v>40595.25</v>
      </c>
      <c r="O63" s="13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 s="7">
        <v>2000</v>
      </c>
      <c r="E64" s="7">
        <v>14452</v>
      </c>
      <c r="F64" s="7">
        <f t="shared" si="0"/>
        <v>722.6</v>
      </c>
      <c r="G64" t="s">
        <v>20</v>
      </c>
      <c r="H64">
        <v>249</v>
      </c>
      <c r="I64" s="9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3">
        <f t="shared" si="1"/>
        <v>42160.208333333328</v>
      </c>
      <c r="O64" s="13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 s="7">
        <v>4700</v>
      </c>
      <c r="E65" s="7">
        <v>557</v>
      </c>
      <c r="F65" s="7">
        <f t="shared" si="0"/>
        <v>11.851063829787234</v>
      </c>
      <c r="G65" t="s">
        <v>14</v>
      </c>
      <c r="H65">
        <v>5</v>
      </c>
      <c r="I65" s="9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3">
        <f t="shared" si="1"/>
        <v>42853.208333333328</v>
      </c>
      <c r="O65" s="13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 s="7">
        <v>2800</v>
      </c>
      <c r="E66" s="7">
        <v>2734</v>
      </c>
      <c r="F66" s="7">
        <f t="shared" si="0"/>
        <v>97.642857142857139</v>
      </c>
      <c r="G66" t="s">
        <v>14</v>
      </c>
      <c r="H66">
        <v>38</v>
      </c>
      <c r="I66" s="9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3">
        <f t="shared" si="1"/>
        <v>43283.208333333328</v>
      </c>
      <c r="O66" s="13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 s="7">
        <v>6100</v>
      </c>
      <c r="E67" s="7">
        <v>14405</v>
      </c>
      <c r="F67" s="7">
        <f t="shared" ref="F67:F130" si="4">(E67/D67)*100</f>
        <v>236.14754098360655</v>
      </c>
      <c r="G67" t="s">
        <v>20</v>
      </c>
      <c r="H67">
        <v>236</v>
      </c>
      <c r="I67" s="9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3">
        <f t="shared" ref="N67:N130" si="5">(((L67/60)/60)/24)+DATE(1970,1,1)</f>
        <v>40570.25</v>
      </c>
      <c r="O67" s="13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 s="7">
        <v>2900</v>
      </c>
      <c r="E68" s="7">
        <v>1307</v>
      </c>
      <c r="F68" s="7">
        <f t="shared" si="4"/>
        <v>45.068965517241381</v>
      </c>
      <c r="G68" t="s">
        <v>14</v>
      </c>
      <c r="H68">
        <v>12</v>
      </c>
      <c r="I68" s="9">
        <f t="shared" ref="I68:I131" si="7">IFERROR(E68/H68,0)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3">
        <f t="shared" si="5"/>
        <v>42102.208333333328</v>
      </c>
      <c r="O68" s="13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 s="7">
        <v>72600</v>
      </c>
      <c r="E69" s="7">
        <v>117892</v>
      </c>
      <c r="F69" s="7">
        <f t="shared" si="4"/>
        <v>162.38567493112947</v>
      </c>
      <c r="G69" t="s">
        <v>20</v>
      </c>
      <c r="H69">
        <v>4065</v>
      </c>
      <c r="I69" s="9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3">
        <f t="shared" si="5"/>
        <v>40203.25</v>
      </c>
      <c r="O69" s="13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 s="7">
        <v>5700</v>
      </c>
      <c r="E70" s="7">
        <v>14508</v>
      </c>
      <c r="F70" s="7">
        <f t="shared" si="4"/>
        <v>254.52631578947367</v>
      </c>
      <c r="G70" t="s">
        <v>20</v>
      </c>
      <c r="H70">
        <v>246</v>
      </c>
      <c r="I70" s="9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3">
        <f t="shared" si="5"/>
        <v>42943.208333333328</v>
      </c>
      <c r="O70" s="13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 s="7">
        <v>7900</v>
      </c>
      <c r="E71" s="7">
        <v>1901</v>
      </c>
      <c r="F71" s="7">
        <f t="shared" si="4"/>
        <v>24.063291139240505</v>
      </c>
      <c r="G71" t="s">
        <v>74</v>
      </c>
      <c r="H71">
        <v>17</v>
      </c>
      <c r="I71" s="9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3">
        <f t="shared" si="5"/>
        <v>40531.25</v>
      </c>
      <c r="O71" s="13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 s="7">
        <v>128000</v>
      </c>
      <c r="E72" s="7">
        <v>158389</v>
      </c>
      <c r="F72" s="7">
        <f t="shared" si="4"/>
        <v>123.74140625000001</v>
      </c>
      <c r="G72" t="s">
        <v>20</v>
      </c>
      <c r="H72">
        <v>2475</v>
      </c>
      <c r="I72" s="9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3">
        <f t="shared" si="5"/>
        <v>40484.208333333336</v>
      </c>
      <c r="O72" s="13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 s="7">
        <v>6000</v>
      </c>
      <c r="E73" s="7">
        <v>6484</v>
      </c>
      <c r="F73" s="7">
        <f t="shared" si="4"/>
        <v>108.06666666666666</v>
      </c>
      <c r="G73" t="s">
        <v>20</v>
      </c>
      <c r="H73">
        <v>76</v>
      </c>
      <c r="I73" s="9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3">
        <f t="shared" si="5"/>
        <v>43799.25</v>
      </c>
      <c r="O73" s="13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 s="7">
        <v>600</v>
      </c>
      <c r="E74" s="7">
        <v>4022</v>
      </c>
      <c r="F74" s="7">
        <f t="shared" si="4"/>
        <v>670.33333333333326</v>
      </c>
      <c r="G74" t="s">
        <v>20</v>
      </c>
      <c r="H74">
        <v>54</v>
      </c>
      <c r="I74" s="9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3">
        <f t="shared" si="5"/>
        <v>42186.208333333328</v>
      </c>
      <c r="O74" s="13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 s="7">
        <v>1400</v>
      </c>
      <c r="E75" s="7">
        <v>9253</v>
      </c>
      <c r="F75" s="7">
        <f t="shared" si="4"/>
        <v>660.92857142857144</v>
      </c>
      <c r="G75" t="s">
        <v>20</v>
      </c>
      <c r="H75">
        <v>88</v>
      </c>
      <c r="I75" s="9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3">
        <f t="shared" si="5"/>
        <v>42701.25</v>
      </c>
      <c r="O75" s="13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 s="7">
        <v>3900</v>
      </c>
      <c r="E76" s="7">
        <v>4776</v>
      </c>
      <c r="F76" s="7">
        <f t="shared" si="4"/>
        <v>122.46153846153847</v>
      </c>
      <c r="G76" t="s">
        <v>20</v>
      </c>
      <c r="H76">
        <v>85</v>
      </c>
      <c r="I76" s="9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3">
        <f t="shared" si="5"/>
        <v>42456.208333333328</v>
      </c>
      <c r="O76" s="13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 s="7">
        <v>9700</v>
      </c>
      <c r="E77" s="7">
        <v>14606</v>
      </c>
      <c r="F77" s="7">
        <f t="shared" si="4"/>
        <v>150.57731958762886</v>
      </c>
      <c r="G77" t="s">
        <v>20</v>
      </c>
      <c r="H77">
        <v>170</v>
      </c>
      <c r="I77" s="9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3">
        <f t="shared" si="5"/>
        <v>43296.208333333328</v>
      </c>
      <c r="O77" s="13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 s="7">
        <v>122900</v>
      </c>
      <c r="E78" s="7">
        <v>95993</v>
      </c>
      <c r="F78" s="7">
        <f t="shared" si="4"/>
        <v>78.106590724165997</v>
      </c>
      <c r="G78" t="s">
        <v>14</v>
      </c>
      <c r="H78">
        <v>1684</v>
      </c>
      <c r="I78" s="9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3">
        <f t="shared" si="5"/>
        <v>42027.25</v>
      </c>
      <c r="O78" s="13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 s="7">
        <v>9500</v>
      </c>
      <c r="E79" s="7">
        <v>4460</v>
      </c>
      <c r="F79" s="7">
        <f t="shared" si="4"/>
        <v>46.94736842105263</v>
      </c>
      <c r="G79" t="s">
        <v>14</v>
      </c>
      <c r="H79">
        <v>56</v>
      </c>
      <c r="I79" s="9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3">
        <f t="shared" si="5"/>
        <v>40448.208333333336</v>
      </c>
      <c r="O79" s="13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 s="7">
        <v>4500</v>
      </c>
      <c r="E80" s="7">
        <v>13536</v>
      </c>
      <c r="F80" s="7">
        <f t="shared" si="4"/>
        <v>300.8</v>
      </c>
      <c r="G80" t="s">
        <v>20</v>
      </c>
      <c r="H80">
        <v>330</v>
      </c>
      <c r="I80" s="9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3">
        <f t="shared" si="5"/>
        <v>43206.208333333328</v>
      </c>
      <c r="O80" s="13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 s="7">
        <v>57800</v>
      </c>
      <c r="E81" s="7">
        <v>40228</v>
      </c>
      <c r="F81" s="7">
        <f t="shared" si="4"/>
        <v>69.598615916955026</v>
      </c>
      <c r="G81" t="s">
        <v>14</v>
      </c>
      <c r="H81">
        <v>838</v>
      </c>
      <c r="I81" s="9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3">
        <f t="shared" si="5"/>
        <v>43267.208333333328</v>
      </c>
      <c r="O81" s="13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 s="7">
        <v>1100</v>
      </c>
      <c r="E82" s="7">
        <v>7012</v>
      </c>
      <c r="F82" s="7">
        <f t="shared" si="4"/>
        <v>637.4545454545455</v>
      </c>
      <c r="G82" t="s">
        <v>20</v>
      </c>
      <c r="H82">
        <v>127</v>
      </c>
      <c r="I82" s="9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3">
        <f t="shared" si="5"/>
        <v>42976.208333333328</v>
      </c>
      <c r="O82" s="13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 s="7">
        <v>16800</v>
      </c>
      <c r="E83" s="7">
        <v>37857</v>
      </c>
      <c r="F83" s="7">
        <f t="shared" si="4"/>
        <v>225.33928571428569</v>
      </c>
      <c r="G83" t="s">
        <v>20</v>
      </c>
      <c r="H83">
        <v>411</v>
      </c>
      <c r="I83" s="9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3">
        <f t="shared" si="5"/>
        <v>43062.25</v>
      </c>
      <c r="O83" s="13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 s="7">
        <v>1000</v>
      </c>
      <c r="E84" s="7">
        <v>14973</v>
      </c>
      <c r="F84" s="7">
        <f t="shared" si="4"/>
        <v>1497.3000000000002</v>
      </c>
      <c r="G84" t="s">
        <v>20</v>
      </c>
      <c r="H84">
        <v>180</v>
      </c>
      <c r="I84" s="9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3">
        <f t="shared" si="5"/>
        <v>43482.25</v>
      </c>
      <c r="O84" s="13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 s="7">
        <v>106400</v>
      </c>
      <c r="E85" s="7">
        <v>39996</v>
      </c>
      <c r="F85" s="7">
        <f t="shared" si="4"/>
        <v>37.590225563909776</v>
      </c>
      <c r="G85" t="s">
        <v>14</v>
      </c>
      <c r="H85">
        <v>1000</v>
      </c>
      <c r="I85" s="9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3">
        <f t="shared" si="5"/>
        <v>42579.208333333328</v>
      </c>
      <c r="O85" s="13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 s="7">
        <v>31400</v>
      </c>
      <c r="E86" s="7">
        <v>41564</v>
      </c>
      <c r="F86" s="7">
        <f t="shared" si="4"/>
        <v>132.36942675159236</v>
      </c>
      <c r="G86" t="s">
        <v>20</v>
      </c>
      <c r="H86">
        <v>374</v>
      </c>
      <c r="I86" s="9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3">
        <f t="shared" si="5"/>
        <v>41118.208333333336</v>
      </c>
      <c r="O86" s="13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 s="7">
        <v>4900</v>
      </c>
      <c r="E87" s="7">
        <v>6430</v>
      </c>
      <c r="F87" s="7">
        <f t="shared" si="4"/>
        <v>131.22448979591837</v>
      </c>
      <c r="G87" t="s">
        <v>20</v>
      </c>
      <c r="H87">
        <v>71</v>
      </c>
      <c r="I87" s="9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3">
        <f t="shared" si="5"/>
        <v>40797.208333333336</v>
      </c>
      <c r="O87" s="13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 s="7">
        <v>7400</v>
      </c>
      <c r="E88" s="7">
        <v>12405</v>
      </c>
      <c r="F88" s="7">
        <f t="shared" si="4"/>
        <v>167.63513513513513</v>
      </c>
      <c r="G88" t="s">
        <v>20</v>
      </c>
      <c r="H88">
        <v>203</v>
      </c>
      <c r="I88" s="9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3">
        <f t="shared" si="5"/>
        <v>42128.208333333328</v>
      </c>
      <c r="O88" s="13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 s="7">
        <v>198500</v>
      </c>
      <c r="E89" s="7">
        <v>123040</v>
      </c>
      <c r="F89" s="7">
        <f t="shared" si="4"/>
        <v>61.984886649874063</v>
      </c>
      <c r="G89" t="s">
        <v>14</v>
      </c>
      <c r="H89">
        <v>1482</v>
      </c>
      <c r="I89" s="9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3">
        <f t="shared" si="5"/>
        <v>40610.25</v>
      </c>
      <c r="O89" s="13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 s="7">
        <v>4800</v>
      </c>
      <c r="E90" s="7">
        <v>12516</v>
      </c>
      <c r="F90" s="7">
        <f t="shared" si="4"/>
        <v>260.75</v>
      </c>
      <c r="G90" t="s">
        <v>20</v>
      </c>
      <c r="H90">
        <v>113</v>
      </c>
      <c r="I90" s="9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3">
        <f t="shared" si="5"/>
        <v>42110.208333333328</v>
      </c>
      <c r="O90" s="13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 s="7">
        <v>3400</v>
      </c>
      <c r="E91" s="7">
        <v>8588</v>
      </c>
      <c r="F91" s="7">
        <f t="shared" si="4"/>
        <v>252.58823529411765</v>
      </c>
      <c r="G91" t="s">
        <v>20</v>
      </c>
      <c r="H91">
        <v>96</v>
      </c>
      <c r="I91" s="9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3">
        <f t="shared" si="5"/>
        <v>40283.208333333336</v>
      </c>
      <c r="O91" s="13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 s="7">
        <v>7800</v>
      </c>
      <c r="E92" s="7">
        <v>6132</v>
      </c>
      <c r="F92" s="7">
        <f t="shared" si="4"/>
        <v>78.615384615384613</v>
      </c>
      <c r="G92" t="s">
        <v>14</v>
      </c>
      <c r="H92">
        <v>106</v>
      </c>
      <c r="I92" s="9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3">
        <f t="shared" si="5"/>
        <v>42425.25</v>
      </c>
      <c r="O92" s="13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 s="7">
        <v>154300</v>
      </c>
      <c r="E93" s="7">
        <v>74688</v>
      </c>
      <c r="F93" s="7">
        <f t="shared" si="4"/>
        <v>48.404406999351913</v>
      </c>
      <c r="G93" t="s">
        <v>14</v>
      </c>
      <c r="H93">
        <v>679</v>
      </c>
      <c r="I93" s="9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3">
        <f t="shared" si="5"/>
        <v>42588.208333333328</v>
      </c>
      <c r="O93" s="13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 s="7">
        <v>20000</v>
      </c>
      <c r="E94" s="7">
        <v>51775</v>
      </c>
      <c r="F94" s="7">
        <f t="shared" si="4"/>
        <v>258.875</v>
      </c>
      <c r="G94" t="s">
        <v>20</v>
      </c>
      <c r="H94">
        <v>498</v>
      </c>
      <c r="I94" s="9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3">
        <f t="shared" si="5"/>
        <v>40352.208333333336</v>
      </c>
      <c r="O94" s="13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 s="7">
        <v>108800</v>
      </c>
      <c r="E95" s="7">
        <v>65877</v>
      </c>
      <c r="F95" s="7">
        <f t="shared" si="4"/>
        <v>60.548713235294116</v>
      </c>
      <c r="G95" t="s">
        <v>74</v>
      </c>
      <c r="H95">
        <v>610</v>
      </c>
      <c r="I95" s="9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3">
        <f t="shared" si="5"/>
        <v>41202.208333333336</v>
      </c>
      <c r="O95" s="13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 s="7">
        <v>2900</v>
      </c>
      <c r="E96" s="7">
        <v>8807</v>
      </c>
      <c r="F96" s="7">
        <f t="shared" si="4"/>
        <v>303.68965517241378</v>
      </c>
      <c r="G96" t="s">
        <v>20</v>
      </c>
      <c r="H96">
        <v>180</v>
      </c>
      <c r="I96" s="9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3">
        <f t="shared" si="5"/>
        <v>43562.208333333328</v>
      </c>
      <c r="O96" s="13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 s="7">
        <v>900</v>
      </c>
      <c r="E97" s="7">
        <v>1017</v>
      </c>
      <c r="F97" s="7">
        <f t="shared" si="4"/>
        <v>112.99999999999999</v>
      </c>
      <c r="G97" t="s">
        <v>20</v>
      </c>
      <c r="H97">
        <v>27</v>
      </c>
      <c r="I97" s="9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3">
        <f t="shared" si="5"/>
        <v>43752.208333333328</v>
      </c>
      <c r="O97" s="13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 s="7">
        <v>69700</v>
      </c>
      <c r="E98" s="7">
        <v>151513</v>
      </c>
      <c r="F98" s="7">
        <f t="shared" si="4"/>
        <v>217.37876614060258</v>
      </c>
      <c r="G98" t="s">
        <v>20</v>
      </c>
      <c r="H98">
        <v>2331</v>
      </c>
      <c r="I98" s="9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3">
        <f t="shared" si="5"/>
        <v>40612.25</v>
      </c>
      <c r="O98" s="13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 s="7">
        <v>1300</v>
      </c>
      <c r="E99" s="7">
        <v>12047</v>
      </c>
      <c r="F99" s="7">
        <f t="shared" si="4"/>
        <v>926.69230769230762</v>
      </c>
      <c r="G99" t="s">
        <v>20</v>
      </c>
      <c r="H99">
        <v>113</v>
      </c>
      <c r="I99" s="9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3">
        <f t="shared" si="5"/>
        <v>42180.208333333328</v>
      </c>
      <c r="O99" s="13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 s="7">
        <v>97800</v>
      </c>
      <c r="E100" s="7">
        <v>32951</v>
      </c>
      <c r="F100" s="7">
        <f t="shared" si="4"/>
        <v>33.692229038854805</v>
      </c>
      <c r="G100" t="s">
        <v>14</v>
      </c>
      <c r="H100">
        <v>1220</v>
      </c>
      <c r="I100" s="9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3">
        <f t="shared" si="5"/>
        <v>42212.208333333328</v>
      </c>
      <c r="O100" s="13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 s="7">
        <v>7600</v>
      </c>
      <c r="E101" s="7">
        <v>14951</v>
      </c>
      <c r="F101" s="7">
        <f t="shared" si="4"/>
        <v>196.7236842105263</v>
      </c>
      <c r="G101" t="s">
        <v>20</v>
      </c>
      <c r="H101">
        <v>164</v>
      </c>
      <c r="I101" s="9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3">
        <f t="shared" si="5"/>
        <v>41968.25</v>
      </c>
      <c r="O101" s="13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 s="7">
        <v>100</v>
      </c>
      <c r="E102" s="7">
        <v>1</v>
      </c>
      <c r="F102" s="7">
        <f t="shared" si="4"/>
        <v>1</v>
      </c>
      <c r="G102" t="s">
        <v>14</v>
      </c>
      <c r="H102">
        <v>1</v>
      </c>
      <c r="I102" s="9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3">
        <f t="shared" si="5"/>
        <v>40835.208333333336</v>
      </c>
      <c r="O102" s="13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 s="7">
        <v>900</v>
      </c>
      <c r="E103" s="7">
        <v>9193</v>
      </c>
      <c r="F103" s="7">
        <f t="shared" si="4"/>
        <v>1021.4444444444445</v>
      </c>
      <c r="G103" t="s">
        <v>20</v>
      </c>
      <c r="H103">
        <v>164</v>
      </c>
      <c r="I103" s="9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3">
        <f t="shared" si="5"/>
        <v>42056.25</v>
      </c>
      <c r="O103" s="13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 s="7">
        <v>3700</v>
      </c>
      <c r="E104" s="7">
        <v>10422</v>
      </c>
      <c r="F104" s="7">
        <f t="shared" si="4"/>
        <v>281.67567567567568</v>
      </c>
      <c r="G104" t="s">
        <v>20</v>
      </c>
      <c r="H104">
        <v>336</v>
      </c>
      <c r="I104" s="9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3">
        <f t="shared" si="5"/>
        <v>43234.208333333328</v>
      </c>
      <c r="O104" s="13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 s="7">
        <v>10000</v>
      </c>
      <c r="E105" s="7">
        <v>2461</v>
      </c>
      <c r="F105" s="7">
        <f t="shared" si="4"/>
        <v>24.610000000000003</v>
      </c>
      <c r="G105" t="s">
        <v>14</v>
      </c>
      <c r="H105">
        <v>37</v>
      </c>
      <c r="I105" s="9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3">
        <f t="shared" si="5"/>
        <v>40475.208333333336</v>
      </c>
      <c r="O105" s="13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 s="7">
        <v>119200</v>
      </c>
      <c r="E106" s="7">
        <v>170623</v>
      </c>
      <c r="F106" s="7">
        <f t="shared" si="4"/>
        <v>143.14010067114094</v>
      </c>
      <c r="G106" t="s">
        <v>20</v>
      </c>
      <c r="H106">
        <v>1917</v>
      </c>
      <c r="I106" s="9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3">
        <f t="shared" si="5"/>
        <v>42878.208333333328</v>
      </c>
      <c r="O106" s="13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 s="7">
        <v>6800</v>
      </c>
      <c r="E107" s="7">
        <v>9829</v>
      </c>
      <c r="F107" s="7">
        <f t="shared" si="4"/>
        <v>144.54411764705884</v>
      </c>
      <c r="G107" t="s">
        <v>20</v>
      </c>
      <c r="H107">
        <v>95</v>
      </c>
      <c r="I107" s="9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3">
        <f t="shared" si="5"/>
        <v>41366.208333333336</v>
      </c>
      <c r="O107" s="13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 s="7">
        <v>3900</v>
      </c>
      <c r="E108" s="7">
        <v>14006</v>
      </c>
      <c r="F108" s="7">
        <f t="shared" si="4"/>
        <v>359.12820512820514</v>
      </c>
      <c r="G108" t="s">
        <v>20</v>
      </c>
      <c r="H108">
        <v>147</v>
      </c>
      <c r="I108" s="9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3">
        <f t="shared" si="5"/>
        <v>43716.208333333328</v>
      </c>
      <c r="O108" s="13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 s="7">
        <v>3500</v>
      </c>
      <c r="E109" s="7">
        <v>6527</v>
      </c>
      <c r="F109" s="7">
        <f t="shared" si="4"/>
        <v>186.48571428571427</v>
      </c>
      <c r="G109" t="s">
        <v>20</v>
      </c>
      <c r="H109">
        <v>86</v>
      </c>
      <c r="I109" s="9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3">
        <f t="shared" si="5"/>
        <v>43213.208333333328</v>
      </c>
      <c r="O109" s="13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 s="7">
        <v>1500</v>
      </c>
      <c r="E110" s="7">
        <v>8929</v>
      </c>
      <c r="F110" s="7">
        <f t="shared" si="4"/>
        <v>595.26666666666665</v>
      </c>
      <c r="G110" t="s">
        <v>20</v>
      </c>
      <c r="H110">
        <v>83</v>
      </c>
      <c r="I110" s="9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3">
        <f t="shared" si="5"/>
        <v>41005.208333333336</v>
      </c>
      <c r="O110" s="13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 s="7">
        <v>5200</v>
      </c>
      <c r="E111" s="7">
        <v>3079</v>
      </c>
      <c r="F111" s="7">
        <f t="shared" si="4"/>
        <v>59.21153846153846</v>
      </c>
      <c r="G111" t="s">
        <v>14</v>
      </c>
      <c r="H111">
        <v>60</v>
      </c>
      <c r="I111" s="9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3">
        <f t="shared" si="5"/>
        <v>41651.25</v>
      </c>
      <c r="O111" s="13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 s="7">
        <v>142400</v>
      </c>
      <c r="E112" s="7">
        <v>21307</v>
      </c>
      <c r="F112" s="7">
        <f t="shared" si="4"/>
        <v>14.962780898876405</v>
      </c>
      <c r="G112" t="s">
        <v>14</v>
      </c>
      <c r="H112">
        <v>296</v>
      </c>
      <c r="I112" s="9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3">
        <f t="shared" si="5"/>
        <v>43354.208333333328</v>
      </c>
      <c r="O112" s="13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 s="7">
        <v>61400</v>
      </c>
      <c r="E113" s="7">
        <v>73653</v>
      </c>
      <c r="F113" s="7">
        <f t="shared" si="4"/>
        <v>119.95602605863192</v>
      </c>
      <c r="G113" t="s">
        <v>20</v>
      </c>
      <c r="H113">
        <v>676</v>
      </c>
      <c r="I113" s="9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3">
        <f t="shared" si="5"/>
        <v>41174.208333333336</v>
      </c>
      <c r="O113" s="13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 s="7">
        <v>4700</v>
      </c>
      <c r="E114" s="7">
        <v>12635</v>
      </c>
      <c r="F114" s="7">
        <f t="shared" si="4"/>
        <v>268.82978723404256</v>
      </c>
      <c r="G114" t="s">
        <v>20</v>
      </c>
      <c r="H114">
        <v>361</v>
      </c>
      <c r="I114" s="9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3">
        <f t="shared" si="5"/>
        <v>41875.208333333336</v>
      </c>
      <c r="O114" s="13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 s="7">
        <v>3300</v>
      </c>
      <c r="E115" s="7">
        <v>12437</v>
      </c>
      <c r="F115" s="7">
        <f t="shared" si="4"/>
        <v>376.87878787878788</v>
      </c>
      <c r="G115" t="s">
        <v>20</v>
      </c>
      <c r="H115">
        <v>131</v>
      </c>
      <c r="I115" s="9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3">
        <f t="shared" si="5"/>
        <v>42990.208333333328</v>
      </c>
      <c r="O115" s="13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 s="7">
        <v>1900</v>
      </c>
      <c r="E116" s="7">
        <v>13816</v>
      </c>
      <c r="F116" s="7">
        <f t="shared" si="4"/>
        <v>727.15789473684208</v>
      </c>
      <c r="G116" t="s">
        <v>20</v>
      </c>
      <c r="H116">
        <v>126</v>
      </c>
      <c r="I116" s="9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3">
        <f t="shared" si="5"/>
        <v>43564.208333333328</v>
      </c>
      <c r="O116" s="13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 s="7">
        <v>166700</v>
      </c>
      <c r="E117" s="7">
        <v>145382</v>
      </c>
      <c r="F117" s="7">
        <f t="shared" si="4"/>
        <v>87.211757648470297</v>
      </c>
      <c r="G117" t="s">
        <v>14</v>
      </c>
      <c r="H117">
        <v>3304</v>
      </c>
      <c r="I117" s="9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3">
        <f t="shared" si="5"/>
        <v>43056.25</v>
      </c>
      <c r="O117" s="13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 s="7">
        <v>7200</v>
      </c>
      <c r="E118" s="7">
        <v>6336</v>
      </c>
      <c r="F118" s="7">
        <f t="shared" si="4"/>
        <v>88</v>
      </c>
      <c r="G118" t="s">
        <v>14</v>
      </c>
      <c r="H118">
        <v>73</v>
      </c>
      <c r="I118" s="9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3">
        <f t="shared" si="5"/>
        <v>42265.208333333328</v>
      </c>
      <c r="O118" s="13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 s="7">
        <v>4900</v>
      </c>
      <c r="E119" s="7">
        <v>8523</v>
      </c>
      <c r="F119" s="7">
        <f t="shared" si="4"/>
        <v>173.9387755102041</v>
      </c>
      <c r="G119" t="s">
        <v>20</v>
      </c>
      <c r="H119">
        <v>275</v>
      </c>
      <c r="I119" s="9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3">
        <f t="shared" si="5"/>
        <v>40808.208333333336</v>
      </c>
      <c r="O119" s="13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 s="7">
        <v>5400</v>
      </c>
      <c r="E120" s="7">
        <v>6351</v>
      </c>
      <c r="F120" s="7">
        <f t="shared" si="4"/>
        <v>117.61111111111111</v>
      </c>
      <c r="G120" t="s">
        <v>20</v>
      </c>
      <c r="H120">
        <v>67</v>
      </c>
      <c r="I120" s="9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3">
        <f t="shared" si="5"/>
        <v>41665.25</v>
      </c>
      <c r="O120" s="13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 s="7">
        <v>5000</v>
      </c>
      <c r="E121" s="7">
        <v>10748</v>
      </c>
      <c r="F121" s="7">
        <f t="shared" si="4"/>
        <v>214.96</v>
      </c>
      <c r="G121" t="s">
        <v>20</v>
      </c>
      <c r="H121">
        <v>154</v>
      </c>
      <c r="I121" s="9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3">
        <f t="shared" si="5"/>
        <v>41806.208333333336</v>
      </c>
      <c r="O121" s="13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 s="7">
        <v>75100</v>
      </c>
      <c r="E122" s="7">
        <v>112272</v>
      </c>
      <c r="F122" s="7">
        <f t="shared" si="4"/>
        <v>149.49667110519306</v>
      </c>
      <c r="G122" t="s">
        <v>20</v>
      </c>
      <c r="H122">
        <v>1782</v>
      </c>
      <c r="I122" s="9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3">
        <f t="shared" si="5"/>
        <v>42111.208333333328</v>
      </c>
      <c r="O122" s="13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 s="7">
        <v>45300</v>
      </c>
      <c r="E123" s="7">
        <v>99361</v>
      </c>
      <c r="F123" s="7">
        <f t="shared" si="4"/>
        <v>219.33995584988963</v>
      </c>
      <c r="G123" t="s">
        <v>20</v>
      </c>
      <c r="H123">
        <v>903</v>
      </c>
      <c r="I123" s="9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3">
        <f t="shared" si="5"/>
        <v>41917.208333333336</v>
      </c>
      <c r="O123" s="13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 s="7">
        <v>136800</v>
      </c>
      <c r="E124" s="7">
        <v>88055</v>
      </c>
      <c r="F124" s="7">
        <f t="shared" si="4"/>
        <v>64.367690058479525</v>
      </c>
      <c r="G124" t="s">
        <v>14</v>
      </c>
      <c r="H124">
        <v>3387</v>
      </c>
      <c r="I124" s="9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3">
        <f t="shared" si="5"/>
        <v>41970.25</v>
      </c>
      <c r="O124" s="13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 s="7">
        <v>177700</v>
      </c>
      <c r="E125" s="7">
        <v>33092</v>
      </c>
      <c r="F125" s="7">
        <f t="shared" si="4"/>
        <v>18.622397298818232</v>
      </c>
      <c r="G125" t="s">
        <v>14</v>
      </c>
      <c r="H125">
        <v>662</v>
      </c>
      <c r="I125" s="9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3">
        <f t="shared" si="5"/>
        <v>42332.25</v>
      </c>
      <c r="O125" s="13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 s="7">
        <v>2600</v>
      </c>
      <c r="E126" s="7">
        <v>9562</v>
      </c>
      <c r="F126" s="7">
        <f t="shared" si="4"/>
        <v>367.76923076923077</v>
      </c>
      <c r="G126" t="s">
        <v>20</v>
      </c>
      <c r="H126">
        <v>94</v>
      </c>
      <c r="I126" s="9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3">
        <f t="shared" si="5"/>
        <v>43598.208333333328</v>
      </c>
      <c r="O126" s="13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 s="7">
        <v>5300</v>
      </c>
      <c r="E127" s="7">
        <v>8475</v>
      </c>
      <c r="F127" s="7">
        <f t="shared" si="4"/>
        <v>159.90566037735849</v>
      </c>
      <c r="G127" t="s">
        <v>20</v>
      </c>
      <c r="H127">
        <v>180</v>
      </c>
      <c r="I127" s="9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3">
        <f t="shared" si="5"/>
        <v>43362.208333333328</v>
      </c>
      <c r="O127" s="13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 s="7">
        <v>180200</v>
      </c>
      <c r="E128" s="7">
        <v>69617</v>
      </c>
      <c r="F128" s="7">
        <f t="shared" si="4"/>
        <v>38.633185349611544</v>
      </c>
      <c r="G128" t="s">
        <v>14</v>
      </c>
      <c r="H128">
        <v>774</v>
      </c>
      <c r="I128" s="9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3">
        <f t="shared" si="5"/>
        <v>42596.208333333328</v>
      </c>
      <c r="O128" s="13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 s="7">
        <v>103200</v>
      </c>
      <c r="E129" s="7">
        <v>53067</v>
      </c>
      <c r="F129" s="7">
        <f t="shared" si="4"/>
        <v>51.42151162790698</v>
      </c>
      <c r="G129" t="s">
        <v>14</v>
      </c>
      <c r="H129">
        <v>672</v>
      </c>
      <c r="I129" s="9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3">
        <f t="shared" si="5"/>
        <v>40310.208333333336</v>
      </c>
      <c r="O129" s="13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 s="7">
        <v>70600</v>
      </c>
      <c r="E130" s="7">
        <v>42596</v>
      </c>
      <c r="F130" s="7">
        <f t="shared" si="4"/>
        <v>60.334277620396605</v>
      </c>
      <c r="G130" t="s">
        <v>74</v>
      </c>
      <c r="H130">
        <v>532</v>
      </c>
      <c r="I130" s="9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3">
        <f t="shared" si="5"/>
        <v>40417.208333333336</v>
      </c>
      <c r="O130" s="13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 s="7">
        <v>148500</v>
      </c>
      <c r="E131" s="7">
        <v>4756</v>
      </c>
      <c r="F131" s="7">
        <f t="shared" ref="F131:F194" si="8">(E131/D131)*100</f>
        <v>3.202693602693603</v>
      </c>
      <c r="G131" t="s">
        <v>74</v>
      </c>
      <c r="H131">
        <v>55</v>
      </c>
      <c r="I131" s="9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3">
        <f t="shared" ref="N131:N194" si="9">(((L131/60)/60)/24)+DATE(1970,1,1)</f>
        <v>42038.25</v>
      </c>
      <c r="O131" s="13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 s="7">
        <v>9600</v>
      </c>
      <c r="E132" s="7">
        <v>14925</v>
      </c>
      <c r="F132" s="7">
        <f t="shared" si="8"/>
        <v>155.46875</v>
      </c>
      <c r="G132" t="s">
        <v>20</v>
      </c>
      <c r="H132">
        <v>533</v>
      </c>
      <c r="I132" s="9">
        <f t="shared" ref="I132:I195" si="11">IFERROR(E132/H132,0)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3">
        <f t="shared" si="9"/>
        <v>40842.208333333336</v>
      </c>
      <c r="O132" s="13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 s="7">
        <v>164700</v>
      </c>
      <c r="E133" s="7">
        <v>166116</v>
      </c>
      <c r="F133" s="7">
        <f t="shared" si="8"/>
        <v>100.85974499089254</v>
      </c>
      <c r="G133" t="s">
        <v>20</v>
      </c>
      <c r="H133">
        <v>2443</v>
      </c>
      <c r="I133" s="9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3">
        <f t="shared" si="9"/>
        <v>41607.25</v>
      </c>
      <c r="O133" s="13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 s="7">
        <v>3300</v>
      </c>
      <c r="E134" s="7">
        <v>3834</v>
      </c>
      <c r="F134" s="7">
        <f t="shared" si="8"/>
        <v>116.18181818181819</v>
      </c>
      <c r="G134" t="s">
        <v>20</v>
      </c>
      <c r="H134">
        <v>89</v>
      </c>
      <c r="I134" s="9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3">
        <f t="shared" si="9"/>
        <v>43112.25</v>
      </c>
      <c r="O134" s="13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 s="7">
        <v>4500</v>
      </c>
      <c r="E135" s="7">
        <v>13985</v>
      </c>
      <c r="F135" s="7">
        <f t="shared" si="8"/>
        <v>310.77777777777777</v>
      </c>
      <c r="G135" t="s">
        <v>20</v>
      </c>
      <c r="H135">
        <v>159</v>
      </c>
      <c r="I135" s="9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3">
        <f t="shared" si="9"/>
        <v>40767.208333333336</v>
      </c>
      <c r="O135" s="13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 s="7">
        <v>99500</v>
      </c>
      <c r="E136" s="7">
        <v>89288</v>
      </c>
      <c r="F136" s="7">
        <f t="shared" si="8"/>
        <v>89.73668341708543</v>
      </c>
      <c r="G136" t="s">
        <v>14</v>
      </c>
      <c r="H136">
        <v>940</v>
      </c>
      <c r="I136" s="9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3">
        <f t="shared" si="9"/>
        <v>40713.208333333336</v>
      </c>
      <c r="O136" s="13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 s="7">
        <v>7700</v>
      </c>
      <c r="E137" s="7">
        <v>5488</v>
      </c>
      <c r="F137" s="7">
        <f t="shared" si="8"/>
        <v>71.27272727272728</v>
      </c>
      <c r="G137" t="s">
        <v>14</v>
      </c>
      <c r="H137">
        <v>117</v>
      </c>
      <c r="I137" s="9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3">
        <f t="shared" si="9"/>
        <v>41340.25</v>
      </c>
      <c r="O137" s="13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 s="7">
        <v>82800</v>
      </c>
      <c r="E138" s="7">
        <v>2721</v>
      </c>
      <c r="F138" s="7">
        <f t="shared" si="8"/>
        <v>3.2862318840579712</v>
      </c>
      <c r="G138" t="s">
        <v>74</v>
      </c>
      <c r="H138">
        <v>58</v>
      </c>
      <c r="I138" s="9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3">
        <f t="shared" si="9"/>
        <v>41797.208333333336</v>
      </c>
      <c r="O138" s="13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 s="7">
        <v>1800</v>
      </c>
      <c r="E139" s="7">
        <v>4712</v>
      </c>
      <c r="F139" s="7">
        <f t="shared" si="8"/>
        <v>261.77777777777777</v>
      </c>
      <c r="G139" t="s">
        <v>20</v>
      </c>
      <c r="H139">
        <v>50</v>
      </c>
      <c r="I139" s="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3">
        <f t="shared" si="9"/>
        <v>40457.208333333336</v>
      </c>
      <c r="O139" s="13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 s="7">
        <v>9600</v>
      </c>
      <c r="E140" s="7">
        <v>9216</v>
      </c>
      <c r="F140" s="7">
        <f t="shared" si="8"/>
        <v>96</v>
      </c>
      <c r="G140" t="s">
        <v>14</v>
      </c>
      <c r="H140">
        <v>115</v>
      </c>
      <c r="I140" s="9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3">
        <f t="shared" si="9"/>
        <v>41180.208333333336</v>
      </c>
      <c r="O140" s="13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 s="7">
        <v>92100</v>
      </c>
      <c r="E141" s="7">
        <v>19246</v>
      </c>
      <c r="F141" s="7">
        <f t="shared" si="8"/>
        <v>20.896851248642779</v>
      </c>
      <c r="G141" t="s">
        <v>14</v>
      </c>
      <c r="H141">
        <v>326</v>
      </c>
      <c r="I141" s="9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3">
        <f t="shared" si="9"/>
        <v>42115.208333333328</v>
      </c>
      <c r="O141" s="13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 s="7">
        <v>5500</v>
      </c>
      <c r="E142" s="7">
        <v>12274</v>
      </c>
      <c r="F142" s="7">
        <f t="shared" si="8"/>
        <v>223.16363636363636</v>
      </c>
      <c r="G142" t="s">
        <v>20</v>
      </c>
      <c r="H142">
        <v>186</v>
      </c>
      <c r="I142" s="9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3">
        <f t="shared" si="9"/>
        <v>43156.25</v>
      </c>
      <c r="O142" s="13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 s="7">
        <v>64300</v>
      </c>
      <c r="E143" s="7">
        <v>65323</v>
      </c>
      <c r="F143" s="7">
        <f t="shared" si="8"/>
        <v>101.59097978227061</v>
      </c>
      <c r="G143" t="s">
        <v>20</v>
      </c>
      <c r="H143">
        <v>1071</v>
      </c>
      <c r="I143" s="9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3">
        <f t="shared" si="9"/>
        <v>42167.208333333328</v>
      </c>
      <c r="O143" s="13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 s="7">
        <v>5000</v>
      </c>
      <c r="E144" s="7">
        <v>11502</v>
      </c>
      <c r="F144" s="7">
        <f t="shared" si="8"/>
        <v>230.03999999999996</v>
      </c>
      <c r="G144" t="s">
        <v>20</v>
      </c>
      <c r="H144">
        <v>117</v>
      </c>
      <c r="I144" s="9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3">
        <f t="shared" si="9"/>
        <v>41005.208333333336</v>
      </c>
      <c r="O144" s="13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 s="7">
        <v>5400</v>
      </c>
      <c r="E145" s="7">
        <v>7322</v>
      </c>
      <c r="F145" s="7">
        <f t="shared" si="8"/>
        <v>135.59259259259261</v>
      </c>
      <c r="G145" t="s">
        <v>20</v>
      </c>
      <c r="H145">
        <v>70</v>
      </c>
      <c r="I145" s="9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3">
        <f t="shared" si="9"/>
        <v>40357.208333333336</v>
      </c>
      <c r="O145" s="13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 s="7">
        <v>9000</v>
      </c>
      <c r="E146" s="7">
        <v>11619</v>
      </c>
      <c r="F146" s="7">
        <f t="shared" si="8"/>
        <v>129.1</v>
      </c>
      <c r="G146" t="s">
        <v>20</v>
      </c>
      <c r="H146">
        <v>135</v>
      </c>
      <c r="I146" s="9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3">
        <f t="shared" si="9"/>
        <v>43633.208333333328</v>
      </c>
      <c r="O146" s="13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 s="7">
        <v>25000</v>
      </c>
      <c r="E147" s="7">
        <v>59128</v>
      </c>
      <c r="F147" s="7">
        <f t="shared" si="8"/>
        <v>236.512</v>
      </c>
      <c r="G147" t="s">
        <v>20</v>
      </c>
      <c r="H147">
        <v>768</v>
      </c>
      <c r="I147" s="9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3">
        <f t="shared" si="9"/>
        <v>41889.208333333336</v>
      </c>
      <c r="O147" s="13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 s="7">
        <v>8800</v>
      </c>
      <c r="E148" s="7">
        <v>1518</v>
      </c>
      <c r="F148" s="7">
        <f t="shared" si="8"/>
        <v>17.25</v>
      </c>
      <c r="G148" t="s">
        <v>74</v>
      </c>
      <c r="H148">
        <v>51</v>
      </c>
      <c r="I148" s="9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3">
        <f t="shared" si="9"/>
        <v>40855.25</v>
      </c>
      <c r="O148" s="13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 s="7">
        <v>8300</v>
      </c>
      <c r="E149" s="7">
        <v>9337</v>
      </c>
      <c r="F149" s="7">
        <f t="shared" si="8"/>
        <v>112.49397590361446</v>
      </c>
      <c r="G149" t="s">
        <v>20</v>
      </c>
      <c r="H149">
        <v>199</v>
      </c>
      <c r="I149" s="9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3">
        <f t="shared" si="9"/>
        <v>42534.208333333328</v>
      </c>
      <c r="O149" s="13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 s="7">
        <v>9300</v>
      </c>
      <c r="E150" s="7">
        <v>11255</v>
      </c>
      <c r="F150" s="7">
        <f t="shared" si="8"/>
        <v>121.02150537634408</v>
      </c>
      <c r="G150" t="s">
        <v>20</v>
      </c>
      <c r="H150">
        <v>107</v>
      </c>
      <c r="I150" s="9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3">
        <f t="shared" si="9"/>
        <v>42941.208333333328</v>
      </c>
      <c r="O150" s="13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 s="7">
        <v>6200</v>
      </c>
      <c r="E151" s="7">
        <v>13632</v>
      </c>
      <c r="F151" s="7">
        <f t="shared" si="8"/>
        <v>219.87096774193549</v>
      </c>
      <c r="G151" t="s">
        <v>20</v>
      </c>
      <c r="H151">
        <v>195</v>
      </c>
      <c r="I151" s="9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3">
        <f t="shared" si="9"/>
        <v>41275.25</v>
      </c>
      <c r="O151" s="13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 s="7">
        <v>100</v>
      </c>
      <c r="E152" s="7">
        <v>1</v>
      </c>
      <c r="F152" s="7">
        <f t="shared" si="8"/>
        <v>1</v>
      </c>
      <c r="G152" t="s">
        <v>14</v>
      </c>
      <c r="H152">
        <v>1</v>
      </c>
      <c r="I152" s="9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3">
        <f t="shared" si="9"/>
        <v>43450.25</v>
      </c>
      <c r="O152" s="13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 s="7">
        <v>137200</v>
      </c>
      <c r="E153" s="7">
        <v>88037</v>
      </c>
      <c r="F153" s="7">
        <f t="shared" si="8"/>
        <v>64.166909620991248</v>
      </c>
      <c r="G153" t="s">
        <v>14</v>
      </c>
      <c r="H153">
        <v>1467</v>
      </c>
      <c r="I153" s="9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3">
        <f t="shared" si="9"/>
        <v>41799.208333333336</v>
      </c>
      <c r="O153" s="13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 s="7">
        <v>41500</v>
      </c>
      <c r="E154" s="7">
        <v>175573</v>
      </c>
      <c r="F154" s="7">
        <f t="shared" si="8"/>
        <v>423.06746987951806</v>
      </c>
      <c r="G154" t="s">
        <v>20</v>
      </c>
      <c r="H154">
        <v>3376</v>
      </c>
      <c r="I154" s="9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3">
        <f t="shared" si="9"/>
        <v>42783.25</v>
      </c>
      <c r="O154" s="13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 s="7">
        <v>189400</v>
      </c>
      <c r="E155" s="7">
        <v>176112</v>
      </c>
      <c r="F155" s="7">
        <f t="shared" si="8"/>
        <v>92.984160506863773</v>
      </c>
      <c r="G155" t="s">
        <v>14</v>
      </c>
      <c r="H155">
        <v>5681</v>
      </c>
      <c r="I155" s="9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3">
        <f t="shared" si="9"/>
        <v>41201.208333333336</v>
      </c>
      <c r="O155" s="13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 s="7">
        <v>171300</v>
      </c>
      <c r="E156" s="7">
        <v>100650</v>
      </c>
      <c r="F156" s="7">
        <f t="shared" si="8"/>
        <v>58.756567425569173</v>
      </c>
      <c r="G156" t="s">
        <v>14</v>
      </c>
      <c r="H156">
        <v>1059</v>
      </c>
      <c r="I156" s="9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3">
        <f t="shared" si="9"/>
        <v>42502.208333333328</v>
      </c>
      <c r="O156" s="13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 s="7">
        <v>139500</v>
      </c>
      <c r="E157" s="7">
        <v>90706</v>
      </c>
      <c r="F157" s="7">
        <f t="shared" si="8"/>
        <v>65.022222222222226</v>
      </c>
      <c r="G157" t="s">
        <v>14</v>
      </c>
      <c r="H157">
        <v>1194</v>
      </c>
      <c r="I157" s="9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3">
        <f t="shared" si="9"/>
        <v>40262.208333333336</v>
      </c>
      <c r="O157" s="13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 s="7">
        <v>36400</v>
      </c>
      <c r="E158" s="7">
        <v>26914</v>
      </c>
      <c r="F158" s="7">
        <f t="shared" si="8"/>
        <v>73.939560439560438</v>
      </c>
      <c r="G158" t="s">
        <v>74</v>
      </c>
      <c r="H158">
        <v>379</v>
      </c>
      <c r="I158" s="9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3">
        <f t="shared" si="9"/>
        <v>43743.208333333328</v>
      </c>
      <c r="O158" s="13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 s="7">
        <v>4200</v>
      </c>
      <c r="E159" s="7">
        <v>2212</v>
      </c>
      <c r="F159" s="7">
        <f t="shared" si="8"/>
        <v>52.666666666666664</v>
      </c>
      <c r="G159" t="s">
        <v>14</v>
      </c>
      <c r="H159">
        <v>30</v>
      </c>
      <c r="I159" s="9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3">
        <f t="shared" si="9"/>
        <v>41638.25</v>
      </c>
      <c r="O159" s="13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 s="7">
        <v>2100</v>
      </c>
      <c r="E160" s="7">
        <v>4640</v>
      </c>
      <c r="F160" s="7">
        <f t="shared" si="8"/>
        <v>220.95238095238096</v>
      </c>
      <c r="G160" t="s">
        <v>20</v>
      </c>
      <c r="H160">
        <v>41</v>
      </c>
      <c r="I160" s="9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3">
        <f t="shared" si="9"/>
        <v>42346.25</v>
      </c>
      <c r="O160" s="13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 s="7">
        <v>191200</v>
      </c>
      <c r="E161" s="7">
        <v>191222</v>
      </c>
      <c r="F161" s="7">
        <f t="shared" si="8"/>
        <v>100.01150627615063</v>
      </c>
      <c r="G161" t="s">
        <v>20</v>
      </c>
      <c r="H161">
        <v>1821</v>
      </c>
      <c r="I161" s="9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3">
        <f t="shared" si="9"/>
        <v>43551.208333333328</v>
      </c>
      <c r="O161" s="13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 s="7">
        <v>8000</v>
      </c>
      <c r="E162" s="7">
        <v>12985</v>
      </c>
      <c r="F162" s="7">
        <f t="shared" si="8"/>
        <v>162.3125</v>
      </c>
      <c r="G162" t="s">
        <v>20</v>
      </c>
      <c r="H162">
        <v>164</v>
      </c>
      <c r="I162" s="9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3">
        <f t="shared" si="9"/>
        <v>43582.208333333328</v>
      </c>
      <c r="O162" s="13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 s="7">
        <v>5500</v>
      </c>
      <c r="E163" s="7">
        <v>4300</v>
      </c>
      <c r="F163" s="7">
        <f t="shared" si="8"/>
        <v>78.181818181818187</v>
      </c>
      <c r="G163" t="s">
        <v>14</v>
      </c>
      <c r="H163">
        <v>75</v>
      </c>
      <c r="I163" s="9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3">
        <f t="shared" si="9"/>
        <v>42270.208333333328</v>
      </c>
      <c r="O163" s="13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 s="7">
        <v>6100</v>
      </c>
      <c r="E164" s="7">
        <v>9134</v>
      </c>
      <c r="F164" s="7">
        <f t="shared" si="8"/>
        <v>149.73770491803279</v>
      </c>
      <c r="G164" t="s">
        <v>20</v>
      </c>
      <c r="H164">
        <v>157</v>
      </c>
      <c r="I164" s="9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3">
        <f t="shared" si="9"/>
        <v>43442.25</v>
      </c>
      <c r="O164" s="13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 s="7">
        <v>3500</v>
      </c>
      <c r="E165" s="7">
        <v>8864</v>
      </c>
      <c r="F165" s="7">
        <f t="shared" si="8"/>
        <v>253.25714285714284</v>
      </c>
      <c r="G165" t="s">
        <v>20</v>
      </c>
      <c r="H165">
        <v>246</v>
      </c>
      <c r="I165" s="9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3">
        <f t="shared" si="9"/>
        <v>43028.208333333328</v>
      </c>
      <c r="O165" s="13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 s="7">
        <v>150500</v>
      </c>
      <c r="E166" s="7">
        <v>150755</v>
      </c>
      <c r="F166" s="7">
        <f t="shared" si="8"/>
        <v>100.16943521594683</v>
      </c>
      <c r="G166" t="s">
        <v>20</v>
      </c>
      <c r="H166">
        <v>1396</v>
      </c>
      <c r="I166" s="9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3">
        <f t="shared" si="9"/>
        <v>43016.208333333328</v>
      </c>
      <c r="O166" s="13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 s="7">
        <v>90400</v>
      </c>
      <c r="E167" s="7">
        <v>110279</v>
      </c>
      <c r="F167" s="7">
        <f t="shared" si="8"/>
        <v>121.99004424778761</v>
      </c>
      <c r="G167" t="s">
        <v>20</v>
      </c>
      <c r="H167">
        <v>2506</v>
      </c>
      <c r="I167" s="9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3">
        <f t="shared" si="9"/>
        <v>42948.208333333328</v>
      </c>
      <c r="O167" s="13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 s="7">
        <v>9800</v>
      </c>
      <c r="E168" s="7">
        <v>13439</v>
      </c>
      <c r="F168" s="7">
        <f t="shared" si="8"/>
        <v>137.13265306122449</v>
      </c>
      <c r="G168" t="s">
        <v>20</v>
      </c>
      <c r="H168">
        <v>244</v>
      </c>
      <c r="I168" s="9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3">
        <f t="shared" si="9"/>
        <v>40534.25</v>
      </c>
      <c r="O168" s="13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 s="7">
        <v>2600</v>
      </c>
      <c r="E169" s="7">
        <v>10804</v>
      </c>
      <c r="F169" s="7">
        <f t="shared" si="8"/>
        <v>415.53846153846149</v>
      </c>
      <c r="G169" t="s">
        <v>20</v>
      </c>
      <c r="H169">
        <v>146</v>
      </c>
      <c r="I169" s="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3">
        <f t="shared" si="9"/>
        <v>41435.208333333336</v>
      </c>
      <c r="O169" s="13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 s="7">
        <v>128100</v>
      </c>
      <c r="E170" s="7">
        <v>40107</v>
      </c>
      <c r="F170" s="7">
        <f t="shared" si="8"/>
        <v>31.30913348946136</v>
      </c>
      <c r="G170" t="s">
        <v>14</v>
      </c>
      <c r="H170">
        <v>955</v>
      </c>
      <c r="I170" s="9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3">
        <f t="shared" si="9"/>
        <v>43518.25</v>
      </c>
      <c r="O170" s="13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 s="7">
        <v>23300</v>
      </c>
      <c r="E171" s="7">
        <v>98811</v>
      </c>
      <c r="F171" s="7">
        <f t="shared" si="8"/>
        <v>424.08154506437768</v>
      </c>
      <c r="G171" t="s">
        <v>20</v>
      </c>
      <c r="H171">
        <v>1267</v>
      </c>
      <c r="I171" s="9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3">
        <f t="shared" si="9"/>
        <v>41077.208333333336</v>
      </c>
      <c r="O171" s="13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 s="7">
        <v>188100</v>
      </c>
      <c r="E172" s="7">
        <v>5528</v>
      </c>
      <c r="F172" s="7">
        <f t="shared" si="8"/>
        <v>2.93886230728336</v>
      </c>
      <c r="G172" t="s">
        <v>14</v>
      </c>
      <c r="H172">
        <v>67</v>
      </c>
      <c r="I172" s="9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3">
        <f t="shared" si="9"/>
        <v>42950.208333333328</v>
      </c>
      <c r="O172" s="13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 s="7">
        <v>4900</v>
      </c>
      <c r="E173" s="7">
        <v>521</v>
      </c>
      <c r="F173" s="7">
        <f t="shared" si="8"/>
        <v>10.63265306122449</v>
      </c>
      <c r="G173" t="s">
        <v>14</v>
      </c>
      <c r="H173">
        <v>5</v>
      </c>
      <c r="I173" s="9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3">
        <f t="shared" si="9"/>
        <v>41718.208333333336</v>
      </c>
      <c r="O173" s="13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 s="7">
        <v>800</v>
      </c>
      <c r="E174" s="7">
        <v>663</v>
      </c>
      <c r="F174" s="7">
        <f t="shared" si="8"/>
        <v>82.875</v>
      </c>
      <c r="G174" t="s">
        <v>14</v>
      </c>
      <c r="H174">
        <v>26</v>
      </c>
      <c r="I174" s="9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3">
        <f t="shared" si="9"/>
        <v>41839.208333333336</v>
      </c>
      <c r="O174" s="13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 s="7">
        <v>96700</v>
      </c>
      <c r="E175" s="7">
        <v>157635</v>
      </c>
      <c r="F175" s="7">
        <f t="shared" si="8"/>
        <v>163.01447776628748</v>
      </c>
      <c r="G175" t="s">
        <v>20</v>
      </c>
      <c r="H175">
        <v>1561</v>
      </c>
      <c r="I175" s="9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3">
        <f t="shared" si="9"/>
        <v>41412.208333333336</v>
      </c>
      <c r="O175" s="13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 s="7">
        <v>600</v>
      </c>
      <c r="E176" s="7">
        <v>5368</v>
      </c>
      <c r="F176" s="7">
        <f t="shared" si="8"/>
        <v>894.66666666666674</v>
      </c>
      <c r="G176" t="s">
        <v>20</v>
      </c>
      <c r="H176">
        <v>48</v>
      </c>
      <c r="I176" s="9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3">
        <f t="shared" si="9"/>
        <v>42282.208333333328</v>
      </c>
      <c r="O176" s="13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 s="7">
        <v>181200</v>
      </c>
      <c r="E177" s="7">
        <v>47459</v>
      </c>
      <c r="F177" s="7">
        <f t="shared" si="8"/>
        <v>26.191501103752756</v>
      </c>
      <c r="G177" t="s">
        <v>14</v>
      </c>
      <c r="H177">
        <v>1130</v>
      </c>
      <c r="I177" s="9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3">
        <f t="shared" si="9"/>
        <v>42613.208333333328</v>
      </c>
      <c r="O177" s="13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 s="7">
        <v>115000</v>
      </c>
      <c r="E178" s="7">
        <v>86060</v>
      </c>
      <c r="F178" s="7">
        <f t="shared" si="8"/>
        <v>74.834782608695647</v>
      </c>
      <c r="G178" t="s">
        <v>14</v>
      </c>
      <c r="H178">
        <v>782</v>
      </c>
      <c r="I178" s="9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3">
        <f t="shared" si="9"/>
        <v>42616.208333333328</v>
      </c>
      <c r="O178" s="13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 s="7">
        <v>38800</v>
      </c>
      <c r="E179" s="7">
        <v>161593</v>
      </c>
      <c r="F179" s="7">
        <f t="shared" si="8"/>
        <v>416.47680412371136</v>
      </c>
      <c r="G179" t="s">
        <v>20</v>
      </c>
      <c r="H179">
        <v>2739</v>
      </c>
      <c r="I179" s="9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3">
        <f t="shared" si="9"/>
        <v>40497.25</v>
      </c>
      <c r="O179" s="13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 s="7">
        <v>7200</v>
      </c>
      <c r="E180" s="7">
        <v>6927</v>
      </c>
      <c r="F180" s="7">
        <f t="shared" si="8"/>
        <v>96.208333333333329</v>
      </c>
      <c r="G180" t="s">
        <v>14</v>
      </c>
      <c r="H180">
        <v>210</v>
      </c>
      <c r="I180" s="9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3">
        <f t="shared" si="9"/>
        <v>42999.208333333328</v>
      </c>
      <c r="O180" s="13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 s="7">
        <v>44500</v>
      </c>
      <c r="E181" s="7">
        <v>159185</v>
      </c>
      <c r="F181" s="7">
        <f t="shared" si="8"/>
        <v>357.71910112359546</v>
      </c>
      <c r="G181" t="s">
        <v>20</v>
      </c>
      <c r="H181">
        <v>3537</v>
      </c>
      <c r="I181" s="9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3">
        <f t="shared" si="9"/>
        <v>41350.208333333336</v>
      </c>
      <c r="O181" s="13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 s="7">
        <v>56000</v>
      </c>
      <c r="E182" s="7">
        <v>172736</v>
      </c>
      <c r="F182" s="7">
        <f t="shared" si="8"/>
        <v>308.45714285714286</v>
      </c>
      <c r="G182" t="s">
        <v>20</v>
      </c>
      <c r="H182">
        <v>2107</v>
      </c>
      <c r="I182" s="9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3">
        <f t="shared" si="9"/>
        <v>40259.208333333336</v>
      </c>
      <c r="O182" s="13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 s="7">
        <v>8600</v>
      </c>
      <c r="E183" s="7">
        <v>5315</v>
      </c>
      <c r="F183" s="7">
        <f t="shared" si="8"/>
        <v>61.802325581395344</v>
      </c>
      <c r="G183" t="s">
        <v>14</v>
      </c>
      <c r="H183">
        <v>136</v>
      </c>
      <c r="I183" s="9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3">
        <f t="shared" si="9"/>
        <v>43012.208333333328</v>
      </c>
      <c r="O183" s="13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 s="7">
        <v>27100</v>
      </c>
      <c r="E184" s="7">
        <v>195750</v>
      </c>
      <c r="F184" s="7">
        <f t="shared" si="8"/>
        <v>722.32472324723244</v>
      </c>
      <c r="G184" t="s">
        <v>20</v>
      </c>
      <c r="H184">
        <v>3318</v>
      </c>
      <c r="I184" s="9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3">
        <f t="shared" si="9"/>
        <v>43631.208333333328</v>
      </c>
      <c r="O184" s="13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 s="7">
        <v>5100</v>
      </c>
      <c r="E185" s="7">
        <v>3525</v>
      </c>
      <c r="F185" s="7">
        <f t="shared" si="8"/>
        <v>69.117647058823522</v>
      </c>
      <c r="G185" t="s">
        <v>14</v>
      </c>
      <c r="H185">
        <v>86</v>
      </c>
      <c r="I185" s="9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3">
        <f t="shared" si="9"/>
        <v>40430.208333333336</v>
      </c>
      <c r="O185" s="13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 s="7">
        <v>3600</v>
      </c>
      <c r="E186" s="7">
        <v>10550</v>
      </c>
      <c r="F186" s="7">
        <f t="shared" si="8"/>
        <v>293.05555555555554</v>
      </c>
      <c r="G186" t="s">
        <v>20</v>
      </c>
      <c r="H186">
        <v>340</v>
      </c>
      <c r="I186" s="9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3">
        <f t="shared" si="9"/>
        <v>43588.208333333328</v>
      </c>
      <c r="O186" s="13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 s="7">
        <v>1000</v>
      </c>
      <c r="E187" s="7">
        <v>718</v>
      </c>
      <c r="F187" s="7">
        <f t="shared" si="8"/>
        <v>71.8</v>
      </c>
      <c r="G187" t="s">
        <v>14</v>
      </c>
      <c r="H187">
        <v>19</v>
      </c>
      <c r="I187" s="9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3">
        <f t="shared" si="9"/>
        <v>43233.208333333328</v>
      </c>
      <c r="O187" s="13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 s="7">
        <v>88800</v>
      </c>
      <c r="E188" s="7">
        <v>28358</v>
      </c>
      <c r="F188" s="7">
        <f t="shared" si="8"/>
        <v>31.934684684684683</v>
      </c>
      <c r="G188" t="s">
        <v>14</v>
      </c>
      <c r="H188">
        <v>886</v>
      </c>
      <c r="I188" s="9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3">
        <f t="shared" si="9"/>
        <v>41782.208333333336</v>
      </c>
      <c r="O188" s="13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 s="7">
        <v>60200</v>
      </c>
      <c r="E189" s="7">
        <v>138384</v>
      </c>
      <c r="F189" s="7">
        <f t="shared" si="8"/>
        <v>229.87375415282392</v>
      </c>
      <c r="G189" t="s">
        <v>20</v>
      </c>
      <c r="H189">
        <v>1442</v>
      </c>
      <c r="I189" s="9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3">
        <f t="shared" si="9"/>
        <v>41328.25</v>
      </c>
      <c r="O189" s="13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 s="7">
        <v>8200</v>
      </c>
      <c r="E190" s="7">
        <v>2625</v>
      </c>
      <c r="F190" s="7">
        <f t="shared" si="8"/>
        <v>32.012195121951223</v>
      </c>
      <c r="G190" t="s">
        <v>14</v>
      </c>
      <c r="H190">
        <v>35</v>
      </c>
      <c r="I190" s="9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3">
        <f t="shared" si="9"/>
        <v>41975.25</v>
      </c>
      <c r="O190" s="13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 s="7">
        <v>191300</v>
      </c>
      <c r="E191" s="7">
        <v>45004</v>
      </c>
      <c r="F191" s="7">
        <f t="shared" si="8"/>
        <v>23.525352848928385</v>
      </c>
      <c r="G191" t="s">
        <v>74</v>
      </c>
      <c r="H191">
        <v>441</v>
      </c>
      <c r="I191" s="9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3">
        <f t="shared" si="9"/>
        <v>42433.25</v>
      </c>
      <c r="O191" s="13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 s="7">
        <v>3700</v>
      </c>
      <c r="E192" s="7">
        <v>2538</v>
      </c>
      <c r="F192" s="7">
        <f t="shared" si="8"/>
        <v>68.594594594594597</v>
      </c>
      <c r="G192" t="s">
        <v>14</v>
      </c>
      <c r="H192">
        <v>24</v>
      </c>
      <c r="I192" s="9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3">
        <f t="shared" si="9"/>
        <v>41429.208333333336</v>
      </c>
      <c r="O192" s="13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 s="7">
        <v>8400</v>
      </c>
      <c r="E193" s="7">
        <v>3188</v>
      </c>
      <c r="F193" s="7">
        <f t="shared" si="8"/>
        <v>37.952380952380956</v>
      </c>
      <c r="G193" t="s">
        <v>14</v>
      </c>
      <c r="H193">
        <v>86</v>
      </c>
      <c r="I193" s="9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3">
        <f t="shared" si="9"/>
        <v>43536.208333333328</v>
      </c>
      <c r="O193" s="13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 s="7">
        <v>42600</v>
      </c>
      <c r="E194" s="7">
        <v>8517</v>
      </c>
      <c r="F194" s="7">
        <f t="shared" si="8"/>
        <v>19.992957746478872</v>
      </c>
      <c r="G194" t="s">
        <v>14</v>
      </c>
      <c r="H194">
        <v>243</v>
      </c>
      <c r="I194" s="9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3">
        <f t="shared" si="9"/>
        <v>41817.208333333336</v>
      </c>
      <c r="O194" s="13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 s="7">
        <v>6600</v>
      </c>
      <c r="E195" s="7">
        <v>3012</v>
      </c>
      <c r="F195" s="7">
        <f t="shared" ref="F195:F258" si="12">(E195/D195)*100</f>
        <v>45.636363636363633</v>
      </c>
      <c r="G195" t="s">
        <v>14</v>
      </c>
      <c r="H195">
        <v>65</v>
      </c>
      <c r="I195" s="9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3">
        <f t="shared" ref="N195:N258" si="13">(((L195/60)/60)/24)+DATE(1970,1,1)</f>
        <v>43198.208333333328</v>
      </c>
      <c r="O195" s="13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 s="7">
        <v>7100</v>
      </c>
      <c r="E196" s="7">
        <v>8716</v>
      </c>
      <c r="F196" s="7">
        <f t="shared" si="12"/>
        <v>122.7605633802817</v>
      </c>
      <c r="G196" t="s">
        <v>20</v>
      </c>
      <c r="H196">
        <v>126</v>
      </c>
      <c r="I196" s="9">
        <f t="shared" ref="I196:I259" si="15">IFERROR(E196/H196,0)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3">
        <f t="shared" si="13"/>
        <v>42261.208333333328</v>
      </c>
      <c r="O196" s="13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 s="7">
        <v>15800</v>
      </c>
      <c r="E197" s="7">
        <v>57157</v>
      </c>
      <c r="F197" s="7">
        <f t="shared" si="12"/>
        <v>361.75316455696202</v>
      </c>
      <c r="G197" t="s">
        <v>20</v>
      </c>
      <c r="H197">
        <v>524</v>
      </c>
      <c r="I197" s="9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3">
        <f t="shared" si="13"/>
        <v>43310.208333333328</v>
      </c>
      <c r="O197" s="13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 s="7">
        <v>8200</v>
      </c>
      <c r="E198" s="7">
        <v>5178</v>
      </c>
      <c r="F198" s="7">
        <f t="shared" si="12"/>
        <v>63.146341463414636</v>
      </c>
      <c r="G198" t="s">
        <v>14</v>
      </c>
      <c r="H198">
        <v>100</v>
      </c>
      <c r="I198" s="9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3">
        <f t="shared" si="13"/>
        <v>42616.208333333328</v>
      </c>
      <c r="O198" s="13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 s="7">
        <v>54700</v>
      </c>
      <c r="E199" s="7">
        <v>163118</v>
      </c>
      <c r="F199" s="7">
        <f t="shared" si="12"/>
        <v>298.20475319926874</v>
      </c>
      <c r="G199" t="s">
        <v>20</v>
      </c>
      <c r="H199">
        <v>1989</v>
      </c>
      <c r="I199" s="9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3">
        <f t="shared" si="13"/>
        <v>42909.208333333328</v>
      </c>
      <c r="O199" s="13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 s="7">
        <v>63200</v>
      </c>
      <c r="E200" s="7">
        <v>6041</v>
      </c>
      <c r="F200" s="7">
        <f t="shared" si="12"/>
        <v>9.5585443037974684</v>
      </c>
      <c r="G200" t="s">
        <v>14</v>
      </c>
      <c r="H200">
        <v>168</v>
      </c>
      <c r="I200" s="9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3">
        <f t="shared" si="13"/>
        <v>40396.208333333336</v>
      </c>
      <c r="O200" s="13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 s="7">
        <v>1800</v>
      </c>
      <c r="E201" s="7">
        <v>968</v>
      </c>
      <c r="F201" s="7">
        <f t="shared" si="12"/>
        <v>53.777777777777779</v>
      </c>
      <c r="G201" t="s">
        <v>14</v>
      </c>
      <c r="H201">
        <v>13</v>
      </c>
      <c r="I201" s="9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3">
        <f t="shared" si="13"/>
        <v>42192.208333333328</v>
      </c>
      <c r="O201" s="13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 s="7">
        <v>100</v>
      </c>
      <c r="E202" s="7">
        <v>2</v>
      </c>
      <c r="F202" s="7">
        <f t="shared" si="12"/>
        <v>2</v>
      </c>
      <c r="G202" t="s">
        <v>14</v>
      </c>
      <c r="H202">
        <v>1</v>
      </c>
      <c r="I202" s="9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3">
        <f t="shared" si="13"/>
        <v>40262.208333333336</v>
      </c>
      <c r="O202" s="13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 s="7">
        <v>2100</v>
      </c>
      <c r="E203" s="7">
        <v>14305</v>
      </c>
      <c r="F203" s="7">
        <f t="shared" si="12"/>
        <v>681.19047619047615</v>
      </c>
      <c r="G203" t="s">
        <v>20</v>
      </c>
      <c r="H203">
        <v>157</v>
      </c>
      <c r="I203" s="9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3">
        <f t="shared" si="13"/>
        <v>41845.208333333336</v>
      </c>
      <c r="O203" s="13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 s="7">
        <v>8300</v>
      </c>
      <c r="E204" s="7">
        <v>6543</v>
      </c>
      <c r="F204" s="7">
        <f t="shared" si="12"/>
        <v>78.831325301204828</v>
      </c>
      <c r="G204" t="s">
        <v>74</v>
      </c>
      <c r="H204">
        <v>82</v>
      </c>
      <c r="I204" s="9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3">
        <f t="shared" si="13"/>
        <v>40818.208333333336</v>
      </c>
      <c r="O204" s="13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 s="7">
        <v>143900</v>
      </c>
      <c r="E205" s="7">
        <v>193413</v>
      </c>
      <c r="F205" s="7">
        <f t="shared" si="12"/>
        <v>134.40792216817235</v>
      </c>
      <c r="G205" t="s">
        <v>20</v>
      </c>
      <c r="H205">
        <v>4498</v>
      </c>
      <c r="I205" s="9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3">
        <f t="shared" si="13"/>
        <v>42752.25</v>
      </c>
      <c r="O205" s="13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 s="7">
        <v>75000</v>
      </c>
      <c r="E206" s="7">
        <v>2529</v>
      </c>
      <c r="F206" s="7">
        <f t="shared" si="12"/>
        <v>3.3719999999999999</v>
      </c>
      <c r="G206" t="s">
        <v>14</v>
      </c>
      <c r="H206">
        <v>40</v>
      </c>
      <c r="I206" s="9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3">
        <f t="shared" si="13"/>
        <v>40636.208333333336</v>
      </c>
      <c r="O206" s="13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 s="7">
        <v>1300</v>
      </c>
      <c r="E207" s="7">
        <v>5614</v>
      </c>
      <c r="F207" s="7">
        <f t="shared" si="12"/>
        <v>431.84615384615387</v>
      </c>
      <c r="G207" t="s">
        <v>20</v>
      </c>
      <c r="H207">
        <v>80</v>
      </c>
      <c r="I207" s="9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3">
        <f t="shared" si="13"/>
        <v>43390.208333333328</v>
      </c>
      <c r="O207" s="13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 s="7">
        <v>9000</v>
      </c>
      <c r="E208" s="7">
        <v>3496</v>
      </c>
      <c r="F208" s="7">
        <f t="shared" si="12"/>
        <v>38.844444444444441</v>
      </c>
      <c r="G208" t="s">
        <v>74</v>
      </c>
      <c r="H208">
        <v>57</v>
      </c>
      <c r="I208" s="9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3">
        <f t="shared" si="13"/>
        <v>40236.25</v>
      </c>
      <c r="O208" s="13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 s="7">
        <v>1000</v>
      </c>
      <c r="E209" s="7">
        <v>4257</v>
      </c>
      <c r="F209" s="7">
        <f t="shared" si="12"/>
        <v>425.7</v>
      </c>
      <c r="G209" t="s">
        <v>20</v>
      </c>
      <c r="H209">
        <v>43</v>
      </c>
      <c r="I209" s="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3">
        <f t="shared" si="13"/>
        <v>43340.208333333328</v>
      </c>
      <c r="O209" s="13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 s="7">
        <v>196900</v>
      </c>
      <c r="E210" s="7">
        <v>199110</v>
      </c>
      <c r="F210" s="7">
        <f t="shared" si="12"/>
        <v>101.12239715591672</v>
      </c>
      <c r="G210" t="s">
        <v>20</v>
      </c>
      <c r="H210">
        <v>2053</v>
      </c>
      <c r="I210" s="9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3">
        <f t="shared" si="13"/>
        <v>43048.25</v>
      </c>
      <c r="O210" s="13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 s="7">
        <v>194500</v>
      </c>
      <c r="E211" s="7">
        <v>41212</v>
      </c>
      <c r="F211" s="7">
        <f t="shared" si="12"/>
        <v>21.188688946015425</v>
      </c>
      <c r="G211" t="s">
        <v>47</v>
      </c>
      <c r="H211">
        <v>808</v>
      </c>
      <c r="I211" s="9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3">
        <f t="shared" si="13"/>
        <v>42496.208333333328</v>
      </c>
      <c r="O211" s="13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 s="7">
        <v>9400</v>
      </c>
      <c r="E212" s="7">
        <v>6338</v>
      </c>
      <c r="F212" s="7">
        <f t="shared" si="12"/>
        <v>67.425531914893625</v>
      </c>
      <c r="G212" t="s">
        <v>14</v>
      </c>
      <c r="H212">
        <v>226</v>
      </c>
      <c r="I212" s="9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3">
        <f t="shared" si="13"/>
        <v>42797.25</v>
      </c>
      <c r="O212" s="13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 s="7">
        <v>104400</v>
      </c>
      <c r="E213" s="7">
        <v>99100</v>
      </c>
      <c r="F213" s="7">
        <f t="shared" si="12"/>
        <v>94.923371647509583</v>
      </c>
      <c r="G213" t="s">
        <v>14</v>
      </c>
      <c r="H213">
        <v>1625</v>
      </c>
      <c r="I213" s="9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3">
        <f t="shared" si="13"/>
        <v>41513.208333333336</v>
      </c>
      <c r="O213" s="13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 s="7">
        <v>8100</v>
      </c>
      <c r="E214" s="7">
        <v>12300</v>
      </c>
      <c r="F214" s="7">
        <f t="shared" si="12"/>
        <v>151.85185185185185</v>
      </c>
      <c r="G214" t="s">
        <v>20</v>
      </c>
      <c r="H214">
        <v>168</v>
      </c>
      <c r="I214" s="9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3">
        <f t="shared" si="13"/>
        <v>43814.25</v>
      </c>
      <c r="O214" s="13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 s="7">
        <v>87900</v>
      </c>
      <c r="E215" s="7">
        <v>171549</v>
      </c>
      <c r="F215" s="7">
        <f t="shared" si="12"/>
        <v>195.16382252559728</v>
      </c>
      <c r="G215" t="s">
        <v>20</v>
      </c>
      <c r="H215">
        <v>4289</v>
      </c>
      <c r="I215" s="9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3">
        <f t="shared" si="13"/>
        <v>40488.208333333336</v>
      </c>
      <c r="O215" s="13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 s="7">
        <v>1400</v>
      </c>
      <c r="E216" s="7">
        <v>14324</v>
      </c>
      <c r="F216" s="7">
        <f t="shared" si="12"/>
        <v>1023.1428571428571</v>
      </c>
      <c r="G216" t="s">
        <v>20</v>
      </c>
      <c r="H216">
        <v>165</v>
      </c>
      <c r="I216" s="9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3">
        <f t="shared" si="13"/>
        <v>40409.208333333336</v>
      </c>
      <c r="O216" s="13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 s="7">
        <v>156800</v>
      </c>
      <c r="E217" s="7">
        <v>6024</v>
      </c>
      <c r="F217" s="7">
        <f t="shared" si="12"/>
        <v>3.841836734693878</v>
      </c>
      <c r="G217" t="s">
        <v>14</v>
      </c>
      <c r="H217">
        <v>143</v>
      </c>
      <c r="I217" s="9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3">
        <f t="shared" si="13"/>
        <v>43509.25</v>
      </c>
      <c r="O217" s="13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 s="7">
        <v>121700</v>
      </c>
      <c r="E218" s="7">
        <v>188721</v>
      </c>
      <c r="F218" s="7">
        <f t="shared" si="12"/>
        <v>155.07066557107643</v>
      </c>
      <c r="G218" t="s">
        <v>20</v>
      </c>
      <c r="H218">
        <v>1815</v>
      </c>
      <c r="I218" s="9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3">
        <f t="shared" si="13"/>
        <v>40869.25</v>
      </c>
      <c r="O218" s="13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 s="7">
        <v>129400</v>
      </c>
      <c r="E219" s="7">
        <v>57911</v>
      </c>
      <c r="F219" s="7">
        <f t="shared" si="12"/>
        <v>44.753477588871718</v>
      </c>
      <c r="G219" t="s">
        <v>14</v>
      </c>
      <c r="H219">
        <v>934</v>
      </c>
      <c r="I219" s="9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3">
        <f t="shared" si="13"/>
        <v>43583.208333333328</v>
      </c>
      <c r="O219" s="13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 s="7">
        <v>5700</v>
      </c>
      <c r="E220" s="7">
        <v>12309</v>
      </c>
      <c r="F220" s="7">
        <f t="shared" si="12"/>
        <v>215.94736842105263</v>
      </c>
      <c r="G220" t="s">
        <v>20</v>
      </c>
      <c r="H220">
        <v>397</v>
      </c>
      <c r="I220" s="9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3">
        <f t="shared" si="13"/>
        <v>40858.25</v>
      </c>
      <c r="O220" s="13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 s="7">
        <v>41700</v>
      </c>
      <c r="E221" s="7">
        <v>138497</v>
      </c>
      <c r="F221" s="7">
        <f t="shared" si="12"/>
        <v>332.12709832134288</v>
      </c>
      <c r="G221" t="s">
        <v>20</v>
      </c>
      <c r="H221">
        <v>1539</v>
      </c>
      <c r="I221" s="9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3">
        <f t="shared" si="13"/>
        <v>41137.208333333336</v>
      </c>
      <c r="O221" s="13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 s="7">
        <v>7900</v>
      </c>
      <c r="E222" s="7">
        <v>667</v>
      </c>
      <c r="F222" s="7">
        <f t="shared" si="12"/>
        <v>8.4430379746835449</v>
      </c>
      <c r="G222" t="s">
        <v>14</v>
      </c>
      <c r="H222">
        <v>17</v>
      </c>
      <c r="I222" s="9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3">
        <f t="shared" si="13"/>
        <v>40725.208333333336</v>
      </c>
      <c r="O222" s="13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 s="7">
        <v>121500</v>
      </c>
      <c r="E223" s="7">
        <v>119830</v>
      </c>
      <c r="F223" s="7">
        <f t="shared" si="12"/>
        <v>98.625514403292186</v>
      </c>
      <c r="G223" t="s">
        <v>14</v>
      </c>
      <c r="H223">
        <v>2179</v>
      </c>
      <c r="I223" s="9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3">
        <f t="shared" si="13"/>
        <v>41081.208333333336</v>
      </c>
      <c r="O223" s="13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 s="7">
        <v>4800</v>
      </c>
      <c r="E224" s="7">
        <v>6623</v>
      </c>
      <c r="F224" s="7">
        <f t="shared" si="12"/>
        <v>137.97916666666669</v>
      </c>
      <c r="G224" t="s">
        <v>20</v>
      </c>
      <c r="H224">
        <v>138</v>
      </c>
      <c r="I224" s="9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3">
        <f t="shared" si="13"/>
        <v>41914.208333333336</v>
      </c>
      <c r="O224" s="13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 s="7">
        <v>87300</v>
      </c>
      <c r="E225" s="7">
        <v>81897</v>
      </c>
      <c r="F225" s="7">
        <f t="shared" si="12"/>
        <v>93.81099656357388</v>
      </c>
      <c r="G225" t="s">
        <v>14</v>
      </c>
      <c r="H225">
        <v>931</v>
      </c>
      <c r="I225" s="9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3">
        <f t="shared" si="13"/>
        <v>42445.208333333328</v>
      </c>
      <c r="O225" s="13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 s="7">
        <v>46300</v>
      </c>
      <c r="E226" s="7">
        <v>186885</v>
      </c>
      <c r="F226" s="7">
        <f t="shared" si="12"/>
        <v>403.63930885529157</v>
      </c>
      <c r="G226" t="s">
        <v>20</v>
      </c>
      <c r="H226">
        <v>3594</v>
      </c>
      <c r="I226" s="9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3">
        <f t="shared" si="13"/>
        <v>41906.208333333336</v>
      </c>
      <c r="O226" s="13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 s="7">
        <v>67800</v>
      </c>
      <c r="E227" s="7">
        <v>176398</v>
      </c>
      <c r="F227" s="7">
        <f t="shared" si="12"/>
        <v>260.1740412979351</v>
      </c>
      <c r="G227" t="s">
        <v>20</v>
      </c>
      <c r="H227">
        <v>5880</v>
      </c>
      <c r="I227" s="9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3">
        <f t="shared" si="13"/>
        <v>41762.208333333336</v>
      </c>
      <c r="O227" s="13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 s="7">
        <v>3000</v>
      </c>
      <c r="E228" s="7">
        <v>10999</v>
      </c>
      <c r="F228" s="7">
        <f t="shared" si="12"/>
        <v>366.63333333333333</v>
      </c>
      <c r="G228" t="s">
        <v>20</v>
      </c>
      <c r="H228">
        <v>112</v>
      </c>
      <c r="I228" s="9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3">
        <f t="shared" si="13"/>
        <v>40276.208333333336</v>
      </c>
      <c r="O228" s="13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 s="7">
        <v>60900</v>
      </c>
      <c r="E229" s="7">
        <v>102751</v>
      </c>
      <c r="F229" s="7">
        <f t="shared" si="12"/>
        <v>168.72085385878489</v>
      </c>
      <c r="G229" t="s">
        <v>20</v>
      </c>
      <c r="H229">
        <v>943</v>
      </c>
      <c r="I229" s="9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3">
        <f t="shared" si="13"/>
        <v>42139.208333333328</v>
      </c>
      <c r="O229" s="13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 s="7">
        <v>137900</v>
      </c>
      <c r="E230" s="7">
        <v>165352</v>
      </c>
      <c r="F230" s="7">
        <f t="shared" si="12"/>
        <v>119.90717911530093</v>
      </c>
      <c r="G230" t="s">
        <v>20</v>
      </c>
      <c r="H230">
        <v>2468</v>
      </c>
      <c r="I230" s="9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3">
        <f t="shared" si="13"/>
        <v>42613.208333333328</v>
      </c>
      <c r="O230" s="13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 s="7">
        <v>85600</v>
      </c>
      <c r="E231" s="7">
        <v>165798</v>
      </c>
      <c r="F231" s="7">
        <f t="shared" si="12"/>
        <v>193.68925233644859</v>
      </c>
      <c r="G231" t="s">
        <v>20</v>
      </c>
      <c r="H231">
        <v>2551</v>
      </c>
      <c r="I231" s="9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3">
        <f t="shared" si="13"/>
        <v>42887.208333333328</v>
      </c>
      <c r="O231" s="13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 s="7">
        <v>2400</v>
      </c>
      <c r="E232" s="7">
        <v>10084</v>
      </c>
      <c r="F232" s="7">
        <f t="shared" si="12"/>
        <v>420.16666666666669</v>
      </c>
      <c r="G232" t="s">
        <v>20</v>
      </c>
      <c r="H232">
        <v>101</v>
      </c>
      <c r="I232" s="9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3">
        <f t="shared" si="13"/>
        <v>43805.25</v>
      </c>
      <c r="O232" s="13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 s="7">
        <v>7200</v>
      </c>
      <c r="E233" s="7">
        <v>5523</v>
      </c>
      <c r="F233" s="7">
        <f t="shared" si="12"/>
        <v>76.708333333333329</v>
      </c>
      <c r="G233" t="s">
        <v>74</v>
      </c>
      <c r="H233">
        <v>67</v>
      </c>
      <c r="I233" s="9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3">
        <f t="shared" si="13"/>
        <v>41415.208333333336</v>
      </c>
      <c r="O233" s="13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 s="7">
        <v>3400</v>
      </c>
      <c r="E234" s="7">
        <v>5823</v>
      </c>
      <c r="F234" s="7">
        <f t="shared" si="12"/>
        <v>171.26470588235293</v>
      </c>
      <c r="G234" t="s">
        <v>20</v>
      </c>
      <c r="H234">
        <v>92</v>
      </c>
      <c r="I234" s="9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3">
        <f t="shared" si="13"/>
        <v>42576.208333333328</v>
      </c>
      <c r="O234" s="13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 s="7">
        <v>3800</v>
      </c>
      <c r="E235" s="7">
        <v>6000</v>
      </c>
      <c r="F235" s="7">
        <f t="shared" si="12"/>
        <v>157.89473684210526</v>
      </c>
      <c r="G235" t="s">
        <v>20</v>
      </c>
      <c r="H235">
        <v>62</v>
      </c>
      <c r="I235" s="9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3">
        <f t="shared" si="13"/>
        <v>40706.208333333336</v>
      </c>
      <c r="O235" s="13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 s="7">
        <v>7500</v>
      </c>
      <c r="E236" s="7">
        <v>8181</v>
      </c>
      <c r="F236" s="7">
        <f t="shared" si="12"/>
        <v>109.08</v>
      </c>
      <c r="G236" t="s">
        <v>20</v>
      </c>
      <c r="H236">
        <v>149</v>
      </c>
      <c r="I236" s="9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3">
        <f t="shared" si="13"/>
        <v>42969.208333333328</v>
      </c>
      <c r="O236" s="13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 s="7">
        <v>8600</v>
      </c>
      <c r="E237" s="7">
        <v>3589</v>
      </c>
      <c r="F237" s="7">
        <f t="shared" si="12"/>
        <v>41.732558139534881</v>
      </c>
      <c r="G237" t="s">
        <v>14</v>
      </c>
      <c r="H237">
        <v>92</v>
      </c>
      <c r="I237" s="9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3">
        <f t="shared" si="13"/>
        <v>42779.25</v>
      </c>
      <c r="O237" s="13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 s="7">
        <v>39500</v>
      </c>
      <c r="E238" s="7">
        <v>4323</v>
      </c>
      <c r="F238" s="7">
        <f t="shared" si="12"/>
        <v>10.944303797468354</v>
      </c>
      <c r="G238" t="s">
        <v>14</v>
      </c>
      <c r="H238">
        <v>57</v>
      </c>
      <c r="I238" s="9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3">
        <f t="shared" si="13"/>
        <v>43641.208333333328</v>
      </c>
      <c r="O238" s="13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 s="7">
        <v>9300</v>
      </c>
      <c r="E239" s="7">
        <v>14822</v>
      </c>
      <c r="F239" s="7">
        <f t="shared" si="12"/>
        <v>159.3763440860215</v>
      </c>
      <c r="G239" t="s">
        <v>20</v>
      </c>
      <c r="H239">
        <v>329</v>
      </c>
      <c r="I239" s="9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3">
        <f t="shared" si="13"/>
        <v>41754.208333333336</v>
      </c>
      <c r="O239" s="13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 s="7">
        <v>2400</v>
      </c>
      <c r="E240" s="7">
        <v>10138</v>
      </c>
      <c r="F240" s="7">
        <f t="shared" si="12"/>
        <v>422.41666666666669</v>
      </c>
      <c r="G240" t="s">
        <v>20</v>
      </c>
      <c r="H240">
        <v>97</v>
      </c>
      <c r="I240" s="9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3">
        <f t="shared" si="13"/>
        <v>43083.25</v>
      </c>
      <c r="O240" s="13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 s="7">
        <v>3200</v>
      </c>
      <c r="E241" s="7">
        <v>3127</v>
      </c>
      <c r="F241" s="7">
        <f t="shared" si="12"/>
        <v>97.71875</v>
      </c>
      <c r="G241" t="s">
        <v>14</v>
      </c>
      <c r="H241">
        <v>41</v>
      </c>
      <c r="I241" s="9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3">
        <f t="shared" si="13"/>
        <v>42245.208333333328</v>
      </c>
      <c r="O241" s="13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 s="7">
        <v>29400</v>
      </c>
      <c r="E242" s="7">
        <v>123124</v>
      </c>
      <c r="F242" s="7">
        <f t="shared" si="12"/>
        <v>418.78911564625849</v>
      </c>
      <c r="G242" t="s">
        <v>20</v>
      </c>
      <c r="H242">
        <v>1784</v>
      </c>
      <c r="I242" s="9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3">
        <f t="shared" si="13"/>
        <v>40396.208333333336</v>
      </c>
      <c r="O242" s="13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 s="7">
        <v>168500</v>
      </c>
      <c r="E243" s="7">
        <v>171729</v>
      </c>
      <c r="F243" s="7">
        <f t="shared" si="12"/>
        <v>101.91632047477745</v>
      </c>
      <c r="G243" t="s">
        <v>20</v>
      </c>
      <c r="H243">
        <v>1684</v>
      </c>
      <c r="I243" s="9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3">
        <f t="shared" si="13"/>
        <v>41742.208333333336</v>
      </c>
      <c r="O243" s="13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 s="7">
        <v>8400</v>
      </c>
      <c r="E244" s="7">
        <v>10729</v>
      </c>
      <c r="F244" s="7">
        <f t="shared" si="12"/>
        <v>127.72619047619047</v>
      </c>
      <c r="G244" t="s">
        <v>20</v>
      </c>
      <c r="H244">
        <v>250</v>
      </c>
      <c r="I244" s="9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3">
        <f t="shared" si="13"/>
        <v>42865.208333333328</v>
      </c>
      <c r="O244" s="13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 s="7">
        <v>2300</v>
      </c>
      <c r="E245" s="7">
        <v>10240</v>
      </c>
      <c r="F245" s="7">
        <f t="shared" si="12"/>
        <v>445.21739130434781</v>
      </c>
      <c r="G245" t="s">
        <v>20</v>
      </c>
      <c r="H245">
        <v>238</v>
      </c>
      <c r="I245" s="9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3">
        <f t="shared" si="13"/>
        <v>43163.25</v>
      </c>
      <c r="O245" s="13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 s="7">
        <v>700</v>
      </c>
      <c r="E246" s="7">
        <v>3988</v>
      </c>
      <c r="F246" s="7">
        <f t="shared" si="12"/>
        <v>569.71428571428578</v>
      </c>
      <c r="G246" t="s">
        <v>20</v>
      </c>
      <c r="H246">
        <v>53</v>
      </c>
      <c r="I246" s="9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3">
        <f t="shared" si="13"/>
        <v>41834.208333333336</v>
      </c>
      <c r="O246" s="13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 s="7">
        <v>2900</v>
      </c>
      <c r="E247" s="7">
        <v>14771</v>
      </c>
      <c r="F247" s="7">
        <f t="shared" si="12"/>
        <v>509.34482758620686</v>
      </c>
      <c r="G247" t="s">
        <v>20</v>
      </c>
      <c r="H247">
        <v>214</v>
      </c>
      <c r="I247" s="9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3">
        <f t="shared" si="13"/>
        <v>41736.208333333336</v>
      </c>
      <c r="O247" s="13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 s="7">
        <v>4500</v>
      </c>
      <c r="E248" s="7">
        <v>14649</v>
      </c>
      <c r="F248" s="7">
        <f t="shared" si="12"/>
        <v>325.5333333333333</v>
      </c>
      <c r="G248" t="s">
        <v>20</v>
      </c>
      <c r="H248">
        <v>222</v>
      </c>
      <c r="I248" s="9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3">
        <f t="shared" si="13"/>
        <v>41491.208333333336</v>
      </c>
      <c r="O248" s="13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 s="7">
        <v>19800</v>
      </c>
      <c r="E249" s="7">
        <v>184658</v>
      </c>
      <c r="F249" s="7">
        <f t="shared" si="12"/>
        <v>932.61616161616166</v>
      </c>
      <c r="G249" t="s">
        <v>20</v>
      </c>
      <c r="H249">
        <v>1884</v>
      </c>
      <c r="I249" s="9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3">
        <f t="shared" si="13"/>
        <v>42726.25</v>
      </c>
      <c r="O249" s="13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 s="7">
        <v>6200</v>
      </c>
      <c r="E250" s="7">
        <v>13103</v>
      </c>
      <c r="F250" s="7">
        <f t="shared" si="12"/>
        <v>211.33870967741933</v>
      </c>
      <c r="G250" t="s">
        <v>20</v>
      </c>
      <c r="H250">
        <v>218</v>
      </c>
      <c r="I250" s="9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3">
        <f t="shared" si="13"/>
        <v>42004.25</v>
      </c>
      <c r="O250" s="13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 s="7">
        <v>61500</v>
      </c>
      <c r="E251" s="7">
        <v>168095</v>
      </c>
      <c r="F251" s="7">
        <f t="shared" si="12"/>
        <v>273.32520325203251</v>
      </c>
      <c r="G251" t="s">
        <v>20</v>
      </c>
      <c r="H251">
        <v>6465</v>
      </c>
      <c r="I251" s="9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3">
        <f t="shared" si="13"/>
        <v>42006.25</v>
      </c>
      <c r="O251" s="13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 s="7">
        <v>100</v>
      </c>
      <c r="E252" s="7">
        <v>3</v>
      </c>
      <c r="F252" s="7">
        <f t="shared" si="12"/>
        <v>3</v>
      </c>
      <c r="G252" t="s">
        <v>14</v>
      </c>
      <c r="H252">
        <v>1</v>
      </c>
      <c r="I252" s="9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3">
        <f t="shared" si="13"/>
        <v>40203.25</v>
      </c>
      <c r="O252" s="13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 s="7">
        <v>7100</v>
      </c>
      <c r="E253" s="7">
        <v>3840</v>
      </c>
      <c r="F253" s="7">
        <f t="shared" si="12"/>
        <v>54.084507042253513</v>
      </c>
      <c r="G253" t="s">
        <v>14</v>
      </c>
      <c r="H253">
        <v>101</v>
      </c>
      <c r="I253" s="9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3">
        <f t="shared" si="13"/>
        <v>41252.25</v>
      </c>
      <c r="O253" s="13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 s="7">
        <v>1000</v>
      </c>
      <c r="E254" s="7">
        <v>6263</v>
      </c>
      <c r="F254" s="7">
        <f t="shared" si="12"/>
        <v>626.29999999999995</v>
      </c>
      <c r="G254" t="s">
        <v>20</v>
      </c>
      <c r="H254">
        <v>59</v>
      </c>
      <c r="I254" s="9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3">
        <f t="shared" si="13"/>
        <v>41572.208333333336</v>
      </c>
      <c r="O254" s="13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 s="7">
        <v>121500</v>
      </c>
      <c r="E255" s="7">
        <v>108161</v>
      </c>
      <c r="F255" s="7">
        <f t="shared" si="12"/>
        <v>89.021399176954731</v>
      </c>
      <c r="G255" t="s">
        <v>14</v>
      </c>
      <c r="H255">
        <v>1335</v>
      </c>
      <c r="I255" s="9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3">
        <f t="shared" si="13"/>
        <v>40641.208333333336</v>
      </c>
      <c r="O255" s="13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 s="7">
        <v>4600</v>
      </c>
      <c r="E256" s="7">
        <v>8505</v>
      </c>
      <c r="F256" s="7">
        <f t="shared" si="12"/>
        <v>184.89130434782609</v>
      </c>
      <c r="G256" t="s">
        <v>20</v>
      </c>
      <c r="H256">
        <v>88</v>
      </c>
      <c r="I256" s="9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3">
        <f t="shared" si="13"/>
        <v>42787.25</v>
      </c>
      <c r="O256" s="13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 s="7">
        <v>80500</v>
      </c>
      <c r="E257" s="7">
        <v>96735</v>
      </c>
      <c r="F257" s="7">
        <f t="shared" si="12"/>
        <v>120.16770186335404</v>
      </c>
      <c r="G257" t="s">
        <v>20</v>
      </c>
      <c r="H257">
        <v>1697</v>
      </c>
      <c r="I257" s="9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3">
        <f t="shared" si="13"/>
        <v>40590.25</v>
      </c>
      <c r="O257" s="13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 s="7">
        <v>4100</v>
      </c>
      <c r="E258" s="7">
        <v>959</v>
      </c>
      <c r="F258" s="7">
        <f t="shared" si="12"/>
        <v>23.390243902439025</v>
      </c>
      <c r="G258" t="s">
        <v>14</v>
      </c>
      <c r="H258">
        <v>15</v>
      </c>
      <c r="I258" s="9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3">
        <f t="shared" si="13"/>
        <v>42393.25</v>
      </c>
      <c r="O258" s="13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 s="7">
        <v>5700</v>
      </c>
      <c r="E259" s="7">
        <v>8322</v>
      </c>
      <c r="F259" s="7">
        <f t="shared" ref="F259:F322" si="16">(E259/D259)*100</f>
        <v>146</v>
      </c>
      <c r="G259" t="s">
        <v>20</v>
      </c>
      <c r="H259">
        <v>92</v>
      </c>
      <c r="I259" s="9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3">
        <f t="shared" ref="N259:N322" si="17">(((L259/60)/60)/24)+DATE(1970,1,1)</f>
        <v>41338.25</v>
      </c>
      <c r="O259" s="13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 s="7">
        <v>5000</v>
      </c>
      <c r="E260" s="7">
        <v>13424</v>
      </c>
      <c r="F260" s="7">
        <f t="shared" si="16"/>
        <v>268.48</v>
      </c>
      <c r="G260" t="s">
        <v>20</v>
      </c>
      <c r="H260">
        <v>186</v>
      </c>
      <c r="I260" s="9">
        <f t="shared" ref="I260:I323" si="19">IFERROR(E260/H260,0)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3">
        <f t="shared" si="17"/>
        <v>42712.25</v>
      </c>
      <c r="O260" s="13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 s="7">
        <v>1800</v>
      </c>
      <c r="E261" s="7">
        <v>10755</v>
      </c>
      <c r="F261" s="7">
        <f t="shared" si="16"/>
        <v>597.5</v>
      </c>
      <c r="G261" t="s">
        <v>20</v>
      </c>
      <c r="H261">
        <v>138</v>
      </c>
      <c r="I261" s="9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3">
        <f t="shared" si="17"/>
        <v>41251.25</v>
      </c>
      <c r="O261" s="13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 s="7">
        <v>6300</v>
      </c>
      <c r="E262" s="7">
        <v>9935</v>
      </c>
      <c r="F262" s="7">
        <f t="shared" si="16"/>
        <v>157.69841269841268</v>
      </c>
      <c r="G262" t="s">
        <v>20</v>
      </c>
      <c r="H262">
        <v>261</v>
      </c>
      <c r="I262" s="9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3">
        <f t="shared" si="17"/>
        <v>41180.208333333336</v>
      </c>
      <c r="O262" s="13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 s="7">
        <v>84300</v>
      </c>
      <c r="E263" s="7">
        <v>26303</v>
      </c>
      <c r="F263" s="7">
        <f t="shared" si="16"/>
        <v>31.201660735468568</v>
      </c>
      <c r="G263" t="s">
        <v>14</v>
      </c>
      <c r="H263">
        <v>454</v>
      </c>
      <c r="I263" s="9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3">
        <f t="shared" si="17"/>
        <v>40415.208333333336</v>
      </c>
      <c r="O263" s="13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 s="7">
        <v>1700</v>
      </c>
      <c r="E264" s="7">
        <v>5328</v>
      </c>
      <c r="F264" s="7">
        <f t="shared" si="16"/>
        <v>313.41176470588238</v>
      </c>
      <c r="G264" t="s">
        <v>20</v>
      </c>
      <c r="H264">
        <v>107</v>
      </c>
      <c r="I264" s="9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3">
        <f t="shared" si="17"/>
        <v>40638.208333333336</v>
      </c>
      <c r="O264" s="13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 s="7">
        <v>2900</v>
      </c>
      <c r="E265" s="7">
        <v>10756</v>
      </c>
      <c r="F265" s="7">
        <f t="shared" si="16"/>
        <v>370.89655172413791</v>
      </c>
      <c r="G265" t="s">
        <v>20</v>
      </c>
      <c r="H265">
        <v>199</v>
      </c>
      <c r="I265" s="9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3">
        <f t="shared" si="17"/>
        <v>40187.25</v>
      </c>
      <c r="O265" s="13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 s="7">
        <v>45600</v>
      </c>
      <c r="E266" s="7">
        <v>165375</v>
      </c>
      <c r="F266" s="7">
        <f t="shared" si="16"/>
        <v>362.66447368421052</v>
      </c>
      <c r="G266" t="s">
        <v>20</v>
      </c>
      <c r="H266">
        <v>5512</v>
      </c>
      <c r="I266" s="9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3">
        <f t="shared" si="17"/>
        <v>41317.25</v>
      </c>
      <c r="O266" s="13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 s="7">
        <v>4900</v>
      </c>
      <c r="E267" s="7">
        <v>6031</v>
      </c>
      <c r="F267" s="7">
        <f t="shared" si="16"/>
        <v>123.08163265306122</v>
      </c>
      <c r="G267" t="s">
        <v>20</v>
      </c>
      <c r="H267">
        <v>86</v>
      </c>
      <c r="I267" s="9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3">
        <f t="shared" si="17"/>
        <v>42372.25</v>
      </c>
      <c r="O267" s="13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 s="7">
        <v>111900</v>
      </c>
      <c r="E268" s="7">
        <v>85902</v>
      </c>
      <c r="F268" s="7">
        <f t="shared" si="16"/>
        <v>76.766756032171585</v>
      </c>
      <c r="G268" t="s">
        <v>14</v>
      </c>
      <c r="H268">
        <v>3182</v>
      </c>
      <c r="I268" s="9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3">
        <f t="shared" si="17"/>
        <v>41950.25</v>
      </c>
      <c r="O268" s="13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 s="7">
        <v>61600</v>
      </c>
      <c r="E269" s="7">
        <v>143910</v>
      </c>
      <c r="F269" s="7">
        <f t="shared" si="16"/>
        <v>233.62012987012989</v>
      </c>
      <c r="G269" t="s">
        <v>20</v>
      </c>
      <c r="H269">
        <v>2768</v>
      </c>
      <c r="I269" s="9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3">
        <f t="shared" si="17"/>
        <v>41206.208333333336</v>
      </c>
      <c r="O269" s="13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 s="7">
        <v>1500</v>
      </c>
      <c r="E270" s="7">
        <v>2708</v>
      </c>
      <c r="F270" s="7">
        <f t="shared" si="16"/>
        <v>180.53333333333333</v>
      </c>
      <c r="G270" t="s">
        <v>20</v>
      </c>
      <c r="H270">
        <v>48</v>
      </c>
      <c r="I270" s="9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3">
        <f t="shared" si="17"/>
        <v>41186.208333333336</v>
      </c>
      <c r="O270" s="13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 s="7">
        <v>3500</v>
      </c>
      <c r="E271" s="7">
        <v>8842</v>
      </c>
      <c r="F271" s="7">
        <f t="shared" si="16"/>
        <v>252.62857142857143</v>
      </c>
      <c r="G271" t="s">
        <v>20</v>
      </c>
      <c r="H271">
        <v>87</v>
      </c>
      <c r="I271" s="9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3">
        <f t="shared" si="17"/>
        <v>43496.25</v>
      </c>
      <c r="O271" s="13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 s="7">
        <v>173900</v>
      </c>
      <c r="E272" s="7">
        <v>47260</v>
      </c>
      <c r="F272" s="7">
        <f t="shared" si="16"/>
        <v>27.176538240368025</v>
      </c>
      <c r="G272" t="s">
        <v>74</v>
      </c>
      <c r="H272">
        <v>1890</v>
      </c>
      <c r="I272" s="9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3">
        <f t="shared" si="17"/>
        <v>40514.25</v>
      </c>
      <c r="O272" s="13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 s="7">
        <v>153700</v>
      </c>
      <c r="E273" s="7">
        <v>1953</v>
      </c>
      <c r="F273" s="7">
        <f t="shared" si="16"/>
        <v>1.2706571242680547</v>
      </c>
      <c r="G273" t="s">
        <v>47</v>
      </c>
      <c r="H273">
        <v>61</v>
      </c>
      <c r="I273" s="9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3">
        <f t="shared" si="17"/>
        <v>42345.25</v>
      </c>
      <c r="O273" s="13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 s="7">
        <v>51100</v>
      </c>
      <c r="E274" s="7">
        <v>155349</v>
      </c>
      <c r="F274" s="7">
        <f t="shared" si="16"/>
        <v>304.0097847358121</v>
      </c>
      <c r="G274" t="s">
        <v>20</v>
      </c>
      <c r="H274">
        <v>1894</v>
      </c>
      <c r="I274" s="9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3">
        <f t="shared" si="17"/>
        <v>43656.208333333328</v>
      </c>
      <c r="O274" s="13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 s="7">
        <v>7800</v>
      </c>
      <c r="E275" s="7">
        <v>10704</v>
      </c>
      <c r="F275" s="7">
        <f t="shared" si="16"/>
        <v>137.23076923076923</v>
      </c>
      <c r="G275" t="s">
        <v>20</v>
      </c>
      <c r="H275">
        <v>282</v>
      </c>
      <c r="I275" s="9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3">
        <f t="shared" si="17"/>
        <v>42995.208333333328</v>
      </c>
      <c r="O275" s="13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 s="7">
        <v>2400</v>
      </c>
      <c r="E276" s="7">
        <v>773</v>
      </c>
      <c r="F276" s="7">
        <f t="shared" si="16"/>
        <v>32.208333333333336</v>
      </c>
      <c r="G276" t="s">
        <v>14</v>
      </c>
      <c r="H276">
        <v>15</v>
      </c>
      <c r="I276" s="9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3">
        <f t="shared" si="17"/>
        <v>43045.25</v>
      </c>
      <c r="O276" s="13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 s="7">
        <v>3900</v>
      </c>
      <c r="E277" s="7">
        <v>9419</v>
      </c>
      <c r="F277" s="7">
        <f t="shared" si="16"/>
        <v>241.51282051282053</v>
      </c>
      <c r="G277" t="s">
        <v>20</v>
      </c>
      <c r="H277">
        <v>116</v>
      </c>
      <c r="I277" s="9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3">
        <f t="shared" si="17"/>
        <v>43561.208333333328</v>
      </c>
      <c r="O277" s="13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 s="7">
        <v>5500</v>
      </c>
      <c r="E278" s="7">
        <v>5324</v>
      </c>
      <c r="F278" s="7">
        <f t="shared" si="16"/>
        <v>96.8</v>
      </c>
      <c r="G278" t="s">
        <v>14</v>
      </c>
      <c r="H278">
        <v>133</v>
      </c>
      <c r="I278" s="9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3">
        <f t="shared" si="17"/>
        <v>41018.208333333336</v>
      </c>
      <c r="O278" s="13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 s="7">
        <v>700</v>
      </c>
      <c r="E279" s="7">
        <v>7465</v>
      </c>
      <c r="F279" s="7">
        <f t="shared" si="16"/>
        <v>1066.4285714285716</v>
      </c>
      <c r="G279" t="s">
        <v>20</v>
      </c>
      <c r="H279">
        <v>83</v>
      </c>
      <c r="I279" s="9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3">
        <f t="shared" si="17"/>
        <v>40378.208333333336</v>
      </c>
      <c r="O279" s="13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 s="7">
        <v>2700</v>
      </c>
      <c r="E280" s="7">
        <v>8799</v>
      </c>
      <c r="F280" s="7">
        <f t="shared" si="16"/>
        <v>325.88888888888891</v>
      </c>
      <c r="G280" t="s">
        <v>20</v>
      </c>
      <c r="H280">
        <v>91</v>
      </c>
      <c r="I280" s="9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3">
        <f t="shared" si="17"/>
        <v>41239.25</v>
      </c>
      <c r="O280" s="13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 s="7">
        <v>8000</v>
      </c>
      <c r="E281" s="7">
        <v>13656</v>
      </c>
      <c r="F281" s="7">
        <f t="shared" si="16"/>
        <v>170.70000000000002</v>
      </c>
      <c r="G281" t="s">
        <v>20</v>
      </c>
      <c r="H281">
        <v>546</v>
      </c>
      <c r="I281" s="9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3">
        <f t="shared" si="17"/>
        <v>43346.208333333328</v>
      </c>
      <c r="O281" s="13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 s="7">
        <v>2500</v>
      </c>
      <c r="E282" s="7">
        <v>14536</v>
      </c>
      <c r="F282" s="7">
        <f t="shared" si="16"/>
        <v>581.44000000000005</v>
      </c>
      <c r="G282" t="s">
        <v>20</v>
      </c>
      <c r="H282">
        <v>393</v>
      </c>
      <c r="I282" s="9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3">
        <f t="shared" si="17"/>
        <v>43060.25</v>
      </c>
      <c r="O282" s="13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 s="7">
        <v>164500</v>
      </c>
      <c r="E283" s="7">
        <v>150552</v>
      </c>
      <c r="F283" s="7">
        <f t="shared" si="16"/>
        <v>91.520972644376897</v>
      </c>
      <c r="G283" t="s">
        <v>14</v>
      </c>
      <c r="H283">
        <v>2062</v>
      </c>
      <c r="I283" s="9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3">
        <f t="shared" si="17"/>
        <v>40979.25</v>
      </c>
      <c r="O283" s="13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 s="7">
        <v>8400</v>
      </c>
      <c r="E284" s="7">
        <v>9076</v>
      </c>
      <c r="F284" s="7">
        <f t="shared" si="16"/>
        <v>108.04761904761904</v>
      </c>
      <c r="G284" t="s">
        <v>20</v>
      </c>
      <c r="H284">
        <v>133</v>
      </c>
      <c r="I284" s="9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3">
        <f t="shared" si="17"/>
        <v>42701.25</v>
      </c>
      <c r="O284" s="13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 s="7">
        <v>8100</v>
      </c>
      <c r="E285" s="7">
        <v>1517</v>
      </c>
      <c r="F285" s="7">
        <f t="shared" si="16"/>
        <v>18.728395061728396</v>
      </c>
      <c r="G285" t="s">
        <v>14</v>
      </c>
      <c r="H285">
        <v>29</v>
      </c>
      <c r="I285" s="9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3">
        <f t="shared" si="17"/>
        <v>42520.208333333328</v>
      </c>
      <c r="O285" s="13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 s="7">
        <v>9800</v>
      </c>
      <c r="E286" s="7">
        <v>8153</v>
      </c>
      <c r="F286" s="7">
        <f t="shared" si="16"/>
        <v>83.193877551020407</v>
      </c>
      <c r="G286" t="s">
        <v>14</v>
      </c>
      <c r="H286">
        <v>132</v>
      </c>
      <c r="I286" s="9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3">
        <f t="shared" si="17"/>
        <v>41030.208333333336</v>
      </c>
      <c r="O286" s="13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 s="7">
        <v>900</v>
      </c>
      <c r="E287" s="7">
        <v>6357</v>
      </c>
      <c r="F287" s="7">
        <f t="shared" si="16"/>
        <v>706.33333333333337</v>
      </c>
      <c r="G287" t="s">
        <v>20</v>
      </c>
      <c r="H287">
        <v>254</v>
      </c>
      <c r="I287" s="9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3">
        <f t="shared" si="17"/>
        <v>42623.208333333328</v>
      </c>
      <c r="O287" s="13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 s="7">
        <v>112100</v>
      </c>
      <c r="E288" s="7">
        <v>19557</v>
      </c>
      <c r="F288" s="7">
        <f t="shared" si="16"/>
        <v>17.446030330062445</v>
      </c>
      <c r="G288" t="s">
        <v>74</v>
      </c>
      <c r="H288">
        <v>184</v>
      </c>
      <c r="I288" s="9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3">
        <f t="shared" si="17"/>
        <v>42697.25</v>
      </c>
      <c r="O288" s="13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 s="7">
        <v>6300</v>
      </c>
      <c r="E289" s="7">
        <v>13213</v>
      </c>
      <c r="F289" s="7">
        <f t="shared" si="16"/>
        <v>209.73015873015873</v>
      </c>
      <c r="G289" t="s">
        <v>20</v>
      </c>
      <c r="H289">
        <v>176</v>
      </c>
      <c r="I289" s="9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3">
        <f t="shared" si="17"/>
        <v>42122.208333333328</v>
      </c>
      <c r="O289" s="13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 s="7">
        <v>5600</v>
      </c>
      <c r="E290" s="7">
        <v>5476</v>
      </c>
      <c r="F290" s="7">
        <f t="shared" si="16"/>
        <v>97.785714285714292</v>
      </c>
      <c r="G290" t="s">
        <v>14</v>
      </c>
      <c r="H290">
        <v>137</v>
      </c>
      <c r="I290" s="9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3">
        <f t="shared" si="17"/>
        <v>40982.208333333336</v>
      </c>
      <c r="O290" s="13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 s="7">
        <v>800</v>
      </c>
      <c r="E291" s="7">
        <v>13474</v>
      </c>
      <c r="F291" s="7">
        <f t="shared" si="16"/>
        <v>1684.25</v>
      </c>
      <c r="G291" t="s">
        <v>20</v>
      </c>
      <c r="H291">
        <v>337</v>
      </c>
      <c r="I291" s="9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3">
        <f t="shared" si="17"/>
        <v>42219.208333333328</v>
      </c>
      <c r="O291" s="13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 s="7">
        <v>168600</v>
      </c>
      <c r="E292" s="7">
        <v>91722</v>
      </c>
      <c r="F292" s="7">
        <f t="shared" si="16"/>
        <v>54.402135231316727</v>
      </c>
      <c r="G292" t="s">
        <v>14</v>
      </c>
      <c r="H292">
        <v>908</v>
      </c>
      <c r="I292" s="9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3">
        <f t="shared" si="17"/>
        <v>41404.208333333336</v>
      </c>
      <c r="O292" s="13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 s="7">
        <v>1800</v>
      </c>
      <c r="E293" s="7">
        <v>8219</v>
      </c>
      <c r="F293" s="7">
        <f t="shared" si="16"/>
        <v>456.61111111111109</v>
      </c>
      <c r="G293" t="s">
        <v>20</v>
      </c>
      <c r="H293">
        <v>107</v>
      </c>
      <c r="I293" s="9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3">
        <f t="shared" si="17"/>
        <v>40831.208333333336</v>
      </c>
      <c r="O293" s="13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 s="7">
        <v>7300</v>
      </c>
      <c r="E294" s="7">
        <v>717</v>
      </c>
      <c r="F294" s="7">
        <f t="shared" si="16"/>
        <v>9.8219178082191778</v>
      </c>
      <c r="G294" t="s">
        <v>14</v>
      </c>
      <c r="H294">
        <v>10</v>
      </c>
      <c r="I294" s="9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3">
        <f t="shared" si="17"/>
        <v>40984.208333333336</v>
      </c>
      <c r="O294" s="13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 s="7">
        <v>6500</v>
      </c>
      <c r="E295" s="7">
        <v>1065</v>
      </c>
      <c r="F295" s="7">
        <f t="shared" si="16"/>
        <v>16.384615384615383</v>
      </c>
      <c r="G295" t="s">
        <v>74</v>
      </c>
      <c r="H295">
        <v>32</v>
      </c>
      <c r="I295" s="9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3">
        <f t="shared" si="17"/>
        <v>40456.208333333336</v>
      </c>
      <c r="O295" s="13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 s="7">
        <v>600</v>
      </c>
      <c r="E296" s="7">
        <v>8038</v>
      </c>
      <c r="F296" s="7">
        <f t="shared" si="16"/>
        <v>1339.6666666666667</v>
      </c>
      <c r="G296" t="s">
        <v>20</v>
      </c>
      <c r="H296">
        <v>183</v>
      </c>
      <c r="I296" s="9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3">
        <f t="shared" si="17"/>
        <v>43399.208333333328</v>
      </c>
      <c r="O296" s="13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 s="7">
        <v>192900</v>
      </c>
      <c r="E297" s="7">
        <v>68769</v>
      </c>
      <c r="F297" s="7">
        <f t="shared" si="16"/>
        <v>35.650077760497666</v>
      </c>
      <c r="G297" t="s">
        <v>14</v>
      </c>
      <c r="H297">
        <v>1910</v>
      </c>
      <c r="I297" s="9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3">
        <f t="shared" si="17"/>
        <v>41562.208333333336</v>
      </c>
      <c r="O297" s="13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 s="7">
        <v>6100</v>
      </c>
      <c r="E298" s="7">
        <v>3352</v>
      </c>
      <c r="F298" s="7">
        <f t="shared" si="16"/>
        <v>54.950819672131146</v>
      </c>
      <c r="G298" t="s">
        <v>14</v>
      </c>
      <c r="H298">
        <v>38</v>
      </c>
      <c r="I298" s="9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3">
        <f t="shared" si="17"/>
        <v>43493.25</v>
      </c>
      <c r="O298" s="13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 s="7">
        <v>7200</v>
      </c>
      <c r="E299" s="7">
        <v>6785</v>
      </c>
      <c r="F299" s="7">
        <f t="shared" si="16"/>
        <v>94.236111111111114</v>
      </c>
      <c r="G299" t="s">
        <v>14</v>
      </c>
      <c r="H299">
        <v>104</v>
      </c>
      <c r="I299" s="9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3">
        <f t="shared" si="17"/>
        <v>41653.25</v>
      </c>
      <c r="O299" s="13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 s="7">
        <v>3500</v>
      </c>
      <c r="E300" s="7">
        <v>5037</v>
      </c>
      <c r="F300" s="7">
        <f t="shared" si="16"/>
        <v>143.91428571428571</v>
      </c>
      <c r="G300" t="s">
        <v>20</v>
      </c>
      <c r="H300">
        <v>72</v>
      </c>
      <c r="I300" s="9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3">
        <f t="shared" si="17"/>
        <v>42426.25</v>
      </c>
      <c r="O300" s="13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 s="7">
        <v>3800</v>
      </c>
      <c r="E301" s="7">
        <v>1954</v>
      </c>
      <c r="F301" s="7">
        <f t="shared" si="16"/>
        <v>51.421052631578945</v>
      </c>
      <c r="G301" t="s">
        <v>14</v>
      </c>
      <c r="H301">
        <v>49</v>
      </c>
      <c r="I301" s="9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3">
        <f t="shared" si="17"/>
        <v>42432.25</v>
      </c>
      <c r="O301" s="13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 s="7">
        <v>100</v>
      </c>
      <c r="E302" s="7">
        <v>5</v>
      </c>
      <c r="F302" s="7">
        <f t="shared" si="16"/>
        <v>5</v>
      </c>
      <c r="G302" t="s">
        <v>14</v>
      </c>
      <c r="H302">
        <v>1</v>
      </c>
      <c r="I302" s="9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3">
        <f t="shared" si="17"/>
        <v>42977.208333333328</v>
      </c>
      <c r="O302" s="13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 s="7">
        <v>900</v>
      </c>
      <c r="E303" s="7">
        <v>12102</v>
      </c>
      <c r="F303" s="7">
        <f t="shared" si="16"/>
        <v>1344.6666666666667</v>
      </c>
      <c r="G303" t="s">
        <v>20</v>
      </c>
      <c r="H303">
        <v>295</v>
      </c>
      <c r="I303" s="9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3">
        <f t="shared" si="17"/>
        <v>42061.25</v>
      </c>
      <c r="O303" s="13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 s="7">
        <v>76100</v>
      </c>
      <c r="E304" s="7">
        <v>24234</v>
      </c>
      <c r="F304" s="7">
        <f t="shared" si="16"/>
        <v>31.844940867279899</v>
      </c>
      <c r="G304" t="s">
        <v>14</v>
      </c>
      <c r="H304">
        <v>245</v>
      </c>
      <c r="I304" s="9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3">
        <f t="shared" si="17"/>
        <v>43345.208333333328</v>
      </c>
      <c r="O304" s="13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 s="7">
        <v>3400</v>
      </c>
      <c r="E305" s="7">
        <v>2809</v>
      </c>
      <c r="F305" s="7">
        <f t="shared" si="16"/>
        <v>82.617647058823536</v>
      </c>
      <c r="G305" t="s">
        <v>14</v>
      </c>
      <c r="H305">
        <v>32</v>
      </c>
      <c r="I305" s="9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3">
        <f t="shared" si="17"/>
        <v>42376.25</v>
      </c>
      <c r="O305" s="13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 s="7">
        <v>2100</v>
      </c>
      <c r="E306" s="7">
        <v>11469</v>
      </c>
      <c r="F306" s="7">
        <f t="shared" si="16"/>
        <v>546.14285714285722</v>
      </c>
      <c r="G306" t="s">
        <v>20</v>
      </c>
      <c r="H306">
        <v>142</v>
      </c>
      <c r="I306" s="9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3">
        <f t="shared" si="17"/>
        <v>42589.208333333328</v>
      </c>
      <c r="O306" s="13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 s="7">
        <v>2800</v>
      </c>
      <c r="E307" s="7">
        <v>8014</v>
      </c>
      <c r="F307" s="7">
        <f t="shared" si="16"/>
        <v>286.21428571428572</v>
      </c>
      <c r="G307" t="s">
        <v>20</v>
      </c>
      <c r="H307">
        <v>85</v>
      </c>
      <c r="I307" s="9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3">
        <f t="shared" si="17"/>
        <v>42448.208333333328</v>
      </c>
      <c r="O307" s="13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 s="7">
        <v>6500</v>
      </c>
      <c r="E308" s="7">
        <v>514</v>
      </c>
      <c r="F308" s="7">
        <f t="shared" si="16"/>
        <v>7.9076923076923071</v>
      </c>
      <c r="G308" t="s">
        <v>14</v>
      </c>
      <c r="H308">
        <v>7</v>
      </c>
      <c r="I308" s="9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3">
        <f t="shared" si="17"/>
        <v>42930.208333333328</v>
      </c>
      <c r="O308" s="13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 s="7">
        <v>32900</v>
      </c>
      <c r="E309" s="7">
        <v>43473</v>
      </c>
      <c r="F309" s="7">
        <f t="shared" si="16"/>
        <v>132.13677811550153</v>
      </c>
      <c r="G309" t="s">
        <v>20</v>
      </c>
      <c r="H309">
        <v>659</v>
      </c>
      <c r="I309" s="9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3">
        <f t="shared" si="17"/>
        <v>41066.208333333336</v>
      </c>
      <c r="O309" s="13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 s="7">
        <v>118200</v>
      </c>
      <c r="E310" s="7">
        <v>87560</v>
      </c>
      <c r="F310" s="7">
        <f t="shared" si="16"/>
        <v>74.077834179357026</v>
      </c>
      <c r="G310" t="s">
        <v>14</v>
      </c>
      <c r="H310">
        <v>803</v>
      </c>
      <c r="I310" s="9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3">
        <f t="shared" si="17"/>
        <v>40651.208333333336</v>
      </c>
      <c r="O310" s="13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 s="7">
        <v>4100</v>
      </c>
      <c r="E311" s="7">
        <v>3087</v>
      </c>
      <c r="F311" s="7">
        <f t="shared" si="16"/>
        <v>75.292682926829272</v>
      </c>
      <c r="G311" t="s">
        <v>74</v>
      </c>
      <c r="H311">
        <v>75</v>
      </c>
      <c r="I311" s="9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3">
        <f t="shared" si="17"/>
        <v>40807.208333333336</v>
      </c>
      <c r="O311" s="13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 s="7">
        <v>7800</v>
      </c>
      <c r="E312" s="7">
        <v>1586</v>
      </c>
      <c r="F312" s="7">
        <f t="shared" si="16"/>
        <v>20.333333333333332</v>
      </c>
      <c r="G312" t="s">
        <v>14</v>
      </c>
      <c r="H312">
        <v>16</v>
      </c>
      <c r="I312" s="9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3">
        <f t="shared" si="17"/>
        <v>40277.208333333336</v>
      </c>
      <c r="O312" s="13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 s="7">
        <v>6300</v>
      </c>
      <c r="E313" s="7">
        <v>12812</v>
      </c>
      <c r="F313" s="7">
        <f t="shared" si="16"/>
        <v>203.36507936507937</v>
      </c>
      <c r="G313" t="s">
        <v>20</v>
      </c>
      <c r="H313">
        <v>121</v>
      </c>
      <c r="I313" s="9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3">
        <f t="shared" si="17"/>
        <v>40590.25</v>
      </c>
      <c r="O313" s="13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 s="7">
        <v>59100</v>
      </c>
      <c r="E314" s="7">
        <v>183345</v>
      </c>
      <c r="F314" s="7">
        <f t="shared" si="16"/>
        <v>310.2284263959391</v>
      </c>
      <c r="G314" t="s">
        <v>20</v>
      </c>
      <c r="H314">
        <v>3742</v>
      </c>
      <c r="I314" s="9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3">
        <f t="shared" si="17"/>
        <v>41572.208333333336</v>
      </c>
      <c r="O314" s="13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 s="7">
        <v>2200</v>
      </c>
      <c r="E315" s="7">
        <v>8697</v>
      </c>
      <c r="F315" s="7">
        <f t="shared" si="16"/>
        <v>395.31818181818181</v>
      </c>
      <c r="G315" t="s">
        <v>20</v>
      </c>
      <c r="H315">
        <v>223</v>
      </c>
      <c r="I315" s="9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3">
        <f t="shared" si="17"/>
        <v>40966.25</v>
      </c>
      <c r="O315" s="13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 s="7">
        <v>1400</v>
      </c>
      <c r="E316" s="7">
        <v>4126</v>
      </c>
      <c r="F316" s="7">
        <f t="shared" si="16"/>
        <v>294.71428571428572</v>
      </c>
      <c r="G316" t="s">
        <v>20</v>
      </c>
      <c r="H316">
        <v>133</v>
      </c>
      <c r="I316" s="9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3">
        <f t="shared" si="17"/>
        <v>43536.208333333328</v>
      </c>
      <c r="O316" s="13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 s="7">
        <v>9500</v>
      </c>
      <c r="E317" s="7">
        <v>3220</v>
      </c>
      <c r="F317" s="7">
        <f t="shared" si="16"/>
        <v>33.89473684210526</v>
      </c>
      <c r="G317" t="s">
        <v>14</v>
      </c>
      <c r="H317">
        <v>31</v>
      </c>
      <c r="I317" s="9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3">
        <f t="shared" si="17"/>
        <v>41783.208333333336</v>
      </c>
      <c r="O317" s="13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 s="7">
        <v>9600</v>
      </c>
      <c r="E318" s="7">
        <v>6401</v>
      </c>
      <c r="F318" s="7">
        <f t="shared" si="16"/>
        <v>66.677083333333329</v>
      </c>
      <c r="G318" t="s">
        <v>14</v>
      </c>
      <c r="H318">
        <v>108</v>
      </c>
      <c r="I318" s="9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3">
        <f t="shared" si="17"/>
        <v>43788.25</v>
      </c>
      <c r="O318" s="13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 s="7">
        <v>6600</v>
      </c>
      <c r="E319" s="7">
        <v>1269</v>
      </c>
      <c r="F319" s="7">
        <f t="shared" si="16"/>
        <v>19.227272727272727</v>
      </c>
      <c r="G319" t="s">
        <v>14</v>
      </c>
      <c r="H319">
        <v>30</v>
      </c>
      <c r="I319" s="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3">
        <f t="shared" si="17"/>
        <v>42869.208333333328</v>
      </c>
      <c r="O319" s="13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 s="7">
        <v>5700</v>
      </c>
      <c r="E320" s="7">
        <v>903</v>
      </c>
      <c r="F320" s="7">
        <f t="shared" si="16"/>
        <v>15.842105263157894</v>
      </c>
      <c r="G320" t="s">
        <v>14</v>
      </c>
      <c r="H320">
        <v>17</v>
      </c>
      <c r="I320" s="9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3">
        <f t="shared" si="17"/>
        <v>41684.25</v>
      </c>
      <c r="O320" s="13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 s="7">
        <v>8400</v>
      </c>
      <c r="E321" s="7">
        <v>3251</v>
      </c>
      <c r="F321" s="7">
        <f t="shared" si="16"/>
        <v>38.702380952380956</v>
      </c>
      <c r="G321" t="s">
        <v>74</v>
      </c>
      <c r="H321">
        <v>64</v>
      </c>
      <c r="I321" s="9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3">
        <f t="shared" si="17"/>
        <v>40402.208333333336</v>
      </c>
      <c r="O321" s="13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 s="7">
        <v>84400</v>
      </c>
      <c r="E322" s="7">
        <v>8092</v>
      </c>
      <c r="F322" s="7">
        <f t="shared" si="16"/>
        <v>9.5876777251184837</v>
      </c>
      <c r="G322" t="s">
        <v>14</v>
      </c>
      <c r="H322">
        <v>80</v>
      </c>
      <c r="I322" s="9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3">
        <f t="shared" si="17"/>
        <v>40673.208333333336</v>
      </c>
      <c r="O322" s="13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 s="7">
        <v>170400</v>
      </c>
      <c r="E323" s="7">
        <v>160422</v>
      </c>
      <c r="F323" s="7">
        <f t="shared" ref="F323:F386" si="20">(E323/D323)*100</f>
        <v>94.144366197183089</v>
      </c>
      <c r="G323" t="s">
        <v>14</v>
      </c>
      <c r="H323">
        <v>2468</v>
      </c>
      <c r="I323" s="9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3">
        <f t="shared" ref="N323:N386" si="21">(((L323/60)/60)/24)+DATE(1970,1,1)</f>
        <v>40634.208333333336</v>
      </c>
      <c r="O323" s="13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 s="7">
        <v>117900</v>
      </c>
      <c r="E324" s="7">
        <v>196377</v>
      </c>
      <c r="F324" s="7">
        <f t="shared" si="20"/>
        <v>166.56234096692114</v>
      </c>
      <c r="G324" t="s">
        <v>20</v>
      </c>
      <c r="H324">
        <v>5168</v>
      </c>
      <c r="I324" s="9">
        <f t="shared" ref="I324:I387" si="23">IFERROR(E324/H324,0)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3">
        <f t="shared" si="21"/>
        <v>40507.25</v>
      </c>
      <c r="O324" s="13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 s="7">
        <v>8900</v>
      </c>
      <c r="E325" s="7">
        <v>2148</v>
      </c>
      <c r="F325" s="7">
        <f t="shared" si="20"/>
        <v>24.134831460674157</v>
      </c>
      <c r="G325" t="s">
        <v>14</v>
      </c>
      <c r="H325">
        <v>26</v>
      </c>
      <c r="I325" s="9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3">
        <f t="shared" si="21"/>
        <v>41725.208333333336</v>
      </c>
      <c r="O325" s="13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 s="7">
        <v>7100</v>
      </c>
      <c r="E326" s="7">
        <v>11648</v>
      </c>
      <c r="F326" s="7">
        <f t="shared" si="20"/>
        <v>164.05633802816902</v>
      </c>
      <c r="G326" t="s">
        <v>20</v>
      </c>
      <c r="H326">
        <v>307</v>
      </c>
      <c r="I326" s="9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3">
        <f t="shared" si="21"/>
        <v>42176.208333333328</v>
      </c>
      <c r="O326" s="13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 s="7">
        <v>6500</v>
      </c>
      <c r="E327" s="7">
        <v>5897</v>
      </c>
      <c r="F327" s="7">
        <f t="shared" si="20"/>
        <v>90.723076923076931</v>
      </c>
      <c r="G327" t="s">
        <v>14</v>
      </c>
      <c r="H327">
        <v>73</v>
      </c>
      <c r="I327" s="9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3">
        <f t="shared" si="21"/>
        <v>43267.208333333328</v>
      </c>
      <c r="O327" s="13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 s="7">
        <v>7200</v>
      </c>
      <c r="E328" s="7">
        <v>3326</v>
      </c>
      <c r="F328" s="7">
        <f t="shared" si="20"/>
        <v>46.194444444444443</v>
      </c>
      <c r="G328" t="s">
        <v>14</v>
      </c>
      <c r="H328">
        <v>128</v>
      </c>
      <c r="I328" s="9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3">
        <f t="shared" si="21"/>
        <v>42364.25</v>
      </c>
      <c r="O328" s="13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 s="7">
        <v>2600</v>
      </c>
      <c r="E329" s="7">
        <v>1002</v>
      </c>
      <c r="F329" s="7">
        <f t="shared" si="20"/>
        <v>38.53846153846154</v>
      </c>
      <c r="G329" t="s">
        <v>14</v>
      </c>
      <c r="H329">
        <v>33</v>
      </c>
      <c r="I329" s="9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3">
        <f t="shared" si="21"/>
        <v>43705.208333333328</v>
      </c>
      <c r="O329" s="13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 s="7">
        <v>98700</v>
      </c>
      <c r="E330" s="7">
        <v>131826</v>
      </c>
      <c r="F330" s="7">
        <f t="shared" si="20"/>
        <v>133.56231003039514</v>
      </c>
      <c r="G330" t="s">
        <v>20</v>
      </c>
      <c r="H330">
        <v>2441</v>
      </c>
      <c r="I330" s="9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3">
        <f t="shared" si="21"/>
        <v>43434.25</v>
      </c>
      <c r="O330" s="13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 s="7">
        <v>93800</v>
      </c>
      <c r="E331" s="7">
        <v>21477</v>
      </c>
      <c r="F331" s="7">
        <f t="shared" si="20"/>
        <v>22.896588486140725</v>
      </c>
      <c r="G331" t="s">
        <v>47</v>
      </c>
      <c r="H331">
        <v>211</v>
      </c>
      <c r="I331" s="9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3">
        <f t="shared" si="21"/>
        <v>42716.25</v>
      </c>
      <c r="O331" s="13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 s="7">
        <v>33700</v>
      </c>
      <c r="E332" s="7">
        <v>62330</v>
      </c>
      <c r="F332" s="7">
        <f t="shared" si="20"/>
        <v>184.95548961424333</v>
      </c>
      <c r="G332" t="s">
        <v>20</v>
      </c>
      <c r="H332">
        <v>1385</v>
      </c>
      <c r="I332" s="9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3">
        <f t="shared" si="21"/>
        <v>43077.25</v>
      </c>
      <c r="O332" s="13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 s="7">
        <v>3300</v>
      </c>
      <c r="E333" s="7">
        <v>14643</v>
      </c>
      <c r="F333" s="7">
        <f t="shared" si="20"/>
        <v>443.72727272727275</v>
      </c>
      <c r="G333" t="s">
        <v>20</v>
      </c>
      <c r="H333">
        <v>190</v>
      </c>
      <c r="I333" s="9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3">
        <f t="shared" si="21"/>
        <v>40896.25</v>
      </c>
      <c r="O333" s="13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 s="7">
        <v>20700</v>
      </c>
      <c r="E334" s="7">
        <v>41396</v>
      </c>
      <c r="F334" s="7">
        <f t="shared" si="20"/>
        <v>199.9806763285024</v>
      </c>
      <c r="G334" t="s">
        <v>20</v>
      </c>
      <c r="H334">
        <v>470</v>
      </c>
      <c r="I334" s="9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3">
        <f t="shared" si="21"/>
        <v>41361.208333333336</v>
      </c>
      <c r="O334" s="13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 s="7">
        <v>9600</v>
      </c>
      <c r="E335" s="7">
        <v>11900</v>
      </c>
      <c r="F335" s="7">
        <f t="shared" si="20"/>
        <v>123.95833333333333</v>
      </c>
      <c r="G335" t="s">
        <v>20</v>
      </c>
      <c r="H335">
        <v>253</v>
      </c>
      <c r="I335" s="9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3">
        <f t="shared" si="21"/>
        <v>43424.25</v>
      </c>
      <c r="O335" s="13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 s="7">
        <v>66200</v>
      </c>
      <c r="E336" s="7">
        <v>123538</v>
      </c>
      <c r="F336" s="7">
        <f t="shared" si="20"/>
        <v>186.61329305135951</v>
      </c>
      <c r="G336" t="s">
        <v>20</v>
      </c>
      <c r="H336">
        <v>1113</v>
      </c>
      <c r="I336" s="9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3">
        <f t="shared" si="21"/>
        <v>43110.25</v>
      </c>
      <c r="O336" s="13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 s="7">
        <v>173800</v>
      </c>
      <c r="E337" s="7">
        <v>198628</v>
      </c>
      <c r="F337" s="7">
        <f t="shared" si="20"/>
        <v>114.28538550057536</v>
      </c>
      <c r="G337" t="s">
        <v>20</v>
      </c>
      <c r="H337">
        <v>2283</v>
      </c>
      <c r="I337" s="9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3">
        <f t="shared" si="21"/>
        <v>43784.25</v>
      </c>
      <c r="O337" s="13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 s="7">
        <v>70700</v>
      </c>
      <c r="E338" s="7">
        <v>68602</v>
      </c>
      <c r="F338" s="7">
        <f t="shared" si="20"/>
        <v>97.032531824611041</v>
      </c>
      <c r="G338" t="s">
        <v>14</v>
      </c>
      <c r="H338">
        <v>1072</v>
      </c>
      <c r="I338" s="9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3">
        <f t="shared" si="21"/>
        <v>40527.25</v>
      </c>
      <c r="O338" s="13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 s="7">
        <v>94500</v>
      </c>
      <c r="E339" s="7">
        <v>116064</v>
      </c>
      <c r="F339" s="7">
        <f t="shared" si="20"/>
        <v>122.81904761904762</v>
      </c>
      <c r="G339" t="s">
        <v>20</v>
      </c>
      <c r="H339">
        <v>1095</v>
      </c>
      <c r="I339" s="9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3">
        <f t="shared" si="21"/>
        <v>43780.25</v>
      </c>
      <c r="O339" s="13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 s="7">
        <v>69800</v>
      </c>
      <c r="E340" s="7">
        <v>125042</v>
      </c>
      <c r="F340" s="7">
        <f t="shared" si="20"/>
        <v>179.14326647564468</v>
      </c>
      <c r="G340" t="s">
        <v>20</v>
      </c>
      <c r="H340">
        <v>1690</v>
      </c>
      <c r="I340" s="9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3">
        <f t="shared" si="21"/>
        <v>40821.208333333336</v>
      </c>
      <c r="O340" s="13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 s="7">
        <v>136300</v>
      </c>
      <c r="E341" s="7">
        <v>108974</v>
      </c>
      <c r="F341" s="7">
        <f t="shared" si="20"/>
        <v>79.951577402787962</v>
      </c>
      <c r="G341" t="s">
        <v>74</v>
      </c>
      <c r="H341">
        <v>1297</v>
      </c>
      <c r="I341" s="9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3">
        <f t="shared" si="21"/>
        <v>42949.208333333328</v>
      </c>
      <c r="O341" s="13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 s="7">
        <v>37100</v>
      </c>
      <c r="E342" s="7">
        <v>34964</v>
      </c>
      <c r="F342" s="7">
        <f t="shared" si="20"/>
        <v>94.242587601078171</v>
      </c>
      <c r="G342" t="s">
        <v>14</v>
      </c>
      <c r="H342">
        <v>393</v>
      </c>
      <c r="I342" s="9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3">
        <f t="shared" si="21"/>
        <v>40889.25</v>
      </c>
      <c r="O342" s="13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 s="7">
        <v>114300</v>
      </c>
      <c r="E343" s="7">
        <v>96777</v>
      </c>
      <c r="F343" s="7">
        <f t="shared" si="20"/>
        <v>84.669291338582681</v>
      </c>
      <c r="G343" t="s">
        <v>14</v>
      </c>
      <c r="H343">
        <v>1257</v>
      </c>
      <c r="I343" s="9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3">
        <f t="shared" si="21"/>
        <v>42244.208333333328</v>
      </c>
      <c r="O343" s="13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 s="7">
        <v>47900</v>
      </c>
      <c r="E344" s="7">
        <v>31864</v>
      </c>
      <c r="F344" s="7">
        <f t="shared" si="20"/>
        <v>66.521920668058456</v>
      </c>
      <c r="G344" t="s">
        <v>14</v>
      </c>
      <c r="H344">
        <v>328</v>
      </c>
      <c r="I344" s="9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3">
        <f t="shared" si="21"/>
        <v>41475.208333333336</v>
      </c>
      <c r="O344" s="13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 s="7">
        <v>9000</v>
      </c>
      <c r="E345" s="7">
        <v>4853</v>
      </c>
      <c r="F345" s="7">
        <f t="shared" si="20"/>
        <v>53.922222222222224</v>
      </c>
      <c r="G345" t="s">
        <v>14</v>
      </c>
      <c r="H345">
        <v>147</v>
      </c>
      <c r="I345" s="9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3">
        <f t="shared" si="21"/>
        <v>41597.25</v>
      </c>
      <c r="O345" s="13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 s="7">
        <v>197600</v>
      </c>
      <c r="E346" s="7">
        <v>82959</v>
      </c>
      <c r="F346" s="7">
        <f t="shared" si="20"/>
        <v>41.983299595141702</v>
      </c>
      <c r="G346" t="s">
        <v>14</v>
      </c>
      <c r="H346">
        <v>830</v>
      </c>
      <c r="I346" s="9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3">
        <f t="shared" si="21"/>
        <v>43122.25</v>
      </c>
      <c r="O346" s="13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 s="7">
        <v>157600</v>
      </c>
      <c r="E347" s="7">
        <v>23159</v>
      </c>
      <c r="F347" s="7">
        <f t="shared" si="20"/>
        <v>14.69479695431472</v>
      </c>
      <c r="G347" t="s">
        <v>14</v>
      </c>
      <c r="H347">
        <v>331</v>
      </c>
      <c r="I347" s="9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3">
        <f t="shared" si="21"/>
        <v>42194.208333333328</v>
      </c>
      <c r="O347" s="13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 s="7">
        <v>8000</v>
      </c>
      <c r="E348" s="7">
        <v>2758</v>
      </c>
      <c r="F348" s="7">
        <f t="shared" si="20"/>
        <v>34.475000000000001</v>
      </c>
      <c r="G348" t="s">
        <v>14</v>
      </c>
      <c r="H348">
        <v>25</v>
      </c>
      <c r="I348" s="9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3">
        <f t="shared" si="21"/>
        <v>42971.208333333328</v>
      </c>
      <c r="O348" s="13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 s="7">
        <v>900</v>
      </c>
      <c r="E349" s="7">
        <v>12607</v>
      </c>
      <c r="F349" s="7">
        <f t="shared" si="20"/>
        <v>1400.7777777777778</v>
      </c>
      <c r="G349" t="s">
        <v>20</v>
      </c>
      <c r="H349">
        <v>191</v>
      </c>
      <c r="I349" s="9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3">
        <f t="shared" si="21"/>
        <v>42046.25</v>
      </c>
      <c r="O349" s="13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 s="7">
        <v>199000</v>
      </c>
      <c r="E350" s="7">
        <v>142823</v>
      </c>
      <c r="F350" s="7">
        <f t="shared" si="20"/>
        <v>71.770351758793964</v>
      </c>
      <c r="G350" t="s">
        <v>14</v>
      </c>
      <c r="H350">
        <v>3483</v>
      </c>
      <c r="I350" s="9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3">
        <f t="shared" si="21"/>
        <v>42782.25</v>
      </c>
      <c r="O350" s="13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 s="7">
        <v>180800</v>
      </c>
      <c r="E351" s="7">
        <v>95958</v>
      </c>
      <c r="F351" s="7">
        <f t="shared" si="20"/>
        <v>53.074115044247783</v>
      </c>
      <c r="G351" t="s">
        <v>14</v>
      </c>
      <c r="H351">
        <v>923</v>
      </c>
      <c r="I351" s="9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3">
        <f t="shared" si="21"/>
        <v>42930.208333333328</v>
      </c>
      <c r="O351" s="13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 s="7">
        <v>100</v>
      </c>
      <c r="E352" s="7">
        <v>5</v>
      </c>
      <c r="F352" s="7">
        <f t="shared" si="20"/>
        <v>5</v>
      </c>
      <c r="G352" t="s">
        <v>14</v>
      </c>
      <c r="H352">
        <v>1</v>
      </c>
      <c r="I352" s="9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3">
        <f t="shared" si="21"/>
        <v>42144.208333333328</v>
      </c>
      <c r="O352" s="13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 s="7">
        <v>74100</v>
      </c>
      <c r="E353" s="7">
        <v>94631</v>
      </c>
      <c r="F353" s="7">
        <f t="shared" si="20"/>
        <v>127.70715249662618</v>
      </c>
      <c r="G353" t="s">
        <v>20</v>
      </c>
      <c r="H353">
        <v>2013</v>
      </c>
      <c r="I353" s="9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3">
        <f t="shared" si="21"/>
        <v>42240.208333333328</v>
      </c>
      <c r="O353" s="13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 s="7">
        <v>2800</v>
      </c>
      <c r="E354" s="7">
        <v>977</v>
      </c>
      <c r="F354" s="7">
        <f t="shared" si="20"/>
        <v>34.892857142857139</v>
      </c>
      <c r="G354" t="s">
        <v>14</v>
      </c>
      <c r="H354">
        <v>33</v>
      </c>
      <c r="I354" s="9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3">
        <f t="shared" si="21"/>
        <v>42315.25</v>
      </c>
      <c r="O354" s="13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 s="7">
        <v>33600</v>
      </c>
      <c r="E355" s="7">
        <v>137961</v>
      </c>
      <c r="F355" s="7">
        <f t="shared" si="20"/>
        <v>410.59821428571428</v>
      </c>
      <c r="G355" t="s">
        <v>20</v>
      </c>
      <c r="H355">
        <v>1703</v>
      </c>
      <c r="I355" s="9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3">
        <f t="shared" si="21"/>
        <v>43651.208333333328</v>
      </c>
      <c r="O355" s="13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 s="7">
        <v>6100</v>
      </c>
      <c r="E356" s="7">
        <v>7548</v>
      </c>
      <c r="F356" s="7">
        <f t="shared" si="20"/>
        <v>123.73770491803278</v>
      </c>
      <c r="G356" t="s">
        <v>20</v>
      </c>
      <c r="H356">
        <v>80</v>
      </c>
      <c r="I356" s="9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3">
        <f t="shared" si="21"/>
        <v>41520.208333333336</v>
      </c>
      <c r="O356" s="13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 s="7">
        <v>3800</v>
      </c>
      <c r="E357" s="7">
        <v>2241</v>
      </c>
      <c r="F357" s="7">
        <f t="shared" si="20"/>
        <v>58.973684210526315</v>
      </c>
      <c r="G357" t="s">
        <v>47</v>
      </c>
      <c r="H357">
        <v>86</v>
      </c>
      <c r="I357" s="9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3">
        <f t="shared" si="21"/>
        <v>42757.25</v>
      </c>
      <c r="O357" s="13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 s="7">
        <v>9300</v>
      </c>
      <c r="E358" s="7">
        <v>3431</v>
      </c>
      <c r="F358" s="7">
        <f t="shared" si="20"/>
        <v>36.892473118279568</v>
      </c>
      <c r="G358" t="s">
        <v>14</v>
      </c>
      <c r="H358">
        <v>40</v>
      </c>
      <c r="I358" s="9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3">
        <f t="shared" si="21"/>
        <v>40922.25</v>
      </c>
      <c r="O358" s="13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 s="7">
        <v>2300</v>
      </c>
      <c r="E359" s="7">
        <v>4253</v>
      </c>
      <c r="F359" s="7">
        <f t="shared" si="20"/>
        <v>184.91304347826087</v>
      </c>
      <c r="G359" t="s">
        <v>20</v>
      </c>
      <c r="H359">
        <v>41</v>
      </c>
      <c r="I359" s="9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3">
        <f t="shared" si="21"/>
        <v>42250.208333333328</v>
      </c>
      <c r="O359" s="13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 s="7">
        <v>9700</v>
      </c>
      <c r="E360" s="7">
        <v>1146</v>
      </c>
      <c r="F360" s="7">
        <f t="shared" si="20"/>
        <v>11.814432989690722</v>
      </c>
      <c r="G360" t="s">
        <v>14</v>
      </c>
      <c r="H360">
        <v>23</v>
      </c>
      <c r="I360" s="9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3">
        <f t="shared" si="21"/>
        <v>43322.208333333328</v>
      </c>
      <c r="O360" s="13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 s="7">
        <v>4000</v>
      </c>
      <c r="E361" s="7">
        <v>11948</v>
      </c>
      <c r="F361" s="7">
        <f t="shared" si="20"/>
        <v>298.7</v>
      </c>
      <c r="G361" t="s">
        <v>20</v>
      </c>
      <c r="H361">
        <v>187</v>
      </c>
      <c r="I361" s="9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3">
        <f t="shared" si="21"/>
        <v>40782.208333333336</v>
      </c>
      <c r="O361" s="13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 s="7">
        <v>59700</v>
      </c>
      <c r="E362" s="7">
        <v>135132</v>
      </c>
      <c r="F362" s="7">
        <f t="shared" si="20"/>
        <v>226.35175879396985</v>
      </c>
      <c r="G362" t="s">
        <v>20</v>
      </c>
      <c r="H362">
        <v>2875</v>
      </c>
      <c r="I362" s="9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3">
        <f t="shared" si="21"/>
        <v>40544.25</v>
      </c>
      <c r="O362" s="13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 s="7">
        <v>5500</v>
      </c>
      <c r="E363" s="7">
        <v>9546</v>
      </c>
      <c r="F363" s="7">
        <f t="shared" si="20"/>
        <v>173.56363636363636</v>
      </c>
      <c r="G363" t="s">
        <v>20</v>
      </c>
      <c r="H363">
        <v>88</v>
      </c>
      <c r="I363" s="9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3">
        <f t="shared" si="21"/>
        <v>43015.208333333328</v>
      </c>
      <c r="O363" s="13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 s="7">
        <v>3700</v>
      </c>
      <c r="E364" s="7">
        <v>13755</v>
      </c>
      <c r="F364" s="7">
        <f t="shared" si="20"/>
        <v>371.75675675675677</v>
      </c>
      <c r="G364" t="s">
        <v>20</v>
      </c>
      <c r="H364">
        <v>191</v>
      </c>
      <c r="I364" s="9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3">
        <f t="shared" si="21"/>
        <v>40570.25</v>
      </c>
      <c r="O364" s="13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 s="7">
        <v>5200</v>
      </c>
      <c r="E365" s="7">
        <v>8330</v>
      </c>
      <c r="F365" s="7">
        <f t="shared" si="20"/>
        <v>160.19230769230771</v>
      </c>
      <c r="G365" t="s">
        <v>20</v>
      </c>
      <c r="H365">
        <v>139</v>
      </c>
      <c r="I365" s="9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3">
        <f t="shared" si="21"/>
        <v>40904.25</v>
      </c>
      <c r="O365" s="13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 s="7">
        <v>900</v>
      </c>
      <c r="E366" s="7">
        <v>14547</v>
      </c>
      <c r="F366" s="7">
        <f t="shared" si="20"/>
        <v>1616.3333333333335</v>
      </c>
      <c r="G366" t="s">
        <v>20</v>
      </c>
      <c r="H366">
        <v>186</v>
      </c>
      <c r="I366" s="9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3">
        <f t="shared" si="21"/>
        <v>43164.25</v>
      </c>
      <c r="O366" s="13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 s="7">
        <v>1600</v>
      </c>
      <c r="E367" s="7">
        <v>11735</v>
      </c>
      <c r="F367" s="7">
        <f t="shared" si="20"/>
        <v>733.4375</v>
      </c>
      <c r="G367" t="s">
        <v>20</v>
      </c>
      <c r="H367">
        <v>112</v>
      </c>
      <c r="I367" s="9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3">
        <f t="shared" si="21"/>
        <v>42733.25</v>
      </c>
      <c r="O367" s="13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 s="7">
        <v>1800</v>
      </c>
      <c r="E368" s="7">
        <v>10658</v>
      </c>
      <c r="F368" s="7">
        <f t="shared" si="20"/>
        <v>592.11111111111109</v>
      </c>
      <c r="G368" t="s">
        <v>20</v>
      </c>
      <c r="H368">
        <v>101</v>
      </c>
      <c r="I368" s="9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3">
        <f t="shared" si="21"/>
        <v>40546.25</v>
      </c>
      <c r="O368" s="13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 s="7">
        <v>9900</v>
      </c>
      <c r="E369" s="7">
        <v>1870</v>
      </c>
      <c r="F369" s="7">
        <f t="shared" si="20"/>
        <v>18.888888888888889</v>
      </c>
      <c r="G369" t="s">
        <v>14</v>
      </c>
      <c r="H369">
        <v>75</v>
      </c>
      <c r="I369" s="9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3">
        <f t="shared" si="21"/>
        <v>41930.208333333336</v>
      </c>
      <c r="O369" s="13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 s="7">
        <v>5200</v>
      </c>
      <c r="E370" s="7">
        <v>14394</v>
      </c>
      <c r="F370" s="7">
        <f t="shared" si="20"/>
        <v>276.80769230769232</v>
      </c>
      <c r="G370" t="s">
        <v>20</v>
      </c>
      <c r="H370">
        <v>206</v>
      </c>
      <c r="I370" s="9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3">
        <f t="shared" si="21"/>
        <v>40464.208333333336</v>
      </c>
      <c r="O370" s="13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 s="7">
        <v>5400</v>
      </c>
      <c r="E371" s="7">
        <v>14743</v>
      </c>
      <c r="F371" s="7">
        <f t="shared" si="20"/>
        <v>273.01851851851848</v>
      </c>
      <c r="G371" t="s">
        <v>20</v>
      </c>
      <c r="H371">
        <v>154</v>
      </c>
      <c r="I371" s="9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3">
        <f t="shared" si="21"/>
        <v>41308.25</v>
      </c>
      <c r="O371" s="13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 s="7">
        <v>112300</v>
      </c>
      <c r="E372" s="7">
        <v>178965</v>
      </c>
      <c r="F372" s="7">
        <f t="shared" si="20"/>
        <v>159.36331255565449</v>
      </c>
      <c r="G372" t="s">
        <v>20</v>
      </c>
      <c r="H372">
        <v>5966</v>
      </c>
      <c r="I372" s="9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3">
        <f t="shared" si="21"/>
        <v>43570.208333333328</v>
      </c>
      <c r="O372" s="13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 s="7">
        <v>189200</v>
      </c>
      <c r="E373" s="7">
        <v>128410</v>
      </c>
      <c r="F373" s="7">
        <f t="shared" si="20"/>
        <v>67.869978858350947</v>
      </c>
      <c r="G373" t="s">
        <v>14</v>
      </c>
      <c r="H373">
        <v>2176</v>
      </c>
      <c r="I373" s="9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3">
        <f t="shared" si="21"/>
        <v>42043.25</v>
      </c>
      <c r="O373" s="13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 s="7">
        <v>900</v>
      </c>
      <c r="E374" s="7">
        <v>14324</v>
      </c>
      <c r="F374" s="7">
        <f t="shared" si="20"/>
        <v>1591.5555555555554</v>
      </c>
      <c r="G374" t="s">
        <v>20</v>
      </c>
      <c r="H374">
        <v>169</v>
      </c>
      <c r="I374" s="9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3">
        <f t="shared" si="21"/>
        <v>42012.25</v>
      </c>
      <c r="O374" s="13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 s="7">
        <v>22500</v>
      </c>
      <c r="E375" s="7">
        <v>164291</v>
      </c>
      <c r="F375" s="7">
        <f t="shared" si="20"/>
        <v>730.18222222222221</v>
      </c>
      <c r="G375" t="s">
        <v>20</v>
      </c>
      <c r="H375">
        <v>2106</v>
      </c>
      <c r="I375" s="9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3">
        <f t="shared" si="21"/>
        <v>42964.208333333328</v>
      </c>
      <c r="O375" s="13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 s="7">
        <v>167400</v>
      </c>
      <c r="E376" s="7">
        <v>22073</v>
      </c>
      <c r="F376" s="7">
        <f t="shared" si="20"/>
        <v>13.185782556750297</v>
      </c>
      <c r="G376" t="s">
        <v>14</v>
      </c>
      <c r="H376">
        <v>441</v>
      </c>
      <c r="I376" s="9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3">
        <f t="shared" si="21"/>
        <v>43476.25</v>
      </c>
      <c r="O376" s="13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 s="7">
        <v>2700</v>
      </c>
      <c r="E377" s="7">
        <v>1479</v>
      </c>
      <c r="F377" s="7">
        <f t="shared" si="20"/>
        <v>54.777777777777779</v>
      </c>
      <c r="G377" t="s">
        <v>14</v>
      </c>
      <c r="H377">
        <v>25</v>
      </c>
      <c r="I377" s="9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3">
        <f t="shared" si="21"/>
        <v>42293.208333333328</v>
      </c>
      <c r="O377" s="13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 s="7">
        <v>3400</v>
      </c>
      <c r="E378" s="7">
        <v>12275</v>
      </c>
      <c r="F378" s="7">
        <f t="shared" si="20"/>
        <v>361.02941176470591</v>
      </c>
      <c r="G378" t="s">
        <v>20</v>
      </c>
      <c r="H378">
        <v>131</v>
      </c>
      <c r="I378" s="9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3">
        <f t="shared" si="21"/>
        <v>41826.208333333336</v>
      </c>
      <c r="O378" s="13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 s="7">
        <v>49700</v>
      </c>
      <c r="E379" s="7">
        <v>5098</v>
      </c>
      <c r="F379" s="7">
        <f t="shared" si="20"/>
        <v>10.257545271629779</v>
      </c>
      <c r="G379" t="s">
        <v>14</v>
      </c>
      <c r="H379">
        <v>127</v>
      </c>
      <c r="I379" s="9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3">
        <f t="shared" si="21"/>
        <v>43760.208333333328</v>
      </c>
      <c r="O379" s="13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 s="7">
        <v>178200</v>
      </c>
      <c r="E380" s="7">
        <v>24882</v>
      </c>
      <c r="F380" s="7">
        <f t="shared" si="20"/>
        <v>13.962962962962964</v>
      </c>
      <c r="G380" t="s">
        <v>14</v>
      </c>
      <c r="H380">
        <v>355</v>
      </c>
      <c r="I380" s="9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3">
        <f t="shared" si="21"/>
        <v>43241.208333333328</v>
      </c>
      <c r="O380" s="13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 s="7">
        <v>7200</v>
      </c>
      <c r="E381" s="7">
        <v>2912</v>
      </c>
      <c r="F381" s="7">
        <f t="shared" si="20"/>
        <v>40.444444444444443</v>
      </c>
      <c r="G381" t="s">
        <v>14</v>
      </c>
      <c r="H381">
        <v>44</v>
      </c>
      <c r="I381" s="9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3">
        <f t="shared" si="21"/>
        <v>40843.208333333336</v>
      </c>
      <c r="O381" s="13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 s="7">
        <v>2500</v>
      </c>
      <c r="E382" s="7">
        <v>4008</v>
      </c>
      <c r="F382" s="7">
        <f t="shared" si="20"/>
        <v>160.32</v>
      </c>
      <c r="G382" t="s">
        <v>20</v>
      </c>
      <c r="H382">
        <v>84</v>
      </c>
      <c r="I382" s="9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3">
        <f t="shared" si="21"/>
        <v>41448.208333333336</v>
      </c>
      <c r="O382" s="13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 s="7">
        <v>5300</v>
      </c>
      <c r="E383" s="7">
        <v>9749</v>
      </c>
      <c r="F383" s="7">
        <f t="shared" si="20"/>
        <v>183.9433962264151</v>
      </c>
      <c r="G383" t="s">
        <v>20</v>
      </c>
      <c r="H383">
        <v>155</v>
      </c>
      <c r="I383" s="9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3">
        <f t="shared" si="21"/>
        <v>42163.208333333328</v>
      </c>
      <c r="O383" s="13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 s="7">
        <v>9100</v>
      </c>
      <c r="E384" s="7">
        <v>5803</v>
      </c>
      <c r="F384" s="7">
        <f t="shared" si="20"/>
        <v>63.769230769230766</v>
      </c>
      <c r="G384" t="s">
        <v>14</v>
      </c>
      <c r="H384">
        <v>67</v>
      </c>
      <c r="I384" s="9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3">
        <f t="shared" si="21"/>
        <v>43024.208333333328</v>
      </c>
      <c r="O384" s="13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 s="7">
        <v>6300</v>
      </c>
      <c r="E385" s="7">
        <v>14199</v>
      </c>
      <c r="F385" s="7">
        <f t="shared" si="20"/>
        <v>225.38095238095238</v>
      </c>
      <c r="G385" t="s">
        <v>20</v>
      </c>
      <c r="H385">
        <v>189</v>
      </c>
      <c r="I385" s="9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3">
        <f t="shared" si="21"/>
        <v>43509.25</v>
      </c>
      <c r="O385" s="13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 s="7">
        <v>114400</v>
      </c>
      <c r="E386" s="7">
        <v>196779</v>
      </c>
      <c r="F386" s="7">
        <f t="shared" si="20"/>
        <v>172.00961538461539</v>
      </c>
      <c r="G386" t="s">
        <v>20</v>
      </c>
      <c r="H386">
        <v>4799</v>
      </c>
      <c r="I386" s="9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3">
        <f t="shared" si="21"/>
        <v>42776.25</v>
      </c>
      <c r="O386" s="13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 s="7">
        <v>38900</v>
      </c>
      <c r="E387" s="7">
        <v>56859</v>
      </c>
      <c r="F387" s="7">
        <f t="shared" ref="F387:F450" si="24">(E387/D387)*100</f>
        <v>146.16709511568124</v>
      </c>
      <c r="G387" t="s">
        <v>20</v>
      </c>
      <c r="H387">
        <v>1137</v>
      </c>
      <c r="I387" s="9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3">
        <f t="shared" ref="N387:N450" si="25">(((L387/60)/60)/24)+DATE(1970,1,1)</f>
        <v>43553.208333333328</v>
      </c>
      <c r="O387" s="13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 s="7">
        <v>135500</v>
      </c>
      <c r="E388" s="7">
        <v>103554</v>
      </c>
      <c r="F388" s="7">
        <f t="shared" si="24"/>
        <v>76.42361623616236</v>
      </c>
      <c r="G388" t="s">
        <v>14</v>
      </c>
      <c r="H388">
        <v>1068</v>
      </c>
      <c r="I388" s="9">
        <f t="shared" ref="I388:I451" si="27">IFERROR(E388/H388,0)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3">
        <f t="shared" si="25"/>
        <v>40355.208333333336</v>
      </c>
      <c r="O388" s="13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 s="7">
        <v>109000</v>
      </c>
      <c r="E389" s="7">
        <v>42795</v>
      </c>
      <c r="F389" s="7">
        <f t="shared" si="24"/>
        <v>39.261467889908261</v>
      </c>
      <c r="G389" t="s">
        <v>14</v>
      </c>
      <c r="H389">
        <v>424</v>
      </c>
      <c r="I389" s="9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3">
        <f t="shared" si="25"/>
        <v>41072.208333333336</v>
      </c>
      <c r="O389" s="13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 s="7">
        <v>114800</v>
      </c>
      <c r="E390" s="7">
        <v>12938</v>
      </c>
      <c r="F390" s="7">
        <f t="shared" si="24"/>
        <v>11.270034843205574</v>
      </c>
      <c r="G390" t="s">
        <v>74</v>
      </c>
      <c r="H390">
        <v>145</v>
      </c>
      <c r="I390" s="9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3">
        <f t="shared" si="25"/>
        <v>40912.25</v>
      </c>
      <c r="O390" s="13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 s="7">
        <v>83000</v>
      </c>
      <c r="E391" s="7">
        <v>101352</v>
      </c>
      <c r="F391" s="7">
        <f t="shared" si="24"/>
        <v>122.11084337349398</v>
      </c>
      <c r="G391" t="s">
        <v>20</v>
      </c>
      <c r="H391">
        <v>1152</v>
      </c>
      <c r="I391" s="9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3">
        <f t="shared" si="25"/>
        <v>40479.208333333336</v>
      </c>
      <c r="O391" s="13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 s="7">
        <v>2400</v>
      </c>
      <c r="E392" s="7">
        <v>4477</v>
      </c>
      <c r="F392" s="7">
        <f t="shared" si="24"/>
        <v>186.54166666666669</v>
      </c>
      <c r="G392" t="s">
        <v>20</v>
      </c>
      <c r="H392">
        <v>50</v>
      </c>
      <c r="I392" s="9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3">
        <f t="shared" si="25"/>
        <v>41530.208333333336</v>
      </c>
      <c r="O392" s="13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 s="7">
        <v>60400</v>
      </c>
      <c r="E393" s="7">
        <v>4393</v>
      </c>
      <c r="F393" s="7">
        <f t="shared" si="24"/>
        <v>7.2731788079470201</v>
      </c>
      <c r="G393" t="s">
        <v>14</v>
      </c>
      <c r="H393">
        <v>151</v>
      </c>
      <c r="I393" s="9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3">
        <f t="shared" si="25"/>
        <v>41653.25</v>
      </c>
      <c r="O393" s="13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 s="7">
        <v>102900</v>
      </c>
      <c r="E394" s="7">
        <v>67546</v>
      </c>
      <c r="F394" s="7">
        <f t="shared" si="24"/>
        <v>65.642371234207957</v>
      </c>
      <c r="G394" t="s">
        <v>14</v>
      </c>
      <c r="H394">
        <v>1608</v>
      </c>
      <c r="I394" s="9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3">
        <f t="shared" si="25"/>
        <v>40549.25</v>
      </c>
      <c r="O394" s="13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 s="7">
        <v>62800</v>
      </c>
      <c r="E395" s="7">
        <v>143788</v>
      </c>
      <c r="F395" s="7">
        <f t="shared" si="24"/>
        <v>228.96178343949046</v>
      </c>
      <c r="G395" t="s">
        <v>20</v>
      </c>
      <c r="H395">
        <v>3059</v>
      </c>
      <c r="I395" s="9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3">
        <f t="shared" si="25"/>
        <v>42933.208333333328</v>
      </c>
      <c r="O395" s="13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 s="7">
        <v>800</v>
      </c>
      <c r="E396" s="7">
        <v>3755</v>
      </c>
      <c r="F396" s="7">
        <f t="shared" si="24"/>
        <v>469.37499999999994</v>
      </c>
      <c r="G396" t="s">
        <v>20</v>
      </c>
      <c r="H396">
        <v>34</v>
      </c>
      <c r="I396" s="9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3">
        <f t="shared" si="25"/>
        <v>41484.208333333336</v>
      </c>
      <c r="O396" s="13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 s="7">
        <v>7100</v>
      </c>
      <c r="E397" s="7">
        <v>9238</v>
      </c>
      <c r="F397" s="7">
        <f t="shared" si="24"/>
        <v>130.11267605633802</v>
      </c>
      <c r="G397" t="s">
        <v>20</v>
      </c>
      <c r="H397">
        <v>220</v>
      </c>
      <c r="I397" s="9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3">
        <f t="shared" si="25"/>
        <v>40885.25</v>
      </c>
      <c r="O397" s="13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 s="7">
        <v>46100</v>
      </c>
      <c r="E398" s="7">
        <v>77012</v>
      </c>
      <c r="F398" s="7">
        <f t="shared" si="24"/>
        <v>167.05422993492408</v>
      </c>
      <c r="G398" t="s">
        <v>20</v>
      </c>
      <c r="H398">
        <v>1604</v>
      </c>
      <c r="I398" s="9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3">
        <f t="shared" si="25"/>
        <v>43378.208333333328</v>
      </c>
      <c r="O398" s="13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 s="7">
        <v>8100</v>
      </c>
      <c r="E399" s="7">
        <v>14083</v>
      </c>
      <c r="F399" s="7">
        <f t="shared" si="24"/>
        <v>173.8641975308642</v>
      </c>
      <c r="G399" t="s">
        <v>20</v>
      </c>
      <c r="H399">
        <v>454</v>
      </c>
      <c r="I399" s="9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3">
        <f t="shared" si="25"/>
        <v>41417.208333333336</v>
      </c>
      <c r="O399" s="13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 s="7">
        <v>1700</v>
      </c>
      <c r="E400" s="7">
        <v>12202</v>
      </c>
      <c r="F400" s="7">
        <f t="shared" si="24"/>
        <v>717.76470588235293</v>
      </c>
      <c r="G400" t="s">
        <v>20</v>
      </c>
      <c r="H400">
        <v>123</v>
      </c>
      <c r="I400" s="9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3">
        <f t="shared" si="25"/>
        <v>43228.208333333328</v>
      </c>
      <c r="O400" s="13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 s="7">
        <v>97300</v>
      </c>
      <c r="E401" s="7">
        <v>62127</v>
      </c>
      <c r="F401" s="7">
        <f t="shared" si="24"/>
        <v>63.850976361767728</v>
      </c>
      <c r="G401" t="s">
        <v>14</v>
      </c>
      <c r="H401">
        <v>941</v>
      </c>
      <c r="I401" s="9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3">
        <f t="shared" si="25"/>
        <v>40576.25</v>
      </c>
      <c r="O401" s="13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 s="7">
        <v>100</v>
      </c>
      <c r="E402" s="7">
        <v>2</v>
      </c>
      <c r="F402" s="7">
        <f t="shared" si="24"/>
        <v>2</v>
      </c>
      <c r="G402" t="s">
        <v>14</v>
      </c>
      <c r="H402">
        <v>1</v>
      </c>
      <c r="I402" s="9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3">
        <f t="shared" si="25"/>
        <v>41502.208333333336</v>
      </c>
      <c r="O402" s="13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 s="7">
        <v>900</v>
      </c>
      <c r="E403" s="7">
        <v>13772</v>
      </c>
      <c r="F403" s="7">
        <f t="shared" si="24"/>
        <v>1530.2222222222222</v>
      </c>
      <c r="G403" t="s">
        <v>20</v>
      </c>
      <c r="H403">
        <v>299</v>
      </c>
      <c r="I403" s="9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3">
        <f t="shared" si="25"/>
        <v>43765.208333333328</v>
      </c>
      <c r="O403" s="13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 s="7">
        <v>7300</v>
      </c>
      <c r="E404" s="7">
        <v>2946</v>
      </c>
      <c r="F404" s="7">
        <f t="shared" si="24"/>
        <v>40.356164383561641</v>
      </c>
      <c r="G404" t="s">
        <v>14</v>
      </c>
      <c r="H404">
        <v>40</v>
      </c>
      <c r="I404" s="9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3">
        <f t="shared" si="25"/>
        <v>40914.25</v>
      </c>
      <c r="O404" s="13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 s="7">
        <v>195800</v>
      </c>
      <c r="E405" s="7">
        <v>168820</v>
      </c>
      <c r="F405" s="7">
        <f t="shared" si="24"/>
        <v>86.220633299284984</v>
      </c>
      <c r="G405" t="s">
        <v>14</v>
      </c>
      <c r="H405">
        <v>3015</v>
      </c>
      <c r="I405" s="9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3">
        <f t="shared" si="25"/>
        <v>40310.208333333336</v>
      </c>
      <c r="O405" s="13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 s="7">
        <v>48900</v>
      </c>
      <c r="E406" s="7">
        <v>154321</v>
      </c>
      <c r="F406" s="7">
        <f t="shared" si="24"/>
        <v>315.58486707566465</v>
      </c>
      <c r="G406" t="s">
        <v>20</v>
      </c>
      <c r="H406">
        <v>2237</v>
      </c>
      <c r="I406" s="9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3">
        <f t="shared" si="25"/>
        <v>43053.25</v>
      </c>
      <c r="O406" s="13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 s="7">
        <v>29600</v>
      </c>
      <c r="E407" s="7">
        <v>26527</v>
      </c>
      <c r="F407" s="7">
        <f t="shared" si="24"/>
        <v>89.618243243243242</v>
      </c>
      <c r="G407" t="s">
        <v>14</v>
      </c>
      <c r="H407">
        <v>435</v>
      </c>
      <c r="I407" s="9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3">
        <f t="shared" si="25"/>
        <v>43255.208333333328</v>
      </c>
      <c r="O407" s="13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 s="7">
        <v>39300</v>
      </c>
      <c r="E408" s="7">
        <v>71583</v>
      </c>
      <c r="F408" s="7">
        <f t="shared" si="24"/>
        <v>182.14503816793894</v>
      </c>
      <c r="G408" t="s">
        <v>20</v>
      </c>
      <c r="H408">
        <v>645</v>
      </c>
      <c r="I408" s="9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3">
        <f t="shared" si="25"/>
        <v>41304.25</v>
      </c>
      <c r="O408" s="13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 s="7">
        <v>3400</v>
      </c>
      <c r="E409" s="7">
        <v>12100</v>
      </c>
      <c r="F409" s="7">
        <f t="shared" si="24"/>
        <v>355.88235294117646</v>
      </c>
      <c r="G409" t="s">
        <v>20</v>
      </c>
      <c r="H409">
        <v>484</v>
      </c>
      <c r="I409" s="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3">
        <f t="shared" si="25"/>
        <v>43751.208333333328</v>
      </c>
      <c r="O409" s="13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 s="7">
        <v>9200</v>
      </c>
      <c r="E410" s="7">
        <v>12129</v>
      </c>
      <c r="F410" s="7">
        <f t="shared" si="24"/>
        <v>131.83695652173913</v>
      </c>
      <c r="G410" t="s">
        <v>20</v>
      </c>
      <c r="H410">
        <v>154</v>
      </c>
      <c r="I410" s="9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3">
        <f t="shared" si="25"/>
        <v>42541.208333333328</v>
      </c>
      <c r="O410" s="13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 s="7">
        <v>135600</v>
      </c>
      <c r="E411" s="7">
        <v>62804</v>
      </c>
      <c r="F411" s="7">
        <f t="shared" si="24"/>
        <v>46.315634218289084</v>
      </c>
      <c r="G411" t="s">
        <v>14</v>
      </c>
      <c r="H411">
        <v>714</v>
      </c>
      <c r="I411" s="9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3">
        <f t="shared" si="25"/>
        <v>42843.208333333328</v>
      </c>
      <c r="O411" s="13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 s="7">
        <v>153700</v>
      </c>
      <c r="E412" s="7">
        <v>55536</v>
      </c>
      <c r="F412" s="7">
        <f t="shared" si="24"/>
        <v>36.132726089785294</v>
      </c>
      <c r="G412" t="s">
        <v>47</v>
      </c>
      <c r="H412">
        <v>1111</v>
      </c>
      <c r="I412" s="9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3">
        <f t="shared" si="25"/>
        <v>42122.208333333328</v>
      </c>
      <c r="O412" s="13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 s="7">
        <v>7800</v>
      </c>
      <c r="E413" s="7">
        <v>8161</v>
      </c>
      <c r="F413" s="7">
        <f t="shared" si="24"/>
        <v>104.62820512820512</v>
      </c>
      <c r="G413" t="s">
        <v>20</v>
      </c>
      <c r="H413">
        <v>82</v>
      </c>
      <c r="I413" s="9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3">
        <f t="shared" si="25"/>
        <v>42884.208333333328</v>
      </c>
      <c r="O413" s="13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 s="7">
        <v>2100</v>
      </c>
      <c r="E414" s="7">
        <v>14046</v>
      </c>
      <c r="F414" s="7">
        <f t="shared" si="24"/>
        <v>668.85714285714289</v>
      </c>
      <c r="G414" t="s">
        <v>20</v>
      </c>
      <c r="H414">
        <v>134</v>
      </c>
      <c r="I414" s="9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3">
        <f t="shared" si="25"/>
        <v>41642.25</v>
      </c>
      <c r="O414" s="13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 s="7">
        <v>189500</v>
      </c>
      <c r="E415" s="7">
        <v>117628</v>
      </c>
      <c r="F415" s="7">
        <f t="shared" si="24"/>
        <v>62.072823218997364</v>
      </c>
      <c r="G415" t="s">
        <v>47</v>
      </c>
      <c r="H415">
        <v>1089</v>
      </c>
      <c r="I415" s="9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3">
        <f t="shared" si="25"/>
        <v>43431.25</v>
      </c>
      <c r="O415" s="13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 s="7">
        <v>188200</v>
      </c>
      <c r="E416" s="7">
        <v>159405</v>
      </c>
      <c r="F416" s="7">
        <f t="shared" si="24"/>
        <v>84.699787460148784</v>
      </c>
      <c r="G416" t="s">
        <v>14</v>
      </c>
      <c r="H416">
        <v>5497</v>
      </c>
      <c r="I416" s="9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3">
        <f t="shared" si="25"/>
        <v>40288.208333333336</v>
      </c>
      <c r="O416" s="13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 s="7">
        <v>113500</v>
      </c>
      <c r="E417" s="7">
        <v>12552</v>
      </c>
      <c r="F417" s="7">
        <f t="shared" si="24"/>
        <v>11.059030837004405</v>
      </c>
      <c r="G417" t="s">
        <v>14</v>
      </c>
      <c r="H417">
        <v>418</v>
      </c>
      <c r="I417" s="9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3">
        <f t="shared" si="25"/>
        <v>40921.25</v>
      </c>
      <c r="O417" s="13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 s="7">
        <v>134600</v>
      </c>
      <c r="E418" s="7">
        <v>59007</v>
      </c>
      <c r="F418" s="7">
        <f t="shared" si="24"/>
        <v>43.838781575037146</v>
      </c>
      <c r="G418" t="s">
        <v>14</v>
      </c>
      <c r="H418">
        <v>1439</v>
      </c>
      <c r="I418" s="9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3">
        <f t="shared" si="25"/>
        <v>40560.25</v>
      </c>
      <c r="O418" s="13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 s="7">
        <v>1700</v>
      </c>
      <c r="E419" s="7">
        <v>943</v>
      </c>
      <c r="F419" s="7">
        <f t="shared" si="24"/>
        <v>55.470588235294116</v>
      </c>
      <c r="G419" t="s">
        <v>14</v>
      </c>
      <c r="H419">
        <v>15</v>
      </c>
      <c r="I419" s="9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3">
        <f t="shared" si="25"/>
        <v>43407.208333333328</v>
      </c>
      <c r="O419" s="13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 s="7">
        <v>163700</v>
      </c>
      <c r="E420" s="7">
        <v>93963</v>
      </c>
      <c r="F420" s="7">
        <f t="shared" si="24"/>
        <v>57.399511301160658</v>
      </c>
      <c r="G420" t="s">
        <v>14</v>
      </c>
      <c r="H420">
        <v>1999</v>
      </c>
      <c r="I420" s="9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3">
        <f t="shared" si="25"/>
        <v>41035.208333333336</v>
      </c>
      <c r="O420" s="13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 s="7">
        <v>113800</v>
      </c>
      <c r="E421" s="7">
        <v>140469</v>
      </c>
      <c r="F421" s="7">
        <f t="shared" si="24"/>
        <v>123.43497363796135</v>
      </c>
      <c r="G421" t="s">
        <v>20</v>
      </c>
      <c r="H421">
        <v>5203</v>
      </c>
      <c r="I421" s="9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3">
        <f t="shared" si="25"/>
        <v>40899.25</v>
      </c>
      <c r="O421" s="13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 s="7">
        <v>5000</v>
      </c>
      <c r="E422" s="7">
        <v>6423</v>
      </c>
      <c r="F422" s="7">
        <f t="shared" si="24"/>
        <v>128.46</v>
      </c>
      <c r="G422" t="s">
        <v>20</v>
      </c>
      <c r="H422">
        <v>94</v>
      </c>
      <c r="I422" s="9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3">
        <f t="shared" si="25"/>
        <v>42911.208333333328</v>
      </c>
      <c r="O422" s="13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 s="7">
        <v>9400</v>
      </c>
      <c r="E423" s="7">
        <v>6015</v>
      </c>
      <c r="F423" s="7">
        <f t="shared" si="24"/>
        <v>63.989361702127653</v>
      </c>
      <c r="G423" t="s">
        <v>14</v>
      </c>
      <c r="H423">
        <v>118</v>
      </c>
      <c r="I423" s="9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3">
        <f t="shared" si="25"/>
        <v>42915.208333333328</v>
      </c>
      <c r="O423" s="13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 s="7">
        <v>8700</v>
      </c>
      <c r="E424" s="7">
        <v>11075</v>
      </c>
      <c r="F424" s="7">
        <f t="shared" si="24"/>
        <v>127.29885057471265</v>
      </c>
      <c r="G424" t="s">
        <v>20</v>
      </c>
      <c r="H424">
        <v>205</v>
      </c>
      <c r="I424" s="9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3">
        <f t="shared" si="25"/>
        <v>40285.208333333336</v>
      </c>
      <c r="O424" s="13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 s="7">
        <v>147800</v>
      </c>
      <c r="E425" s="7">
        <v>15723</v>
      </c>
      <c r="F425" s="7">
        <f t="shared" si="24"/>
        <v>10.638024357239512</v>
      </c>
      <c r="G425" t="s">
        <v>14</v>
      </c>
      <c r="H425">
        <v>162</v>
      </c>
      <c r="I425" s="9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3">
        <f t="shared" si="25"/>
        <v>40808.208333333336</v>
      </c>
      <c r="O425" s="13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 s="7">
        <v>5100</v>
      </c>
      <c r="E426" s="7">
        <v>2064</v>
      </c>
      <c r="F426" s="7">
        <f t="shared" si="24"/>
        <v>40.470588235294116</v>
      </c>
      <c r="G426" t="s">
        <v>14</v>
      </c>
      <c r="H426">
        <v>83</v>
      </c>
      <c r="I426" s="9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3">
        <f t="shared" si="25"/>
        <v>43208.208333333328</v>
      </c>
      <c r="O426" s="13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 s="7">
        <v>2700</v>
      </c>
      <c r="E427" s="7">
        <v>7767</v>
      </c>
      <c r="F427" s="7">
        <f t="shared" si="24"/>
        <v>287.66666666666663</v>
      </c>
      <c r="G427" t="s">
        <v>20</v>
      </c>
      <c r="H427">
        <v>92</v>
      </c>
      <c r="I427" s="9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3">
        <f t="shared" si="25"/>
        <v>42213.208333333328</v>
      </c>
      <c r="O427" s="13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 s="7">
        <v>1800</v>
      </c>
      <c r="E428" s="7">
        <v>10313</v>
      </c>
      <c r="F428" s="7">
        <f t="shared" si="24"/>
        <v>572.94444444444446</v>
      </c>
      <c r="G428" t="s">
        <v>20</v>
      </c>
      <c r="H428">
        <v>219</v>
      </c>
      <c r="I428" s="9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3">
        <f t="shared" si="25"/>
        <v>41332.25</v>
      </c>
      <c r="O428" s="13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 s="7">
        <v>174500</v>
      </c>
      <c r="E429" s="7">
        <v>197018</v>
      </c>
      <c r="F429" s="7">
        <f t="shared" si="24"/>
        <v>112.90429799426933</v>
      </c>
      <c r="G429" t="s">
        <v>20</v>
      </c>
      <c r="H429">
        <v>2526</v>
      </c>
      <c r="I429" s="9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3">
        <f t="shared" si="25"/>
        <v>41895.208333333336</v>
      </c>
      <c r="O429" s="13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 s="7">
        <v>101400</v>
      </c>
      <c r="E430" s="7">
        <v>47037</v>
      </c>
      <c r="F430" s="7">
        <f t="shared" si="24"/>
        <v>46.387573964497044</v>
      </c>
      <c r="G430" t="s">
        <v>14</v>
      </c>
      <c r="H430">
        <v>747</v>
      </c>
      <c r="I430" s="9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3">
        <f t="shared" si="25"/>
        <v>40585.25</v>
      </c>
      <c r="O430" s="13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 s="7">
        <v>191000</v>
      </c>
      <c r="E431" s="7">
        <v>173191</v>
      </c>
      <c r="F431" s="7">
        <f t="shared" si="24"/>
        <v>90.675916230366497</v>
      </c>
      <c r="G431" t="s">
        <v>74</v>
      </c>
      <c r="H431">
        <v>2138</v>
      </c>
      <c r="I431" s="9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3">
        <f t="shared" si="25"/>
        <v>41680.25</v>
      </c>
      <c r="O431" s="13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 s="7">
        <v>8100</v>
      </c>
      <c r="E432" s="7">
        <v>5487</v>
      </c>
      <c r="F432" s="7">
        <f t="shared" si="24"/>
        <v>67.740740740740748</v>
      </c>
      <c r="G432" t="s">
        <v>14</v>
      </c>
      <c r="H432">
        <v>84</v>
      </c>
      <c r="I432" s="9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3">
        <f t="shared" si="25"/>
        <v>43737.208333333328</v>
      </c>
      <c r="O432" s="13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 s="7">
        <v>5100</v>
      </c>
      <c r="E433" s="7">
        <v>9817</v>
      </c>
      <c r="F433" s="7">
        <f t="shared" si="24"/>
        <v>192.49019607843135</v>
      </c>
      <c r="G433" t="s">
        <v>20</v>
      </c>
      <c r="H433">
        <v>94</v>
      </c>
      <c r="I433" s="9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3">
        <f t="shared" si="25"/>
        <v>43273.208333333328</v>
      </c>
      <c r="O433" s="13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 s="7">
        <v>7700</v>
      </c>
      <c r="E434" s="7">
        <v>6369</v>
      </c>
      <c r="F434" s="7">
        <f t="shared" si="24"/>
        <v>82.714285714285722</v>
      </c>
      <c r="G434" t="s">
        <v>14</v>
      </c>
      <c r="H434">
        <v>91</v>
      </c>
      <c r="I434" s="9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3">
        <f t="shared" si="25"/>
        <v>41761.208333333336</v>
      </c>
      <c r="O434" s="13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 s="7">
        <v>121400</v>
      </c>
      <c r="E435" s="7">
        <v>65755</v>
      </c>
      <c r="F435" s="7">
        <f t="shared" si="24"/>
        <v>54.163920922570021</v>
      </c>
      <c r="G435" t="s">
        <v>14</v>
      </c>
      <c r="H435">
        <v>792</v>
      </c>
      <c r="I435" s="9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3">
        <f t="shared" si="25"/>
        <v>41603.25</v>
      </c>
      <c r="O435" s="13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 s="7">
        <v>5400</v>
      </c>
      <c r="E436" s="7">
        <v>903</v>
      </c>
      <c r="F436" s="7">
        <f t="shared" si="24"/>
        <v>16.722222222222221</v>
      </c>
      <c r="G436" t="s">
        <v>74</v>
      </c>
      <c r="H436">
        <v>10</v>
      </c>
      <c r="I436" s="9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3">
        <f t="shared" si="25"/>
        <v>42705.25</v>
      </c>
      <c r="O436" s="13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 s="7">
        <v>152400</v>
      </c>
      <c r="E437" s="7">
        <v>178120</v>
      </c>
      <c r="F437" s="7">
        <f t="shared" si="24"/>
        <v>116.87664041994749</v>
      </c>
      <c r="G437" t="s">
        <v>20</v>
      </c>
      <c r="H437">
        <v>1713</v>
      </c>
      <c r="I437" s="9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3">
        <f t="shared" si="25"/>
        <v>41988.25</v>
      </c>
      <c r="O437" s="13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 s="7">
        <v>1300</v>
      </c>
      <c r="E438" s="7">
        <v>13678</v>
      </c>
      <c r="F438" s="7">
        <f t="shared" si="24"/>
        <v>1052.1538461538462</v>
      </c>
      <c r="G438" t="s">
        <v>20</v>
      </c>
      <c r="H438">
        <v>249</v>
      </c>
      <c r="I438" s="9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3">
        <f t="shared" si="25"/>
        <v>43575.208333333328</v>
      </c>
      <c r="O438" s="13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 s="7">
        <v>8100</v>
      </c>
      <c r="E439" s="7">
        <v>9969</v>
      </c>
      <c r="F439" s="7">
        <f t="shared" si="24"/>
        <v>123.07407407407408</v>
      </c>
      <c r="G439" t="s">
        <v>20</v>
      </c>
      <c r="H439">
        <v>192</v>
      </c>
      <c r="I439" s="9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3">
        <f t="shared" si="25"/>
        <v>42260.208333333328</v>
      </c>
      <c r="O439" s="13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 s="7">
        <v>8300</v>
      </c>
      <c r="E440" s="7">
        <v>14827</v>
      </c>
      <c r="F440" s="7">
        <f t="shared" si="24"/>
        <v>178.63855421686748</v>
      </c>
      <c r="G440" t="s">
        <v>20</v>
      </c>
      <c r="H440">
        <v>247</v>
      </c>
      <c r="I440" s="9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3">
        <f t="shared" si="25"/>
        <v>41337.25</v>
      </c>
      <c r="O440" s="13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 s="7">
        <v>28400</v>
      </c>
      <c r="E441" s="7">
        <v>100900</v>
      </c>
      <c r="F441" s="7">
        <f t="shared" si="24"/>
        <v>355.28169014084506</v>
      </c>
      <c r="G441" t="s">
        <v>20</v>
      </c>
      <c r="H441">
        <v>2293</v>
      </c>
      <c r="I441" s="9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3">
        <f t="shared" si="25"/>
        <v>42680.208333333328</v>
      </c>
      <c r="O441" s="13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 s="7">
        <v>102500</v>
      </c>
      <c r="E442" s="7">
        <v>165954</v>
      </c>
      <c r="F442" s="7">
        <f t="shared" si="24"/>
        <v>161.90634146341463</v>
      </c>
      <c r="G442" t="s">
        <v>20</v>
      </c>
      <c r="H442">
        <v>3131</v>
      </c>
      <c r="I442" s="9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3">
        <f t="shared" si="25"/>
        <v>42916.208333333328</v>
      </c>
      <c r="O442" s="13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 s="7">
        <v>7000</v>
      </c>
      <c r="E443" s="7">
        <v>1744</v>
      </c>
      <c r="F443" s="7">
        <f t="shared" si="24"/>
        <v>24.914285714285715</v>
      </c>
      <c r="G443" t="s">
        <v>14</v>
      </c>
      <c r="H443">
        <v>32</v>
      </c>
      <c r="I443" s="9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3">
        <f t="shared" si="25"/>
        <v>41025.208333333336</v>
      </c>
      <c r="O443" s="13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 s="7">
        <v>5400</v>
      </c>
      <c r="E444" s="7">
        <v>10731</v>
      </c>
      <c r="F444" s="7">
        <f t="shared" si="24"/>
        <v>198.72222222222223</v>
      </c>
      <c r="G444" t="s">
        <v>20</v>
      </c>
      <c r="H444">
        <v>143</v>
      </c>
      <c r="I444" s="9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3">
        <f t="shared" si="25"/>
        <v>42980.208333333328</v>
      </c>
      <c r="O444" s="13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 s="7">
        <v>9300</v>
      </c>
      <c r="E445" s="7">
        <v>3232</v>
      </c>
      <c r="F445" s="7">
        <f t="shared" si="24"/>
        <v>34.752688172043008</v>
      </c>
      <c r="G445" t="s">
        <v>74</v>
      </c>
      <c r="H445">
        <v>90</v>
      </c>
      <c r="I445" s="9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3">
        <f t="shared" si="25"/>
        <v>40451.208333333336</v>
      </c>
      <c r="O445" s="13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 s="7">
        <v>6200</v>
      </c>
      <c r="E446" s="7">
        <v>10938</v>
      </c>
      <c r="F446" s="7">
        <f t="shared" si="24"/>
        <v>176.41935483870967</v>
      </c>
      <c r="G446" t="s">
        <v>20</v>
      </c>
      <c r="H446">
        <v>296</v>
      </c>
      <c r="I446" s="9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3">
        <f t="shared" si="25"/>
        <v>40748.208333333336</v>
      </c>
      <c r="O446" s="13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 s="7">
        <v>2100</v>
      </c>
      <c r="E447" s="7">
        <v>10739</v>
      </c>
      <c r="F447" s="7">
        <f t="shared" si="24"/>
        <v>511.38095238095235</v>
      </c>
      <c r="G447" t="s">
        <v>20</v>
      </c>
      <c r="H447">
        <v>170</v>
      </c>
      <c r="I447" s="9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3">
        <f t="shared" si="25"/>
        <v>40515.25</v>
      </c>
      <c r="O447" s="13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 s="7">
        <v>6800</v>
      </c>
      <c r="E448" s="7">
        <v>5579</v>
      </c>
      <c r="F448" s="7">
        <f t="shared" si="24"/>
        <v>82.044117647058826</v>
      </c>
      <c r="G448" t="s">
        <v>14</v>
      </c>
      <c r="H448">
        <v>186</v>
      </c>
      <c r="I448" s="9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3">
        <f t="shared" si="25"/>
        <v>41261.25</v>
      </c>
      <c r="O448" s="13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 s="7">
        <v>155200</v>
      </c>
      <c r="E449" s="7">
        <v>37754</v>
      </c>
      <c r="F449" s="7">
        <f t="shared" si="24"/>
        <v>24.326030927835053</v>
      </c>
      <c r="G449" t="s">
        <v>74</v>
      </c>
      <c r="H449">
        <v>439</v>
      </c>
      <c r="I449" s="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3">
        <f t="shared" si="25"/>
        <v>43088.25</v>
      </c>
      <c r="O449" s="13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 s="7">
        <v>89900</v>
      </c>
      <c r="E450" s="7">
        <v>45384</v>
      </c>
      <c r="F450" s="7">
        <f t="shared" si="24"/>
        <v>50.482758620689658</v>
      </c>
      <c r="G450" t="s">
        <v>14</v>
      </c>
      <c r="H450">
        <v>605</v>
      </c>
      <c r="I450" s="9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3">
        <f t="shared" si="25"/>
        <v>41378.208333333336</v>
      </c>
      <c r="O450" s="13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 s="7">
        <v>900</v>
      </c>
      <c r="E451" s="7">
        <v>8703</v>
      </c>
      <c r="F451" s="7">
        <f t="shared" ref="F451:F514" si="28">(E451/D451)*100</f>
        <v>967</v>
      </c>
      <c r="G451" t="s">
        <v>20</v>
      </c>
      <c r="H451">
        <v>86</v>
      </c>
      <c r="I451" s="9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3">
        <f t="shared" ref="N451:N514" si="29">(((L451/60)/60)/24)+DATE(1970,1,1)</f>
        <v>43530.25</v>
      </c>
      <c r="O451" s="13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 s="7">
        <v>100</v>
      </c>
      <c r="E452" s="7">
        <v>4</v>
      </c>
      <c r="F452" s="7">
        <f t="shared" si="28"/>
        <v>4</v>
      </c>
      <c r="G452" t="s">
        <v>14</v>
      </c>
      <c r="H452">
        <v>1</v>
      </c>
      <c r="I452" s="9">
        <f t="shared" ref="I452:I515" si="31">IFERROR(E452/H452,0)</f>
        <v>4</v>
      </c>
      <c r="J452" t="s">
        <v>15</v>
      </c>
      <c r="K452" t="s">
        <v>16</v>
      </c>
      <c r="L452">
        <v>1540098000</v>
      </c>
      <c r="M452">
        <v>1542088800</v>
      </c>
      <c r="N452" s="13">
        <f t="shared" si="29"/>
        <v>43394.208333333328</v>
      </c>
      <c r="O452" s="13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 s="7">
        <v>148400</v>
      </c>
      <c r="E453" s="7">
        <v>182302</v>
      </c>
      <c r="F453" s="7">
        <f t="shared" si="28"/>
        <v>122.84501347708894</v>
      </c>
      <c r="G453" t="s">
        <v>20</v>
      </c>
      <c r="H453">
        <v>6286</v>
      </c>
      <c r="I453" s="9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3">
        <f t="shared" si="29"/>
        <v>42935.208333333328</v>
      </c>
      <c r="O453" s="13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 s="7">
        <v>4800</v>
      </c>
      <c r="E454" s="7">
        <v>3045</v>
      </c>
      <c r="F454" s="7">
        <f t="shared" si="28"/>
        <v>63.4375</v>
      </c>
      <c r="G454" t="s">
        <v>14</v>
      </c>
      <c r="H454">
        <v>31</v>
      </c>
      <c r="I454" s="9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3">
        <f t="shared" si="29"/>
        <v>40365.208333333336</v>
      </c>
      <c r="O454" s="13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 s="7">
        <v>182400</v>
      </c>
      <c r="E455" s="7">
        <v>102749</v>
      </c>
      <c r="F455" s="7">
        <f t="shared" si="28"/>
        <v>56.331688596491226</v>
      </c>
      <c r="G455" t="s">
        <v>14</v>
      </c>
      <c r="H455">
        <v>1181</v>
      </c>
      <c r="I455" s="9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3">
        <f t="shared" si="29"/>
        <v>42705.25</v>
      </c>
      <c r="O455" s="13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 s="7">
        <v>4000</v>
      </c>
      <c r="E456" s="7">
        <v>1763</v>
      </c>
      <c r="F456" s="7">
        <f t="shared" si="28"/>
        <v>44.074999999999996</v>
      </c>
      <c r="G456" t="s">
        <v>14</v>
      </c>
      <c r="H456">
        <v>39</v>
      </c>
      <c r="I456" s="9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3">
        <f t="shared" si="29"/>
        <v>41568.208333333336</v>
      </c>
      <c r="O456" s="13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 s="7">
        <v>116500</v>
      </c>
      <c r="E457" s="7">
        <v>137904</v>
      </c>
      <c r="F457" s="7">
        <f t="shared" si="28"/>
        <v>118.37253218884121</v>
      </c>
      <c r="G457" t="s">
        <v>20</v>
      </c>
      <c r="H457">
        <v>3727</v>
      </c>
      <c r="I457" s="9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3">
        <f t="shared" si="29"/>
        <v>40809.208333333336</v>
      </c>
      <c r="O457" s="13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 s="7">
        <v>146400</v>
      </c>
      <c r="E458" s="7">
        <v>152438</v>
      </c>
      <c r="F458" s="7">
        <f t="shared" si="28"/>
        <v>104.1243169398907</v>
      </c>
      <c r="G458" t="s">
        <v>20</v>
      </c>
      <c r="H458">
        <v>1605</v>
      </c>
      <c r="I458" s="9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3">
        <f t="shared" si="29"/>
        <v>43141.25</v>
      </c>
      <c r="O458" s="13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 s="7">
        <v>5000</v>
      </c>
      <c r="E459" s="7">
        <v>1332</v>
      </c>
      <c r="F459" s="7">
        <f t="shared" si="28"/>
        <v>26.640000000000004</v>
      </c>
      <c r="G459" t="s">
        <v>14</v>
      </c>
      <c r="H459">
        <v>46</v>
      </c>
      <c r="I459" s="9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3">
        <f t="shared" si="29"/>
        <v>42657.208333333328</v>
      </c>
      <c r="O459" s="13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 s="7">
        <v>33800</v>
      </c>
      <c r="E460" s="7">
        <v>118706</v>
      </c>
      <c r="F460" s="7">
        <f t="shared" si="28"/>
        <v>351.20118343195264</v>
      </c>
      <c r="G460" t="s">
        <v>20</v>
      </c>
      <c r="H460">
        <v>2120</v>
      </c>
      <c r="I460" s="9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3">
        <f t="shared" si="29"/>
        <v>40265.208333333336</v>
      </c>
      <c r="O460" s="13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 s="7">
        <v>6300</v>
      </c>
      <c r="E461" s="7">
        <v>5674</v>
      </c>
      <c r="F461" s="7">
        <f t="shared" si="28"/>
        <v>90.063492063492063</v>
      </c>
      <c r="G461" t="s">
        <v>14</v>
      </c>
      <c r="H461">
        <v>105</v>
      </c>
      <c r="I461" s="9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3">
        <f t="shared" si="29"/>
        <v>42001.25</v>
      </c>
      <c r="O461" s="13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 s="7">
        <v>2400</v>
      </c>
      <c r="E462" s="7">
        <v>4119</v>
      </c>
      <c r="F462" s="7">
        <f t="shared" si="28"/>
        <v>171.625</v>
      </c>
      <c r="G462" t="s">
        <v>20</v>
      </c>
      <c r="H462">
        <v>50</v>
      </c>
      <c r="I462" s="9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3">
        <f t="shared" si="29"/>
        <v>40399.208333333336</v>
      </c>
      <c r="O462" s="13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 s="7">
        <v>98800</v>
      </c>
      <c r="E463" s="7">
        <v>139354</v>
      </c>
      <c r="F463" s="7">
        <f t="shared" si="28"/>
        <v>141.04655870445345</v>
      </c>
      <c r="G463" t="s">
        <v>20</v>
      </c>
      <c r="H463">
        <v>2080</v>
      </c>
      <c r="I463" s="9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3">
        <f t="shared" si="29"/>
        <v>41757.208333333336</v>
      </c>
      <c r="O463" s="13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 s="7">
        <v>188800</v>
      </c>
      <c r="E464" s="7">
        <v>57734</v>
      </c>
      <c r="F464" s="7">
        <f t="shared" si="28"/>
        <v>30.57944915254237</v>
      </c>
      <c r="G464" t="s">
        <v>14</v>
      </c>
      <c r="H464">
        <v>535</v>
      </c>
      <c r="I464" s="9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3">
        <f t="shared" si="29"/>
        <v>41304.25</v>
      </c>
      <c r="O464" s="13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 s="7">
        <v>134300</v>
      </c>
      <c r="E465" s="7">
        <v>145265</v>
      </c>
      <c r="F465" s="7">
        <f t="shared" si="28"/>
        <v>108.16455696202532</v>
      </c>
      <c r="G465" t="s">
        <v>20</v>
      </c>
      <c r="H465">
        <v>2105</v>
      </c>
      <c r="I465" s="9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3">
        <f t="shared" si="29"/>
        <v>41639.25</v>
      </c>
      <c r="O465" s="13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 s="7">
        <v>71200</v>
      </c>
      <c r="E466" s="7">
        <v>95020</v>
      </c>
      <c r="F466" s="7">
        <f t="shared" si="28"/>
        <v>133.45505617977528</v>
      </c>
      <c r="G466" t="s">
        <v>20</v>
      </c>
      <c r="H466">
        <v>2436</v>
      </c>
      <c r="I466" s="9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3">
        <f t="shared" si="29"/>
        <v>43142.25</v>
      </c>
      <c r="O466" s="13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 s="7">
        <v>4700</v>
      </c>
      <c r="E467" s="7">
        <v>8829</v>
      </c>
      <c r="F467" s="7">
        <f t="shared" si="28"/>
        <v>187.85106382978722</v>
      </c>
      <c r="G467" t="s">
        <v>20</v>
      </c>
      <c r="H467">
        <v>80</v>
      </c>
      <c r="I467" s="9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3">
        <f t="shared" si="29"/>
        <v>43127.25</v>
      </c>
      <c r="O467" s="13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 s="7">
        <v>1200</v>
      </c>
      <c r="E468" s="7">
        <v>3984</v>
      </c>
      <c r="F468" s="7">
        <f t="shared" si="28"/>
        <v>332</v>
      </c>
      <c r="G468" t="s">
        <v>20</v>
      </c>
      <c r="H468">
        <v>42</v>
      </c>
      <c r="I468" s="9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3">
        <f t="shared" si="29"/>
        <v>41409.208333333336</v>
      </c>
      <c r="O468" s="13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 s="7">
        <v>1400</v>
      </c>
      <c r="E469" s="7">
        <v>8053</v>
      </c>
      <c r="F469" s="7">
        <f t="shared" si="28"/>
        <v>575.21428571428578</v>
      </c>
      <c r="G469" t="s">
        <v>20</v>
      </c>
      <c r="H469">
        <v>139</v>
      </c>
      <c r="I469" s="9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3">
        <f t="shared" si="29"/>
        <v>42331.25</v>
      </c>
      <c r="O469" s="13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 s="7">
        <v>4000</v>
      </c>
      <c r="E470" s="7">
        <v>1620</v>
      </c>
      <c r="F470" s="7">
        <f t="shared" si="28"/>
        <v>40.5</v>
      </c>
      <c r="G470" t="s">
        <v>14</v>
      </c>
      <c r="H470">
        <v>16</v>
      </c>
      <c r="I470" s="9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3">
        <f t="shared" si="29"/>
        <v>43569.208333333328</v>
      </c>
      <c r="O470" s="13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 s="7">
        <v>5600</v>
      </c>
      <c r="E471" s="7">
        <v>10328</v>
      </c>
      <c r="F471" s="7">
        <f t="shared" si="28"/>
        <v>184.42857142857144</v>
      </c>
      <c r="G471" t="s">
        <v>20</v>
      </c>
      <c r="H471">
        <v>159</v>
      </c>
      <c r="I471" s="9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3">
        <f t="shared" si="29"/>
        <v>42142.208333333328</v>
      </c>
      <c r="O471" s="13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 s="7">
        <v>3600</v>
      </c>
      <c r="E472" s="7">
        <v>10289</v>
      </c>
      <c r="F472" s="7">
        <f t="shared" si="28"/>
        <v>285.80555555555554</v>
      </c>
      <c r="G472" t="s">
        <v>20</v>
      </c>
      <c r="H472">
        <v>381</v>
      </c>
      <c r="I472" s="9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3">
        <f t="shared" si="29"/>
        <v>42716.25</v>
      </c>
      <c r="O472" s="13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 s="7">
        <v>3100</v>
      </c>
      <c r="E473" s="7">
        <v>9889</v>
      </c>
      <c r="F473" s="7">
        <f t="shared" si="28"/>
        <v>319</v>
      </c>
      <c r="G473" t="s">
        <v>20</v>
      </c>
      <c r="H473">
        <v>194</v>
      </c>
      <c r="I473" s="9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3">
        <f t="shared" si="29"/>
        <v>41031.208333333336</v>
      </c>
      <c r="O473" s="13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 s="7">
        <v>153800</v>
      </c>
      <c r="E474" s="7">
        <v>60342</v>
      </c>
      <c r="F474" s="7">
        <f t="shared" si="28"/>
        <v>39.234070221066318</v>
      </c>
      <c r="G474" t="s">
        <v>14</v>
      </c>
      <c r="H474">
        <v>575</v>
      </c>
      <c r="I474" s="9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3">
        <f t="shared" si="29"/>
        <v>43535.208333333328</v>
      </c>
      <c r="O474" s="13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 s="7">
        <v>5000</v>
      </c>
      <c r="E475" s="7">
        <v>8907</v>
      </c>
      <c r="F475" s="7">
        <f t="shared" si="28"/>
        <v>178.14000000000001</v>
      </c>
      <c r="G475" t="s">
        <v>20</v>
      </c>
      <c r="H475">
        <v>106</v>
      </c>
      <c r="I475" s="9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3">
        <f t="shared" si="29"/>
        <v>43277.208333333328</v>
      </c>
      <c r="O475" s="13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 s="7">
        <v>4000</v>
      </c>
      <c r="E476" s="7">
        <v>14606</v>
      </c>
      <c r="F476" s="7">
        <f t="shared" si="28"/>
        <v>365.15</v>
      </c>
      <c r="G476" t="s">
        <v>20</v>
      </c>
      <c r="H476">
        <v>142</v>
      </c>
      <c r="I476" s="9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3">
        <f t="shared" si="29"/>
        <v>41989.25</v>
      </c>
      <c r="O476" s="13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 s="7">
        <v>7400</v>
      </c>
      <c r="E477" s="7">
        <v>8432</v>
      </c>
      <c r="F477" s="7">
        <f t="shared" si="28"/>
        <v>113.94594594594594</v>
      </c>
      <c r="G477" t="s">
        <v>20</v>
      </c>
      <c r="H477">
        <v>211</v>
      </c>
      <c r="I477" s="9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3">
        <f t="shared" si="29"/>
        <v>41450.208333333336</v>
      </c>
      <c r="O477" s="13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 s="7">
        <v>191500</v>
      </c>
      <c r="E478" s="7">
        <v>57122</v>
      </c>
      <c r="F478" s="7">
        <f t="shared" si="28"/>
        <v>29.828720626631856</v>
      </c>
      <c r="G478" t="s">
        <v>14</v>
      </c>
      <c r="H478">
        <v>1120</v>
      </c>
      <c r="I478" s="9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3">
        <f t="shared" si="29"/>
        <v>43322.208333333328</v>
      </c>
      <c r="O478" s="13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 s="7">
        <v>8500</v>
      </c>
      <c r="E479" s="7">
        <v>4613</v>
      </c>
      <c r="F479" s="7">
        <f t="shared" si="28"/>
        <v>54.270588235294113</v>
      </c>
      <c r="G479" t="s">
        <v>14</v>
      </c>
      <c r="H479">
        <v>113</v>
      </c>
      <c r="I479" s="9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3">
        <f t="shared" si="29"/>
        <v>40720.208333333336</v>
      </c>
      <c r="O479" s="13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 s="7">
        <v>68800</v>
      </c>
      <c r="E480" s="7">
        <v>162603</v>
      </c>
      <c r="F480" s="7">
        <f t="shared" si="28"/>
        <v>236.34156976744185</v>
      </c>
      <c r="G480" t="s">
        <v>20</v>
      </c>
      <c r="H480">
        <v>2756</v>
      </c>
      <c r="I480" s="9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3">
        <f t="shared" si="29"/>
        <v>42072.208333333328</v>
      </c>
      <c r="O480" s="13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 s="7">
        <v>2400</v>
      </c>
      <c r="E481" s="7">
        <v>12310</v>
      </c>
      <c r="F481" s="7">
        <f t="shared" si="28"/>
        <v>512.91666666666663</v>
      </c>
      <c r="G481" t="s">
        <v>20</v>
      </c>
      <c r="H481">
        <v>173</v>
      </c>
      <c r="I481" s="9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3">
        <f t="shared" si="29"/>
        <v>42945.208333333328</v>
      </c>
      <c r="O481" s="13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 s="7">
        <v>8600</v>
      </c>
      <c r="E482" s="7">
        <v>8656</v>
      </c>
      <c r="F482" s="7">
        <f t="shared" si="28"/>
        <v>100.65116279069768</v>
      </c>
      <c r="G482" t="s">
        <v>20</v>
      </c>
      <c r="H482">
        <v>87</v>
      </c>
      <c r="I482" s="9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3">
        <f t="shared" si="29"/>
        <v>40248.25</v>
      </c>
      <c r="O482" s="13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 s="7">
        <v>196600</v>
      </c>
      <c r="E483" s="7">
        <v>159931</v>
      </c>
      <c r="F483" s="7">
        <f t="shared" si="28"/>
        <v>81.348423194303152</v>
      </c>
      <c r="G483" t="s">
        <v>14</v>
      </c>
      <c r="H483">
        <v>1538</v>
      </c>
      <c r="I483" s="9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3">
        <f t="shared" si="29"/>
        <v>41913.208333333336</v>
      </c>
      <c r="O483" s="13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 s="7">
        <v>4200</v>
      </c>
      <c r="E484" s="7">
        <v>689</v>
      </c>
      <c r="F484" s="7">
        <f t="shared" si="28"/>
        <v>16.404761904761905</v>
      </c>
      <c r="G484" t="s">
        <v>14</v>
      </c>
      <c r="H484">
        <v>9</v>
      </c>
      <c r="I484" s="9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3">
        <f t="shared" si="29"/>
        <v>40963.25</v>
      </c>
      <c r="O484" s="13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 s="7">
        <v>91400</v>
      </c>
      <c r="E485" s="7">
        <v>48236</v>
      </c>
      <c r="F485" s="7">
        <f t="shared" si="28"/>
        <v>52.774617067833695</v>
      </c>
      <c r="G485" t="s">
        <v>14</v>
      </c>
      <c r="H485">
        <v>554</v>
      </c>
      <c r="I485" s="9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3">
        <f t="shared" si="29"/>
        <v>43811.25</v>
      </c>
      <c r="O485" s="13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 s="7">
        <v>29600</v>
      </c>
      <c r="E486" s="7">
        <v>77021</v>
      </c>
      <c r="F486" s="7">
        <f t="shared" si="28"/>
        <v>260.20608108108109</v>
      </c>
      <c r="G486" t="s">
        <v>20</v>
      </c>
      <c r="H486">
        <v>1572</v>
      </c>
      <c r="I486" s="9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3">
        <f t="shared" si="29"/>
        <v>41855.208333333336</v>
      </c>
      <c r="O486" s="13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 s="7">
        <v>90600</v>
      </c>
      <c r="E487" s="7">
        <v>27844</v>
      </c>
      <c r="F487" s="7">
        <f t="shared" si="28"/>
        <v>30.73289183222958</v>
      </c>
      <c r="G487" t="s">
        <v>14</v>
      </c>
      <c r="H487">
        <v>648</v>
      </c>
      <c r="I487" s="9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3">
        <f t="shared" si="29"/>
        <v>43626.208333333328</v>
      </c>
      <c r="O487" s="13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 s="7">
        <v>5200</v>
      </c>
      <c r="E488" s="7">
        <v>702</v>
      </c>
      <c r="F488" s="7">
        <f t="shared" si="28"/>
        <v>13.5</v>
      </c>
      <c r="G488" t="s">
        <v>14</v>
      </c>
      <c r="H488">
        <v>21</v>
      </c>
      <c r="I488" s="9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3">
        <f t="shared" si="29"/>
        <v>43168.25</v>
      </c>
      <c r="O488" s="13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 s="7">
        <v>110300</v>
      </c>
      <c r="E489" s="7">
        <v>197024</v>
      </c>
      <c r="F489" s="7">
        <f t="shared" si="28"/>
        <v>178.62556663644605</v>
      </c>
      <c r="G489" t="s">
        <v>20</v>
      </c>
      <c r="H489">
        <v>2346</v>
      </c>
      <c r="I489" s="9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3">
        <f t="shared" si="29"/>
        <v>42845.208333333328</v>
      </c>
      <c r="O489" s="13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 s="7">
        <v>5300</v>
      </c>
      <c r="E490" s="7">
        <v>11663</v>
      </c>
      <c r="F490" s="7">
        <f t="shared" si="28"/>
        <v>220.0566037735849</v>
      </c>
      <c r="G490" t="s">
        <v>20</v>
      </c>
      <c r="H490">
        <v>115</v>
      </c>
      <c r="I490" s="9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3">
        <f t="shared" si="29"/>
        <v>42403.25</v>
      </c>
      <c r="O490" s="13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 s="7">
        <v>9200</v>
      </c>
      <c r="E491" s="7">
        <v>9339</v>
      </c>
      <c r="F491" s="7">
        <f t="shared" si="28"/>
        <v>101.5108695652174</v>
      </c>
      <c r="G491" t="s">
        <v>20</v>
      </c>
      <c r="H491">
        <v>85</v>
      </c>
      <c r="I491" s="9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3">
        <f t="shared" si="29"/>
        <v>40406.208333333336</v>
      </c>
      <c r="O491" s="13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 s="7">
        <v>2400</v>
      </c>
      <c r="E492" s="7">
        <v>4596</v>
      </c>
      <c r="F492" s="7">
        <f t="shared" si="28"/>
        <v>191.5</v>
      </c>
      <c r="G492" t="s">
        <v>20</v>
      </c>
      <c r="H492">
        <v>144</v>
      </c>
      <c r="I492" s="9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3">
        <f t="shared" si="29"/>
        <v>43786.25</v>
      </c>
      <c r="O492" s="13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 s="7">
        <v>56800</v>
      </c>
      <c r="E493" s="7">
        <v>173437</v>
      </c>
      <c r="F493" s="7">
        <f t="shared" si="28"/>
        <v>305.34683098591546</v>
      </c>
      <c r="G493" t="s">
        <v>20</v>
      </c>
      <c r="H493">
        <v>2443</v>
      </c>
      <c r="I493" s="9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3">
        <f t="shared" si="29"/>
        <v>41456.208333333336</v>
      </c>
      <c r="O493" s="13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 s="7">
        <v>191000</v>
      </c>
      <c r="E494" s="7">
        <v>45831</v>
      </c>
      <c r="F494" s="7">
        <f t="shared" si="28"/>
        <v>23.995287958115181</v>
      </c>
      <c r="G494" t="s">
        <v>74</v>
      </c>
      <c r="H494">
        <v>595</v>
      </c>
      <c r="I494" s="9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3">
        <f t="shared" si="29"/>
        <v>40336.208333333336</v>
      </c>
      <c r="O494" s="13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 s="7">
        <v>900</v>
      </c>
      <c r="E495" s="7">
        <v>6514</v>
      </c>
      <c r="F495" s="7">
        <f t="shared" si="28"/>
        <v>723.77777777777771</v>
      </c>
      <c r="G495" t="s">
        <v>20</v>
      </c>
      <c r="H495">
        <v>64</v>
      </c>
      <c r="I495" s="9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3">
        <f t="shared" si="29"/>
        <v>43645.208333333328</v>
      </c>
      <c r="O495" s="13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 s="7">
        <v>2500</v>
      </c>
      <c r="E496" s="7">
        <v>13684</v>
      </c>
      <c r="F496" s="7">
        <f t="shared" si="28"/>
        <v>547.36</v>
      </c>
      <c r="G496" t="s">
        <v>20</v>
      </c>
      <c r="H496">
        <v>268</v>
      </c>
      <c r="I496" s="9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3">
        <f t="shared" si="29"/>
        <v>40990.208333333336</v>
      </c>
      <c r="O496" s="13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 s="7">
        <v>3200</v>
      </c>
      <c r="E497" s="7">
        <v>13264</v>
      </c>
      <c r="F497" s="7">
        <f t="shared" si="28"/>
        <v>414.49999999999994</v>
      </c>
      <c r="G497" t="s">
        <v>20</v>
      </c>
      <c r="H497">
        <v>195</v>
      </c>
      <c r="I497" s="9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3">
        <f t="shared" si="29"/>
        <v>41800.208333333336</v>
      </c>
      <c r="O497" s="13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 s="7">
        <v>183800</v>
      </c>
      <c r="E498" s="7">
        <v>1667</v>
      </c>
      <c r="F498" s="7">
        <f t="shared" si="28"/>
        <v>0.90696409140369971</v>
      </c>
      <c r="G498" t="s">
        <v>14</v>
      </c>
      <c r="H498">
        <v>54</v>
      </c>
      <c r="I498" s="9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3">
        <f t="shared" si="29"/>
        <v>42876.208333333328</v>
      </c>
      <c r="O498" s="13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 s="7">
        <v>9800</v>
      </c>
      <c r="E499" s="7">
        <v>3349</v>
      </c>
      <c r="F499" s="7">
        <f t="shared" si="28"/>
        <v>34.173469387755098</v>
      </c>
      <c r="G499" t="s">
        <v>14</v>
      </c>
      <c r="H499">
        <v>120</v>
      </c>
      <c r="I499" s="9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3">
        <f t="shared" si="29"/>
        <v>42724.25</v>
      </c>
      <c r="O499" s="13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 s="7">
        <v>193400</v>
      </c>
      <c r="E500" s="7">
        <v>46317</v>
      </c>
      <c r="F500" s="7">
        <f t="shared" si="28"/>
        <v>23.948810754912099</v>
      </c>
      <c r="G500" t="s">
        <v>14</v>
      </c>
      <c r="H500">
        <v>579</v>
      </c>
      <c r="I500" s="9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3">
        <f t="shared" si="29"/>
        <v>42005.25</v>
      </c>
      <c r="O500" s="13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 s="7">
        <v>163800</v>
      </c>
      <c r="E501" s="7">
        <v>78743</v>
      </c>
      <c r="F501" s="7">
        <f t="shared" si="28"/>
        <v>48.072649572649574</v>
      </c>
      <c r="G501" t="s">
        <v>14</v>
      </c>
      <c r="H501">
        <v>2072</v>
      </c>
      <c r="I501" s="9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3">
        <f t="shared" si="29"/>
        <v>42444.208333333328</v>
      </c>
      <c r="O501" s="13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 s="7">
        <v>100</v>
      </c>
      <c r="E502" s="7">
        <v>0</v>
      </c>
      <c r="F502" s="7">
        <f t="shared" si="28"/>
        <v>0</v>
      </c>
      <c r="G502" t="s">
        <v>14</v>
      </c>
      <c r="H502">
        <v>0</v>
      </c>
      <c r="I502" s="9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13">
        <f t="shared" si="29"/>
        <v>41395.208333333336</v>
      </c>
      <c r="O502" s="13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 s="7">
        <v>153600</v>
      </c>
      <c r="E503" s="7">
        <v>107743</v>
      </c>
      <c r="F503" s="7">
        <f t="shared" si="28"/>
        <v>70.145182291666657</v>
      </c>
      <c r="G503" t="s">
        <v>14</v>
      </c>
      <c r="H503">
        <v>1796</v>
      </c>
      <c r="I503" s="9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3">
        <f t="shared" si="29"/>
        <v>41345.208333333336</v>
      </c>
      <c r="O503" s="13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 s="7">
        <v>1300</v>
      </c>
      <c r="E504" s="7">
        <v>6889</v>
      </c>
      <c r="F504" s="7">
        <f t="shared" si="28"/>
        <v>529.92307692307691</v>
      </c>
      <c r="G504" t="s">
        <v>20</v>
      </c>
      <c r="H504">
        <v>186</v>
      </c>
      <c r="I504" s="9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3">
        <f t="shared" si="29"/>
        <v>41117.208333333336</v>
      </c>
      <c r="O504" s="13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 s="7">
        <v>25500</v>
      </c>
      <c r="E505" s="7">
        <v>45983</v>
      </c>
      <c r="F505" s="7">
        <f t="shared" si="28"/>
        <v>180.32549019607845</v>
      </c>
      <c r="G505" t="s">
        <v>20</v>
      </c>
      <c r="H505">
        <v>460</v>
      </c>
      <c r="I505" s="9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3">
        <f t="shared" si="29"/>
        <v>42186.208333333328</v>
      </c>
      <c r="O505" s="13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 s="7">
        <v>7500</v>
      </c>
      <c r="E506" s="7">
        <v>6924</v>
      </c>
      <c r="F506" s="7">
        <f t="shared" si="28"/>
        <v>92.320000000000007</v>
      </c>
      <c r="G506" t="s">
        <v>14</v>
      </c>
      <c r="H506">
        <v>62</v>
      </c>
      <c r="I506" s="9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3">
        <f t="shared" si="29"/>
        <v>42142.208333333328</v>
      </c>
      <c r="O506" s="13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 s="7">
        <v>89900</v>
      </c>
      <c r="E507" s="7">
        <v>12497</v>
      </c>
      <c r="F507" s="7">
        <f t="shared" si="28"/>
        <v>13.901001112347053</v>
      </c>
      <c r="G507" t="s">
        <v>14</v>
      </c>
      <c r="H507">
        <v>347</v>
      </c>
      <c r="I507" s="9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3">
        <f t="shared" si="29"/>
        <v>41341.25</v>
      </c>
      <c r="O507" s="13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 s="7">
        <v>18000</v>
      </c>
      <c r="E508" s="7">
        <v>166874</v>
      </c>
      <c r="F508" s="7">
        <f t="shared" si="28"/>
        <v>927.07777777777767</v>
      </c>
      <c r="G508" t="s">
        <v>20</v>
      </c>
      <c r="H508">
        <v>2528</v>
      </c>
      <c r="I508" s="9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3">
        <f t="shared" si="29"/>
        <v>43062.25</v>
      </c>
      <c r="O508" s="13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 s="7">
        <v>2100</v>
      </c>
      <c r="E509" s="7">
        <v>837</v>
      </c>
      <c r="F509" s="7">
        <f t="shared" si="28"/>
        <v>39.857142857142861</v>
      </c>
      <c r="G509" t="s">
        <v>14</v>
      </c>
      <c r="H509">
        <v>19</v>
      </c>
      <c r="I509" s="9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3">
        <f t="shared" si="29"/>
        <v>41373.208333333336</v>
      </c>
      <c r="O509" s="13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 s="7">
        <v>172700</v>
      </c>
      <c r="E510" s="7">
        <v>193820</v>
      </c>
      <c r="F510" s="7">
        <f t="shared" si="28"/>
        <v>112.22929936305732</v>
      </c>
      <c r="G510" t="s">
        <v>20</v>
      </c>
      <c r="H510">
        <v>3657</v>
      </c>
      <c r="I510" s="9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3">
        <f t="shared" si="29"/>
        <v>43310.208333333328</v>
      </c>
      <c r="O510" s="13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 s="7">
        <v>168500</v>
      </c>
      <c r="E511" s="7">
        <v>119510</v>
      </c>
      <c r="F511" s="7">
        <f t="shared" si="28"/>
        <v>70.925816023738875</v>
      </c>
      <c r="G511" t="s">
        <v>14</v>
      </c>
      <c r="H511">
        <v>1258</v>
      </c>
      <c r="I511" s="9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3">
        <f t="shared" si="29"/>
        <v>41034.208333333336</v>
      </c>
      <c r="O511" s="13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 s="7">
        <v>7800</v>
      </c>
      <c r="E512" s="7">
        <v>9289</v>
      </c>
      <c r="F512" s="7">
        <f t="shared" si="28"/>
        <v>119.08974358974358</v>
      </c>
      <c r="G512" t="s">
        <v>20</v>
      </c>
      <c r="H512">
        <v>131</v>
      </c>
      <c r="I512" s="9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3">
        <f t="shared" si="29"/>
        <v>43251.208333333328</v>
      </c>
      <c r="O512" s="13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 s="7">
        <v>147800</v>
      </c>
      <c r="E513" s="7">
        <v>35498</v>
      </c>
      <c r="F513" s="7">
        <f t="shared" si="28"/>
        <v>24.017591339648174</v>
      </c>
      <c r="G513" t="s">
        <v>14</v>
      </c>
      <c r="H513">
        <v>362</v>
      </c>
      <c r="I513" s="9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3">
        <f t="shared" si="29"/>
        <v>43671.208333333328</v>
      </c>
      <c r="O513" s="13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 s="7">
        <v>9100</v>
      </c>
      <c r="E514" s="7">
        <v>12678</v>
      </c>
      <c r="F514" s="7">
        <f t="shared" si="28"/>
        <v>139.31868131868131</v>
      </c>
      <c r="G514" t="s">
        <v>20</v>
      </c>
      <c r="H514">
        <v>239</v>
      </c>
      <c r="I514" s="9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3">
        <f t="shared" si="29"/>
        <v>41825.208333333336</v>
      </c>
      <c r="O514" s="13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 s="7">
        <v>8300</v>
      </c>
      <c r="E515" s="7">
        <v>3260</v>
      </c>
      <c r="F515" s="7">
        <f t="shared" ref="F515:F578" si="32">(E515/D515)*100</f>
        <v>39.277108433734945</v>
      </c>
      <c r="G515" t="s">
        <v>74</v>
      </c>
      <c r="H515">
        <v>35</v>
      </c>
      <c r="I515" s="9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3">
        <f t="shared" ref="N515:N578" si="33">(((L515/60)/60)/24)+DATE(1970,1,1)</f>
        <v>40430.208333333336</v>
      </c>
      <c r="O515" s="13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 s="7">
        <v>138700</v>
      </c>
      <c r="E516" s="7">
        <v>31123</v>
      </c>
      <c r="F516" s="7">
        <f t="shared" si="32"/>
        <v>22.439077144917089</v>
      </c>
      <c r="G516" t="s">
        <v>74</v>
      </c>
      <c r="H516">
        <v>528</v>
      </c>
      <c r="I516" s="9">
        <f t="shared" ref="I516:I579" si="35">IFERROR(E516/H516,0)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3">
        <f t="shared" si="33"/>
        <v>41614.25</v>
      </c>
      <c r="O516" s="13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 s="7">
        <v>8600</v>
      </c>
      <c r="E517" s="7">
        <v>4797</v>
      </c>
      <c r="F517" s="7">
        <f t="shared" si="32"/>
        <v>55.779069767441861</v>
      </c>
      <c r="G517" t="s">
        <v>14</v>
      </c>
      <c r="H517">
        <v>133</v>
      </c>
      <c r="I517" s="9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3">
        <f t="shared" si="33"/>
        <v>40900.25</v>
      </c>
      <c r="O517" s="13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 s="7">
        <v>125400</v>
      </c>
      <c r="E518" s="7">
        <v>53324</v>
      </c>
      <c r="F518" s="7">
        <f t="shared" si="32"/>
        <v>42.523125996810208</v>
      </c>
      <c r="G518" t="s">
        <v>14</v>
      </c>
      <c r="H518">
        <v>846</v>
      </c>
      <c r="I518" s="9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3">
        <f t="shared" si="33"/>
        <v>40396.208333333336</v>
      </c>
      <c r="O518" s="13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 s="7">
        <v>5900</v>
      </c>
      <c r="E519" s="7">
        <v>6608</v>
      </c>
      <c r="F519" s="7">
        <f t="shared" si="32"/>
        <v>112.00000000000001</v>
      </c>
      <c r="G519" t="s">
        <v>20</v>
      </c>
      <c r="H519">
        <v>78</v>
      </c>
      <c r="I519" s="9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3">
        <f t="shared" si="33"/>
        <v>42860.208333333328</v>
      </c>
      <c r="O519" s="13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 s="7">
        <v>8800</v>
      </c>
      <c r="E520" s="7">
        <v>622</v>
      </c>
      <c r="F520" s="7">
        <f t="shared" si="32"/>
        <v>7.0681818181818183</v>
      </c>
      <c r="G520" t="s">
        <v>14</v>
      </c>
      <c r="H520">
        <v>10</v>
      </c>
      <c r="I520" s="9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3">
        <f t="shared" si="33"/>
        <v>43154.25</v>
      </c>
      <c r="O520" s="13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 s="7">
        <v>177700</v>
      </c>
      <c r="E521" s="7">
        <v>180802</v>
      </c>
      <c r="F521" s="7">
        <f t="shared" si="32"/>
        <v>101.74563871693867</v>
      </c>
      <c r="G521" t="s">
        <v>20</v>
      </c>
      <c r="H521">
        <v>1773</v>
      </c>
      <c r="I521" s="9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3">
        <f t="shared" si="33"/>
        <v>42012.25</v>
      </c>
      <c r="O521" s="13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 s="7">
        <v>800</v>
      </c>
      <c r="E522" s="7">
        <v>3406</v>
      </c>
      <c r="F522" s="7">
        <f t="shared" si="32"/>
        <v>425.75</v>
      </c>
      <c r="G522" t="s">
        <v>20</v>
      </c>
      <c r="H522">
        <v>32</v>
      </c>
      <c r="I522" s="9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3">
        <f t="shared" si="33"/>
        <v>43574.208333333328</v>
      </c>
      <c r="O522" s="13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 s="7">
        <v>7600</v>
      </c>
      <c r="E523" s="7">
        <v>11061</v>
      </c>
      <c r="F523" s="7">
        <f t="shared" si="32"/>
        <v>145.53947368421052</v>
      </c>
      <c r="G523" t="s">
        <v>20</v>
      </c>
      <c r="H523">
        <v>369</v>
      </c>
      <c r="I523" s="9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3">
        <f t="shared" si="33"/>
        <v>42605.208333333328</v>
      </c>
      <c r="O523" s="13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 s="7">
        <v>50500</v>
      </c>
      <c r="E524" s="7">
        <v>16389</v>
      </c>
      <c r="F524" s="7">
        <f t="shared" si="32"/>
        <v>32.453465346534657</v>
      </c>
      <c r="G524" t="s">
        <v>14</v>
      </c>
      <c r="H524">
        <v>191</v>
      </c>
      <c r="I524" s="9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3">
        <f t="shared" si="33"/>
        <v>41093.208333333336</v>
      </c>
      <c r="O524" s="13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 s="7">
        <v>900</v>
      </c>
      <c r="E525" s="7">
        <v>6303</v>
      </c>
      <c r="F525" s="7">
        <f t="shared" si="32"/>
        <v>700.33333333333326</v>
      </c>
      <c r="G525" t="s">
        <v>20</v>
      </c>
      <c r="H525">
        <v>89</v>
      </c>
      <c r="I525" s="9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3">
        <f t="shared" si="33"/>
        <v>40241.25</v>
      </c>
      <c r="O525" s="13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 s="7">
        <v>96700</v>
      </c>
      <c r="E526" s="7">
        <v>81136</v>
      </c>
      <c r="F526" s="7">
        <f t="shared" si="32"/>
        <v>83.904860392967933</v>
      </c>
      <c r="G526" t="s">
        <v>14</v>
      </c>
      <c r="H526">
        <v>1979</v>
      </c>
      <c r="I526" s="9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3">
        <f t="shared" si="33"/>
        <v>40294.208333333336</v>
      </c>
      <c r="O526" s="13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 s="7">
        <v>2100</v>
      </c>
      <c r="E527" s="7">
        <v>1768</v>
      </c>
      <c r="F527" s="7">
        <f t="shared" si="32"/>
        <v>84.19047619047619</v>
      </c>
      <c r="G527" t="s">
        <v>14</v>
      </c>
      <c r="H527">
        <v>63</v>
      </c>
      <c r="I527" s="9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3">
        <f t="shared" si="33"/>
        <v>40505.25</v>
      </c>
      <c r="O527" s="13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 s="7">
        <v>8300</v>
      </c>
      <c r="E528" s="7">
        <v>12944</v>
      </c>
      <c r="F528" s="7">
        <f t="shared" si="32"/>
        <v>155.95180722891567</v>
      </c>
      <c r="G528" t="s">
        <v>20</v>
      </c>
      <c r="H528">
        <v>147</v>
      </c>
      <c r="I528" s="9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3">
        <f t="shared" si="33"/>
        <v>42364.25</v>
      </c>
      <c r="O528" s="13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 s="7">
        <v>189200</v>
      </c>
      <c r="E529" s="7">
        <v>188480</v>
      </c>
      <c r="F529" s="7">
        <f t="shared" si="32"/>
        <v>99.619450317124731</v>
      </c>
      <c r="G529" t="s">
        <v>14</v>
      </c>
      <c r="H529">
        <v>6080</v>
      </c>
      <c r="I529" s="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3">
        <f t="shared" si="33"/>
        <v>42405.25</v>
      </c>
      <c r="O529" s="13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 s="7">
        <v>9000</v>
      </c>
      <c r="E530" s="7">
        <v>7227</v>
      </c>
      <c r="F530" s="7">
        <f t="shared" si="32"/>
        <v>80.300000000000011</v>
      </c>
      <c r="G530" t="s">
        <v>14</v>
      </c>
      <c r="H530">
        <v>80</v>
      </c>
      <c r="I530" s="9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3">
        <f t="shared" si="33"/>
        <v>41601.25</v>
      </c>
      <c r="O530" s="13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 s="7">
        <v>5100</v>
      </c>
      <c r="E531" s="7">
        <v>574</v>
      </c>
      <c r="F531" s="7">
        <f t="shared" si="32"/>
        <v>11.254901960784313</v>
      </c>
      <c r="G531" t="s">
        <v>14</v>
      </c>
      <c r="H531">
        <v>9</v>
      </c>
      <c r="I531" s="9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3">
        <f t="shared" si="33"/>
        <v>41769.208333333336</v>
      </c>
      <c r="O531" s="13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 s="7">
        <v>105000</v>
      </c>
      <c r="E532" s="7">
        <v>96328</v>
      </c>
      <c r="F532" s="7">
        <f t="shared" si="32"/>
        <v>91.740952380952379</v>
      </c>
      <c r="G532" t="s">
        <v>14</v>
      </c>
      <c r="H532">
        <v>1784</v>
      </c>
      <c r="I532" s="9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3">
        <f t="shared" si="33"/>
        <v>40421.208333333336</v>
      </c>
      <c r="O532" s="13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 s="7">
        <v>186700</v>
      </c>
      <c r="E533" s="7">
        <v>178338</v>
      </c>
      <c r="F533" s="7">
        <f t="shared" si="32"/>
        <v>95.521156936261391</v>
      </c>
      <c r="G533" t="s">
        <v>47</v>
      </c>
      <c r="H533">
        <v>3640</v>
      </c>
      <c r="I533" s="9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3">
        <f t="shared" si="33"/>
        <v>41589.25</v>
      </c>
      <c r="O533" s="13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 s="7">
        <v>1600</v>
      </c>
      <c r="E534" s="7">
        <v>8046</v>
      </c>
      <c r="F534" s="7">
        <f t="shared" si="32"/>
        <v>502.87499999999994</v>
      </c>
      <c r="G534" t="s">
        <v>20</v>
      </c>
      <c r="H534">
        <v>126</v>
      </c>
      <c r="I534" s="9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3">
        <f t="shared" si="33"/>
        <v>43125.25</v>
      </c>
      <c r="O534" s="13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 s="7">
        <v>115600</v>
      </c>
      <c r="E535" s="7">
        <v>184086</v>
      </c>
      <c r="F535" s="7">
        <f t="shared" si="32"/>
        <v>159.24394463667818</v>
      </c>
      <c r="G535" t="s">
        <v>20</v>
      </c>
      <c r="H535">
        <v>2218</v>
      </c>
      <c r="I535" s="9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3">
        <f t="shared" si="33"/>
        <v>41479.208333333336</v>
      </c>
      <c r="O535" s="13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 s="7">
        <v>89100</v>
      </c>
      <c r="E536" s="7">
        <v>13385</v>
      </c>
      <c r="F536" s="7">
        <f t="shared" si="32"/>
        <v>15.022446689113355</v>
      </c>
      <c r="G536" t="s">
        <v>14</v>
      </c>
      <c r="H536">
        <v>243</v>
      </c>
      <c r="I536" s="9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3">
        <f t="shared" si="33"/>
        <v>43329.208333333328</v>
      </c>
      <c r="O536" s="13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 s="7">
        <v>2600</v>
      </c>
      <c r="E537" s="7">
        <v>12533</v>
      </c>
      <c r="F537" s="7">
        <f t="shared" si="32"/>
        <v>482.03846153846149</v>
      </c>
      <c r="G537" t="s">
        <v>20</v>
      </c>
      <c r="H537">
        <v>202</v>
      </c>
      <c r="I537" s="9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3">
        <f t="shared" si="33"/>
        <v>43259.208333333328</v>
      </c>
      <c r="O537" s="13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 s="7">
        <v>9800</v>
      </c>
      <c r="E538" s="7">
        <v>14697</v>
      </c>
      <c r="F538" s="7">
        <f t="shared" si="32"/>
        <v>149.96938775510205</v>
      </c>
      <c r="G538" t="s">
        <v>20</v>
      </c>
      <c r="H538">
        <v>140</v>
      </c>
      <c r="I538" s="9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3">
        <f t="shared" si="33"/>
        <v>40414.208333333336</v>
      </c>
      <c r="O538" s="13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 s="7">
        <v>84400</v>
      </c>
      <c r="E539" s="7">
        <v>98935</v>
      </c>
      <c r="F539" s="7">
        <f t="shared" si="32"/>
        <v>117.22156398104266</v>
      </c>
      <c r="G539" t="s">
        <v>20</v>
      </c>
      <c r="H539">
        <v>1052</v>
      </c>
      <c r="I539" s="9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3">
        <f t="shared" si="33"/>
        <v>43342.208333333328</v>
      </c>
      <c r="O539" s="13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 s="7">
        <v>151300</v>
      </c>
      <c r="E540" s="7">
        <v>57034</v>
      </c>
      <c r="F540" s="7">
        <f t="shared" si="32"/>
        <v>37.695968274950431</v>
      </c>
      <c r="G540" t="s">
        <v>14</v>
      </c>
      <c r="H540">
        <v>1296</v>
      </c>
      <c r="I540" s="9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3">
        <f t="shared" si="33"/>
        <v>41539.208333333336</v>
      </c>
      <c r="O540" s="13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 s="7">
        <v>9800</v>
      </c>
      <c r="E541" s="7">
        <v>7120</v>
      </c>
      <c r="F541" s="7">
        <f t="shared" si="32"/>
        <v>72.653061224489804</v>
      </c>
      <c r="G541" t="s">
        <v>14</v>
      </c>
      <c r="H541">
        <v>77</v>
      </c>
      <c r="I541" s="9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3">
        <f t="shared" si="33"/>
        <v>43647.208333333328</v>
      </c>
      <c r="O541" s="13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 s="7">
        <v>5300</v>
      </c>
      <c r="E542" s="7">
        <v>14097</v>
      </c>
      <c r="F542" s="7">
        <f t="shared" si="32"/>
        <v>265.98113207547169</v>
      </c>
      <c r="G542" t="s">
        <v>20</v>
      </c>
      <c r="H542">
        <v>247</v>
      </c>
      <c r="I542" s="9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3">
        <f t="shared" si="33"/>
        <v>43225.208333333328</v>
      </c>
      <c r="O542" s="13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 s="7">
        <v>178000</v>
      </c>
      <c r="E543" s="7">
        <v>43086</v>
      </c>
      <c r="F543" s="7">
        <f t="shared" si="32"/>
        <v>24.205617977528089</v>
      </c>
      <c r="G543" t="s">
        <v>14</v>
      </c>
      <c r="H543">
        <v>395</v>
      </c>
      <c r="I543" s="9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3">
        <f t="shared" si="33"/>
        <v>42165.208333333328</v>
      </c>
      <c r="O543" s="13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 s="7">
        <v>77000</v>
      </c>
      <c r="E544" s="7">
        <v>1930</v>
      </c>
      <c r="F544" s="7">
        <f t="shared" si="32"/>
        <v>2.5064935064935066</v>
      </c>
      <c r="G544" t="s">
        <v>14</v>
      </c>
      <c r="H544">
        <v>49</v>
      </c>
      <c r="I544" s="9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3">
        <f t="shared" si="33"/>
        <v>42391.25</v>
      </c>
      <c r="O544" s="13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 s="7">
        <v>84900</v>
      </c>
      <c r="E545" s="7">
        <v>13864</v>
      </c>
      <c r="F545" s="7">
        <f t="shared" si="32"/>
        <v>16.329799764428738</v>
      </c>
      <c r="G545" t="s">
        <v>14</v>
      </c>
      <c r="H545">
        <v>180</v>
      </c>
      <c r="I545" s="9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3">
        <f t="shared" si="33"/>
        <v>41528.208333333336</v>
      </c>
      <c r="O545" s="13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 s="7">
        <v>2800</v>
      </c>
      <c r="E546" s="7">
        <v>7742</v>
      </c>
      <c r="F546" s="7">
        <f t="shared" si="32"/>
        <v>276.5</v>
      </c>
      <c r="G546" t="s">
        <v>20</v>
      </c>
      <c r="H546">
        <v>84</v>
      </c>
      <c r="I546" s="9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3">
        <f t="shared" si="33"/>
        <v>42377.25</v>
      </c>
      <c r="O546" s="13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 s="7">
        <v>184800</v>
      </c>
      <c r="E547" s="7">
        <v>164109</v>
      </c>
      <c r="F547" s="7">
        <f t="shared" si="32"/>
        <v>88.803571428571431</v>
      </c>
      <c r="G547" t="s">
        <v>14</v>
      </c>
      <c r="H547">
        <v>2690</v>
      </c>
      <c r="I547" s="9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3">
        <f t="shared" si="33"/>
        <v>43824.25</v>
      </c>
      <c r="O547" s="13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 s="7">
        <v>4200</v>
      </c>
      <c r="E548" s="7">
        <v>6870</v>
      </c>
      <c r="F548" s="7">
        <f t="shared" si="32"/>
        <v>163.57142857142856</v>
      </c>
      <c r="G548" t="s">
        <v>20</v>
      </c>
      <c r="H548">
        <v>88</v>
      </c>
      <c r="I548" s="9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3">
        <f t="shared" si="33"/>
        <v>43360.208333333328</v>
      </c>
      <c r="O548" s="13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 s="7">
        <v>1300</v>
      </c>
      <c r="E549" s="7">
        <v>12597</v>
      </c>
      <c r="F549" s="7">
        <f t="shared" si="32"/>
        <v>969</v>
      </c>
      <c r="G549" t="s">
        <v>20</v>
      </c>
      <c r="H549">
        <v>156</v>
      </c>
      <c r="I549" s="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3">
        <f t="shared" si="33"/>
        <v>42029.25</v>
      </c>
      <c r="O549" s="13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 s="7">
        <v>66100</v>
      </c>
      <c r="E550" s="7">
        <v>179074</v>
      </c>
      <c r="F550" s="7">
        <f t="shared" si="32"/>
        <v>270.91376701966715</v>
      </c>
      <c r="G550" t="s">
        <v>20</v>
      </c>
      <c r="H550">
        <v>2985</v>
      </c>
      <c r="I550" s="9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3">
        <f t="shared" si="33"/>
        <v>42461.208333333328</v>
      </c>
      <c r="O550" s="13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 s="7">
        <v>29500</v>
      </c>
      <c r="E551" s="7">
        <v>83843</v>
      </c>
      <c r="F551" s="7">
        <f t="shared" si="32"/>
        <v>284.21355932203392</v>
      </c>
      <c r="G551" t="s">
        <v>20</v>
      </c>
      <c r="H551">
        <v>762</v>
      </c>
      <c r="I551" s="9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3">
        <f t="shared" si="33"/>
        <v>41422.208333333336</v>
      </c>
      <c r="O551" s="13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 s="7">
        <v>100</v>
      </c>
      <c r="E552" s="7">
        <v>4</v>
      </c>
      <c r="F552" s="7">
        <f t="shared" si="32"/>
        <v>4</v>
      </c>
      <c r="G552" t="s">
        <v>74</v>
      </c>
      <c r="H552">
        <v>1</v>
      </c>
      <c r="I552" s="9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3">
        <f t="shared" si="33"/>
        <v>40968.25</v>
      </c>
      <c r="O552" s="13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 s="7">
        <v>180100</v>
      </c>
      <c r="E553" s="7">
        <v>105598</v>
      </c>
      <c r="F553" s="7">
        <f t="shared" si="32"/>
        <v>58.6329816768462</v>
      </c>
      <c r="G553" t="s">
        <v>14</v>
      </c>
      <c r="H553">
        <v>2779</v>
      </c>
      <c r="I553" s="9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3">
        <f t="shared" si="33"/>
        <v>41993.25</v>
      </c>
      <c r="O553" s="13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 s="7">
        <v>9000</v>
      </c>
      <c r="E554" s="7">
        <v>8866</v>
      </c>
      <c r="F554" s="7">
        <f t="shared" si="32"/>
        <v>98.51111111111112</v>
      </c>
      <c r="G554" t="s">
        <v>14</v>
      </c>
      <c r="H554">
        <v>92</v>
      </c>
      <c r="I554" s="9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3">
        <f t="shared" si="33"/>
        <v>42700.25</v>
      </c>
      <c r="O554" s="13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 s="7">
        <v>170600</v>
      </c>
      <c r="E555" s="7">
        <v>75022</v>
      </c>
      <c r="F555" s="7">
        <f t="shared" si="32"/>
        <v>43.975381008206334</v>
      </c>
      <c r="G555" t="s">
        <v>14</v>
      </c>
      <c r="H555">
        <v>1028</v>
      </c>
      <c r="I555" s="9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3">
        <f t="shared" si="33"/>
        <v>40545.25</v>
      </c>
      <c r="O555" s="13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 s="7">
        <v>9500</v>
      </c>
      <c r="E556" s="7">
        <v>14408</v>
      </c>
      <c r="F556" s="7">
        <f t="shared" si="32"/>
        <v>151.66315789473683</v>
      </c>
      <c r="G556" t="s">
        <v>20</v>
      </c>
      <c r="H556">
        <v>554</v>
      </c>
      <c r="I556" s="9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3">
        <f t="shared" si="33"/>
        <v>42723.25</v>
      </c>
      <c r="O556" s="13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 s="7">
        <v>6300</v>
      </c>
      <c r="E557" s="7">
        <v>14089</v>
      </c>
      <c r="F557" s="7">
        <f t="shared" si="32"/>
        <v>223.63492063492063</v>
      </c>
      <c r="G557" t="s">
        <v>20</v>
      </c>
      <c r="H557">
        <v>135</v>
      </c>
      <c r="I557" s="9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3">
        <f t="shared" si="33"/>
        <v>41731.208333333336</v>
      </c>
      <c r="O557" s="13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 s="7">
        <v>5200</v>
      </c>
      <c r="E558" s="7">
        <v>12467</v>
      </c>
      <c r="F558" s="7">
        <f t="shared" si="32"/>
        <v>239.75</v>
      </c>
      <c r="G558" t="s">
        <v>20</v>
      </c>
      <c r="H558">
        <v>122</v>
      </c>
      <c r="I558" s="9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3">
        <f t="shared" si="33"/>
        <v>40792.208333333336</v>
      </c>
      <c r="O558" s="13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 s="7">
        <v>6000</v>
      </c>
      <c r="E559" s="7">
        <v>11960</v>
      </c>
      <c r="F559" s="7">
        <f t="shared" si="32"/>
        <v>199.33333333333334</v>
      </c>
      <c r="G559" t="s">
        <v>20</v>
      </c>
      <c r="H559">
        <v>221</v>
      </c>
      <c r="I559" s="9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3">
        <f t="shared" si="33"/>
        <v>42279.208333333328</v>
      </c>
      <c r="O559" s="13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 s="7">
        <v>5800</v>
      </c>
      <c r="E560" s="7">
        <v>7966</v>
      </c>
      <c r="F560" s="7">
        <f t="shared" si="32"/>
        <v>137.34482758620689</v>
      </c>
      <c r="G560" t="s">
        <v>20</v>
      </c>
      <c r="H560">
        <v>126</v>
      </c>
      <c r="I560" s="9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3">
        <f t="shared" si="33"/>
        <v>42424.25</v>
      </c>
      <c r="O560" s="13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 s="7">
        <v>105300</v>
      </c>
      <c r="E561" s="7">
        <v>106321</v>
      </c>
      <c r="F561" s="7">
        <f t="shared" si="32"/>
        <v>100.9696106362773</v>
      </c>
      <c r="G561" t="s">
        <v>20</v>
      </c>
      <c r="H561">
        <v>1022</v>
      </c>
      <c r="I561" s="9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3">
        <f t="shared" si="33"/>
        <v>42584.208333333328</v>
      </c>
      <c r="O561" s="13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 s="7">
        <v>20000</v>
      </c>
      <c r="E562" s="7">
        <v>158832</v>
      </c>
      <c r="F562" s="7">
        <f t="shared" si="32"/>
        <v>794.16</v>
      </c>
      <c r="G562" t="s">
        <v>20</v>
      </c>
      <c r="H562">
        <v>3177</v>
      </c>
      <c r="I562" s="9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3">
        <f t="shared" si="33"/>
        <v>40865.25</v>
      </c>
      <c r="O562" s="13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 s="7">
        <v>3000</v>
      </c>
      <c r="E563" s="7">
        <v>11091</v>
      </c>
      <c r="F563" s="7">
        <f t="shared" si="32"/>
        <v>369.7</v>
      </c>
      <c r="G563" t="s">
        <v>20</v>
      </c>
      <c r="H563">
        <v>198</v>
      </c>
      <c r="I563" s="9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3">
        <f t="shared" si="33"/>
        <v>40833.208333333336</v>
      </c>
      <c r="O563" s="13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 s="7">
        <v>9900</v>
      </c>
      <c r="E564" s="7">
        <v>1269</v>
      </c>
      <c r="F564" s="7">
        <f t="shared" si="32"/>
        <v>12.818181818181817</v>
      </c>
      <c r="G564" t="s">
        <v>14</v>
      </c>
      <c r="H564">
        <v>26</v>
      </c>
      <c r="I564" s="9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3">
        <f t="shared" si="33"/>
        <v>43536.208333333328</v>
      </c>
      <c r="O564" s="13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 s="7">
        <v>3700</v>
      </c>
      <c r="E565" s="7">
        <v>5107</v>
      </c>
      <c r="F565" s="7">
        <f t="shared" si="32"/>
        <v>138.02702702702703</v>
      </c>
      <c r="G565" t="s">
        <v>20</v>
      </c>
      <c r="H565">
        <v>85</v>
      </c>
      <c r="I565" s="9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3">
        <f t="shared" si="33"/>
        <v>43417.25</v>
      </c>
      <c r="O565" s="13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 s="7">
        <v>168700</v>
      </c>
      <c r="E566" s="7">
        <v>141393</v>
      </c>
      <c r="F566" s="7">
        <f t="shared" si="32"/>
        <v>83.813278008298752</v>
      </c>
      <c r="G566" t="s">
        <v>14</v>
      </c>
      <c r="H566">
        <v>1790</v>
      </c>
      <c r="I566" s="9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3">
        <f t="shared" si="33"/>
        <v>42078.208333333328</v>
      </c>
      <c r="O566" s="13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 s="7">
        <v>94900</v>
      </c>
      <c r="E567" s="7">
        <v>194166</v>
      </c>
      <c r="F567" s="7">
        <f t="shared" si="32"/>
        <v>204.60063224446787</v>
      </c>
      <c r="G567" t="s">
        <v>20</v>
      </c>
      <c r="H567">
        <v>3596</v>
      </c>
      <c r="I567" s="9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3">
        <f t="shared" si="33"/>
        <v>40862.25</v>
      </c>
      <c r="O567" s="13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 s="7">
        <v>9300</v>
      </c>
      <c r="E568" s="7">
        <v>4124</v>
      </c>
      <c r="F568" s="7">
        <f t="shared" si="32"/>
        <v>44.344086021505376</v>
      </c>
      <c r="G568" t="s">
        <v>14</v>
      </c>
      <c r="H568">
        <v>37</v>
      </c>
      <c r="I568" s="9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3">
        <f t="shared" si="33"/>
        <v>42424.25</v>
      </c>
      <c r="O568" s="13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 s="7">
        <v>6800</v>
      </c>
      <c r="E569" s="7">
        <v>14865</v>
      </c>
      <c r="F569" s="7">
        <f t="shared" si="32"/>
        <v>218.60294117647058</v>
      </c>
      <c r="G569" t="s">
        <v>20</v>
      </c>
      <c r="H569">
        <v>244</v>
      </c>
      <c r="I569" s="9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3">
        <f t="shared" si="33"/>
        <v>41830.208333333336</v>
      </c>
      <c r="O569" s="13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 s="7">
        <v>72400</v>
      </c>
      <c r="E570" s="7">
        <v>134688</v>
      </c>
      <c r="F570" s="7">
        <f t="shared" si="32"/>
        <v>186.03314917127071</v>
      </c>
      <c r="G570" t="s">
        <v>20</v>
      </c>
      <c r="H570">
        <v>5180</v>
      </c>
      <c r="I570" s="9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3">
        <f t="shared" si="33"/>
        <v>40374.208333333336</v>
      </c>
      <c r="O570" s="13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 s="7">
        <v>20100</v>
      </c>
      <c r="E571" s="7">
        <v>47705</v>
      </c>
      <c r="F571" s="7">
        <f t="shared" si="32"/>
        <v>237.33830845771143</v>
      </c>
      <c r="G571" t="s">
        <v>20</v>
      </c>
      <c r="H571">
        <v>589</v>
      </c>
      <c r="I571" s="9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3">
        <f t="shared" si="33"/>
        <v>40554.25</v>
      </c>
      <c r="O571" s="13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 s="7">
        <v>31200</v>
      </c>
      <c r="E572" s="7">
        <v>95364</v>
      </c>
      <c r="F572" s="7">
        <f t="shared" si="32"/>
        <v>305.65384615384613</v>
      </c>
      <c r="G572" t="s">
        <v>20</v>
      </c>
      <c r="H572">
        <v>2725</v>
      </c>
      <c r="I572" s="9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3">
        <f t="shared" si="33"/>
        <v>41993.25</v>
      </c>
      <c r="O572" s="13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 s="7">
        <v>3500</v>
      </c>
      <c r="E573" s="7">
        <v>3295</v>
      </c>
      <c r="F573" s="7">
        <f t="shared" si="32"/>
        <v>94.142857142857139</v>
      </c>
      <c r="G573" t="s">
        <v>14</v>
      </c>
      <c r="H573">
        <v>35</v>
      </c>
      <c r="I573" s="9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3">
        <f t="shared" si="33"/>
        <v>42174.208333333328</v>
      </c>
      <c r="O573" s="13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 s="7">
        <v>9000</v>
      </c>
      <c r="E574" s="7">
        <v>4896</v>
      </c>
      <c r="F574" s="7">
        <f t="shared" si="32"/>
        <v>54.400000000000006</v>
      </c>
      <c r="G574" t="s">
        <v>74</v>
      </c>
      <c r="H574">
        <v>94</v>
      </c>
      <c r="I574" s="9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3">
        <f t="shared" si="33"/>
        <v>42275.208333333328</v>
      </c>
      <c r="O574" s="13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 s="7">
        <v>6700</v>
      </c>
      <c r="E575" s="7">
        <v>7496</v>
      </c>
      <c r="F575" s="7">
        <f t="shared" si="32"/>
        <v>111.88059701492537</v>
      </c>
      <c r="G575" t="s">
        <v>20</v>
      </c>
      <c r="H575">
        <v>300</v>
      </c>
      <c r="I575" s="9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3">
        <f t="shared" si="33"/>
        <v>41761.208333333336</v>
      </c>
      <c r="O575" s="13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 s="7">
        <v>2700</v>
      </c>
      <c r="E576" s="7">
        <v>9967</v>
      </c>
      <c r="F576" s="7">
        <f t="shared" si="32"/>
        <v>369.14814814814815</v>
      </c>
      <c r="G576" t="s">
        <v>20</v>
      </c>
      <c r="H576">
        <v>144</v>
      </c>
      <c r="I576" s="9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3">
        <f t="shared" si="33"/>
        <v>43806.25</v>
      </c>
      <c r="O576" s="13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 s="7">
        <v>83300</v>
      </c>
      <c r="E577" s="7">
        <v>52421</v>
      </c>
      <c r="F577" s="7">
        <f t="shared" si="32"/>
        <v>62.930372148859547</v>
      </c>
      <c r="G577" t="s">
        <v>14</v>
      </c>
      <c r="H577">
        <v>558</v>
      </c>
      <c r="I577" s="9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3">
        <f t="shared" si="33"/>
        <v>41779.208333333336</v>
      </c>
      <c r="O577" s="13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 s="7">
        <v>9700</v>
      </c>
      <c r="E578" s="7">
        <v>6298</v>
      </c>
      <c r="F578" s="7">
        <f t="shared" si="32"/>
        <v>64.927835051546396</v>
      </c>
      <c r="G578" t="s">
        <v>14</v>
      </c>
      <c r="H578">
        <v>64</v>
      </c>
      <c r="I578" s="9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3">
        <f t="shared" si="33"/>
        <v>43040.208333333328</v>
      </c>
      <c r="O578" s="13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 s="7">
        <v>8200</v>
      </c>
      <c r="E579" s="7">
        <v>1546</v>
      </c>
      <c r="F579" s="7">
        <f t="shared" ref="F579:F642" si="36">(E579/D579)*100</f>
        <v>18.853658536585368</v>
      </c>
      <c r="G579" t="s">
        <v>74</v>
      </c>
      <c r="H579">
        <v>37</v>
      </c>
      <c r="I579" s="9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3">
        <f t="shared" ref="N579:N642" si="37">(((L579/60)/60)/24)+DATE(1970,1,1)</f>
        <v>40613.25</v>
      </c>
      <c r="O579" s="13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 s="7">
        <v>96500</v>
      </c>
      <c r="E580" s="7">
        <v>16168</v>
      </c>
      <c r="F580" s="7">
        <f t="shared" si="36"/>
        <v>16.754404145077721</v>
      </c>
      <c r="G580" t="s">
        <v>14</v>
      </c>
      <c r="H580">
        <v>245</v>
      </c>
      <c r="I580" s="9">
        <f t="shared" ref="I580:I643" si="39">IFERROR(E580/H580,0)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3">
        <f t="shared" si="37"/>
        <v>40878.25</v>
      </c>
      <c r="O580" s="13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 s="7">
        <v>6200</v>
      </c>
      <c r="E581" s="7">
        <v>6269</v>
      </c>
      <c r="F581" s="7">
        <f t="shared" si="36"/>
        <v>101.11290322580646</v>
      </c>
      <c r="G581" t="s">
        <v>20</v>
      </c>
      <c r="H581">
        <v>87</v>
      </c>
      <c r="I581" s="9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3">
        <f t="shared" si="37"/>
        <v>40762.208333333336</v>
      </c>
      <c r="O581" s="13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 s="7">
        <v>43800</v>
      </c>
      <c r="E582" s="7">
        <v>149578</v>
      </c>
      <c r="F582" s="7">
        <f t="shared" si="36"/>
        <v>341.5022831050228</v>
      </c>
      <c r="G582" t="s">
        <v>20</v>
      </c>
      <c r="H582">
        <v>3116</v>
      </c>
      <c r="I582" s="9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3">
        <f t="shared" si="37"/>
        <v>41696.25</v>
      </c>
      <c r="O582" s="13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 s="7">
        <v>6000</v>
      </c>
      <c r="E583" s="7">
        <v>3841</v>
      </c>
      <c r="F583" s="7">
        <f t="shared" si="36"/>
        <v>64.016666666666666</v>
      </c>
      <c r="G583" t="s">
        <v>14</v>
      </c>
      <c r="H583">
        <v>71</v>
      </c>
      <c r="I583" s="9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3">
        <f t="shared" si="37"/>
        <v>40662.208333333336</v>
      </c>
      <c r="O583" s="13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 s="7">
        <v>8700</v>
      </c>
      <c r="E584" s="7">
        <v>4531</v>
      </c>
      <c r="F584" s="7">
        <f t="shared" si="36"/>
        <v>52.080459770114942</v>
      </c>
      <c r="G584" t="s">
        <v>14</v>
      </c>
      <c r="H584">
        <v>42</v>
      </c>
      <c r="I584" s="9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3">
        <f t="shared" si="37"/>
        <v>42165.208333333328</v>
      </c>
      <c r="O584" s="13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 s="7">
        <v>18900</v>
      </c>
      <c r="E585" s="7">
        <v>60934</v>
      </c>
      <c r="F585" s="7">
        <f t="shared" si="36"/>
        <v>322.40211640211641</v>
      </c>
      <c r="G585" t="s">
        <v>20</v>
      </c>
      <c r="H585">
        <v>909</v>
      </c>
      <c r="I585" s="9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3">
        <f t="shared" si="37"/>
        <v>40959.25</v>
      </c>
      <c r="O585" s="13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 s="7">
        <v>86400</v>
      </c>
      <c r="E586" s="7">
        <v>103255</v>
      </c>
      <c r="F586" s="7">
        <f t="shared" si="36"/>
        <v>119.50810185185186</v>
      </c>
      <c r="G586" t="s">
        <v>20</v>
      </c>
      <c r="H586">
        <v>1613</v>
      </c>
      <c r="I586" s="9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3">
        <f t="shared" si="37"/>
        <v>41024.208333333336</v>
      </c>
      <c r="O586" s="13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 s="7">
        <v>8900</v>
      </c>
      <c r="E587" s="7">
        <v>13065</v>
      </c>
      <c r="F587" s="7">
        <f t="shared" si="36"/>
        <v>146.79775280898878</v>
      </c>
      <c r="G587" t="s">
        <v>20</v>
      </c>
      <c r="H587">
        <v>136</v>
      </c>
      <c r="I587" s="9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3">
        <f t="shared" si="37"/>
        <v>40255.208333333336</v>
      </c>
      <c r="O587" s="13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 s="7">
        <v>700</v>
      </c>
      <c r="E588" s="7">
        <v>6654</v>
      </c>
      <c r="F588" s="7">
        <f t="shared" si="36"/>
        <v>950.57142857142856</v>
      </c>
      <c r="G588" t="s">
        <v>20</v>
      </c>
      <c r="H588">
        <v>130</v>
      </c>
      <c r="I588" s="9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3">
        <f t="shared" si="37"/>
        <v>40499.25</v>
      </c>
      <c r="O588" s="13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 s="7">
        <v>9400</v>
      </c>
      <c r="E589" s="7">
        <v>6852</v>
      </c>
      <c r="F589" s="7">
        <f t="shared" si="36"/>
        <v>72.893617021276597</v>
      </c>
      <c r="G589" t="s">
        <v>14</v>
      </c>
      <c r="H589">
        <v>156</v>
      </c>
      <c r="I589" s="9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3">
        <f t="shared" si="37"/>
        <v>43484.25</v>
      </c>
      <c r="O589" s="13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 s="7">
        <v>157600</v>
      </c>
      <c r="E590" s="7">
        <v>124517</v>
      </c>
      <c r="F590" s="7">
        <f t="shared" si="36"/>
        <v>79.008248730964468</v>
      </c>
      <c r="G590" t="s">
        <v>14</v>
      </c>
      <c r="H590">
        <v>1368</v>
      </c>
      <c r="I590" s="9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3">
        <f t="shared" si="37"/>
        <v>40262.208333333336</v>
      </c>
      <c r="O590" s="13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 s="7">
        <v>7900</v>
      </c>
      <c r="E591" s="7">
        <v>5113</v>
      </c>
      <c r="F591" s="7">
        <f t="shared" si="36"/>
        <v>64.721518987341781</v>
      </c>
      <c r="G591" t="s">
        <v>14</v>
      </c>
      <c r="H591">
        <v>102</v>
      </c>
      <c r="I591" s="9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3">
        <f t="shared" si="37"/>
        <v>42190.208333333328</v>
      </c>
      <c r="O591" s="13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 s="7">
        <v>7100</v>
      </c>
      <c r="E592" s="7">
        <v>5824</v>
      </c>
      <c r="F592" s="7">
        <f t="shared" si="36"/>
        <v>82.028169014084511</v>
      </c>
      <c r="G592" t="s">
        <v>14</v>
      </c>
      <c r="H592">
        <v>86</v>
      </c>
      <c r="I592" s="9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3">
        <f t="shared" si="37"/>
        <v>41994.25</v>
      </c>
      <c r="O592" s="13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 s="7">
        <v>600</v>
      </c>
      <c r="E593" s="7">
        <v>6226</v>
      </c>
      <c r="F593" s="7">
        <f t="shared" si="36"/>
        <v>1037.6666666666667</v>
      </c>
      <c r="G593" t="s">
        <v>20</v>
      </c>
      <c r="H593">
        <v>102</v>
      </c>
      <c r="I593" s="9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3">
        <f t="shared" si="37"/>
        <v>40373.208333333336</v>
      </c>
      <c r="O593" s="13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 s="7">
        <v>156800</v>
      </c>
      <c r="E594" s="7">
        <v>20243</v>
      </c>
      <c r="F594" s="7">
        <f t="shared" si="36"/>
        <v>12.910076530612244</v>
      </c>
      <c r="G594" t="s">
        <v>14</v>
      </c>
      <c r="H594">
        <v>253</v>
      </c>
      <c r="I594" s="9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3">
        <f t="shared" si="37"/>
        <v>41789.208333333336</v>
      </c>
      <c r="O594" s="13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 s="7">
        <v>121600</v>
      </c>
      <c r="E595" s="7">
        <v>188288</v>
      </c>
      <c r="F595" s="7">
        <f t="shared" si="36"/>
        <v>154.84210526315789</v>
      </c>
      <c r="G595" t="s">
        <v>20</v>
      </c>
      <c r="H595">
        <v>4006</v>
      </c>
      <c r="I595" s="9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3">
        <f t="shared" si="37"/>
        <v>41724.208333333336</v>
      </c>
      <c r="O595" s="13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 s="7">
        <v>157300</v>
      </c>
      <c r="E596" s="7">
        <v>11167</v>
      </c>
      <c r="F596" s="7">
        <f t="shared" si="36"/>
        <v>7.0991735537190088</v>
      </c>
      <c r="G596" t="s">
        <v>14</v>
      </c>
      <c r="H596">
        <v>157</v>
      </c>
      <c r="I596" s="9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3">
        <f t="shared" si="37"/>
        <v>42548.208333333328</v>
      </c>
      <c r="O596" s="13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 s="7">
        <v>70300</v>
      </c>
      <c r="E597" s="7">
        <v>146595</v>
      </c>
      <c r="F597" s="7">
        <f t="shared" si="36"/>
        <v>208.52773826458036</v>
      </c>
      <c r="G597" t="s">
        <v>20</v>
      </c>
      <c r="H597">
        <v>1629</v>
      </c>
      <c r="I597" s="9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3">
        <f t="shared" si="37"/>
        <v>40253.208333333336</v>
      </c>
      <c r="O597" s="13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 s="7">
        <v>7900</v>
      </c>
      <c r="E598" s="7">
        <v>7875</v>
      </c>
      <c r="F598" s="7">
        <f t="shared" si="36"/>
        <v>99.683544303797461</v>
      </c>
      <c r="G598" t="s">
        <v>14</v>
      </c>
      <c r="H598">
        <v>183</v>
      </c>
      <c r="I598" s="9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3">
        <f t="shared" si="37"/>
        <v>42434.25</v>
      </c>
      <c r="O598" s="13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 s="7">
        <v>73800</v>
      </c>
      <c r="E599" s="7">
        <v>148779</v>
      </c>
      <c r="F599" s="7">
        <f t="shared" si="36"/>
        <v>201.59756097560978</v>
      </c>
      <c r="G599" t="s">
        <v>20</v>
      </c>
      <c r="H599">
        <v>2188</v>
      </c>
      <c r="I599" s="9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3">
        <f t="shared" si="37"/>
        <v>43786.25</v>
      </c>
      <c r="O599" s="13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 s="7">
        <v>108500</v>
      </c>
      <c r="E600" s="7">
        <v>175868</v>
      </c>
      <c r="F600" s="7">
        <f t="shared" si="36"/>
        <v>162.09032258064516</v>
      </c>
      <c r="G600" t="s">
        <v>20</v>
      </c>
      <c r="H600">
        <v>2409</v>
      </c>
      <c r="I600" s="9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3">
        <f t="shared" si="37"/>
        <v>40344.208333333336</v>
      </c>
      <c r="O600" s="13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 s="7">
        <v>140300</v>
      </c>
      <c r="E601" s="7">
        <v>5112</v>
      </c>
      <c r="F601" s="7">
        <f t="shared" si="36"/>
        <v>3.6436208125445471</v>
      </c>
      <c r="G601" t="s">
        <v>14</v>
      </c>
      <c r="H601">
        <v>82</v>
      </c>
      <c r="I601" s="9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3">
        <f t="shared" si="37"/>
        <v>42047.25</v>
      </c>
      <c r="O601" s="13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 s="7">
        <v>100</v>
      </c>
      <c r="E602" s="7">
        <v>5</v>
      </c>
      <c r="F602" s="7">
        <f t="shared" si="36"/>
        <v>5</v>
      </c>
      <c r="G602" t="s">
        <v>14</v>
      </c>
      <c r="H602">
        <v>1</v>
      </c>
      <c r="I602" s="9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3">
        <f t="shared" si="37"/>
        <v>41485.208333333336</v>
      </c>
      <c r="O602" s="13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 s="7">
        <v>6300</v>
      </c>
      <c r="E603" s="7">
        <v>13018</v>
      </c>
      <c r="F603" s="7">
        <f t="shared" si="36"/>
        <v>206.63492063492063</v>
      </c>
      <c r="G603" t="s">
        <v>20</v>
      </c>
      <c r="H603">
        <v>194</v>
      </c>
      <c r="I603" s="9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3">
        <f t="shared" si="37"/>
        <v>41789.208333333336</v>
      </c>
      <c r="O603" s="13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 s="7">
        <v>71100</v>
      </c>
      <c r="E604" s="7">
        <v>91176</v>
      </c>
      <c r="F604" s="7">
        <f t="shared" si="36"/>
        <v>128.23628691983123</v>
      </c>
      <c r="G604" t="s">
        <v>20</v>
      </c>
      <c r="H604">
        <v>1140</v>
      </c>
      <c r="I604" s="9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3">
        <f t="shared" si="37"/>
        <v>42160.208333333328</v>
      </c>
      <c r="O604" s="13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 s="7">
        <v>5300</v>
      </c>
      <c r="E605" s="7">
        <v>6342</v>
      </c>
      <c r="F605" s="7">
        <f t="shared" si="36"/>
        <v>119.66037735849055</v>
      </c>
      <c r="G605" t="s">
        <v>20</v>
      </c>
      <c r="H605">
        <v>102</v>
      </c>
      <c r="I605" s="9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3">
        <f t="shared" si="37"/>
        <v>43573.208333333328</v>
      </c>
      <c r="O605" s="13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 s="7">
        <v>88700</v>
      </c>
      <c r="E606" s="7">
        <v>151438</v>
      </c>
      <c r="F606" s="7">
        <f t="shared" si="36"/>
        <v>170.73055242390078</v>
      </c>
      <c r="G606" t="s">
        <v>20</v>
      </c>
      <c r="H606">
        <v>2857</v>
      </c>
      <c r="I606" s="9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3">
        <f t="shared" si="37"/>
        <v>40565.25</v>
      </c>
      <c r="O606" s="13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 s="7">
        <v>3300</v>
      </c>
      <c r="E607" s="7">
        <v>6178</v>
      </c>
      <c r="F607" s="7">
        <f t="shared" si="36"/>
        <v>187.21212121212122</v>
      </c>
      <c r="G607" t="s">
        <v>20</v>
      </c>
      <c r="H607">
        <v>107</v>
      </c>
      <c r="I607" s="9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3">
        <f t="shared" si="37"/>
        <v>42280.208333333328</v>
      </c>
      <c r="O607" s="13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 s="7">
        <v>3400</v>
      </c>
      <c r="E608" s="7">
        <v>6405</v>
      </c>
      <c r="F608" s="7">
        <f t="shared" si="36"/>
        <v>188.38235294117646</v>
      </c>
      <c r="G608" t="s">
        <v>20</v>
      </c>
      <c r="H608">
        <v>160</v>
      </c>
      <c r="I608" s="9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3">
        <f t="shared" si="37"/>
        <v>42436.25</v>
      </c>
      <c r="O608" s="13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 s="7">
        <v>137600</v>
      </c>
      <c r="E609" s="7">
        <v>180667</v>
      </c>
      <c r="F609" s="7">
        <f t="shared" si="36"/>
        <v>131.29869186046511</v>
      </c>
      <c r="G609" t="s">
        <v>20</v>
      </c>
      <c r="H609">
        <v>2230</v>
      </c>
      <c r="I609" s="9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3">
        <f t="shared" si="37"/>
        <v>41721.208333333336</v>
      </c>
      <c r="O609" s="13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 s="7">
        <v>3900</v>
      </c>
      <c r="E610" s="7">
        <v>11075</v>
      </c>
      <c r="F610" s="7">
        <f t="shared" si="36"/>
        <v>283.97435897435901</v>
      </c>
      <c r="G610" t="s">
        <v>20</v>
      </c>
      <c r="H610">
        <v>316</v>
      </c>
      <c r="I610" s="9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3">
        <f t="shared" si="37"/>
        <v>43530.25</v>
      </c>
      <c r="O610" s="13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 s="7">
        <v>10000</v>
      </c>
      <c r="E611" s="7">
        <v>12042</v>
      </c>
      <c r="F611" s="7">
        <f t="shared" si="36"/>
        <v>120.41999999999999</v>
      </c>
      <c r="G611" t="s">
        <v>20</v>
      </c>
      <c r="H611">
        <v>117</v>
      </c>
      <c r="I611" s="9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3">
        <f t="shared" si="37"/>
        <v>43481.25</v>
      </c>
      <c r="O611" s="13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 s="7">
        <v>42800</v>
      </c>
      <c r="E612" s="7">
        <v>179356</v>
      </c>
      <c r="F612" s="7">
        <f t="shared" si="36"/>
        <v>419.0560747663551</v>
      </c>
      <c r="G612" t="s">
        <v>20</v>
      </c>
      <c r="H612">
        <v>6406</v>
      </c>
      <c r="I612" s="9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3">
        <f t="shared" si="37"/>
        <v>41259.25</v>
      </c>
      <c r="O612" s="13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 s="7">
        <v>8200</v>
      </c>
      <c r="E613" s="7">
        <v>1136</v>
      </c>
      <c r="F613" s="7">
        <f t="shared" si="36"/>
        <v>13.853658536585368</v>
      </c>
      <c r="G613" t="s">
        <v>74</v>
      </c>
      <c r="H613">
        <v>15</v>
      </c>
      <c r="I613" s="9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3">
        <f t="shared" si="37"/>
        <v>41480.208333333336</v>
      </c>
      <c r="O613" s="13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 s="7">
        <v>6200</v>
      </c>
      <c r="E614" s="7">
        <v>8645</v>
      </c>
      <c r="F614" s="7">
        <f t="shared" si="36"/>
        <v>139.43548387096774</v>
      </c>
      <c r="G614" t="s">
        <v>20</v>
      </c>
      <c r="H614">
        <v>192</v>
      </c>
      <c r="I614" s="9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3">
        <f t="shared" si="37"/>
        <v>40474.208333333336</v>
      </c>
      <c r="O614" s="13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 s="7">
        <v>1100</v>
      </c>
      <c r="E615" s="7">
        <v>1914</v>
      </c>
      <c r="F615" s="7">
        <f t="shared" si="36"/>
        <v>174</v>
      </c>
      <c r="G615" t="s">
        <v>20</v>
      </c>
      <c r="H615">
        <v>26</v>
      </c>
      <c r="I615" s="9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3">
        <f t="shared" si="37"/>
        <v>42973.208333333328</v>
      </c>
      <c r="O615" s="13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 s="7">
        <v>26500</v>
      </c>
      <c r="E616" s="7">
        <v>41205</v>
      </c>
      <c r="F616" s="7">
        <f t="shared" si="36"/>
        <v>155.49056603773585</v>
      </c>
      <c r="G616" t="s">
        <v>20</v>
      </c>
      <c r="H616">
        <v>723</v>
      </c>
      <c r="I616" s="9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3">
        <f t="shared" si="37"/>
        <v>42746.25</v>
      </c>
      <c r="O616" s="13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 s="7">
        <v>8500</v>
      </c>
      <c r="E617" s="7">
        <v>14488</v>
      </c>
      <c r="F617" s="7">
        <f t="shared" si="36"/>
        <v>170.44705882352943</v>
      </c>
      <c r="G617" t="s">
        <v>20</v>
      </c>
      <c r="H617">
        <v>170</v>
      </c>
      <c r="I617" s="9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3">
        <f t="shared" si="37"/>
        <v>42489.208333333328</v>
      </c>
      <c r="O617" s="13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 s="7">
        <v>6400</v>
      </c>
      <c r="E618" s="7">
        <v>12129</v>
      </c>
      <c r="F618" s="7">
        <f t="shared" si="36"/>
        <v>189.515625</v>
      </c>
      <c r="G618" t="s">
        <v>20</v>
      </c>
      <c r="H618">
        <v>238</v>
      </c>
      <c r="I618" s="9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3">
        <f t="shared" si="37"/>
        <v>41537.208333333336</v>
      </c>
      <c r="O618" s="13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 s="7">
        <v>1400</v>
      </c>
      <c r="E619" s="7">
        <v>3496</v>
      </c>
      <c r="F619" s="7">
        <f t="shared" si="36"/>
        <v>249.71428571428572</v>
      </c>
      <c r="G619" t="s">
        <v>20</v>
      </c>
      <c r="H619">
        <v>55</v>
      </c>
      <c r="I619" s="9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3">
        <f t="shared" si="37"/>
        <v>41794.208333333336</v>
      </c>
      <c r="O619" s="13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 s="7">
        <v>198600</v>
      </c>
      <c r="E620" s="7">
        <v>97037</v>
      </c>
      <c r="F620" s="7">
        <f t="shared" si="36"/>
        <v>48.860523665659613</v>
      </c>
      <c r="G620" t="s">
        <v>14</v>
      </c>
      <c r="H620">
        <v>1198</v>
      </c>
      <c r="I620" s="9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3">
        <f t="shared" si="37"/>
        <v>41396.208333333336</v>
      </c>
      <c r="O620" s="13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 s="7">
        <v>195900</v>
      </c>
      <c r="E621" s="7">
        <v>55757</v>
      </c>
      <c r="F621" s="7">
        <f t="shared" si="36"/>
        <v>28.461970393057683</v>
      </c>
      <c r="G621" t="s">
        <v>14</v>
      </c>
      <c r="H621">
        <v>648</v>
      </c>
      <c r="I621" s="9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3">
        <f t="shared" si="37"/>
        <v>40669.208333333336</v>
      </c>
      <c r="O621" s="13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 s="7">
        <v>4300</v>
      </c>
      <c r="E622" s="7">
        <v>11525</v>
      </c>
      <c r="F622" s="7">
        <f t="shared" si="36"/>
        <v>268.02325581395348</v>
      </c>
      <c r="G622" t="s">
        <v>20</v>
      </c>
      <c r="H622">
        <v>128</v>
      </c>
      <c r="I622" s="9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3">
        <f t="shared" si="37"/>
        <v>42559.208333333328</v>
      </c>
      <c r="O622" s="13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 s="7">
        <v>25600</v>
      </c>
      <c r="E623" s="7">
        <v>158669</v>
      </c>
      <c r="F623" s="7">
        <f t="shared" si="36"/>
        <v>619.80078125</v>
      </c>
      <c r="G623" t="s">
        <v>20</v>
      </c>
      <c r="H623">
        <v>2144</v>
      </c>
      <c r="I623" s="9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3">
        <f t="shared" si="37"/>
        <v>42626.208333333328</v>
      </c>
      <c r="O623" s="13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 s="7">
        <v>189000</v>
      </c>
      <c r="E624" s="7">
        <v>5916</v>
      </c>
      <c r="F624" s="7">
        <f t="shared" si="36"/>
        <v>3.1301587301587301</v>
      </c>
      <c r="G624" t="s">
        <v>14</v>
      </c>
      <c r="H624">
        <v>64</v>
      </c>
      <c r="I624" s="9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3">
        <f t="shared" si="37"/>
        <v>43205.208333333328</v>
      </c>
      <c r="O624" s="13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 s="7">
        <v>94300</v>
      </c>
      <c r="E625" s="7">
        <v>150806</v>
      </c>
      <c r="F625" s="7">
        <f t="shared" si="36"/>
        <v>159.92152704135739</v>
      </c>
      <c r="G625" t="s">
        <v>20</v>
      </c>
      <c r="H625">
        <v>2693</v>
      </c>
      <c r="I625" s="9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3">
        <f t="shared" si="37"/>
        <v>42201.208333333328</v>
      </c>
      <c r="O625" s="13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 s="7">
        <v>5100</v>
      </c>
      <c r="E626" s="7">
        <v>14249</v>
      </c>
      <c r="F626" s="7">
        <f t="shared" si="36"/>
        <v>279.39215686274508</v>
      </c>
      <c r="G626" t="s">
        <v>20</v>
      </c>
      <c r="H626">
        <v>432</v>
      </c>
      <c r="I626" s="9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3">
        <f t="shared" si="37"/>
        <v>42029.25</v>
      </c>
      <c r="O626" s="13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 s="7">
        <v>7500</v>
      </c>
      <c r="E627" s="7">
        <v>5803</v>
      </c>
      <c r="F627" s="7">
        <f t="shared" si="36"/>
        <v>77.373333333333335</v>
      </c>
      <c r="G627" t="s">
        <v>14</v>
      </c>
      <c r="H627">
        <v>62</v>
      </c>
      <c r="I627" s="9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3">
        <f t="shared" si="37"/>
        <v>43857.25</v>
      </c>
      <c r="O627" s="13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 s="7">
        <v>6400</v>
      </c>
      <c r="E628" s="7">
        <v>13205</v>
      </c>
      <c r="F628" s="7">
        <f t="shared" si="36"/>
        <v>206.32812500000003</v>
      </c>
      <c r="G628" t="s">
        <v>20</v>
      </c>
      <c r="H628">
        <v>189</v>
      </c>
      <c r="I628" s="9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3">
        <f t="shared" si="37"/>
        <v>40449.208333333336</v>
      </c>
      <c r="O628" s="13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 s="7">
        <v>1600</v>
      </c>
      <c r="E629" s="7">
        <v>11108</v>
      </c>
      <c r="F629" s="7">
        <f t="shared" si="36"/>
        <v>694.25</v>
      </c>
      <c r="G629" t="s">
        <v>20</v>
      </c>
      <c r="H629">
        <v>154</v>
      </c>
      <c r="I629" s="9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3">
        <f t="shared" si="37"/>
        <v>40345.208333333336</v>
      </c>
      <c r="O629" s="13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 s="7">
        <v>1900</v>
      </c>
      <c r="E630" s="7">
        <v>2884</v>
      </c>
      <c r="F630" s="7">
        <f t="shared" si="36"/>
        <v>151.78947368421052</v>
      </c>
      <c r="G630" t="s">
        <v>20</v>
      </c>
      <c r="H630">
        <v>96</v>
      </c>
      <c r="I630" s="9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3">
        <f t="shared" si="37"/>
        <v>40455.208333333336</v>
      </c>
      <c r="O630" s="13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 s="7">
        <v>85900</v>
      </c>
      <c r="E631" s="7">
        <v>55476</v>
      </c>
      <c r="F631" s="7">
        <f t="shared" si="36"/>
        <v>64.58207217694995</v>
      </c>
      <c r="G631" t="s">
        <v>14</v>
      </c>
      <c r="H631">
        <v>750</v>
      </c>
      <c r="I631" s="9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3">
        <f t="shared" si="37"/>
        <v>42557.208333333328</v>
      </c>
      <c r="O631" s="13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 s="7">
        <v>9500</v>
      </c>
      <c r="E632" s="7">
        <v>5973</v>
      </c>
      <c r="F632" s="7">
        <f t="shared" si="36"/>
        <v>62.873684210526314</v>
      </c>
      <c r="G632" t="s">
        <v>74</v>
      </c>
      <c r="H632">
        <v>87</v>
      </c>
      <c r="I632" s="9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3">
        <f t="shared" si="37"/>
        <v>43586.208333333328</v>
      </c>
      <c r="O632" s="13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 s="7">
        <v>59200</v>
      </c>
      <c r="E633" s="7">
        <v>183756</v>
      </c>
      <c r="F633" s="7">
        <f t="shared" si="36"/>
        <v>310.39864864864865</v>
      </c>
      <c r="G633" t="s">
        <v>20</v>
      </c>
      <c r="H633">
        <v>3063</v>
      </c>
      <c r="I633" s="9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3">
        <f t="shared" si="37"/>
        <v>43550.208333333328</v>
      </c>
      <c r="O633" s="13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 s="7">
        <v>72100</v>
      </c>
      <c r="E634" s="7">
        <v>30902</v>
      </c>
      <c r="F634" s="7">
        <f t="shared" si="36"/>
        <v>42.859916782246884</v>
      </c>
      <c r="G634" t="s">
        <v>47</v>
      </c>
      <c r="H634">
        <v>278</v>
      </c>
      <c r="I634" s="9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3">
        <f t="shared" si="37"/>
        <v>41945.208333333336</v>
      </c>
      <c r="O634" s="13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 s="7">
        <v>6700</v>
      </c>
      <c r="E635" s="7">
        <v>5569</v>
      </c>
      <c r="F635" s="7">
        <f t="shared" si="36"/>
        <v>83.119402985074629</v>
      </c>
      <c r="G635" t="s">
        <v>14</v>
      </c>
      <c r="H635">
        <v>105</v>
      </c>
      <c r="I635" s="9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3">
        <f t="shared" si="37"/>
        <v>42315.25</v>
      </c>
      <c r="O635" s="13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 s="7">
        <v>118200</v>
      </c>
      <c r="E636" s="7">
        <v>92824</v>
      </c>
      <c r="F636" s="7">
        <f t="shared" si="36"/>
        <v>78.531302876480552</v>
      </c>
      <c r="G636" t="s">
        <v>74</v>
      </c>
      <c r="H636">
        <v>1658</v>
      </c>
      <c r="I636" s="9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3">
        <f t="shared" si="37"/>
        <v>42819.208333333328</v>
      </c>
      <c r="O636" s="13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 s="7">
        <v>139000</v>
      </c>
      <c r="E637" s="7">
        <v>158590</v>
      </c>
      <c r="F637" s="7">
        <f t="shared" si="36"/>
        <v>114.09352517985612</v>
      </c>
      <c r="G637" t="s">
        <v>20</v>
      </c>
      <c r="H637">
        <v>2266</v>
      </c>
      <c r="I637" s="9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3">
        <f t="shared" si="37"/>
        <v>41314.25</v>
      </c>
      <c r="O637" s="13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 s="7">
        <v>197700</v>
      </c>
      <c r="E638" s="7">
        <v>127591</v>
      </c>
      <c r="F638" s="7">
        <f t="shared" si="36"/>
        <v>64.537683358624179</v>
      </c>
      <c r="G638" t="s">
        <v>14</v>
      </c>
      <c r="H638">
        <v>2604</v>
      </c>
      <c r="I638" s="9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3">
        <f t="shared" si="37"/>
        <v>40926.25</v>
      </c>
      <c r="O638" s="13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 s="7">
        <v>8500</v>
      </c>
      <c r="E639" s="7">
        <v>6750</v>
      </c>
      <c r="F639" s="7">
        <f t="shared" si="36"/>
        <v>79.411764705882348</v>
      </c>
      <c r="G639" t="s">
        <v>14</v>
      </c>
      <c r="H639">
        <v>65</v>
      </c>
      <c r="I639" s="9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3">
        <f t="shared" si="37"/>
        <v>42688.25</v>
      </c>
      <c r="O639" s="13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 s="7">
        <v>81600</v>
      </c>
      <c r="E640" s="7">
        <v>9318</v>
      </c>
      <c r="F640" s="7">
        <f t="shared" si="36"/>
        <v>11.419117647058824</v>
      </c>
      <c r="G640" t="s">
        <v>14</v>
      </c>
      <c r="H640">
        <v>94</v>
      </c>
      <c r="I640" s="9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3">
        <f t="shared" si="37"/>
        <v>40386.208333333336</v>
      </c>
      <c r="O640" s="13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 s="7">
        <v>8600</v>
      </c>
      <c r="E641" s="7">
        <v>4832</v>
      </c>
      <c r="F641" s="7">
        <f t="shared" si="36"/>
        <v>56.186046511627907</v>
      </c>
      <c r="G641" t="s">
        <v>47</v>
      </c>
      <c r="H641">
        <v>45</v>
      </c>
      <c r="I641" s="9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3">
        <f t="shared" si="37"/>
        <v>43309.208333333328</v>
      </c>
      <c r="O641" s="13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 s="7">
        <v>119800</v>
      </c>
      <c r="E642" s="7">
        <v>19769</v>
      </c>
      <c r="F642" s="7">
        <f t="shared" si="36"/>
        <v>16.501669449081803</v>
      </c>
      <c r="G642" t="s">
        <v>14</v>
      </c>
      <c r="H642">
        <v>257</v>
      </c>
      <c r="I642" s="9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3">
        <f t="shared" si="37"/>
        <v>42387.25</v>
      </c>
      <c r="O642" s="13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 s="7">
        <v>9400</v>
      </c>
      <c r="E643" s="7">
        <v>11277</v>
      </c>
      <c r="F643" s="7">
        <f t="shared" ref="F643:F706" si="40">(E643/D643)*100</f>
        <v>119.96808510638297</v>
      </c>
      <c r="G643" t="s">
        <v>20</v>
      </c>
      <c r="H643">
        <v>194</v>
      </c>
      <c r="I643" s="9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3">
        <f t="shared" ref="N643:N706" si="41">(((L643/60)/60)/24)+DATE(1970,1,1)</f>
        <v>42786.25</v>
      </c>
      <c r="O643" s="13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 s="7">
        <v>9200</v>
      </c>
      <c r="E644" s="7">
        <v>13382</v>
      </c>
      <c r="F644" s="7">
        <f t="shared" si="40"/>
        <v>145.45652173913044</v>
      </c>
      <c r="G644" t="s">
        <v>20</v>
      </c>
      <c r="H644">
        <v>129</v>
      </c>
      <c r="I644" s="9">
        <f t="shared" ref="I644:I707" si="43">IFERROR(E644/H644,0)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3">
        <f t="shared" si="41"/>
        <v>43451.25</v>
      </c>
      <c r="O644" s="13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 s="7">
        <v>14900</v>
      </c>
      <c r="E645" s="7">
        <v>32986</v>
      </c>
      <c r="F645" s="7">
        <f t="shared" si="40"/>
        <v>221.38255033557047</v>
      </c>
      <c r="G645" t="s">
        <v>20</v>
      </c>
      <c r="H645">
        <v>375</v>
      </c>
      <c r="I645" s="9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3">
        <f t="shared" si="41"/>
        <v>42795.25</v>
      </c>
      <c r="O645" s="13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 s="7">
        <v>169400</v>
      </c>
      <c r="E646" s="7">
        <v>81984</v>
      </c>
      <c r="F646" s="7">
        <f t="shared" si="40"/>
        <v>48.396694214876035</v>
      </c>
      <c r="G646" t="s">
        <v>14</v>
      </c>
      <c r="H646">
        <v>2928</v>
      </c>
      <c r="I646" s="9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3">
        <f t="shared" si="41"/>
        <v>43452.25</v>
      </c>
      <c r="O646" s="13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 s="7">
        <v>192100</v>
      </c>
      <c r="E647" s="7">
        <v>178483</v>
      </c>
      <c r="F647" s="7">
        <f t="shared" si="40"/>
        <v>92.911504424778755</v>
      </c>
      <c r="G647" t="s">
        <v>14</v>
      </c>
      <c r="H647">
        <v>4697</v>
      </c>
      <c r="I647" s="9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3">
        <f t="shared" si="41"/>
        <v>43369.208333333328</v>
      </c>
      <c r="O647" s="13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 s="7">
        <v>98700</v>
      </c>
      <c r="E648" s="7">
        <v>87448</v>
      </c>
      <c r="F648" s="7">
        <f t="shared" si="40"/>
        <v>88.599797365754824</v>
      </c>
      <c r="G648" t="s">
        <v>14</v>
      </c>
      <c r="H648">
        <v>2915</v>
      </c>
      <c r="I648" s="9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3">
        <f t="shared" si="41"/>
        <v>41346.208333333336</v>
      </c>
      <c r="O648" s="13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 s="7">
        <v>4500</v>
      </c>
      <c r="E649" s="7">
        <v>1863</v>
      </c>
      <c r="F649" s="7">
        <f t="shared" si="40"/>
        <v>41.4</v>
      </c>
      <c r="G649" t="s">
        <v>14</v>
      </c>
      <c r="H649">
        <v>18</v>
      </c>
      <c r="I649" s="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3">
        <f t="shared" si="41"/>
        <v>43199.208333333328</v>
      </c>
      <c r="O649" s="13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 s="7">
        <v>98600</v>
      </c>
      <c r="E650" s="7">
        <v>62174</v>
      </c>
      <c r="F650" s="7">
        <f t="shared" si="40"/>
        <v>63.056795131845846</v>
      </c>
      <c r="G650" t="s">
        <v>74</v>
      </c>
      <c r="H650">
        <v>723</v>
      </c>
      <c r="I650" s="9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3">
        <f t="shared" si="41"/>
        <v>42922.208333333328</v>
      </c>
      <c r="O650" s="13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 s="7">
        <v>121700</v>
      </c>
      <c r="E651" s="7">
        <v>59003</v>
      </c>
      <c r="F651" s="7">
        <f t="shared" si="40"/>
        <v>48.482333607230892</v>
      </c>
      <c r="G651" t="s">
        <v>14</v>
      </c>
      <c r="H651">
        <v>602</v>
      </c>
      <c r="I651" s="9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3">
        <f t="shared" si="41"/>
        <v>40471.208333333336</v>
      </c>
      <c r="O651" s="13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 s="7">
        <v>100</v>
      </c>
      <c r="E652" s="7">
        <v>2</v>
      </c>
      <c r="F652" s="7">
        <f t="shared" si="40"/>
        <v>2</v>
      </c>
      <c r="G652" t="s">
        <v>14</v>
      </c>
      <c r="H652">
        <v>1</v>
      </c>
      <c r="I652" s="9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3">
        <f t="shared" si="41"/>
        <v>41828.208333333336</v>
      </c>
      <c r="O652" s="13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 s="7">
        <v>196700</v>
      </c>
      <c r="E653" s="7">
        <v>174039</v>
      </c>
      <c r="F653" s="7">
        <f t="shared" si="40"/>
        <v>88.47941026944585</v>
      </c>
      <c r="G653" t="s">
        <v>14</v>
      </c>
      <c r="H653">
        <v>3868</v>
      </c>
      <c r="I653" s="9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3">
        <f t="shared" si="41"/>
        <v>41692.25</v>
      </c>
      <c r="O653" s="13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 s="7">
        <v>10000</v>
      </c>
      <c r="E654" s="7">
        <v>12684</v>
      </c>
      <c r="F654" s="7">
        <f t="shared" si="40"/>
        <v>126.84</v>
      </c>
      <c r="G654" t="s">
        <v>20</v>
      </c>
      <c r="H654">
        <v>409</v>
      </c>
      <c r="I654" s="9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3">
        <f t="shared" si="41"/>
        <v>42587.208333333328</v>
      </c>
      <c r="O654" s="13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 s="7">
        <v>600</v>
      </c>
      <c r="E655" s="7">
        <v>14033</v>
      </c>
      <c r="F655" s="7">
        <f t="shared" si="40"/>
        <v>2338.833333333333</v>
      </c>
      <c r="G655" t="s">
        <v>20</v>
      </c>
      <c r="H655">
        <v>234</v>
      </c>
      <c r="I655" s="9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3">
        <f t="shared" si="41"/>
        <v>42468.208333333328</v>
      </c>
      <c r="O655" s="13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 s="7">
        <v>35000</v>
      </c>
      <c r="E656" s="7">
        <v>177936</v>
      </c>
      <c r="F656" s="7">
        <f t="shared" si="40"/>
        <v>508.38857142857148</v>
      </c>
      <c r="G656" t="s">
        <v>20</v>
      </c>
      <c r="H656">
        <v>3016</v>
      </c>
      <c r="I656" s="9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3">
        <f t="shared" si="41"/>
        <v>42240.208333333328</v>
      </c>
      <c r="O656" s="13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 s="7">
        <v>6900</v>
      </c>
      <c r="E657" s="7">
        <v>13212</v>
      </c>
      <c r="F657" s="7">
        <f t="shared" si="40"/>
        <v>191.47826086956522</v>
      </c>
      <c r="G657" t="s">
        <v>20</v>
      </c>
      <c r="H657">
        <v>264</v>
      </c>
      <c r="I657" s="9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3">
        <f t="shared" si="41"/>
        <v>42796.25</v>
      </c>
      <c r="O657" s="13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 s="7">
        <v>118400</v>
      </c>
      <c r="E658" s="7">
        <v>49879</v>
      </c>
      <c r="F658" s="7">
        <f t="shared" si="40"/>
        <v>42.127533783783782</v>
      </c>
      <c r="G658" t="s">
        <v>14</v>
      </c>
      <c r="H658">
        <v>504</v>
      </c>
      <c r="I658" s="9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3">
        <f t="shared" si="41"/>
        <v>43097.25</v>
      </c>
      <c r="O658" s="13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 s="7">
        <v>10000</v>
      </c>
      <c r="E659" s="7">
        <v>824</v>
      </c>
      <c r="F659" s="7">
        <f t="shared" si="40"/>
        <v>8.24</v>
      </c>
      <c r="G659" t="s">
        <v>14</v>
      </c>
      <c r="H659">
        <v>14</v>
      </c>
      <c r="I659" s="9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3">
        <f t="shared" si="41"/>
        <v>43096.25</v>
      </c>
      <c r="O659" s="13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 s="7">
        <v>52600</v>
      </c>
      <c r="E660" s="7">
        <v>31594</v>
      </c>
      <c r="F660" s="7">
        <f t="shared" si="40"/>
        <v>60.064638783269963</v>
      </c>
      <c r="G660" t="s">
        <v>74</v>
      </c>
      <c r="H660">
        <v>390</v>
      </c>
      <c r="I660" s="9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3">
        <f t="shared" si="41"/>
        <v>42246.208333333328</v>
      </c>
      <c r="O660" s="13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 s="7">
        <v>120700</v>
      </c>
      <c r="E661" s="7">
        <v>57010</v>
      </c>
      <c r="F661" s="7">
        <f t="shared" si="40"/>
        <v>47.232808616404313</v>
      </c>
      <c r="G661" t="s">
        <v>14</v>
      </c>
      <c r="H661">
        <v>750</v>
      </c>
      <c r="I661" s="9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3">
        <f t="shared" si="41"/>
        <v>40570.25</v>
      </c>
      <c r="O661" s="13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 s="7">
        <v>9100</v>
      </c>
      <c r="E662" s="7">
        <v>7438</v>
      </c>
      <c r="F662" s="7">
        <f t="shared" si="40"/>
        <v>81.736263736263737</v>
      </c>
      <c r="G662" t="s">
        <v>14</v>
      </c>
      <c r="H662">
        <v>77</v>
      </c>
      <c r="I662" s="9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3">
        <f t="shared" si="41"/>
        <v>42237.208333333328</v>
      </c>
      <c r="O662" s="13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 s="7">
        <v>106800</v>
      </c>
      <c r="E663" s="7">
        <v>57872</v>
      </c>
      <c r="F663" s="7">
        <f t="shared" si="40"/>
        <v>54.187265917603</v>
      </c>
      <c r="G663" t="s">
        <v>14</v>
      </c>
      <c r="H663">
        <v>752</v>
      </c>
      <c r="I663" s="9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3">
        <f t="shared" si="41"/>
        <v>40996.208333333336</v>
      </c>
      <c r="O663" s="13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 s="7">
        <v>9100</v>
      </c>
      <c r="E664" s="7">
        <v>8906</v>
      </c>
      <c r="F664" s="7">
        <f t="shared" si="40"/>
        <v>97.868131868131869</v>
      </c>
      <c r="G664" t="s">
        <v>14</v>
      </c>
      <c r="H664">
        <v>131</v>
      </c>
      <c r="I664" s="9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3">
        <f t="shared" si="41"/>
        <v>43443.25</v>
      </c>
      <c r="O664" s="13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 s="7">
        <v>10000</v>
      </c>
      <c r="E665" s="7">
        <v>7724</v>
      </c>
      <c r="F665" s="7">
        <f t="shared" si="40"/>
        <v>77.239999999999995</v>
      </c>
      <c r="G665" t="s">
        <v>14</v>
      </c>
      <c r="H665">
        <v>87</v>
      </c>
      <c r="I665" s="9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3">
        <f t="shared" si="41"/>
        <v>40458.208333333336</v>
      </c>
      <c r="O665" s="13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 s="7">
        <v>79400</v>
      </c>
      <c r="E666" s="7">
        <v>26571</v>
      </c>
      <c r="F666" s="7">
        <f t="shared" si="40"/>
        <v>33.464735516372798</v>
      </c>
      <c r="G666" t="s">
        <v>14</v>
      </c>
      <c r="H666">
        <v>1063</v>
      </c>
      <c r="I666" s="9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3">
        <f t="shared" si="41"/>
        <v>40959.25</v>
      </c>
      <c r="O666" s="13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 s="7">
        <v>5100</v>
      </c>
      <c r="E667" s="7">
        <v>12219</v>
      </c>
      <c r="F667" s="7">
        <f t="shared" si="40"/>
        <v>239.58823529411765</v>
      </c>
      <c r="G667" t="s">
        <v>20</v>
      </c>
      <c r="H667">
        <v>272</v>
      </c>
      <c r="I667" s="9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3">
        <f t="shared" si="41"/>
        <v>40733.208333333336</v>
      </c>
      <c r="O667" s="13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 s="7">
        <v>3100</v>
      </c>
      <c r="E668" s="7">
        <v>1985</v>
      </c>
      <c r="F668" s="7">
        <f t="shared" si="40"/>
        <v>64.032258064516128</v>
      </c>
      <c r="G668" t="s">
        <v>74</v>
      </c>
      <c r="H668">
        <v>25</v>
      </c>
      <c r="I668" s="9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3">
        <f t="shared" si="41"/>
        <v>41516.208333333336</v>
      </c>
      <c r="O668" s="13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 s="7">
        <v>6900</v>
      </c>
      <c r="E669" s="7">
        <v>12155</v>
      </c>
      <c r="F669" s="7">
        <f t="shared" si="40"/>
        <v>176.15942028985506</v>
      </c>
      <c r="G669" t="s">
        <v>20</v>
      </c>
      <c r="H669">
        <v>419</v>
      </c>
      <c r="I669" s="9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3">
        <f t="shared" si="41"/>
        <v>41892.208333333336</v>
      </c>
      <c r="O669" s="13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 s="7">
        <v>27500</v>
      </c>
      <c r="E670" s="7">
        <v>5593</v>
      </c>
      <c r="F670" s="7">
        <f t="shared" si="40"/>
        <v>20.33818181818182</v>
      </c>
      <c r="G670" t="s">
        <v>14</v>
      </c>
      <c r="H670">
        <v>76</v>
      </c>
      <c r="I670" s="9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3">
        <f t="shared" si="41"/>
        <v>41122.208333333336</v>
      </c>
      <c r="O670" s="13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 s="7">
        <v>48800</v>
      </c>
      <c r="E671" s="7">
        <v>175020</v>
      </c>
      <c r="F671" s="7">
        <f t="shared" si="40"/>
        <v>358.64754098360658</v>
      </c>
      <c r="G671" t="s">
        <v>20</v>
      </c>
      <c r="H671">
        <v>1621</v>
      </c>
      <c r="I671" s="9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3">
        <f t="shared" si="41"/>
        <v>42912.208333333328</v>
      </c>
      <c r="O671" s="13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 s="7">
        <v>16200</v>
      </c>
      <c r="E672" s="7">
        <v>75955</v>
      </c>
      <c r="F672" s="7">
        <f t="shared" si="40"/>
        <v>468.85802469135803</v>
      </c>
      <c r="G672" t="s">
        <v>20</v>
      </c>
      <c r="H672">
        <v>1101</v>
      </c>
      <c r="I672" s="9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3">
        <f t="shared" si="41"/>
        <v>42425.25</v>
      </c>
      <c r="O672" s="13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 s="7">
        <v>97600</v>
      </c>
      <c r="E673" s="7">
        <v>119127</v>
      </c>
      <c r="F673" s="7">
        <f t="shared" si="40"/>
        <v>122.05635245901641</v>
      </c>
      <c r="G673" t="s">
        <v>20</v>
      </c>
      <c r="H673">
        <v>1073</v>
      </c>
      <c r="I673" s="9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3">
        <f t="shared" si="41"/>
        <v>40390.208333333336</v>
      </c>
      <c r="O673" s="13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 s="7">
        <v>197900</v>
      </c>
      <c r="E674" s="7">
        <v>110689</v>
      </c>
      <c r="F674" s="7">
        <f t="shared" si="40"/>
        <v>55.931783729156137</v>
      </c>
      <c r="G674" t="s">
        <v>14</v>
      </c>
      <c r="H674">
        <v>4428</v>
      </c>
      <c r="I674" s="9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3">
        <f t="shared" si="41"/>
        <v>43180.208333333328</v>
      </c>
      <c r="O674" s="13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 s="7">
        <v>5600</v>
      </c>
      <c r="E675" s="7">
        <v>2445</v>
      </c>
      <c r="F675" s="7">
        <f t="shared" si="40"/>
        <v>43.660714285714285</v>
      </c>
      <c r="G675" t="s">
        <v>14</v>
      </c>
      <c r="H675">
        <v>58</v>
      </c>
      <c r="I675" s="9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3">
        <f t="shared" si="41"/>
        <v>42475.208333333328</v>
      </c>
      <c r="O675" s="13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 s="7">
        <v>170700</v>
      </c>
      <c r="E676" s="7">
        <v>57250</v>
      </c>
      <c r="F676" s="7">
        <f t="shared" si="40"/>
        <v>33.53837141183363</v>
      </c>
      <c r="G676" t="s">
        <v>74</v>
      </c>
      <c r="H676">
        <v>1218</v>
      </c>
      <c r="I676" s="9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3">
        <f t="shared" si="41"/>
        <v>40774.208333333336</v>
      </c>
      <c r="O676" s="13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 s="7">
        <v>9700</v>
      </c>
      <c r="E677" s="7">
        <v>11929</v>
      </c>
      <c r="F677" s="7">
        <f t="shared" si="40"/>
        <v>122.97938144329896</v>
      </c>
      <c r="G677" t="s">
        <v>20</v>
      </c>
      <c r="H677">
        <v>331</v>
      </c>
      <c r="I677" s="9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3">
        <f t="shared" si="41"/>
        <v>43719.208333333328</v>
      </c>
      <c r="O677" s="13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 s="7">
        <v>62300</v>
      </c>
      <c r="E678" s="7">
        <v>118214</v>
      </c>
      <c r="F678" s="7">
        <f t="shared" si="40"/>
        <v>189.74959871589084</v>
      </c>
      <c r="G678" t="s">
        <v>20</v>
      </c>
      <c r="H678">
        <v>1170</v>
      </c>
      <c r="I678" s="9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3">
        <f t="shared" si="41"/>
        <v>41178.208333333336</v>
      </c>
      <c r="O678" s="13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 s="7">
        <v>5300</v>
      </c>
      <c r="E679" s="7">
        <v>4432</v>
      </c>
      <c r="F679" s="7">
        <f t="shared" si="40"/>
        <v>83.622641509433961</v>
      </c>
      <c r="G679" t="s">
        <v>14</v>
      </c>
      <c r="H679">
        <v>111</v>
      </c>
      <c r="I679" s="9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3">
        <f t="shared" si="41"/>
        <v>42561.208333333328</v>
      </c>
      <c r="O679" s="13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 s="7">
        <v>99500</v>
      </c>
      <c r="E680" s="7">
        <v>17879</v>
      </c>
      <c r="F680" s="7">
        <f t="shared" si="40"/>
        <v>17.968844221105527</v>
      </c>
      <c r="G680" t="s">
        <v>74</v>
      </c>
      <c r="H680">
        <v>215</v>
      </c>
      <c r="I680" s="9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3">
        <f t="shared" si="41"/>
        <v>43484.25</v>
      </c>
      <c r="O680" s="13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 s="7">
        <v>1400</v>
      </c>
      <c r="E681" s="7">
        <v>14511</v>
      </c>
      <c r="F681" s="7">
        <f t="shared" si="40"/>
        <v>1036.5</v>
      </c>
      <c r="G681" t="s">
        <v>20</v>
      </c>
      <c r="H681">
        <v>363</v>
      </c>
      <c r="I681" s="9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3">
        <f t="shared" si="41"/>
        <v>43756.208333333328</v>
      </c>
      <c r="O681" s="13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 s="7">
        <v>145600</v>
      </c>
      <c r="E682" s="7">
        <v>141822</v>
      </c>
      <c r="F682" s="7">
        <f t="shared" si="40"/>
        <v>97.405219780219781</v>
      </c>
      <c r="G682" t="s">
        <v>14</v>
      </c>
      <c r="H682">
        <v>2955</v>
      </c>
      <c r="I682" s="9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3">
        <f t="shared" si="41"/>
        <v>43813.25</v>
      </c>
      <c r="O682" s="13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 s="7">
        <v>184100</v>
      </c>
      <c r="E683" s="7">
        <v>159037</v>
      </c>
      <c r="F683" s="7">
        <f t="shared" si="40"/>
        <v>86.386203150461711</v>
      </c>
      <c r="G683" t="s">
        <v>14</v>
      </c>
      <c r="H683">
        <v>1657</v>
      </c>
      <c r="I683" s="9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3">
        <f t="shared" si="41"/>
        <v>40898.25</v>
      </c>
      <c r="O683" s="13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 s="7">
        <v>5400</v>
      </c>
      <c r="E684" s="7">
        <v>8109</v>
      </c>
      <c r="F684" s="7">
        <f t="shared" si="40"/>
        <v>150.16666666666666</v>
      </c>
      <c r="G684" t="s">
        <v>20</v>
      </c>
      <c r="H684">
        <v>103</v>
      </c>
      <c r="I684" s="9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3">
        <f t="shared" si="41"/>
        <v>41619.25</v>
      </c>
      <c r="O684" s="13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 s="7">
        <v>2300</v>
      </c>
      <c r="E685" s="7">
        <v>8244</v>
      </c>
      <c r="F685" s="7">
        <f t="shared" si="40"/>
        <v>358.43478260869563</v>
      </c>
      <c r="G685" t="s">
        <v>20</v>
      </c>
      <c r="H685">
        <v>147</v>
      </c>
      <c r="I685" s="9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3">
        <f t="shared" si="41"/>
        <v>43359.208333333328</v>
      </c>
      <c r="O685" s="13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 s="7">
        <v>1400</v>
      </c>
      <c r="E686" s="7">
        <v>7600</v>
      </c>
      <c r="F686" s="7">
        <f t="shared" si="40"/>
        <v>542.85714285714289</v>
      </c>
      <c r="G686" t="s">
        <v>20</v>
      </c>
      <c r="H686">
        <v>110</v>
      </c>
      <c r="I686" s="9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3">
        <f t="shared" si="41"/>
        <v>40358.208333333336</v>
      </c>
      <c r="O686" s="13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 s="7">
        <v>140000</v>
      </c>
      <c r="E687" s="7">
        <v>94501</v>
      </c>
      <c r="F687" s="7">
        <f t="shared" si="40"/>
        <v>67.500714285714281</v>
      </c>
      <c r="G687" t="s">
        <v>14</v>
      </c>
      <c r="H687">
        <v>926</v>
      </c>
      <c r="I687" s="9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3">
        <f t="shared" si="41"/>
        <v>42239.208333333328</v>
      </c>
      <c r="O687" s="13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 s="7">
        <v>7500</v>
      </c>
      <c r="E688" s="7">
        <v>14381</v>
      </c>
      <c r="F688" s="7">
        <f t="shared" si="40"/>
        <v>191.74666666666667</v>
      </c>
      <c r="G688" t="s">
        <v>20</v>
      </c>
      <c r="H688">
        <v>134</v>
      </c>
      <c r="I688" s="9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3">
        <f t="shared" si="41"/>
        <v>43186.208333333328</v>
      </c>
      <c r="O688" s="13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 s="7">
        <v>1500</v>
      </c>
      <c r="E689" s="7">
        <v>13980</v>
      </c>
      <c r="F689" s="7">
        <f t="shared" si="40"/>
        <v>932</v>
      </c>
      <c r="G689" t="s">
        <v>20</v>
      </c>
      <c r="H689">
        <v>269</v>
      </c>
      <c r="I689" s="9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3">
        <f t="shared" si="41"/>
        <v>42806.25</v>
      </c>
      <c r="O689" s="13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 s="7">
        <v>2900</v>
      </c>
      <c r="E690" s="7">
        <v>12449</v>
      </c>
      <c r="F690" s="7">
        <f t="shared" si="40"/>
        <v>429.27586206896552</v>
      </c>
      <c r="G690" t="s">
        <v>20</v>
      </c>
      <c r="H690">
        <v>175</v>
      </c>
      <c r="I690" s="9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3">
        <f t="shared" si="41"/>
        <v>43475.25</v>
      </c>
      <c r="O690" s="13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 s="7">
        <v>7300</v>
      </c>
      <c r="E691" s="7">
        <v>7348</v>
      </c>
      <c r="F691" s="7">
        <f t="shared" si="40"/>
        <v>100.65753424657535</v>
      </c>
      <c r="G691" t="s">
        <v>20</v>
      </c>
      <c r="H691">
        <v>69</v>
      </c>
      <c r="I691" s="9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3">
        <f t="shared" si="41"/>
        <v>41576.208333333336</v>
      </c>
      <c r="O691" s="13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 s="7">
        <v>3600</v>
      </c>
      <c r="E692" s="7">
        <v>8158</v>
      </c>
      <c r="F692" s="7">
        <f t="shared" si="40"/>
        <v>226.61111111111109</v>
      </c>
      <c r="G692" t="s">
        <v>20</v>
      </c>
      <c r="H692">
        <v>190</v>
      </c>
      <c r="I692" s="9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3">
        <f t="shared" si="41"/>
        <v>40874.25</v>
      </c>
      <c r="O692" s="13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 s="7">
        <v>5000</v>
      </c>
      <c r="E693" s="7">
        <v>7119</v>
      </c>
      <c r="F693" s="7">
        <f t="shared" si="40"/>
        <v>142.38</v>
      </c>
      <c r="G693" t="s">
        <v>20</v>
      </c>
      <c r="H693">
        <v>237</v>
      </c>
      <c r="I693" s="9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3">
        <f t="shared" si="41"/>
        <v>41185.208333333336</v>
      </c>
      <c r="O693" s="13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 s="7">
        <v>6000</v>
      </c>
      <c r="E694" s="7">
        <v>5438</v>
      </c>
      <c r="F694" s="7">
        <f t="shared" si="40"/>
        <v>90.633333333333326</v>
      </c>
      <c r="G694" t="s">
        <v>14</v>
      </c>
      <c r="H694">
        <v>77</v>
      </c>
      <c r="I694" s="9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3">
        <f t="shared" si="41"/>
        <v>43655.208333333328</v>
      </c>
      <c r="O694" s="13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 s="7">
        <v>180400</v>
      </c>
      <c r="E695" s="7">
        <v>115396</v>
      </c>
      <c r="F695" s="7">
        <f t="shared" si="40"/>
        <v>63.966740576496676</v>
      </c>
      <c r="G695" t="s">
        <v>14</v>
      </c>
      <c r="H695">
        <v>1748</v>
      </c>
      <c r="I695" s="9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3">
        <f t="shared" si="41"/>
        <v>43025.208333333328</v>
      </c>
      <c r="O695" s="13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 s="7">
        <v>9100</v>
      </c>
      <c r="E696" s="7">
        <v>7656</v>
      </c>
      <c r="F696" s="7">
        <f t="shared" si="40"/>
        <v>84.131868131868131</v>
      </c>
      <c r="G696" t="s">
        <v>14</v>
      </c>
      <c r="H696">
        <v>79</v>
      </c>
      <c r="I696" s="9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3">
        <f t="shared" si="41"/>
        <v>43066.25</v>
      </c>
      <c r="O696" s="13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 s="7">
        <v>9200</v>
      </c>
      <c r="E697" s="7">
        <v>12322</v>
      </c>
      <c r="F697" s="7">
        <f t="shared" si="40"/>
        <v>133.93478260869566</v>
      </c>
      <c r="G697" t="s">
        <v>20</v>
      </c>
      <c r="H697">
        <v>196</v>
      </c>
      <c r="I697" s="9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3">
        <f t="shared" si="41"/>
        <v>42322.25</v>
      </c>
      <c r="O697" s="13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 s="7">
        <v>164100</v>
      </c>
      <c r="E698" s="7">
        <v>96888</v>
      </c>
      <c r="F698" s="7">
        <f t="shared" si="40"/>
        <v>59.042047531992694</v>
      </c>
      <c r="G698" t="s">
        <v>14</v>
      </c>
      <c r="H698">
        <v>889</v>
      </c>
      <c r="I698" s="9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3">
        <f t="shared" si="41"/>
        <v>42114.208333333328</v>
      </c>
      <c r="O698" s="13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 s="7">
        <v>128900</v>
      </c>
      <c r="E699" s="7">
        <v>196960</v>
      </c>
      <c r="F699" s="7">
        <f t="shared" si="40"/>
        <v>152.80062063615205</v>
      </c>
      <c r="G699" t="s">
        <v>20</v>
      </c>
      <c r="H699">
        <v>7295</v>
      </c>
      <c r="I699" s="9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3">
        <f t="shared" si="41"/>
        <v>43190.208333333328</v>
      </c>
      <c r="O699" s="13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 s="7">
        <v>42100</v>
      </c>
      <c r="E700" s="7">
        <v>188057</v>
      </c>
      <c r="F700" s="7">
        <f t="shared" si="40"/>
        <v>446.69121140142522</v>
      </c>
      <c r="G700" t="s">
        <v>20</v>
      </c>
      <c r="H700">
        <v>2893</v>
      </c>
      <c r="I700" s="9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3">
        <f t="shared" si="41"/>
        <v>40871.25</v>
      </c>
      <c r="O700" s="13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 s="7">
        <v>7400</v>
      </c>
      <c r="E701" s="7">
        <v>6245</v>
      </c>
      <c r="F701" s="7">
        <f t="shared" si="40"/>
        <v>84.391891891891888</v>
      </c>
      <c r="G701" t="s">
        <v>14</v>
      </c>
      <c r="H701">
        <v>56</v>
      </c>
      <c r="I701" s="9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3">
        <f t="shared" si="41"/>
        <v>43641.208333333328</v>
      </c>
      <c r="O701" s="13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 s="7">
        <v>100</v>
      </c>
      <c r="E702" s="7">
        <v>3</v>
      </c>
      <c r="F702" s="7">
        <f t="shared" si="40"/>
        <v>3</v>
      </c>
      <c r="G702" t="s">
        <v>14</v>
      </c>
      <c r="H702">
        <v>1</v>
      </c>
      <c r="I702" s="9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3">
        <f t="shared" si="41"/>
        <v>40203.25</v>
      </c>
      <c r="O702" s="13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 s="7">
        <v>52000</v>
      </c>
      <c r="E703" s="7">
        <v>91014</v>
      </c>
      <c r="F703" s="7">
        <f t="shared" si="40"/>
        <v>175.02692307692308</v>
      </c>
      <c r="G703" t="s">
        <v>20</v>
      </c>
      <c r="H703">
        <v>820</v>
      </c>
      <c r="I703" s="9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3">
        <f t="shared" si="41"/>
        <v>40629.208333333336</v>
      </c>
      <c r="O703" s="13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 s="7">
        <v>8700</v>
      </c>
      <c r="E704" s="7">
        <v>4710</v>
      </c>
      <c r="F704" s="7">
        <f t="shared" si="40"/>
        <v>54.137931034482754</v>
      </c>
      <c r="G704" t="s">
        <v>14</v>
      </c>
      <c r="H704">
        <v>83</v>
      </c>
      <c r="I704" s="9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3">
        <f t="shared" si="41"/>
        <v>41477.208333333336</v>
      </c>
      <c r="O704" s="13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 s="7">
        <v>63400</v>
      </c>
      <c r="E705" s="7">
        <v>197728</v>
      </c>
      <c r="F705" s="7">
        <f t="shared" si="40"/>
        <v>311.87381703470032</v>
      </c>
      <c r="G705" t="s">
        <v>20</v>
      </c>
      <c r="H705">
        <v>2038</v>
      </c>
      <c r="I705" s="9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3">
        <f t="shared" si="41"/>
        <v>41020.208333333336</v>
      </c>
      <c r="O705" s="13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 s="7">
        <v>8700</v>
      </c>
      <c r="E706" s="7">
        <v>10682</v>
      </c>
      <c r="F706" s="7">
        <f t="shared" si="40"/>
        <v>122.78160919540231</v>
      </c>
      <c r="G706" t="s">
        <v>20</v>
      </c>
      <c r="H706">
        <v>116</v>
      </c>
      <c r="I706" s="9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3">
        <f t="shared" si="41"/>
        <v>42555.208333333328</v>
      </c>
      <c r="O706" s="13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 s="7">
        <v>169700</v>
      </c>
      <c r="E707" s="7">
        <v>168048</v>
      </c>
      <c r="F707" s="7">
        <f t="shared" ref="F707:F770" si="44">(E707/D707)*100</f>
        <v>99.026517383618156</v>
      </c>
      <c r="G707" t="s">
        <v>14</v>
      </c>
      <c r="H707">
        <v>2025</v>
      </c>
      <c r="I707" s="9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3">
        <f t="shared" ref="N707:N770" si="45">(((L707/60)/60)/24)+DATE(1970,1,1)</f>
        <v>41619.25</v>
      </c>
      <c r="O707" s="13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 s="7">
        <v>108400</v>
      </c>
      <c r="E708" s="7">
        <v>138586</v>
      </c>
      <c r="F708" s="7">
        <f t="shared" si="44"/>
        <v>127.84686346863469</v>
      </c>
      <c r="G708" t="s">
        <v>20</v>
      </c>
      <c r="H708">
        <v>1345</v>
      </c>
      <c r="I708" s="9">
        <f t="shared" ref="I708:I771" si="47">IFERROR(E708/H708,0)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3">
        <f t="shared" si="45"/>
        <v>43471.25</v>
      </c>
      <c r="O708" s="13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 s="7">
        <v>7300</v>
      </c>
      <c r="E709" s="7">
        <v>11579</v>
      </c>
      <c r="F709" s="7">
        <f t="shared" si="44"/>
        <v>158.61643835616439</v>
      </c>
      <c r="G709" t="s">
        <v>20</v>
      </c>
      <c r="H709">
        <v>168</v>
      </c>
      <c r="I709" s="9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3">
        <f t="shared" si="45"/>
        <v>43442.25</v>
      </c>
      <c r="O709" s="13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 s="7">
        <v>1700</v>
      </c>
      <c r="E710" s="7">
        <v>12020</v>
      </c>
      <c r="F710" s="7">
        <f t="shared" si="44"/>
        <v>707.05882352941171</v>
      </c>
      <c r="G710" t="s">
        <v>20</v>
      </c>
      <c r="H710">
        <v>137</v>
      </c>
      <c r="I710" s="9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3">
        <f t="shared" si="45"/>
        <v>42877.208333333328</v>
      </c>
      <c r="O710" s="13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 s="7">
        <v>9800</v>
      </c>
      <c r="E711" s="7">
        <v>13954</v>
      </c>
      <c r="F711" s="7">
        <f t="shared" si="44"/>
        <v>142.38775510204081</v>
      </c>
      <c r="G711" t="s">
        <v>20</v>
      </c>
      <c r="H711">
        <v>186</v>
      </c>
      <c r="I711" s="9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3">
        <f t="shared" si="45"/>
        <v>41018.208333333336</v>
      </c>
      <c r="O711" s="13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 s="7">
        <v>4300</v>
      </c>
      <c r="E712" s="7">
        <v>6358</v>
      </c>
      <c r="F712" s="7">
        <f t="shared" si="44"/>
        <v>147.86046511627907</v>
      </c>
      <c r="G712" t="s">
        <v>20</v>
      </c>
      <c r="H712">
        <v>125</v>
      </c>
      <c r="I712" s="9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3">
        <f t="shared" si="45"/>
        <v>43295.208333333328</v>
      </c>
      <c r="O712" s="13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 s="7">
        <v>6200</v>
      </c>
      <c r="E713" s="7">
        <v>1260</v>
      </c>
      <c r="F713" s="7">
        <f t="shared" si="44"/>
        <v>20.322580645161288</v>
      </c>
      <c r="G713" t="s">
        <v>14</v>
      </c>
      <c r="H713">
        <v>14</v>
      </c>
      <c r="I713" s="9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3">
        <f t="shared" si="45"/>
        <v>42393.25</v>
      </c>
      <c r="O713" s="13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 s="7">
        <v>800</v>
      </c>
      <c r="E714" s="7">
        <v>14725</v>
      </c>
      <c r="F714" s="7">
        <f t="shared" si="44"/>
        <v>1840.625</v>
      </c>
      <c r="G714" t="s">
        <v>20</v>
      </c>
      <c r="H714">
        <v>202</v>
      </c>
      <c r="I714" s="9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3">
        <f t="shared" si="45"/>
        <v>42559.208333333328</v>
      </c>
      <c r="O714" s="13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 s="7">
        <v>6900</v>
      </c>
      <c r="E715" s="7">
        <v>11174</v>
      </c>
      <c r="F715" s="7">
        <f t="shared" si="44"/>
        <v>161.94202898550725</v>
      </c>
      <c r="G715" t="s">
        <v>20</v>
      </c>
      <c r="H715">
        <v>103</v>
      </c>
      <c r="I715" s="9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3">
        <f t="shared" si="45"/>
        <v>42604.208333333328</v>
      </c>
      <c r="O715" s="13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 s="7">
        <v>38500</v>
      </c>
      <c r="E716" s="7">
        <v>182036</v>
      </c>
      <c r="F716" s="7">
        <f t="shared" si="44"/>
        <v>472.82077922077923</v>
      </c>
      <c r="G716" t="s">
        <v>20</v>
      </c>
      <c r="H716">
        <v>1785</v>
      </c>
      <c r="I716" s="9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3">
        <f t="shared" si="45"/>
        <v>41870.208333333336</v>
      </c>
      <c r="O716" s="13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 s="7">
        <v>118000</v>
      </c>
      <c r="E717" s="7">
        <v>28870</v>
      </c>
      <c r="F717" s="7">
        <f t="shared" si="44"/>
        <v>24.466101694915253</v>
      </c>
      <c r="G717" t="s">
        <v>14</v>
      </c>
      <c r="H717">
        <v>656</v>
      </c>
      <c r="I717" s="9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3">
        <f t="shared" si="45"/>
        <v>40397.208333333336</v>
      </c>
      <c r="O717" s="13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 s="7">
        <v>2000</v>
      </c>
      <c r="E718" s="7">
        <v>10353</v>
      </c>
      <c r="F718" s="7">
        <f t="shared" si="44"/>
        <v>517.65</v>
      </c>
      <c r="G718" t="s">
        <v>20</v>
      </c>
      <c r="H718">
        <v>157</v>
      </c>
      <c r="I718" s="9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3">
        <f t="shared" si="45"/>
        <v>41465.208333333336</v>
      </c>
      <c r="O718" s="13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 s="7">
        <v>5600</v>
      </c>
      <c r="E719" s="7">
        <v>13868</v>
      </c>
      <c r="F719" s="7">
        <f t="shared" si="44"/>
        <v>247.64285714285714</v>
      </c>
      <c r="G719" t="s">
        <v>20</v>
      </c>
      <c r="H719">
        <v>555</v>
      </c>
      <c r="I719" s="9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3">
        <f t="shared" si="45"/>
        <v>40777.208333333336</v>
      </c>
      <c r="O719" s="13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 s="7">
        <v>8300</v>
      </c>
      <c r="E720" s="7">
        <v>8317</v>
      </c>
      <c r="F720" s="7">
        <f t="shared" si="44"/>
        <v>100.20481927710843</v>
      </c>
      <c r="G720" t="s">
        <v>20</v>
      </c>
      <c r="H720">
        <v>297</v>
      </c>
      <c r="I720" s="9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3">
        <f t="shared" si="45"/>
        <v>41442.208333333336</v>
      </c>
      <c r="O720" s="13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 s="7">
        <v>6900</v>
      </c>
      <c r="E721" s="7">
        <v>10557</v>
      </c>
      <c r="F721" s="7">
        <f t="shared" si="44"/>
        <v>153</v>
      </c>
      <c r="G721" t="s">
        <v>20</v>
      </c>
      <c r="H721">
        <v>123</v>
      </c>
      <c r="I721" s="9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3">
        <f t="shared" si="45"/>
        <v>41058.208333333336</v>
      </c>
      <c r="O721" s="13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 s="7">
        <v>8700</v>
      </c>
      <c r="E722" s="7">
        <v>3227</v>
      </c>
      <c r="F722" s="7">
        <f t="shared" si="44"/>
        <v>37.091954022988503</v>
      </c>
      <c r="G722" t="s">
        <v>74</v>
      </c>
      <c r="H722">
        <v>38</v>
      </c>
      <c r="I722" s="9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3">
        <f t="shared" si="45"/>
        <v>43152.25</v>
      </c>
      <c r="O722" s="13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 s="7">
        <v>123600</v>
      </c>
      <c r="E723" s="7">
        <v>5429</v>
      </c>
      <c r="F723" s="7">
        <f t="shared" si="44"/>
        <v>4.392394822006473</v>
      </c>
      <c r="G723" t="s">
        <v>74</v>
      </c>
      <c r="H723">
        <v>60</v>
      </c>
      <c r="I723" s="9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3">
        <f t="shared" si="45"/>
        <v>43194.208333333328</v>
      </c>
      <c r="O723" s="13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 s="7">
        <v>48500</v>
      </c>
      <c r="E724" s="7">
        <v>75906</v>
      </c>
      <c r="F724" s="7">
        <f t="shared" si="44"/>
        <v>156.50721649484535</v>
      </c>
      <c r="G724" t="s">
        <v>20</v>
      </c>
      <c r="H724">
        <v>3036</v>
      </c>
      <c r="I724" s="9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3">
        <f t="shared" si="45"/>
        <v>43045.25</v>
      </c>
      <c r="O724" s="13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 s="7">
        <v>4900</v>
      </c>
      <c r="E725" s="7">
        <v>13250</v>
      </c>
      <c r="F725" s="7">
        <f t="shared" si="44"/>
        <v>270.40816326530609</v>
      </c>
      <c r="G725" t="s">
        <v>20</v>
      </c>
      <c r="H725">
        <v>144</v>
      </c>
      <c r="I725" s="9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3">
        <f t="shared" si="45"/>
        <v>42431.25</v>
      </c>
      <c r="O725" s="13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 s="7">
        <v>8400</v>
      </c>
      <c r="E726" s="7">
        <v>11261</v>
      </c>
      <c r="F726" s="7">
        <f t="shared" si="44"/>
        <v>134.05952380952382</v>
      </c>
      <c r="G726" t="s">
        <v>20</v>
      </c>
      <c r="H726">
        <v>121</v>
      </c>
      <c r="I726" s="9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3">
        <f t="shared" si="45"/>
        <v>41934.208333333336</v>
      </c>
      <c r="O726" s="13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 s="7">
        <v>193200</v>
      </c>
      <c r="E727" s="7">
        <v>97369</v>
      </c>
      <c r="F727" s="7">
        <f t="shared" si="44"/>
        <v>50.398033126293996</v>
      </c>
      <c r="G727" t="s">
        <v>14</v>
      </c>
      <c r="H727">
        <v>1596</v>
      </c>
      <c r="I727" s="9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3">
        <f t="shared" si="45"/>
        <v>41958.25</v>
      </c>
      <c r="O727" s="13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 s="7">
        <v>54300</v>
      </c>
      <c r="E728" s="7">
        <v>48227</v>
      </c>
      <c r="F728" s="7">
        <f t="shared" si="44"/>
        <v>88.815837937384899</v>
      </c>
      <c r="G728" t="s">
        <v>74</v>
      </c>
      <c r="H728">
        <v>524</v>
      </c>
      <c r="I728" s="9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3">
        <f t="shared" si="45"/>
        <v>40476.208333333336</v>
      </c>
      <c r="O728" s="13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 s="7">
        <v>8900</v>
      </c>
      <c r="E729" s="7">
        <v>14685</v>
      </c>
      <c r="F729" s="7">
        <f t="shared" si="44"/>
        <v>165</v>
      </c>
      <c r="G729" t="s">
        <v>20</v>
      </c>
      <c r="H729">
        <v>181</v>
      </c>
      <c r="I729" s="9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3">
        <f t="shared" si="45"/>
        <v>43485.25</v>
      </c>
      <c r="O729" s="13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 s="7">
        <v>4200</v>
      </c>
      <c r="E730" s="7">
        <v>735</v>
      </c>
      <c r="F730" s="7">
        <f t="shared" si="44"/>
        <v>17.5</v>
      </c>
      <c r="G730" t="s">
        <v>14</v>
      </c>
      <c r="H730">
        <v>10</v>
      </c>
      <c r="I730" s="9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3">
        <f t="shared" si="45"/>
        <v>42515.208333333328</v>
      </c>
      <c r="O730" s="13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 s="7">
        <v>5600</v>
      </c>
      <c r="E731" s="7">
        <v>10397</v>
      </c>
      <c r="F731" s="7">
        <f t="shared" si="44"/>
        <v>185.66071428571428</v>
      </c>
      <c r="G731" t="s">
        <v>20</v>
      </c>
      <c r="H731">
        <v>122</v>
      </c>
      <c r="I731" s="9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3">
        <f t="shared" si="45"/>
        <v>41309.25</v>
      </c>
      <c r="O731" s="13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 s="7">
        <v>28800</v>
      </c>
      <c r="E732" s="7">
        <v>118847</v>
      </c>
      <c r="F732" s="7">
        <f t="shared" si="44"/>
        <v>412.6631944444444</v>
      </c>
      <c r="G732" t="s">
        <v>20</v>
      </c>
      <c r="H732">
        <v>1071</v>
      </c>
      <c r="I732" s="9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3">
        <f t="shared" si="45"/>
        <v>42147.208333333328</v>
      </c>
      <c r="O732" s="13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 s="7">
        <v>8000</v>
      </c>
      <c r="E733" s="7">
        <v>7220</v>
      </c>
      <c r="F733" s="7">
        <f t="shared" si="44"/>
        <v>90.25</v>
      </c>
      <c r="G733" t="s">
        <v>74</v>
      </c>
      <c r="H733">
        <v>219</v>
      </c>
      <c r="I733" s="9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3">
        <f t="shared" si="45"/>
        <v>42939.208333333328</v>
      </c>
      <c r="O733" s="13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 s="7">
        <v>117000</v>
      </c>
      <c r="E734" s="7">
        <v>107622</v>
      </c>
      <c r="F734" s="7">
        <f t="shared" si="44"/>
        <v>91.984615384615381</v>
      </c>
      <c r="G734" t="s">
        <v>14</v>
      </c>
      <c r="H734">
        <v>1121</v>
      </c>
      <c r="I734" s="9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3">
        <f t="shared" si="45"/>
        <v>42816.208333333328</v>
      </c>
      <c r="O734" s="13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 s="7">
        <v>15800</v>
      </c>
      <c r="E735" s="7">
        <v>83267</v>
      </c>
      <c r="F735" s="7">
        <f t="shared" si="44"/>
        <v>527.00632911392404</v>
      </c>
      <c r="G735" t="s">
        <v>20</v>
      </c>
      <c r="H735">
        <v>980</v>
      </c>
      <c r="I735" s="9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3">
        <f t="shared" si="45"/>
        <v>41844.208333333336</v>
      </c>
      <c r="O735" s="13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 s="7">
        <v>4200</v>
      </c>
      <c r="E736" s="7">
        <v>13404</v>
      </c>
      <c r="F736" s="7">
        <f t="shared" si="44"/>
        <v>319.14285714285711</v>
      </c>
      <c r="G736" t="s">
        <v>20</v>
      </c>
      <c r="H736">
        <v>536</v>
      </c>
      <c r="I736" s="9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3">
        <f t="shared" si="45"/>
        <v>42763.25</v>
      </c>
      <c r="O736" s="13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 s="7">
        <v>37100</v>
      </c>
      <c r="E737" s="7">
        <v>131404</v>
      </c>
      <c r="F737" s="7">
        <f t="shared" si="44"/>
        <v>354.18867924528303</v>
      </c>
      <c r="G737" t="s">
        <v>20</v>
      </c>
      <c r="H737">
        <v>1991</v>
      </c>
      <c r="I737" s="9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3">
        <f t="shared" si="45"/>
        <v>42459.208333333328</v>
      </c>
      <c r="O737" s="13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 s="7">
        <v>7700</v>
      </c>
      <c r="E738" s="7">
        <v>2533</v>
      </c>
      <c r="F738" s="7">
        <f t="shared" si="44"/>
        <v>32.896103896103895</v>
      </c>
      <c r="G738" t="s">
        <v>74</v>
      </c>
      <c r="H738">
        <v>29</v>
      </c>
      <c r="I738" s="9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3">
        <f t="shared" si="45"/>
        <v>42055.25</v>
      </c>
      <c r="O738" s="13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 s="7">
        <v>3700</v>
      </c>
      <c r="E739" s="7">
        <v>5028</v>
      </c>
      <c r="F739" s="7">
        <f t="shared" si="44"/>
        <v>135.8918918918919</v>
      </c>
      <c r="G739" t="s">
        <v>20</v>
      </c>
      <c r="H739">
        <v>180</v>
      </c>
      <c r="I739" s="9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3">
        <f t="shared" si="45"/>
        <v>42685.25</v>
      </c>
      <c r="O739" s="13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 s="7">
        <v>74700</v>
      </c>
      <c r="E740" s="7">
        <v>1557</v>
      </c>
      <c r="F740" s="7">
        <f t="shared" si="44"/>
        <v>2.0843373493975905</v>
      </c>
      <c r="G740" t="s">
        <v>14</v>
      </c>
      <c r="H740">
        <v>15</v>
      </c>
      <c r="I740" s="9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3">
        <f t="shared" si="45"/>
        <v>41959.25</v>
      </c>
      <c r="O740" s="13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 s="7">
        <v>10000</v>
      </c>
      <c r="E741" s="7">
        <v>6100</v>
      </c>
      <c r="F741" s="7">
        <f t="shared" si="44"/>
        <v>61</v>
      </c>
      <c r="G741" t="s">
        <v>14</v>
      </c>
      <c r="H741">
        <v>191</v>
      </c>
      <c r="I741" s="9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3">
        <f t="shared" si="45"/>
        <v>41089.208333333336</v>
      </c>
      <c r="O741" s="13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 s="7">
        <v>5300</v>
      </c>
      <c r="E742" s="7">
        <v>1592</v>
      </c>
      <c r="F742" s="7">
        <f t="shared" si="44"/>
        <v>30.037735849056602</v>
      </c>
      <c r="G742" t="s">
        <v>14</v>
      </c>
      <c r="H742">
        <v>16</v>
      </c>
      <c r="I742" s="9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3">
        <f t="shared" si="45"/>
        <v>42769.25</v>
      </c>
      <c r="O742" s="13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 s="7">
        <v>1200</v>
      </c>
      <c r="E743" s="7">
        <v>14150</v>
      </c>
      <c r="F743" s="7">
        <f t="shared" si="44"/>
        <v>1179.1666666666665</v>
      </c>
      <c r="G743" t="s">
        <v>20</v>
      </c>
      <c r="H743">
        <v>130</v>
      </c>
      <c r="I743" s="9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3">
        <f t="shared" si="45"/>
        <v>40321.208333333336</v>
      </c>
      <c r="O743" s="13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 s="7">
        <v>1200</v>
      </c>
      <c r="E744" s="7">
        <v>13513</v>
      </c>
      <c r="F744" s="7">
        <f t="shared" si="44"/>
        <v>1126.0833333333335</v>
      </c>
      <c r="G744" t="s">
        <v>20</v>
      </c>
      <c r="H744">
        <v>122</v>
      </c>
      <c r="I744" s="9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3">
        <f t="shared" si="45"/>
        <v>40197.25</v>
      </c>
      <c r="O744" s="13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 s="7">
        <v>3900</v>
      </c>
      <c r="E745" s="7">
        <v>504</v>
      </c>
      <c r="F745" s="7">
        <f t="shared" si="44"/>
        <v>12.923076923076923</v>
      </c>
      <c r="G745" t="s">
        <v>14</v>
      </c>
      <c r="H745">
        <v>17</v>
      </c>
      <c r="I745" s="9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3">
        <f t="shared" si="45"/>
        <v>42298.208333333328</v>
      </c>
      <c r="O745" s="13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 s="7">
        <v>2000</v>
      </c>
      <c r="E746" s="7">
        <v>14240</v>
      </c>
      <c r="F746" s="7">
        <f t="shared" si="44"/>
        <v>712</v>
      </c>
      <c r="G746" t="s">
        <v>20</v>
      </c>
      <c r="H746">
        <v>140</v>
      </c>
      <c r="I746" s="9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3">
        <f t="shared" si="45"/>
        <v>43322.208333333328</v>
      </c>
      <c r="O746" s="13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 s="7">
        <v>6900</v>
      </c>
      <c r="E747" s="7">
        <v>2091</v>
      </c>
      <c r="F747" s="7">
        <f t="shared" si="44"/>
        <v>30.304347826086957</v>
      </c>
      <c r="G747" t="s">
        <v>14</v>
      </c>
      <c r="H747">
        <v>34</v>
      </c>
      <c r="I747" s="9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3">
        <f t="shared" si="45"/>
        <v>40328.208333333336</v>
      </c>
      <c r="O747" s="13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 s="7">
        <v>55800</v>
      </c>
      <c r="E748" s="7">
        <v>118580</v>
      </c>
      <c r="F748" s="7">
        <f t="shared" si="44"/>
        <v>212.50896057347671</v>
      </c>
      <c r="G748" t="s">
        <v>20</v>
      </c>
      <c r="H748">
        <v>3388</v>
      </c>
      <c r="I748" s="9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3">
        <f t="shared" si="45"/>
        <v>40825.208333333336</v>
      </c>
      <c r="O748" s="13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 s="7">
        <v>4900</v>
      </c>
      <c r="E749" s="7">
        <v>11214</v>
      </c>
      <c r="F749" s="7">
        <f t="shared" si="44"/>
        <v>228.85714285714286</v>
      </c>
      <c r="G749" t="s">
        <v>20</v>
      </c>
      <c r="H749">
        <v>280</v>
      </c>
      <c r="I749" s="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3">
        <f t="shared" si="45"/>
        <v>40423.208333333336</v>
      </c>
      <c r="O749" s="13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 s="7">
        <v>194900</v>
      </c>
      <c r="E750" s="7">
        <v>68137</v>
      </c>
      <c r="F750" s="7">
        <f t="shared" si="44"/>
        <v>34.959979476654695</v>
      </c>
      <c r="G750" t="s">
        <v>74</v>
      </c>
      <c r="H750">
        <v>614</v>
      </c>
      <c r="I750" s="9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3">
        <f t="shared" si="45"/>
        <v>40238.25</v>
      </c>
      <c r="O750" s="13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 s="7">
        <v>8600</v>
      </c>
      <c r="E751" s="7">
        <v>13527</v>
      </c>
      <c r="F751" s="7">
        <f t="shared" si="44"/>
        <v>157.29069767441862</v>
      </c>
      <c r="G751" t="s">
        <v>20</v>
      </c>
      <c r="H751">
        <v>366</v>
      </c>
      <c r="I751" s="9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3">
        <f t="shared" si="45"/>
        <v>41920.208333333336</v>
      </c>
      <c r="O751" s="13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 s="7">
        <v>100</v>
      </c>
      <c r="E752" s="7">
        <v>1</v>
      </c>
      <c r="F752" s="7">
        <f t="shared" si="44"/>
        <v>1</v>
      </c>
      <c r="G752" t="s">
        <v>14</v>
      </c>
      <c r="H752">
        <v>1</v>
      </c>
      <c r="I752" s="9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3">
        <f t="shared" si="45"/>
        <v>40360.208333333336</v>
      </c>
      <c r="O752" s="13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 s="7">
        <v>3600</v>
      </c>
      <c r="E753" s="7">
        <v>8363</v>
      </c>
      <c r="F753" s="7">
        <f t="shared" si="44"/>
        <v>232.30555555555554</v>
      </c>
      <c r="G753" t="s">
        <v>20</v>
      </c>
      <c r="H753">
        <v>270</v>
      </c>
      <c r="I753" s="9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3">
        <f t="shared" si="45"/>
        <v>42446.208333333328</v>
      </c>
      <c r="O753" s="13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 s="7">
        <v>5800</v>
      </c>
      <c r="E754" s="7">
        <v>5362</v>
      </c>
      <c r="F754" s="7">
        <f t="shared" si="44"/>
        <v>92.448275862068968</v>
      </c>
      <c r="G754" t="s">
        <v>74</v>
      </c>
      <c r="H754">
        <v>114</v>
      </c>
      <c r="I754" s="9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3">
        <f t="shared" si="45"/>
        <v>40395.208333333336</v>
      </c>
      <c r="O754" s="13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 s="7">
        <v>4700</v>
      </c>
      <c r="E755" s="7">
        <v>12065</v>
      </c>
      <c r="F755" s="7">
        <f t="shared" si="44"/>
        <v>256.70212765957444</v>
      </c>
      <c r="G755" t="s">
        <v>20</v>
      </c>
      <c r="H755">
        <v>137</v>
      </c>
      <c r="I755" s="9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3">
        <f t="shared" si="45"/>
        <v>40321.208333333336</v>
      </c>
      <c r="O755" s="13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 s="7">
        <v>70400</v>
      </c>
      <c r="E756" s="7">
        <v>118603</v>
      </c>
      <c r="F756" s="7">
        <f t="shared" si="44"/>
        <v>168.47017045454547</v>
      </c>
      <c r="G756" t="s">
        <v>20</v>
      </c>
      <c r="H756">
        <v>3205</v>
      </c>
      <c r="I756" s="9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3">
        <f t="shared" si="45"/>
        <v>41210.208333333336</v>
      </c>
      <c r="O756" s="13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 s="7">
        <v>4500</v>
      </c>
      <c r="E757" s="7">
        <v>7496</v>
      </c>
      <c r="F757" s="7">
        <f t="shared" si="44"/>
        <v>166.57777777777778</v>
      </c>
      <c r="G757" t="s">
        <v>20</v>
      </c>
      <c r="H757">
        <v>288</v>
      </c>
      <c r="I757" s="9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3">
        <f t="shared" si="45"/>
        <v>43096.25</v>
      </c>
      <c r="O757" s="13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 s="7">
        <v>1300</v>
      </c>
      <c r="E758" s="7">
        <v>10037</v>
      </c>
      <c r="F758" s="7">
        <f t="shared" si="44"/>
        <v>772.07692307692309</v>
      </c>
      <c r="G758" t="s">
        <v>20</v>
      </c>
      <c r="H758">
        <v>148</v>
      </c>
      <c r="I758" s="9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3">
        <f t="shared" si="45"/>
        <v>42024.25</v>
      </c>
      <c r="O758" s="13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 s="7">
        <v>1400</v>
      </c>
      <c r="E759" s="7">
        <v>5696</v>
      </c>
      <c r="F759" s="7">
        <f t="shared" si="44"/>
        <v>406.85714285714283</v>
      </c>
      <c r="G759" t="s">
        <v>20</v>
      </c>
      <c r="H759">
        <v>114</v>
      </c>
      <c r="I759" s="9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3">
        <f t="shared" si="45"/>
        <v>40675.208333333336</v>
      </c>
      <c r="O759" s="13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 s="7">
        <v>29600</v>
      </c>
      <c r="E760" s="7">
        <v>167005</v>
      </c>
      <c r="F760" s="7">
        <f t="shared" si="44"/>
        <v>564.20608108108115</v>
      </c>
      <c r="G760" t="s">
        <v>20</v>
      </c>
      <c r="H760">
        <v>1518</v>
      </c>
      <c r="I760" s="9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3">
        <f t="shared" si="45"/>
        <v>41936.208333333336</v>
      </c>
      <c r="O760" s="13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 s="7">
        <v>167500</v>
      </c>
      <c r="E761" s="7">
        <v>114615</v>
      </c>
      <c r="F761" s="7">
        <f t="shared" si="44"/>
        <v>68.426865671641792</v>
      </c>
      <c r="G761" t="s">
        <v>14</v>
      </c>
      <c r="H761">
        <v>1274</v>
      </c>
      <c r="I761" s="9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3">
        <f t="shared" si="45"/>
        <v>43136.25</v>
      </c>
      <c r="O761" s="13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 s="7">
        <v>48300</v>
      </c>
      <c r="E762" s="7">
        <v>16592</v>
      </c>
      <c r="F762" s="7">
        <f t="shared" si="44"/>
        <v>34.351966873706004</v>
      </c>
      <c r="G762" t="s">
        <v>14</v>
      </c>
      <c r="H762">
        <v>210</v>
      </c>
      <c r="I762" s="9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3">
        <f t="shared" si="45"/>
        <v>43678.208333333328</v>
      </c>
      <c r="O762" s="13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 s="7">
        <v>2200</v>
      </c>
      <c r="E763" s="7">
        <v>14420</v>
      </c>
      <c r="F763" s="7">
        <f t="shared" si="44"/>
        <v>655.4545454545455</v>
      </c>
      <c r="G763" t="s">
        <v>20</v>
      </c>
      <c r="H763">
        <v>166</v>
      </c>
      <c r="I763" s="9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3">
        <f t="shared" si="45"/>
        <v>42938.208333333328</v>
      </c>
      <c r="O763" s="13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 s="7">
        <v>3500</v>
      </c>
      <c r="E764" s="7">
        <v>6204</v>
      </c>
      <c r="F764" s="7">
        <f t="shared" si="44"/>
        <v>177.25714285714284</v>
      </c>
      <c r="G764" t="s">
        <v>20</v>
      </c>
      <c r="H764">
        <v>100</v>
      </c>
      <c r="I764" s="9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3">
        <f t="shared" si="45"/>
        <v>41241.25</v>
      </c>
      <c r="O764" s="13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 s="7">
        <v>5600</v>
      </c>
      <c r="E765" s="7">
        <v>6338</v>
      </c>
      <c r="F765" s="7">
        <f t="shared" si="44"/>
        <v>113.17857142857144</v>
      </c>
      <c r="G765" t="s">
        <v>20</v>
      </c>
      <c r="H765">
        <v>235</v>
      </c>
      <c r="I765" s="9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3">
        <f t="shared" si="45"/>
        <v>41037.208333333336</v>
      </c>
      <c r="O765" s="13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 s="7">
        <v>1100</v>
      </c>
      <c r="E766" s="7">
        <v>8010</v>
      </c>
      <c r="F766" s="7">
        <f t="shared" si="44"/>
        <v>728.18181818181824</v>
      </c>
      <c r="G766" t="s">
        <v>20</v>
      </c>
      <c r="H766">
        <v>148</v>
      </c>
      <c r="I766" s="9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3">
        <f t="shared" si="45"/>
        <v>40676.208333333336</v>
      </c>
      <c r="O766" s="13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 s="7">
        <v>3900</v>
      </c>
      <c r="E767" s="7">
        <v>8125</v>
      </c>
      <c r="F767" s="7">
        <f t="shared" si="44"/>
        <v>208.33333333333334</v>
      </c>
      <c r="G767" t="s">
        <v>20</v>
      </c>
      <c r="H767">
        <v>198</v>
      </c>
      <c r="I767" s="9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3">
        <f t="shared" si="45"/>
        <v>42840.208333333328</v>
      </c>
      <c r="O767" s="13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 s="7">
        <v>43800</v>
      </c>
      <c r="E768" s="7">
        <v>13653</v>
      </c>
      <c r="F768" s="7">
        <f t="shared" si="44"/>
        <v>31.171232876712331</v>
      </c>
      <c r="G768" t="s">
        <v>14</v>
      </c>
      <c r="H768">
        <v>248</v>
      </c>
      <c r="I768" s="9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3">
        <f t="shared" si="45"/>
        <v>43362.208333333328</v>
      </c>
      <c r="O768" s="13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 s="7">
        <v>97200</v>
      </c>
      <c r="E769" s="7">
        <v>55372</v>
      </c>
      <c r="F769" s="7">
        <f t="shared" si="44"/>
        <v>56.967078189300416</v>
      </c>
      <c r="G769" t="s">
        <v>14</v>
      </c>
      <c r="H769">
        <v>513</v>
      </c>
      <c r="I769" s="9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3">
        <f t="shared" si="45"/>
        <v>42283.208333333328</v>
      </c>
      <c r="O769" s="13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 s="7">
        <v>4800</v>
      </c>
      <c r="E770" s="7">
        <v>11088</v>
      </c>
      <c r="F770" s="7">
        <f t="shared" si="44"/>
        <v>231</v>
      </c>
      <c r="G770" t="s">
        <v>20</v>
      </c>
      <c r="H770">
        <v>150</v>
      </c>
      <c r="I770" s="9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3">
        <f t="shared" si="45"/>
        <v>41619.25</v>
      </c>
      <c r="O770" s="13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 s="7">
        <v>125600</v>
      </c>
      <c r="E771" s="7">
        <v>109106</v>
      </c>
      <c r="F771" s="7">
        <f t="shared" ref="F771:F834" si="48">(E771/D771)*100</f>
        <v>86.867834394904463</v>
      </c>
      <c r="G771" t="s">
        <v>14</v>
      </c>
      <c r="H771">
        <v>3410</v>
      </c>
      <c r="I771" s="9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3">
        <f t="shared" ref="N771:N834" si="49">(((L771/60)/60)/24)+DATE(1970,1,1)</f>
        <v>41501.208333333336</v>
      </c>
      <c r="O771" s="13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 s="7">
        <v>4300</v>
      </c>
      <c r="E772" s="7">
        <v>11642</v>
      </c>
      <c r="F772" s="7">
        <f t="shared" si="48"/>
        <v>270.74418604651163</v>
      </c>
      <c r="G772" t="s">
        <v>20</v>
      </c>
      <c r="H772">
        <v>216</v>
      </c>
      <c r="I772" s="9">
        <f t="shared" ref="I772:I835" si="51">IFERROR(E772/H772,0)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3">
        <f t="shared" si="49"/>
        <v>41743.208333333336</v>
      </c>
      <c r="O772" s="13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 s="7">
        <v>5600</v>
      </c>
      <c r="E773" s="7">
        <v>2769</v>
      </c>
      <c r="F773" s="7">
        <f t="shared" si="48"/>
        <v>49.446428571428569</v>
      </c>
      <c r="G773" t="s">
        <v>74</v>
      </c>
      <c r="H773">
        <v>26</v>
      </c>
      <c r="I773" s="9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13">
        <f t="shared" si="49"/>
        <v>43491.25</v>
      </c>
      <c r="O773" s="13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 s="7">
        <v>149600</v>
      </c>
      <c r="E774" s="7">
        <v>169586</v>
      </c>
      <c r="F774" s="7">
        <f t="shared" si="48"/>
        <v>113.3596256684492</v>
      </c>
      <c r="G774" t="s">
        <v>20</v>
      </c>
      <c r="H774">
        <v>5139</v>
      </c>
      <c r="I774" s="9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3">
        <f t="shared" si="49"/>
        <v>43505.25</v>
      </c>
      <c r="O774" s="13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 s="7">
        <v>53100</v>
      </c>
      <c r="E775" s="7">
        <v>101185</v>
      </c>
      <c r="F775" s="7">
        <f t="shared" si="48"/>
        <v>190.55555555555554</v>
      </c>
      <c r="G775" t="s">
        <v>20</v>
      </c>
      <c r="H775">
        <v>2353</v>
      </c>
      <c r="I775" s="9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3">
        <f t="shared" si="49"/>
        <v>42838.208333333328</v>
      </c>
      <c r="O775" s="13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 s="7">
        <v>5000</v>
      </c>
      <c r="E776" s="7">
        <v>6775</v>
      </c>
      <c r="F776" s="7">
        <f t="shared" si="48"/>
        <v>135.5</v>
      </c>
      <c r="G776" t="s">
        <v>20</v>
      </c>
      <c r="H776">
        <v>78</v>
      </c>
      <c r="I776" s="9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3">
        <f t="shared" si="49"/>
        <v>42513.208333333328</v>
      </c>
      <c r="O776" s="13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 s="7">
        <v>9400</v>
      </c>
      <c r="E777" s="7">
        <v>968</v>
      </c>
      <c r="F777" s="7">
        <f t="shared" si="48"/>
        <v>10.297872340425531</v>
      </c>
      <c r="G777" t="s">
        <v>14</v>
      </c>
      <c r="H777">
        <v>10</v>
      </c>
      <c r="I777" s="9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3">
        <f t="shared" si="49"/>
        <v>41949.25</v>
      </c>
      <c r="O777" s="13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 s="7">
        <v>110800</v>
      </c>
      <c r="E778" s="7">
        <v>72623</v>
      </c>
      <c r="F778" s="7">
        <f t="shared" si="48"/>
        <v>65.544223826714799</v>
      </c>
      <c r="G778" t="s">
        <v>14</v>
      </c>
      <c r="H778">
        <v>2201</v>
      </c>
      <c r="I778" s="9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3">
        <f t="shared" si="49"/>
        <v>43650.208333333328</v>
      </c>
      <c r="O778" s="13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 s="7">
        <v>93800</v>
      </c>
      <c r="E779" s="7">
        <v>45987</v>
      </c>
      <c r="F779" s="7">
        <f t="shared" si="48"/>
        <v>49.026652452025587</v>
      </c>
      <c r="G779" t="s">
        <v>14</v>
      </c>
      <c r="H779">
        <v>676</v>
      </c>
      <c r="I779" s="9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3">
        <f t="shared" si="49"/>
        <v>40809.208333333336</v>
      </c>
      <c r="O779" s="13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 s="7">
        <v>1300</v>
      </c>
      <c r="E780" s="7">
        <v>10243</v>
      </c>
      <c r="F780" s="7">
        <f t="shared" si="48"/>
        <v>787.92307692307691</v>
      </c>
      <c r="G780" t="s">
        <v>20</v>
      </c>
      <c r="H780">
        <v>174</v>
      </c>
      <c r="I780" s="9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3">
        <f t="shared" si="49"/>
        <v>40768.208333333336</v>
      </c>
      <c r="O780" s="13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 s="7">
        <v>108700</v>
      </c>
      <c r="E781" s="7">
        <v>87293</v>
      </c>
      <c r="F781" s="7">
        <f t="shared" si="48"/>
        <v>80.306347746090154</v>
      </c>
      <c r="G781" t="s">
        <v>14</v>
      </c>
      <c r="H781">
        <v>831</v>
      </c>
      <c r="I781" s="9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3">
        <f t="shared" si="49"/>
        <v>42230.208333333328</v>
      </c>
      <c r="O781" s="13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 s="7">
        <v>5100</v>
      </c>
      <c r="E782" s="7">
        <v>5421</v>
      </c>
      <c r="F782" s="7">
        <f t="shared" si="48"/>
        <v>106.29411764705883</v>
      </c>
      <c r="G782" t="s">
        <v>20</v>
      </c>
      <c r="H782">
        <v>164</v>
      </c>
      <c r="I782" s="9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3">
        <f t="shared" si="49"/>
        <v>42573.208333333328</v>
      </c>
      <c r="O782" s="13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 s="7">
        <v>8700</v>
      </c>
      <c r="E783" s="7">
        <v>4414</v>
      </c>
      <c r="F783" s="7">
        <f t="shared" si="48"/>
        <v>50.735632183908038</v>
      </c>
      <c r="G783" t="s">
        <v>74</v>
      </c>
      <c r="H783">
        <v>56</v>
      </c>
      <c r="I783" s="9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3">
        <f t="shared" si="49"/>
        <v>40482.208333333336</v>
      </c>
      <c r="O783" s="13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 s="7">
        <v>5100</v>
      </c>
      <c r="E784" s="7">
        <v>10981</v>
      </c>
      <c r="F784" s="7">
        <f t="shared" si="48"/>
        <v>215.31372549019611</v>
      </c>
      <c r="G784" t="s">
        <v>20</v>
      </c>
      <c r="H784">
        <v>161</v>
      </c>
      <c r="I784" s="9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3">
        <f t="shared" si="49"/>
        <v>40603.25</v>
      </c>
      <c r="O784" s="13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 s="7">
        <v>7400</v>
      </c>
      <c r="E785" s="7">
        <v>10451</v>
      </c>
      <c r="F785" s="7">
        <f t="shared" si="48"/>
        <v>141.22972972972974</v>
      </c>
      <c r="G785" t="s">
        <v>20</v>
      </c>
      <c r="H785">
        <v>138</v>
      </c>
      <c r="I785" s="9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3">
        <f t="shared" si="49"/>
        <v>41625.25</v>
      </c>
      <c r="O785" s="13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 s="7">
        <v>88900</v>
      </c>
      <c r="E786" s="7">
        <v>102535</v>
      </c>
      <c r="F786" s="7">
        <f t="shared" si="48"/>
        <v>115.33745781777279</v>
      </c>
      <c r="G786" t="s">
        <v>20</v>
      </c>
      <c r="H786">
        <v>3308</v>
      </c>
      <c r="I786" s="9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3">
        <f t="shared" si="49"/>
        <v>42435.25</v>
      </c>
      <c r="O786" s="13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 s="7">
        <v>6700</v>
      </c>
      <c r="E787" s="7">
        <v>12939</v>
      </c>
      <c r="F787" s="7">
        <f t="shared" si="48"/>
        <v>193.11940298507463</v>
      </c>
      <c r="G787" t="s">
        <v>20</v>
      </c>
      <c r="H787">
        <v>127</v>
      </c>
      <c r="I787" s="9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3">
        <f t="shared" si="49"/>
        <v>43582.208333333328</v>
      </c>
      <c r="O787" s="13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 s="7">
        <v>1500</v>
      </c>
      <c r="E788" s="7">
        <v>10946</v>
      </c>
      <c r="F788" s="7">
        <f t="shared" si="48"/>
        <v>729.73333333333335</v>
      </c>
      <c r="G788" t="s">
        <v>20</v>
      </c>
      <c r="H788">
        <v>207</v>
      </c>
      <c r="I788" s="9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3">
        <f t="shared" si="49"/>
        <v>43186.208333333328</v>
      </c>
      <c r="O788" s="13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 s="7">
        <v>61200</v>
      </c>
      <c r="E789" s="7">
        <v>60994</v>
      </c>
      <c r="F789" s="7">
        <f t="shared" si="48"/>
        <v>99.66339869281046</v>
      </c>
      <c r="G789" t="s">
        <v>14</v>
      </c>
      <c r="H789">
        <v>859</v>
      </c>
      <c r="I789" s="9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3">
        <f t="shared" si="49"/>
        <v>40684.208333333336</v>
      </c>
      <c r="O789" s="13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 s="7">
        <v>3600</v>
      </c>
      <c r="E790" s="7">
        <v>3174</v>
      </c>
      <c r="F790" s="7">
        <f t="shared" si="48"/>
        <v>88.166666666666671</v>
      </c>
      <c r="G790" t="s">
        <v>47</v>
      </c>
      <c r="H790">
        <v>31</v>
      </c>
      <c r="I790" s="9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3">
        <f t="shared" si="49"/>
        <v>41202.208333333336</v>
      </c>
      <c r="O790" s="13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 s="7">
        <v>9000</v>
      </c>
      <c r="E791" s="7">
        <v>3351</v>
      </c>
      <c r="F791" s="7">
        <f t="shared" si="48"/>
        <v>37.233333333333334</v>
      </c>
      <c r="G791" t="s">
        <v>14</v>
      </c>
      <c r="H791">
        <v>45</v>
      </c>
      <c r="I791" s="9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3">
        <f t="shared" si="49"/>
        <v>41786.208333333336</v>
      </c>
      <c r="O791" s="13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 s="7">
        <v>185900</v>
      </c>
      <c r="E792" s="7">
        <v>56774</v>
      </c>
      <c r="F792" s="7">
        <f t="shared" si="48"/>
        <v>30.540075309306079</v>
      </c>
      <c r="G792" t="s">
        <v>74</v>
      </c>
      <c r="H792">
        <v>1113</v>
      </c>
      <c r="I792" s="9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3">
        <f t="shared" si="49"/>
        <v>40223.25</v>
      </c>
      <c r="O792" s="13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 s="7">
        <v>2100</v>
      </c>
      <c r="E793" s="7">
        <v>540</v>
      </c>
      <c r="F793" s="7">
        <f t="shared" si="48"/>
        <v>25.714285714285712</v>
      </c>
      <c r="G793" t="s">
        <v>14</v>
      </c>
      <c r="H793">
        <v>6</v>
      </c>
      <c r="I793" s="9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3">
        <f t="shared" si="49"/>
        <v>42715.25</v>
      </c>
      <c r="O793" s="13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 s="7">
        <v>2000</v>
      </c>
      <c r="E794" s="7">
        <v>680</v>
      </c>
      <c r="F794" s="7">
        <f t="shared" si="48"/>
        <v>34</v>
      </c>
      <c r="G794" t="s">
        <v>14</v>
      </c>
      <c r="H794">
        <v>7</v>
      </c>
      <c r="I794" s="9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3">
        <f t="shared" si="49"/>
        <v>41451.208333333336</v>
      </c>
      <c r="O794" s="13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 s="7">
        <v>1100</v>
      </c>
      <c r="E795" s="7">
        <v>13045</v>
      </c>
      <c r="F795" s="7">
        <f t="shared" si="48"/>
        <v>1185.909090909091</v>
      </c>
      <c r="G795" t="s">
        <v>20</v>
      </c>
      <c r="H795">
        <v>181</v>
      </c>
      <c r="I795" s="9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3">
        <f t="shared" si="49"/>
        <v>41450.208333333336</v>
      </c>
      <c r="O795" s="13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 s="7">
        <v>6600</v>
      </c>
      <c r="E796" s="7">
        <v>8276</v>
      </c>
      <c r="F796" s="7">
        <f t="shared" si="48"/>
        <v>125.39393939393939</v>
      </c>
      <c r="G796" t="s">
        <v>20</v>
      </c>
      <c r="H796">
        <v>110</v>
      </c>
      <c r="I796" s="9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3">
        <f t="shared" si="49"/>
        <v>43091.25</v>
      </c>
      <c r="O796" s="13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 s="7">
        <v>7100</v>
      </c>
      <c r="E797" s="7">
        <v>1022</v>
      </c>
      <c r="F797" s="7">
        <f t="shared" si="48"/>
        <v>14.394366197183098</v>
      </c>
      <c r="G797" t="s">
        <v>14</v>
      </c>
      <c r="H797">
        <v>31</v>
      </c>
      <c r="I797" s="9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3">
        <f t="shared" si="49"/>
        <v>42675.208333333328</v>
      </c>
      <c r="O797" s="13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 s="7">
        <v>7800</v>
      </c>
      <c r="E798" s="7">
        <v>4275</v>
      </c>
      <c r="F798" s="7">
        <f t="shared" si="48"/>
        <v>54.807692307692314</v>
      </c>
      <c r="G798" t="s">
        <v>14</v>
      </c>
      <c r="H798">
        <v>78</v>
      </c>
      <c r="I798" s="9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3">
        <f t="shared" si="49"/>
        <v>41859.208333333336</v>
      </c>
      <c r="O798" s="13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 s="7">
        <v>7600</v>
      </c>
      <c r="E799" s="7">
        <v>8332</v>
      </c>
      <c r="F799" s="7">
        <f t="shared" si="48"/>
        <v>109.63157894736841</v>
      </c>
      <c r="G799" t="s">
        <v>20</v>
      </c>
      <c r="H799">
        <v>185</v>
      </c>
      <c r="I799" s="9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3">
        <f t="shared" si="49"/>
        <v>43464.25</v>
      </c>
      <c r="O799" s="13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 s="7">
        <v>3400</v>
      </c>
      <c r="E800" s="7">
        <v>6408</v>
      </c>
      <c r="F800" s="7">
        <f t="shared" si="48"/>
        <v>188.47058823529412</v>
      </c>
      <c r="G800" t="s">
        <v>20</v>
      </c>
      <c r="H800">
        <v>121</v>
      </c>
      <c r="I800" s="9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3">
        <f t="shared" si="49"/>
        <v>41060.208333333336</v>
      </c>
      <c r="O800" s="13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 s="7">
        <v>84500</v>
      </c>
      <c r="E801" s="7">
        <v>73522</v>
      </c>
      <c r="F801" s="7">
        <f t="shared" si="48"/>
        <v>87.008284023668637</v>
      </c>
      <c r="G801" t="s">
        <v>14</v>
      </c>
      <c r="H801">
        <v>1225</v>
      </c>
      <c r="I801" s="9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3">
        <f t="shared" si="49"/>
        <v>42399.25</v>
      </c>
      <c r="O801" s="13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 s="7">
        <v>100</v>
      </c>
      <c r="E802" s="7">
        <v>1</v>
      </c>
      <c r="F802" s="7">
        <f t="shared" si="48"/>
        <v>1</v>
      </c>
      <c r="G802" t="s">
        <v>14</v>
      </c>
      <c r="H802">
        <v>1</v>
      </c>
      <c r="I802" s="9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3">
        <f t="shared" si="49"/>
        <v>42167.208333333328</v>
      </c>
      <c r="O802" s="13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 s="7">
        <v>2300</v>
      </c>
      <c r="E803" s="7">
        <v>4667</v>
      </c>
      <c r="F803" s="7">
        <f t="shared" si="48"/>
        <v>202.9130434782609</v>
      </c>
      <c r="G803" t="s">
        <v>20</v>
      </c>
      <c r="H803">
        <v>106</v>
      </c>
      <c r="I803" s="9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3">
        <f t="shared" si="49"/>
        <v>43830.25</v>
      </c>
      <c r="O803" s="13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 s="7">
        <v>6200</v>
      </c>
      <c r="E804" s="7">
        <v>12216</v>
      </c>
      <c r="F804" s="7">
        <f t="shared" si="48"/>
        <v>197.03225806451613</v>
      </c>
      <c r="G804" t="s">
        <v>20</v>
      </c>
      <c r="H804">
        <v>142</v>
      </c>
      <c r="I804" s="9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3">
        <f t="shared" si="49"/>
        <v>43650.208333333328</v>
      </c>
      <c r="O804" s="13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 s="7">
        <v>6100</v>
      </c>
      <c r="E805" s="7">
        <v>6527</v>
      </c>
      <c r="F805" s="7">
        <f t="shared" si="48"/>
        <v>107</v>
      </c>
      <c r="G805" t="s">
        <v>20</v>
      </c>
      <c r="H805">
        <v>233</v>
      </c>
      <c r="I805" s="9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3">
        <f t="shared" si="49"/>
        <v>43492.25</v>
      </c>
      <c r="O805" s="13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 s="7">
        <v>2600</v>
      </c>
      <c r="E806" s="7">
        <v>6987</v>
      </c>
      <c r="F806" s="7">
        <f t="shared" si="48"/>
        <v>268.73076923076923</v>
      </c>
      <c r="G806" t="s">
        <v>20</v>
      </c>
      <c r="H806">
        <v>218</v>
      </c>
      <c r="I806" s="9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3">
        <f t="shared" si="49"/>
        <v>43102.25</v>
      </c>
      <c r="O806" s="13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 s="7">
        <v>9700</v>
      </c>
      <c r="E807" s="7">
        <v>4932</v>
      </c>
      <c r="F807" s="7">
        <f t="shared" si="48"/>
        <v>50.845360824742272</v>
      </c>
      <c r="G807" t="s">
        <v>14</v>
      </c>
      <c r="H807">
        <v>67</v>
      </c>
      <c r="I807" s="9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3">
        <f t="shared" si="49"/>
        <v>41958.25</v>
      </c>
      <c r="O807" s="13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 s="7">
        <v>700</v>
      </c>
      <c r="E808" s="7">
        <v>8262</v>
      </c>
      <c r="F808" s="7">
        <f t="shared" si="48"/>
        <v>1180.2857142857142</v>
      </c>
      <c r="G808" t="s">
        <v>20</v>
      </c>
      <c r="H808">
        <v>76</v>
      </c>
      <c r="I808" s="9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3">
        <f t="shared" si="49"/>
        <v>40973.25</v>
      </c>
      <c r="O808" s="13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 s="7">
        <v>700</v>
      </c>
      <c r="E809" s="7">
        <v>1848</v>
      </c>
      <c r="F809" s="7">
        <f t="shared" si="48"/>
        <v>264</v>
      </c>
      <c r="G809" t="s">
        <v>20</v>
      </c>
      <c r="H809">
        <v>43</v>
      </c>
      <c r="I809" s="9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3">
        <f t="shared" si="49"/>
        <v>43753.208333333328</v>
      </c>
      <c r="O809" s="13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 s="7">
        <v>5200</v>
      </c>
      <c r="E810" s="7">
        <v>1583</v>
      </c>
      <c r="F810" s="7">
        <f t="shared" si="48"/>
        <v>30.44230769230769</v>
      </c>
      <c r="G810" t="s">
        <v>14</v>
      </c>
      <c r="H810">
        <v>19</v>
      </c>
      <c r="I810" s="9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3">
        <f t="shared" si="49"/>
        <v>42507.208333333328</v>
      </c>
      <c r="O810" s="13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 s="7">
        <v>140800</v>
      </c>
      <c r="E811" s="7">
        <v>88536</v>
      </c>
      <c r="F811" s="7">
        <f t="shared" si="48"/>
        <v>62.880681818181813</v>
      </c>
      <c r="G811" t="s">
        <v>14</v>
      </c>
      <c r="H811">
        <v>2108</v>
      </c>
      <c r="I811" s="9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3">
        <f t="shared" si="49"/>
        <v>41135.208333333336</v>
      </c>
      <c r="O811" s="13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 s="7">
        <v>6400</v>
      </c>
      <c r="E812" s="7">
        <v>12360</v>
      </c>
      <c r="F812" s="7">
        <f t="shared" si="48"/>
        <v>193.125</v>
      </c>
      <c r="G812" t="s">
        <v>20</v>
      </c>
      <c r="H812">
        <v>221</v>
      </c>
      <c r="I812" s="9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3">
        <f t="shared" si="49"/>
        <v>43067.25</v>
      </c>
      <c r="O812" s="13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 s="7">
        <v>92500</v>
      </c>
      <c r="E813" s="7">
        <v>71320</v>
      </c>
      <c r="F813" s="7">
        <f t="shared" si="48"/>
        <v>77.102702702702715</v>
      </c>
      <c r="G813" t="s">
        <v>14</v>
      </c>
      <c r="H813">
        <v>679</v>
      </c>
      <c r="I813" s="9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3">
        <f t="shared" si="49"/>
        <v>42378.25</v>
      </c>
      <c r="O813" s="13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 s="7">
        <v>59700</v>
      </c>
      <c r="E814" s="7">
        <v>134640</v>
      </c>
      <c r="F814" s="7">
        <f t="shared" si="48"/>
        <v>225.52763819095478</v>
      </c>
      <c r="G814" t="s">
        <v>20</v>
      </c>
      <c r="H814">
        <v>2805</v>
      </c>
      <c r="I814" s="9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3">
        <f t="shared" si="49"/>
        <v>43206.208333333328</v>
      </c>
      <c r="O814" s="13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 s="7">
        <v>3200</v>
      </c>
      <c r="E815" s="7">
        <v>7661</v>
      </c>
      <c r="F815" s="7">
        <f t="shared" si="48"/>
        <v>239.40625</v>
      </c>
      <c r="G815" t="s">
        <v>20</v>
      </c>
      <c r="H815">
        <v>68</v>
      </c>
      <c r="I815" s="9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3">
        <f t="shared" si="49"/>
        <v>41148.208333333336</v>
      </c>
      <c r="O815" s="13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 s="7">
        <v>3200</v>
      </c>
      <c r="E816" s="7">
        <v>2950</v>
      </c>
      <c r="F816" s="7">
        <f t="shared" si="48"/>
        <v>92.1875</v>
      </c>
      <c r="G816" t="s">
        <v>14</v>
      </c>
      <c r="H816">
        <v>36</v>
      </c>
      <c r="I816" s="9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3">
        <f t="shared" si="49"/>
        <v>42517.208333333328</v>
      </c>
      <c r="O816" s="13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 s="7">
        <v>9000</v>
      </c>
      <c r="E817" s="7">
        <v>11721</v>
      </c>
      <c r="F817" s="7">
        <f t="shared" si="48"/>
        <v>130.23333333333335</v>
      </c>
      <c r="G817" t="s">
        <v>20</v>
      </c>
      <c r="H817">
        <v>183</v>
      </c>
      <c r="I817" s="9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3">
        <f t="shared" si="49"/>
        <v>43068.25</v>
      </c>
      <c r="O817" s="13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 s="7">
        <v>2300</v>
      </c>
      <c r="E818" s="7">
        <v>14150</v>
      </c>
      <c r="F818" s="7">
        <f t="shared" si="48"/>
        <v>615.21739130434787</v>
      </c>
      <c r="G818" t="s">
        <v>20</v>
      </c>
      <c r="H818">
        <v>133</v>
      </c>
      <c r="I818" s="9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3">
        <f t="shared" si="49"/>
        <v>41680.25</v>
      </c>
      <c r="O818" s="13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 s="7">
        <v>51300</v>
      </c>
      <c r="E819" s="7">
        <v>189192</v>
      </c>
      <c r="F819" s="7">
        <f t="shared" si="48"/>
        <v>368.79532163742692</v>
      </c>
      <c r="G819" t="s">
        <v>20</v>
      </c>
      <c r="H819">
        <v>2489</v>
      </c>
      <c r="I819" s="9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3">
        <f t="shared" si="49"/>
        <v>43589.208333333328</v>
      </c>
      <c r="O819" s="13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 s="7">
        <v>700</v>
      </c>
      <c r="E820" s="7">
        <v>7664</v>
      </c>
      <c r="F820" s="7">
        <f t="shared" si="48"/>
        <v>1094.8571428571429</v>
      </c>
      <c r="G820" t="s">
        <v>20</v>
      </c>
      <c r="H820">
        <v>69</v>
      </c>
      <c r="I820" s="9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3">
        <f t="shared" si="49"/>
        <v>43486.25</v>
      </c>
      <c r="O820" s="13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 s="7">
        <v>8900</v>
      </c>
      <c r="E821" s="7">
        <v>4509</v>
      </c>
      <c r="F821" s="7">
        <f t="shared" si="48"/>
        <v>50.662921348314605</v>
      </c>
      <c r="G821" t="s">
        <v>14</v>
      </c>
      <c r="H821">
        <v>47</v>
      </c>
      <c r="I821" s="9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3">
        <f t="shared" si="49"/>
        <v>41237.25</v>
      </c>
      <c r="O821" s="13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 s="7">
        <v>1500</v>
      </c>
      <c r="E822" s="7">
        <v>12009</v>
      </c>
      <c r="F822" s="7">
        <f t="shared" si="48"/>
        <v>800.6</v>
      </c>
      <c r="G822" t="s">
        <v>20</v>
      </c>
      <c r="H822">
        <v>279</v>
      </c>
      <c r="I822" s="9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3">
        <f t="shared" si="49"/>
        <v>43310.208333333328</v>
      </c>
      <c r="O822" s="13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 s="7">
        <v>4900</v>
      </c>
      <c r="E823" s="7">
        <v>14273</v>
      </c>
      <c r="F823" s="7">
        <f t="shared" si="48"/>
        <v>291.28571428571428</v>
      </c>
      <c r="G823" t="s">
        <v>20</v>
      </c>
      <c r="H823">
        <v>210</v>
      </c>
      <c r="I823" s="9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3">
        <f t="shared" si="49"/>
        <v>42794.25</v>
      </c>
      <c r="O823" s="13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 s="7">
        <v>54000</v>
      </c>
      <c r="E824" s="7">
        <v>188982</v>
      </c>
      <c r="F824" s="7">
        <f t="shared" si="48"/>
        <v>349.9666666666667</v>
      </c>
      <c r="G824" t="s">
        <v>20</v>
      </c>
      <c r="H824">
        <v>2100</v>
      </c>
      <c r="I824" s="9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3">
        <f t="shared" si="49"/>
        <v>41698.25</v>
      </c>
      <c r="O824" s="13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 s="7">
        <v>4100</v>
      </c>
      <c r="E825" s="7">
        <v>14640</v>
      </c>
      <c r="F825" s="7">
        <f t="shared" si="48"/>
        <v>357.07317073170731</v>
      </c>
      <c r="G825" t="s">
        <v>20</v>
      </c>
      <c r="H825">
        <v>252</v>
      </c>
      <c r="I825" s="9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3">
        <f t="shared" si="49"/>
        <v>41892.208333333336</v>
      </c>
      <c r="O825" s="13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 s="7">
        <v>85000</v>
      </c>
      <c r="E826" s="7">
        <v>107516</v>
      </c>
      <c r="F826" s="7">
        <f t="shared" si="48"/>
        <v>126.48941176470588</v>
      </c>
      <c r="G826" t="s">
        <v>20</v>
      </c>
      <c r="H826">
        <v>1280</v>
      </c>
      <c r="I826" s="9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3">
        <f t="shared" si="49"/>
        <v>40348.208333333336</v>
      </c>
      <c r="O826" s="13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 s="7">
        <v>3600</v>
      </c>
      <c r="E827" s="7">
        <v>13950</v>
      </c>
      <c r="F827" s="7">
        <f t="shared" si="48"/>
        <v>387.5</v>
      </c>
      <c r="G827" t="s">
        <v>20</v>
      </c>
      <c r="H827">
        <v>157</v>
      </c>
      <c r="I827" s="9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3">
        <f t="shared" si="49"/>
        <v>42941.208333333328</v>
      </c>
      <c r="O827" s="13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 s="7">
        <v>2800</v>
      </c>
      <c r="E828" s="7">
        <v>12797</v>
      </c>
      <c r="F828" s="7">
        <f t="shared" si="48"/>
        <v>457.03571428571428</v>
      </c>
      <c r="G828" t="s">
        <v>20</v>
      </c>
      <c r="H828">
        <v>194</v>
      </c>
      <c r="I828" s="9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3">
        <f t="shared" si="49"/>
        <v>40525.25</v>
      </c>
      <c r="O828" s="13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 s="7">
        <v>2300</v>
      </c>
      <c r="E829" s="7">
        <v>6134</v>
      </c>
      <c r="F829" s="7">
        <f t="shared" si="48"/>
        <v>266.69565217391306</v>
      </c>
      <c r="G829" t="s">
        <v>20</v>
      </c>
      <c r="H829">
        <v>82</v>
      </c>
      <c r="I829" s="9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3">
        <f t="shared" si="49"/>
        <v>40666.208333333336</v>
      </c>
      <c r="O829" s="13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 s="7">
        <v>7100</v>
      </c>
      <c r="E830" s="7">
        <v>4899</v>
      </c>
      <c r="F830" s="7">
        <f t="shared" si="48"/>
        <v>69</v>
      </c>
      <c r="G830" t="s">
        <v>14</v>
      </c>
      <c r="H830">
        <v>70</v>
      </c>
      <c r="I830" s="9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3">
        <f t="shared" si="49"/>
        <v>43340.208333333328</v>
      </c>
      <c r="O830" s="13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 s="7">
        <v>9600</v>
      </c>
      <c r="E831" s="7">
        <v>4929</v>
      </c>
      <c r="F831" s="7">
        <f t="shared" si="48"/>
        <v>51.34375</v>
      </c>
      <c r="G831" t="s">
        <v>14</v>
      </c>
      <c r="H831">
        <v>154</v>
      </c>
      <c r="I831" s="9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3">
        <f t="shared" si="49"/>
        <v>42164.208333333328</v>
      </c>
      <c r="O831" s="13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 s="7">
        <v>121600</v>
      </c>
      <c r="E832" s="7">
        <v>1424</v>
      </c>
      <c r="F832" s="7">
        <f t="shared" si="48"/>
        <v>1.1710526315789473</v>
      </c>
      <c r="G832" t="s">
        <v>14</v>
      </c>
      <c r="H832">
        <v>22</v>
      </c>
      <c r="I832" s="9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3">
        <f t="shared" si="49"/>
        <v>43103.25</v>
      </c>
      <c r="O832" s="13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 s="7">
        <v>97100</v>
      </c>
      <c r="E833" s="7">
        <v>105817</v>
      </c>
      <c r="F833" s="7">
        <f t="shared" si="48"/>
        <v>108.97734294541709</v>
      </c>
      <c r="G833" t="s">
        <v>20</v>
      </c>
      <c r="H833">
        <v>4233</v>
      </c>
      <c r="I833" s="9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3">
        <f t="shared" si="49"/>
        <v>40994.208333333336</v>
      </c>
      <c r="O833" s="13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 s="7">
        <v>43200</v>
      </c>
      <c r="E834" s="7">
        <v>136156</v>
      </c>
      <c r="F834" s="7">
        <f t="shared" si="48"/>
        <v>315.17592592592592</v>
      </c>
      <c r="G834" t="s">
        <v>20</v>
      </c>
      <c r="H834">
        <v>1297</v>
      </c>
      <c r="I834" s="9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3">
        <f t="shared" si="49"/>
        <v>42299.208333333328</v>
      </c>
      <c r="O834" s="13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 s="7">
        <v>6800</v>
      </c>
      <c r="E835" s="7">
        <v>10723</v>
      </c>
      <c r="F835" s="7">
        <f t="shared" ref="F835:F898" si="52">(E835/D835)*100</f>
        <v>157.69117647058823</v>
      </c>
      <c r="G835" t="s">
        <v>20</v>
      </c>
      <c r="H835">
        <v>165</v>
      </c>
      <c r="I835" s="9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3">
        <f t="shared" ref="N835:N898" si="53">(((L835/60)/60)/24)+DATE(1970,1,1)</f>
        <v>40588.25</v>
      </c>
      <c r="O835" s="13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 s="7">
        <v>7300</v>
      </c>
      <c r="E836" s="7">
        <v>11228</v>
      </c>
      <c r="F836" s="7">
        <f t="shared" si="52"/>
        <v>153.8082191780822</v>
      </c>
      <c r="G836" t="s">
        <v>20</v>
      </c>
      <c r="H836">
        <v>119</v>
      </c>
      <c r="I836" s="9">
        <f t="shared" ref="I836:I899" si="55">IFERROR(E836/H836,0)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3">
        <f t="shared" si="53"/>
        <v>41448.208333333336</v>
      </c>
      <c r="O836" s="13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 s="7">
        <v>86200</v>
      </c>
      <c r="E837" s="7">
        <v>77355</v>
      </c>
      <c r="F837" s="7">
        <f t="shared" si="52"/>
        <v>89.738979118329468</v>
      </c>
      <c r="G837" t="s">
        <v>14</v>
      </c>
      <c r="H837">
        <v>1758</v>
      </c>
      <c r="I837" s="9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3">
        <f t="shared" si="53"/>
        <v>42063.25</v>
      </c>
      <c r="O837" s="13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 s="7">
        <v>8100</v>
      </c>
      <c r="E838" s="7">
        <v>6086</v>
      </c>
      <c r="F838" s="7">
        <f t="shared" si="52"/>
        <v>75.135802469135797</v>
      </c>
      <c r="G838" t="s">
        <v>14</v>
      </c>
      <c r="H838">
        <v>94</v>
      </c>
      <c r="I838" s="9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3">
        <f t="shared" si="53"/>
        <v>40214.25</v>
      </c>
      <c r="O838" s="13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 s="7">
        <v>17700</v>
      </c>
      <c r="E839" s="7">
        <v>150960</v>
      </c>
      <c r="F839" s="7">
        <f t="shared" si="52"/>
        <v>852.88135593220341</v>
      </c>
      <c r="G839" t="s">
        <v>20</v>
      </c>
      <c r="H839">
        <v>1797</v>
      </c>
      <c r="I839" s="9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3">
        <f t="shared" si="53"/>
        <v>40629.208333333336</v>
      </c>
      <c r="O839" s="13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 s="7">
        <v>6400</v>
      </c>
      <c r="E840" s="7">
        <v>8890</v>
      </c>
      <c r="F840" s="7">
        <f t="shared" si="52"/>
        <v>138.90625</v>
      </c>
      <c r="G840" t="s">
        <v>20</v>
      </c>
      <c r="H840">
        <v>261</v>
      </c>
      <c r="I840" s="9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3">
        <f t="shared" si="53"/>
        <v>43370.208333333328</v>
      </c>
      <c r="O840" s="13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 s="7">
        <v>7700</v>
      </c>
      <c r="E841" s="7">
        <v>14644</v>
      </c>
      <c r="F841" s="7">
        <f t="shared" si="52"/>
        <v>190.18181818181819</v>
      </c>
      <c r="G841" t="s">
        <v>20</v>
      </c>
      <c r="H841">
        <v>157</v>
      </c>
      <c r="I841" s="9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3">
        <f t="shared" si="53"/>
        <v>41715.208333333336</v>
      </c>
      <c r="O841" s="13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 s="7">
        <v>116300</v>
      </c>
      <c r="E842" s="7">
        <v>116583</v>
      </c>
      <c r="F842" s="7">
        <f t="shared" si="52"/>
        <v>100.24333619948409</v>
      </c>
      <c r="G842" t="s">
        <v>20</v>
      </c>
      <c r="H842">
        <v>3533</v>
      </c>
      <c r="I842" s="9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3">
        <f t="shared" si="53"/>
        <v>41836.208333333336</v>
      </c>
      <c r="O842" s="13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 s="7">
        <v>9100</v>
      </c>
      <c r="E843" s="7">
        <v>12991</v>
      </c>
      <c r="F843" s="7">
        <f t="shared" si="52"/>
        <v>142.75824175824175</v>
      </c>
      <c r="G843" t="s">
        <v>20</v>
      </c>
      <c r="H843">
        <v>155</v>
      </c>
      <c r="I843" s="9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3">
        <f t="shared" si="53"/>
        <v>42419.25</v>
      </c>
      <c r="O843" s="13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 s="7">
        <v>1500</v>
      </c>
      <c r="E844" s="7">
        <v>8447</v>
      </c>
      <c r="F844" s="7">
        <f t="shared" si="52"/>
        <v>563.13333333333333</v>
      </c>
      <c r="G844" t="s">
        <v>20</v>
      </c>
      <c r="H844">
        <v>132</v>
      </c>
      <c r="I844" s="9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3">
        <f t="shared" si="53"/>
        <v>43266.208333333328</v>
      </c>
      <c r="O844" s="13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 s="7">
        <v>8800</v>
      </c>
      <c r="E845" s="7">
        <v>2703</v>
      </c>
      <c r="F845" s="7">
        <f t="shared" si="52"/>
        <v>30.715909090909086</v>
      </c>
      <c r="G845" t="s">
        <v>14</v>
      </c>
      <c r="H845">
        <v>33</v>
      </c>
      <c r="I845" s="9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3">
        <f t="shared" si="53"/>
        <v>43338.208333333328</v>
      </c>
      <c r="O845" s="13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 s="7">
        <v>8800</v>
      </c>
      <c r="E846" s="7">
        <v>8747</v>
      </c>
      <c r="F846" s="7">
        <f t="shared" si="52"/>
        <v>99.39772727272728</v>
      </c>
      <c r="G846" t="s">
        <v>74</v>
      </c>
      <c r="H846">
        <v>94</v>
      </c>
      <c r="I846" s="9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3">
        <f t="shared" si="53"/>
        <v>40930.25</v>
      </c>
      <c r="O846" s="13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 s="7">
        <v>69900</v>
      </c>
      <c r="E847" s="7">
        <v>138087</v>
      </c>
      <c r="F847" s="7">
        <f t="shared" si="52"/>
        <v>197.54935622317598</v>
      </c>
      <c r="G847" t="s">
        <v>20</v>
      </c>
      <c r="H847">
        <v>1354</v>
      </c>
      <c r="I847" s="9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3">
        <f t="shared" si="53"/>
        <v>43235.208333333328</v>
      </c>
      <c r="O847" s="13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 s="7">
        <v>1000</v>
      </c>
      <c r="E848" s="7">
        <v>5085</v>
      </c>
      <c r="F848" s="7">
        <f t="shared" si="52"/>
        <v>508.5</v>
      </c>
      <c r="G848" t="s">
        <v>20</v>
      </c>
      <c r="H848">
        <v>48</v>
      </c>
      <c r="I848" s="9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3">
        <f t="shared" si="53"/>
        <v>43302.208333333328</v>
      </c>
      <c r="O848" s="13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 s="7">
        <v>4700</v>
      </c>
      <c r="E849" s="7">
        <v>11174</v>
      </c>
      <c r="F849" s="7">
        <f t="shared" si="52"/>
        <v>237.74468085106383</v>
      </c>
      <c r="G849" t="s">
        <v>20</v>
      </c>
      <c r="H849">
        <v>110</v>
      </c>
      <c r="I849" s="9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3">
        <f t="shared" si="53"/>
        <v>43107.25</v>
      </c>
      <c r="O849" s="13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 s="7">
        <v>3200</v>
      </c>
      <c r="E850" s="7">
        <v>10831</v>
      </c>
      <c r="F850" s="7">
        <f t="shared" si="52"/>
        <v>338.46875</v>
      </c>
      <c r="G850" t="s">
        <v>20</v>
      </c>
      <c r="H850">
        <v>172</v>
      </c>
      <c r="I850" s="9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3">
        <f t="shared" si="53"/>
        <v>40341.208333333336</v>
      </c>
      <c r="O850" s="13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 s="7">
        <v>6700</v>
      </c>
      <c r="E851" s="7">
        <v>8917</v>
      </c>
      <c r="F851" s="7">
        <f t="shared" si="52"/>
        <v>133.08955223880596</v>
      </c>
      <c r="G851" t="s">
        <v>20</v>
      </c>
      <c r="H851">
        <v>307</v>
      </c>
      <c r="I851" s="9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3">
        <f t="shared" si="53"/>
        <v>40948.25</v>
      </c>
      <c r="O851" s="13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 s="7">
        <v>100</v>
      </c>
      <c r="E852" s="7">
        <v>1</v>
      </c>
      <c r="F852" s="7">
        <f t="shared" si="52"/>
        <v>1</v>
      </c>
      <c r="G852" t="s">
        <v>14</v>
      </c>
      <c r="H852">
        <v>1</v>
      </c>
      <c r="I852" s="9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3">
        <f t="shared" si="53"/>
        <v>40866.25</v>
      </c>
      <c r="O852" s="13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 s="7">
        <v>6000</v>
      </c>
      <c r="E853" s="7">
        <v>12468</v>
      </c>
      <c r="F853" s="7">
        <f t="shared" si="52"/>
        <v>207.79999999999998</v>
      </c>
      <c r="G853" t="s">
        <v>20</v>
      </c>
      <c r="H853">
        <v>160</v>
      </c>
      <c r="I853" s="9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3">
        <f t="shared" si="53"/>
        <v>41031.208333333336</v>
      </c>
      <c r="O853" s="13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 s="7">
        <v>4900</v>
      </c>
      <c r="E854" s="7">
        <v>2505</v>
      </c>
      <c r="F854" s="7">
        <f t="shared" si="52"/>
        <v>51.122448979591837</v>
      </c>
      <c r="G854" t="s">
        <v>14</v>
      </c>
      <c r="H854">
        <v>31</v>
      </c>
      <c r="I854" s="9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3">
        <f t="shared" si="53"/>
        <v>40740.208333333336</v>
      </c>
      <c r="O854" s="13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 s="7">
        <v>17100</v>
      </c>
      <c r="E855" s="7">
        <v>111502</v>
      </c>
      <c r="F855" s="7">
        <f t="shared" si="52"/>
        <v>652.05847953216369</v>
      </c>
      <c r="G855" t="s">
        <v>20</v>
      </c>
      <c r="H855">
        <v>1467</v>
      </c>
      <c r="I855" s="9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3">
        <f t="shared" si="53"/>
        <v>40714.208333333336</v>
      </c>
      <c r="O855" s="13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 s="7">
        <v>171000</v>
      </c>
      <c r="E856" s="7">
        <v>194309</v>
      </c>
      <c r="F856" s="7">
        <f t="shared" si="52"/>
        <v>113.63099415204678</v>
      </c>
      <c r="G856" t="s">
        <v>20</v>
      </c>
      <c r="H856">
        <v>2662</v>
      </c>
      <c r="I856" s="9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3">
        <f t="shared" si="53"/>
        <v>43787.25</v>
      </c>
      <c r="O856" s="13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 s="7">
        <v>23400</v>
      </c>
      <c r="E857" s="7">
        <v>23956</v>
      </c>
      <c r="F857" s="7">
        <f t="shared" si="52"/>
        <v>102.37606837606839</v>
      </c>
      <c r="G857" t="s">
        <v>20</v>
      </c>
      <c r="H857">
        <v>452</v>
      </c>
      <c r="I857" s="9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3">
        <f t="shared" si="53"/>
        <v>40712.208333333336</v>
      </c>
      <c r="O857" s="13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 s="7">
        <v>2400</v>
      </c>
      <c r="E858" s="7">
        <v>8558</v>
      </c>
      <c r="F858" s="7">
        <f t="shared" si="52"/>
        <v>356.58333333333331</v>
      </c>
      <c r="G858" t="s">
        <v>20</v>
      </c>
      <c r="H858">
        <v>158</v>
      </c>
      <c r="I858" s="9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3">
        <f t="shared" si="53"/>
        <v>41023.208333333336</v>
      </c>
      <c r="O858" s="13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 s="7">
        <v>5300</v>
      </c>
      <c r="E859" s="7">
        <v>7413</v>
      </c>
      <c r="F859" s="7">
        <f t="shared" si="52"/>
        <v>139.86792452830187</v>
      </c>
      <c r="G859" t="s">
        <v>20</v>
      </c>
      <c r="H859">
        <v>225</v>
      </c>
      <c r="I859" s="9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3">
        <f t="shared" si="53"/>
        <v>40944.25</v>
      </c>
      <c r="O859" s="13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 s="7">
        <v>4000</v>
      </c>
      <c r="E860" s="7">
        <v>2778</v>
      </c>
      <c r="F860" s="7">
        <f t="shared" si="52"/>
        <v>69.45</v>
      </c>
      <c r="G860" t="s">
        <v>14</v>
      </c>
      <c r="H860">
        <v>35</v>
      </c>
      <c r="I860" s="9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3">
        <f t="shared" si="53"/>
        <v>43211.208333333328</v>
      </c>
      <c r="O860" s="13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 s="7">
        <v>7300</v>
      </c>
      <c r="E861" s="7">
        <v>2594</v>
      </c>
      <c r="F861" s="7">
        <f t="shared" si="52"/>
        <v>35.534246575342465</v>
      </c>
      <c r="G861" t="s">
        <v>14</v>
      </c>
      <c r="H861">
        <v>63</v>
      </c>
      <c r="I861" s="9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3">
        <f t="shared" si="53"/>
        <v>41334.25</v>
      </c>
      <c r="O861" s="13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 s="7">
        <v>2000</v>
      </c>
      <c r="E862" s="7">
        <v>5033</v>
      </c>
      <c r="F862" s="7">
        <f t="shared" si="52"/>
        <v>251.65</v>
      </c>
      <c r="G862" t="s">
        <v>20</v>
      </c>
      <c r="H862">
        <v>65</v>
      </c>
      <c r="I862" s="9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3">
        <f t="shared" si="53"/>
        <v>43515.25</v>
      </c>
      <c r="O862" s="13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 s="7">
        <v>8800</v>
      </c>
      <c r="E863" s="7">
        <v>9317</v>
      </c>
      <c r="F863" s="7">
        <f t="shared" si="52"/>
        <v>105.87500000000001</v>
      </c>
      <c r="G863" t="s">
        <v>20</v>
      </c>
      <c r="H863">
        <v>163</v>
      </c>
      <c r="I863" s="9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3">
        <f t="shared" si="53"/>
        <v>40258.208333333336</v>
      </c>
      <c r="O863" s="13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 s="7">
        <v>3500</v>
      </c>
      <c r="E864" s="7">
        <v>6560</v>
      </c>
      <c r="F864" s="7">
        <f t="shared" si="52"/>
        <v>187.42857142857144</v>
      </c>
      <c r="G864" t="s">
        <v>20</v>
      </c>
      <c r="H864">
        <v>85</v>
      </c>
      <c r="I864" s="9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3">
        <f t="shared" si="53"/>
        <v>40756.208333333336</v>
      </c>
      <c r="O864" s="13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 s="7">
        <v>1400</v>
      </c>
      <c r="E865" s="7">
        <v>5415</v>
      </c>
      <c r="F865" s="7">
        <f t="shared" si="52"/>
        <v>386.78571428571428</v>
      </c>
      <c r="G865" t="s">
        <v>20</v>
      </c>
      <c r="H865">
        <v>217</v>
      </c>
      <c r="I865" s="9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3">
        <f t="shared" si="53"/>
        <v>42172.208333333328</v>
      </c>
      <c r="O865" s="13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 s="7">
        <v>4200</v>
      </c>
      <c r="E866" s="7">
        <v>14577</v>
      </c>
      <c r="F866" s="7">
        <f t="shared" si="52"/>
        <v>347.07142857142856</v>
      </c>
      <c r="G866" t="s">
        <v>20</v>
      </c>
      <c r="H866">
        <v>150</v>
      </c>
      <c r="I866" s="9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3">
        <f t="shared" si="53"/>
        <v>42601.208333333328</v>
      </c>
      <c r="O866" s="13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 s="7">
        <v>81000</v>
      </c>
      <c r="E867" s="7">
        <v>150515</v>
      </c>
      <c r="F867" s="7">
        <f t="shared" si="52"/>
        <v>185.82098765432099</v>
      </c>
      <c r="G867" t="s">
        <v>20</v>
      </c>
      <c r="H867">
        <v>3272</v>
      </c>
      <c r="I867" s="9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3">
        <f t="shared" si="53"/>
        <v>41897.208333333336</v>
      </c>
      <c r="O867" s="13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 s="7">
        <v>182800</v>
      </c>
      <c r="E868" s="7">
        <v>79045</v>
      </c>
      <c r="F868" s="7">
        <f t="shared" si="52"/>
        <v>43.241247264770237</v>
      </c>
      <c r="G868" t="s">
        <v>74</v>
      </c>
      <c r="H868">
        <v>898</v>
      </c>
      <c r="I868" s="9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3">
        <f t="shared" si="53"/>
        <v>40671.208333333336</v>
      </c>
      <c r="O868" s="13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 s="7">
        <v>4800</v>
      </c>
      <c r="E869" s="7">
        <v>7797</v>
      </c>
      <c r="F869" s="7">
        <f t="shared" si="52"/>
        <v>162.4375</v>
      </c>
      <c r="G869" t="s">
        <v>20</v>
      </c>
      <c r="H869">
        <v>300</v>
      </c>
      <c r="I869" s="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3">
        <f t="shared" si="53"/>
        <v>43382.208333333328</v>
      </c>
      <c r="O869" s="13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 s="7">
        <v>7000</v>
      </c>
      <c r="E870" s="7">
        <v>12939</v>
      </c>
      <c r="F870" s="7">
        <f t="shared" si="52"/>
        <v>184.84285714285716</v>
      </c>
      <c r="G870" t="s">
        <v>20</v>
      </c>
      <c r="H870">
        <v>126</v>
      </c>
      <c r="I870" s="9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3">
        <f t="shared" si="53"/>
        <v>41559.208333333336</v>
      </c>
      <c r="O870" s="13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 s="7">
        <v>161900</v>
      </c>
      <c r="E871" s="7">
        <v>38376</v>
      </c>
      <c r="F871" s="7">
        <f t="shared" si="52"/>
        <v>23.703520691785052</v>
      </c>
      <c r="G871" t="s">
        <v>14</v>
      </c>
      <c r="H871">
        <v>526</v>
      </c>
      <c r="I871" s="9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3">
        <f t="shared" si="53"/>
        <v>40350.208333333336</v>
      </c>
      <c r="O871" s="13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 s="7">
        <v>7700</v>
      </c>
      <c r="E872" s="7">
        <v>6920</v>
      </c>
      <c r="F872" s="7">
        <f t="shared" si="52"/>
        <v>89.870129870129873</v>
      </c>
      <c r="G872" t="s">
        <v>14</v>
      </c>
      <c r="H872">
        <v>121</v>
      </c>
      <c r="I872" s="9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3">
        <f t="shared" si="53"/>
        <v>42240.208333333328</v>
      </c>
      <c r="O872" s="13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 s="7">
        <v>71500</v>
      </c>
      <c r="E873" s="7">
        <v>194912</v>
      </c>
      <c r="F873" s="7">
        <f t="shared" si="52"/>
        <v>272.6041958041958</v>
      </c>
      <c r="G873" t="s">
        <v>20</v>
      </c>
      <c r="H873">
        <v>2320</v>
      </c>
      <c r="I873" s="9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3">
        <f t="shared" si="53"/>
        <v>43040.208333333328</v>
      </c>
      <c r="O873" s="13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 s="7">
        <v>4700</v>
      </c>
      <c r="E874" s="7">
        <v>7992</v>
      </c>
      <c r="F874" s="7">
        <f t="shared" si="52"/>
        <v>170.04255319148936</v>
      </c>
      <c r="G874" t="s">
        <v>20</v>
      </c>
      <c r="H874">
        <v>81</v>
      </c>
      <c r="I874" s="9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3">
        <f t="shared" si="53"/>
        <v>43346.208333333328</v>
      </c>
      <c r="O874" s="13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 s="7">
        <v>42100</v>
      </c>
      <c r="E875" s="7">
        <v>79268</v>
      </c>
      <c r="F875" s="7">
        <f t="shared" si="52"/>
        <v>188.28503562945369</v>
      </c>
      <c r="G875" t="s">
        <v>20</v>
      </c>
      <c r="H875">
        <v>1887</v>
      </c>
      <c r="I875" s="9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3">
        <f t="shared" si="53"/>
        <v>41647.25</v>
      </c>
      <c r="O875" s="13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 s="7">
        <v>40200</v>
      </c>
      <c r="E876" s="7">
        <v>139468</v>
      </c>
      <c r="F876" s="7">
        <f t="shared" si="52"/>
        <v>346.93532338308455</v>
      </c>
      <c r="G876" t="s">
        <v>20</v>
      </c>
      <c r="H876">
        <v>4358</v>
      </c>
      <c r="I876" s="9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3">
        <f t="shared" si="53"/>
        <v>40291.208333333336</v>
      </c>
      <c r="O876" s="13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 s="7">
        <v>7900</v>
      </c>
      <c r="E877" s="7">
        <v>5465</v>
      </c>
      <c r="F877" s="7">
        <f t="shared" si="52"/>
        <v>69.177215189873422</v>
      </c>
      <c r="G877" t="s">
        <v>14</v>
      </c>
      <c r="H877">
        <v>67</v>
      </c>
      <c r="I877" s="9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3">
        <f t="shared" si="53"/>
        <v>40556.25</v>
      </c>
      <c r="O877" s="13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 s="7">
        <v>8300</v>
      </c>
      <c r="E878" s="7">
        <v>2111</v>
      </c>
      <c r="F878" s="7">
        <f t="shared" si="52"/>
        <v>25.433734939759034</v>
      </c>
      <c r="G878" t="s">
        <v>14</v>
      </c>
      <c r="H878">
        <v>57</v>
      </c>
      <c r="I878" s="9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3">
        <f t="shared" si="53"/>
        <v>43624.208333333328</v>
      </c>
      <c r="O878" s="13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 s="7">
        <v>163600</v>
      </c>
      <c r="E879" s="7">
        <v>126628</v>
      </c>
      <c r="F879" s="7">
        <f t="shared" si="52"/>
        <v>77.400977995110026</v>
      </c>
      <c r="G879" t="s">
        <v>14</v>
      </c>
      <c r="H879">
        <v>1229</v>
      </c>
      <c r="I879" s="9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3">
        <f t="shared" si="53"/>
        <v>42577.208333333328</v>
      </c>
      <c r="O879" s="13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 s="7">
        <v>2700</v>
      </c>
      <c r="E880" s="7">
        <v>1012</v>
      </c>
      <c r="F880" s="7">
        <f t="shared" si="52"/>
        <v>37.481481481481481</v>
      </c>
      <c r="G880" t="s">
        <v>14</v>
      </c>
      <c r="H880">
        <v>12</v>
      </c>
      <c r="I880" s="9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3">
        <f t="shared" si="53"/>
        <v>43845.25</v>
      </c>
      <c r="O880" s="13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 s="7">
        <v>1000</v>
      </c>
      <c r="E881" s="7">
        <v>5438</v>
      </c>
      <c r="F881" s="7">
        <f t="shared" si="52"/>
        <v>543.79999999999995</v>
      </c>
      <c r="G881" t="s">
        <v>20</v>
      </c>
      <c r="H881">
        <v>53</v>
      </c>
      <c r="I881" s="9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3">
        <f t="shared" si="53"/>
        <v>42788.25</v>
      </c>
      <c r="O881" s="13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 s="7">
        <v>84500</v>
      </c>
      <c r="E882" s="7">
        <v>193101</v>
      </c>
      <c r="F882" s="7">
        <f t="shared" si="52"/>
        <v>228.52189349112427</v>
      </c>
      <c r="G882" t="s">
        <v>20</v>
      </c>
      <c r="H882">
        <v>2414</v>
      </c>
      <c r="I882" s="9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3">
        <f t="shared" si="53"/>
        <v>43667.208333333328</v>
      </c>
      <c r="O882" s="13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 s="7">
        <v>81300</v>
      </c>
      <c r="E883" s="7">
        <v>31665</v>
      </c>
      <c r="F883" s="7">
        <f t="shared" si="52"/>
        <v>38.948339483394832</v>
      </c>
      <c r="G883" t="s">
        <v>14</v>
      </c>
      <c r="H883">
        <v>452</v>
      </c>
      <c r="I883" s="9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3">
        <f t="shared" si="53"/>
        <v>42194.208333333328</v>
      </c>
      <c r="O883" s="13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 s="7">
        <v>800</v>
      </c>
      <c r="E884" s="7">
        <v>2960</v>
      </c>
      <c r="F884" s="7">
        <f t="shared" si="52"/>
        <v>370</v>
      </c>
      <c r="G884" t="s">
        <v>20</v>
      </c>
      <c r="H884">
        <v>80</v>
      </c>
      <c r="I884" s="9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3">
        <f t="shared" si="53"/>
        <v>42025.25</v>
      </c>
      <c r="O884" s="13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 s="7">
        <v>3400</v>
      </c>
      <c r="E885" s="7">
        <v>8089</v>
      </c>
      <c r="F885" s="7">
        <f t="shared" si="52"/>
        <v>237.91176470588232</v>
      </c>
      <c r="G885" t="s">
        <v>20</v>
      </c>
      <c r="H885">
        <v>193</v>
      </c>
      <c r="I885" s="9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3">
        <f t="shared" si="53"/>
        <v>40323.208333333336</v>
      </c>
      <c r="O885" s="13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 s="7">
        <v>170800</v>
      </c>
      <c r="E886" s="7">
        <v>109374</v>
      </c>
      <c r="F886" s="7">
        <f t="shared" si="52"/>
        <v>64.036299765807954</v>
      </c>
      <c r="G886" t="s">
        <v>14</v>
      </c>
      <c r="H886">
        <v>1886</v>
      </c>
      <c r="I886" s="9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3">
        <f t="shared" si="53"/>
        <v>41763.208333333336</v>
      </c>
      <c r="O886" s="13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 s="7">
        <v>1800</v>
      </c>
      <c r="E887" s="7">
        <v>2129</v>
      </c>
      <c r="F887" s="7">
        <f t="shared" si="52"/>
        <v>118.27777777777777</v>
      </c>
      <c r="G887" t="s">
        <v>20</v>
      </c>
      <c r="H887">
        <v>52</v>
      </c>
      <c r="I887" s="9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3">
        <f t="shared" si="53"/>
        <v>40335.208333333336</v>
      </c>
      <c r="O887" s="13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 s="7">
        <v>150600</v>
      </c>
      <c r="E888" s="7">
        <v>127745</v>
      </c>
      <c r="F888" s="7">
        <f t="shared" si="52"/>
        <v>84.824037184594957</v>
      </c>
      <c r="G888" t="s">
        <v>14</v>
      </c>
      <c r="H888">
        <v>1825</v>
      </c>
      <c r="I888" s="9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3">
        <f t="shared" si="53"/>
        <v>40416.208333333336</v>
      </c>
      <c r="O888" s="13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 s="7">
        <v>7800</v>
      </c>
      <c r="E889" s="7">
        <v>2289</v>
      </c>
      <c r="F889" s="7">
        <f t="shared" si="52"/>
        <v>29.346153846153843</v>
      </c>
      <c r="G889" t="s">
        <v>14</v>
      </c>
      <c r="H889">
        <v>31</v>
      </c>
      <c r="I889" s="9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3">
        <f t="shared" si="53"/>
        <v>42202.208333333328</v>
      </c>
      <c r="O889" s="13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 s="7">
        <v>5800</v>
      </c>
      <c r="E890" s="7">
        <v>12174</v>
      </c>
      <c r="F890" s="7">
        <f t="shared" si="52"/>
        <v>209.89655172413794</v>
      </c>
      <c r="G890" t="s">
        <v>20</v>
      </c>
      <c r="H890">
        <v>290</v>
      </c>
      <c r="I890" s="9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3">
        <f t="shared" si="53"/>
        <v>42836.208333333328</v>
      </c>
      <c r="O890" s="13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 s="7">
        <v>5600</v>
      </c>
      <c r="E891" s="7">
        <v>9508</v>
      </c>
      <c r="F891" s="7">
        <f t="shared" si="52"/>
        <v>169.78571428571431</v>
      </c>
      <c r="G891" t="s">
        <v>20</v>
      </c>
      <c r="H891">
        <v>122</v>
      </c>
      <c r="I891" s="9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3">
        <f t="shared" si="53"/>
        <v>41710.208333333336</v>
      </c>
      <c r="O891" s="13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 s="7">
        <v>134400</v>
      </c>
      <c r="E892" s="7">
        <v>155849</v>
      </c>
      <c r="F892" s="7">
        <f t="shared" si="52"/>
        <v>115.95907738095239</v>
      </c>
      <c r="G892" t="s">
        <v>20</v>
      </c>
      <c r="H892">
        <v>1470</v>
      </c>
      <c r="I892" s="9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3">
        <f t="shared" si="53"/>
        <v>43640.208333333328</v>
      </c>
      <c r="O892" s="13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 s="7">
        <v>3000</v>
      </c>
      <c r="E893" s="7">
        <v>7758</v>
      </c>
      <c r="F893" s="7">
        <f t="shared" si="52"/>
        <v>258.59999999999997</v>
      </c>
      <c r="G893" t="s">
        <v>20</v>
      </c>
      <c r="H893">
        <v>165</v>
      </c>
      <c r="I893" s="9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3">
        <f t="shared" si="53"/>
        <v>40880.25</v>
      </c>
      <c r="O893" s="13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 s="7">
        <v>6000</v>
      </c>
      <c r="E894" s="7">
        <v>13835</v>
      </c>
      <c r="F894" s="7">
        <f t="shared" si="52"/>
        <v>230.58333333333331</v>
      </c>
      <c r="G894" t="s">
        <v>20</v>
      </c>
      <c r="H894">
        <v>182</v>
      </c>
      <c r="I894" s="9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3">
        <f t="shared" si="53"/>
        <v>40319.208333333336</v>
      </c>
      <c r="O894" s="13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 s="7">
        <v>8400</v>
      </c>
      <c r="E895" s="7">
        <v>10770</v>
      </c>
      <c r="F895" s="7">
        <f t="shared" si="52"/>
        <v>128.21428571428572</v>
      </c>
      <c r="G895" t="s">
        <v>20</v>
      </c>
      <c r="H895">
        <v>199</v>
      </c>
      <c r="I895" s="9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3">
        <f t="shared" si="53"/>
        <v>42170.208333333328</v>
      </c>
      <c r="O895" s="13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 s="7">
        <v>1700</v>
      </c>
      <c r="E896" s="7">
        <v>3208</v>
      </c>
      <c r="F896" s="7">
        <f t="shared" si="52"/>
        <v>188.70588235294116</v>
      </c>
      <c r="G896" t="s">
        <v>20</v>
      </c>
      <c r="H896">
        <v>56</v>
      </c>
      <c r="I896" s="9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3">
        <f t="shared" si="53"/>
        <v>41466.208333333336</v>
      </c>
      <c r="O896" s="13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 s="7">
        <v>159800</v>
      </c>
      <c r="E897" s="7">
        <v>11108</v>
      </c>
      <c r="F897" s="7">
        <f t="shared" si="52"/>
        <v>6.9511889862327907</v>
      </c>
      <c r="G897" t="s">
        <v>14</v>
      </c>
      <c r="H897">
        <v>107</v>
      </c>
      <c r="I897" s="9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3">
        <f t="shared" si="53"/>
        <v>43134.25</v>
      </c>
      <c r="O897" s="13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 s="7">
        <v>19800</v>
      </c>
      <c r="E898" s="7">
        <v>153338</v>
      </c>
      <c r="F898" s="7">
        <f t="shared" si="52"/>
        <v>774.43434343434342</v>
      </c>
      <c r="G898" t="s">
        <v>20</v>
      </c>
      <c r="H898">
        <v>1460</v>
      </c>
      <c r="I898" s="9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3">
        <f t="shared" si="53"/>
        <v>40738.208333333336</v>
      </c>
      <c r="O898" s="13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 s="7">
        <v>8800</v>
      </c>
      <c r="E899" s="7">
        <v>2437</v>
      </c>
      <c r="F899" s="7">
        <f t="shared" ref="F899:F962" si="56">(E899/D899)*100</f>
        <v>27.693181818181817</v>
      </c>
      <c r="G899" t="s">
        <v>14</v>
      </c>
      <c r="H899">
        <v>27</v>
      </c>
      <c r="I899" s="9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3">
        <f t="shared" ref="N899:N962" si="57">(((L899/60)/60)/24)+DATE(1970,1,1)</f>
        <v>43583.208333333328</v>
      </c>
      <c r="O899" s="13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 s="7">
        <v>179100</v>
      </c>
      <c r="E900" s="7">
        <v>93991</v>
      </c>
      <c r="F900" s="7">
        <f t="shared" si="56"/>
        <v>52.479620323841424</v>
      </c>
      <c r="G900" t="s">
        <v>14</v>
      </c>
      <c r="H900">
        <v>1221</v>
      </c>
      <c r="I900" s="9">
        <f t="shared" ref="I900:I963" si="59">IFERROR(E900/H900,0)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3">
        <f t="shared" si="57"/>
        <v>43815.25</v>
      </c>
      <c r="O900" s="13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 s="7">
        <v>3100</v>
      </c>
      <c r="E901" s="7">
        <v>12620</v>
      </c>
      <c r="F901" s="7">
        <f t="shared" si="56"/>
        <v>407.09677419354841</v>
      </c>
      <c r="G901" t="s">
        <v>20</v>
      </c>
      <c r="H901">
        <v>123</v>
      </c>
      <c r="I901" s="9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3">
        <f t="shared" si="57"/>
        <v>41554.208333333336</v>
      </c>
      <c r="O901" s="13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 s="7">
        <v>100</v>
      </c>
      <c r="E902" s="7">
        <v>2</v>
      </c>
      <c r="F902" s="7">
        <f t="shared" si="56"/>
        <v>2</v>
      </c>
      <c r="G902" t="s">
        <v>14</v>
      </c>
      <c r="H902">
        <v>1</v>
      </c>
      <c r="I902" s="9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3">
        <f t="shared" si="57"/>
        <v>41901.208333333336</v>
      </c>
      <c r="O902" s="13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 s="7">
        <v>5600</v>
      </c>
      <c r="E903" s="7">
        <v>8746</v>
      </c>
      <c r="F903" s="7">
        <f t="shared" si="56"/>
        <v>156.17857142857144</v>
      </c>
      <c r="G903" t="s">
        <v>20</v>
      </c>
      <c r="H903">
        <v>159</v>
      </c>
      <c r="I903" s="9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3">
        <f t="shared" si="57"/>
        <v>43298.208333333328</v>
      </c>
      <c r="O903" s="13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 s="7">
        <v>1400</v>
      </c>
      <c r="E904" s="7">
        <v>3534</v>
      </c>
      <c r="F904" s="7">
        <f t="shared" si="56"/>
        <v>252.42857142857144</v>
      </c>
      <c r="G904" t="s">
        <v>20</v>
      </c>
      <c r="H904">
        <v>110</v>
      </c>
      <c r="I904" s="9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3">
        <f t="shared" si="57"/>
        <v>42399.25</v>
      </c>
      <c r="O904" s="13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 s="7">
        <v>41000</v>
      </c>
      <c r="E905" s="7">
        <v>709</v>
      </c>
      <c r="F905" s="7">
        <f t="shared" si="56"/>
        <v>1.729268292682927</v>
      </c>
      <c r="G905" t="s">
        <v>47</v>
      </c>
      <c r="H905">
        <v>14</v>
      </c>
      <c r="I905" s="9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3">
        <f t="shared" si="57"/>
        <v>41034.208333333336</v>
      </c>
      <c r="O905" s="13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 s="7">
        <v>6500</v>
      </c>
      <c r="E906" s="7">
        <v>795</v>
      </c>
      <c r="F906" s="7">
        <f t="shared" si="56"/>
        <v>12.230769230769232</v>
      </c>
      <c r="G906" t="s">
        <v>14</v>
      </c>
      <c r="H906">
        <v>16</v>
      </c>
      <c r="I906" s="9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3">
        <f t="shared" si="57"/>
        <v>41186.208333333336</v>
      </c>
      <c r="O906" s="13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 s="7">
        <v>7900</v>
      </c>
      <c r="E907" s="7">
        <v>12955</v>
      </c>
      <c r="F907" s="7">
        <f t="shared" si="56"/>
        <v>163.98734177215189</v>
      </c>
      <c r="G907" t="s">
        <v>20</v>
      </c>
      <c r="H907">
        <v>236</v>
      </c>
      <c r="I907" s="9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3">
        <f t="shared" si="57"/>
        <v>41536.208333333336</v>
      </c>
      <c r="O907" s="13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 s="7">
        <v>5500</v>
      </c>
      <c r="E908" s="7">
        <v>8964</v>
      </c>
      <c r="F908" s="7">
        <f t="shared" si="56"/>
        <v>162.98181818181817</v>
      </c>
      <c r="G908" t="s">
        <v>20</v>
      </c>
      <c r="H908">
        <v>191</v>
      </c>
      <c r="I908" s="9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3">
        <f t="shared" si="57"/>
        <v>42868.208333333328</v>
      </c>
      <c r="O908" s="13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 s="7">
        <v>9100</v>
      </c>
      <c r="E909" s="7">
        <v>1843</v>
      </c>
      <c r="F909" s="7">
        <f t="shared" si="56"/>
        <v>20.252747252747252</v>
      </c>
      <c r="G909" t="s">
        <v>14</v>
      </c>
      <c r="H909">
        <v>41</v>
      </c>
      <c r="I909" s="9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3">
        <f t="shared" si="57"/>
        <v>40660.208333333336</v>
      </c>
      <c r="O909" s="13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 s="7">
        <v>38200</v>
      </c>
      <c r="E910" s="7">
        <v>121950</v>
      </c>
      <c r="F910" s="7">
        <f t="shared" si="56"/>
        <v>319.24083769633506</v>
      </c>
      <c r="G910" t="s">
        <v>20</v>
      </c>
      <c r="H910">
        <v>3934</v>
      </c>
      <c r="I910" s="9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3">
        <f t="shared" si="57"/>
        <v>41031.208333333336</v>
      </c>
      <c r="O910" s="13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 s="7">
        <v>1800</v>
      </c>
      <c r="E911" s="7">
        <v>8621</v>
      </c>
      <c r="F911" s="7">
        <f t="shared" si="56"/>
        <v>478.94444444444446</v>
      </c>
      <c r="G911" t="s">
        <v>20</v>
      </c>
      <c r="H911">
        <v>80</v>
      </c>
      <c r="I911" s="9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3">
        <f t="shared" si="57"/>
        <v>43255.208333333328</v>
      </c>
      <c r="O911" s="13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 s="7">
        <v>154500</v>
      </c>
      <c r="E912" s="7">
        <v>30215</v>
      </c>
      <c r="F912" s="7">
        <f t="shared" si="56"/>
        <v>19.556634304207122</v>
      </c>
      <c r="G912" t="s">
        <v>74</v>
      </c>
      <c r="H912">
        <v>296</v>
      </c>
      <c r="I912" s="9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3">
        <f t="shared" si="57"/>
        <v>42026.25</v>
      </c>
      <c r="O912" s="13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 s="7">
        <v>5800</v>
      </c>
      <c r="E913" s="7">
        <v>11539</v>
      </c>
      <c r="F913" s="7">
        <f t="shared" si="56"/>
        <v>198.94827586206895</v>
      </c>
      <c r="G913" t="s">
        <v>20</v>
      </c>
      <c r="H913">
        <v>462</v>
      </c>
      <c r="I913" s="9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3">
        <f t="shared" si="57"/>
        <v>43717.208333333328</v>
      </c>
      <c r="O913" s="13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 s="7">
        <v>1800</v>
      </c>
      <c r="E914" s="7">
        <v>14310</v>
      </c>
      <c r="F914" s="7">
        <f t="shared" si="56"/>
        <v>795</v>
      </c>
      <c r="G914" t="s">
        <v>20</v>
      </c>
      <c r="H914">
        <v>179</v>
      </c>
      <c r="I914" s="9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3">
        <f t="shared" si="57"/>
        <v>41157.208333333336</v>
      </c>
      <c r="O914" s="13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 s="7">
        <v>70200</v>
      </c>
      <c r="E915" s="7">
        <v>35536</v>
      </c>
      <c r="F915" s="7">
        <f t="shared" si="56"/>
        <v>50.621082621082621</v>
      </c>
      <c r="G915" t="s">
        <v>14</v>
      </c>
      <c r="H915">
        <v>523</v>
      </c>
      <c r="I915" s="9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3">
        <f t="shared" si="57"/>
        <v>43597.208333333328</v>
      </c>
      <c r="O915" s="13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 s="7">
        <v>6400</v>
      </c>
      <c r="E916" s="7">
        <v>3676</v>
      </c>
      <c r="F916" s="7">
        <f t="shared" si="56"/>
        <v>57.4375</v>
      </c>
      <c r="G916" t="s">
        <v>14</v>
      </c>
      <c r="H916">
        <v>141</v>
      </c>
      <c r="I916" s="9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3">
        <f t="shared" si="57"/>
        <v>41490.208333333336</v>
      </c>
      <c r="O916" s="13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 s="7">
        <v>125900</v>
      </c>
      <c r="E917" s="7">
        <v>195936</v>
      </c>
      <c r="F917" s="7">
        <f t="shared" si="56"/>
        <v>155.62827640984909</v>
      </c>
      <c r="G917" t="s">
        <v>20</v>
      </c>
      <c r="H917">
        <v>1866</v>
      </c>
      <c r="I917" s="9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3">
        <f t="shared" si="57"/>
        <v>42976.208333333328</v>
      </c>
      <c r="O917" s="13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 s="7">
        <v>3700</v>
      </c>
      <c r="E918" s="7">
        <v>1343</v>
      </c>
      <c r="F918" s="7">
        <f t="shared" si="56"/>
        <v>36.297297297297298</v>
      </c>
      <c r="G918" t="s">
        <v>14</v>
      </c>
      <c r="H918">
        <v>52</v>
      </c>
      <c r="I918" s="9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3">
        <f t="shared" si="57"/>
        <v>41991.25</v>
      </c>
      <c r="O918" s="13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 s="7">
        <v>3600</v>
      </c>
      <c r="E919" s="7">
        <v>2097</v>
      </c>
      <c r="F919" s="7">
        <f t="shared" si="56"/>
        <v>58.25</v>
      </c>
      <c r="G919" t="s">
        <v>47</v>
      </c>
      <c r="H919">
        <v>27</v>
      </c>
      <c r="I919" s="9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3">
        <f t="shared" si="57"/>
        <v>40722.208333333336</v>
      </c>
      <c r="O919" s="13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 s="7">
        <v>3800</v>
      </c>
      <c r="E920" s="7">
        <v>9021</v>
      </c>
      <c r="F920" s="7">
        <f t="shared" si="56"/>
        <v>237.39473684210526</v>
      </c>
      <c r="G920" t="s">
        <v>20</v>
      </c>
      <c r="H920">
        <v>156</v>
      </c>
      <c r="I920" s="9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3">
        <f t="shared" si="57"/>
        <v>41117.208333333336</v>
      </c>
      <c r="O920" s="13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 s="7">
        <v>35600</v>
      </c>
      <c r="E921" s="7">
        <v>20915</v>
      </c>
      <c r="F921" s="7">
        <f t="shared" si="56"/>
        <v>58.75</v>
      </c>
      <c r="G921" t="s">
        <v>14</v>
      </c>
      <c r="H921">
        <v>225</v>
      </c>
      <c r="I921" s="9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3">
        <f t="shared" si="57"/>
        <v>43022.208333333328</v>
      </c>
      <c r="O921" s="13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 s="7">
        <v>5300</v>
      </c>
      <c r="E922" s="7">
        <v>9676</v>
      </c>
      <c r="F922" s="7">
        <f t="shared" si="56"/>
        <v>182.56603773584905</v>
      </c>
      <c r="G922" t="s">
        <v>20</v>
      </c>
      <c r="H922">
        <v>255</v>
      </c>
      <c r="I922" s="9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3">
        <f t="shared" si="57"/>
        <v>43503.25</v>
      </c>
      <c r="O922" s="13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 s="7">
        <v>160400</v>
      </c>
      <c r="E923" s="7">
        <v>1210</v>
      </c>
      <c r="F923" s="7">
        <f t="shared" si="56"/>
        <v>0.75436408977556113</v>
      </c>
      <c r="G923" t="s">
        <v>14</v>
      </c>
      <c r="H923">
        <v>38</v>
      </c>
      <c r="I923" s="9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3">
        <f t="shared" si="57"/>
        <v>40951.25</v>
      </c>
      <c r="O923" s="13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 s="7">
        <v>51400</v>
      </c>
      <c r="E924" s="7">
        <v>90440</v>
      </c>
      <c r="F924" s="7">
        <f t="shared" si="56"/>
        <v>175.95330739299609</v>
      </c>
      <c r="G924" t="s">
        <v>20</v>
      </c>
      <c r="H924">
        <v>2261</v>
      </c>
      <c r="I924" s="9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3">
        <f t="shared" si="57"/>
        <v>43443.25</v>
      </c>
      <c r="O924" s="13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 s="7">
        <v>1700</v>
      </c>
      <c r="E925" s="7">
        <v>4044</v>
      </c>
      <c r="F925" s="7">
        <f t="shared" si="56"/>
        <v>237.88235294117646</v>
      </c>
      <c r="G925" t="s">
        <v>20</v>
      </c>
      <c r="H925">
        <v>40</v>
      </c>
      <c r="I925" s="9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3">
        <f t="shared" si="57"/>
        <v>40373.208333333336</v>
      </c>
      <c r="O925" s="13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 s="7">
        <v>39400</v>
      </c>
      <c r="E926" s="7">
        <v>192292</v>
      </c>
      <c r="F926" s="7">
        <f t="shared" si="56"/>
        <v>488.05076142131981</v>
      </c>
      <c r="G926" t="s">
        <v>20</v>
      </c>
      <c r="H926">
        <v>2289</v>
      </c>
      <c r="I926" s="9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3">
        <f t="shared" si="57"/>
        <v>43769.208333333328</v>
      </c>
      <c r="O926" s="13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 s="7">
        <v>3000</v>
      </c>
      <c r="E927" s="7">
        <v>6722</v>
      </c>
      <c r="F927" s="7">
        <f t="shared" si="56"/>
        <v>224.06666666666669</v>
      </c>
      <c r="G927" t="s">
        <v>20</v>
      </c>
      <c r="H927">
        <v>65</v>
      </c>
      <c r="I927" s="9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3">
        <f t="shared" si="57"/>
        <v>43000.208333333328</v>
      </c>
      <c r="O927" s="13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 s="7">
        <v>8700</v>
      </c>
      <c r="E928" s="7">
        <v>1577</v>
      </c>
      <c r="F928" s="7">
        <f t="shared" si="56"/>
        <v>18.126436781609197</v>
      </c>
      <c r="G928" t="s">
        <v>14</v>
      </c>
      <c r="H928">
        <v>15</v>
      </c>
      <c r="I928" s="9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3">
        <f t="shared" si="57"/>
        <v>42502.208333333328</v>
      </c>
      <c r="O928" s="13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 s="7">
        <v>7200</v>
      </c>
      <c r="E929" s="7">
        <v>3301</v>
      </c>
      <c r="F929" s="7">
        <f t="shared" si="56"/>
        <v>45.847222222222221</v>
      </c>
      <c r="G929" t="s">
        <v>14</v>
      </c>
      <c r="H929">
        <v>37</v>
      </c>
      <c r="I929" s="9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3">
        <f t="shared" si="57"/>
        <v>41102.208333333336</v>
      </c>
      <c r="O929" s="13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 s="7">
        <v>167400</v>
      </c>
      <c r="E930" s="7">
        <v>196386</v>
      </c>
      <c r="F930" s="7">
        <f t="shared" si="56"/>
        <v>117.31541218637993</v>
      </c>
      <c r="G930" t="s">
        <v>20</v>
      </c>
      <c r="H930">
        <v>3777</v>
      </c>
      <c r="I930" s="9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3">
        <f t="shared" si="57"/>
        <v>41637.25</v>
      </c>
      <c r="O930" s="13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 s="7">
        <v>5500</v>
      </c>
      <c r="E931" s="7">
        <v>11952</v>
      </c>
      <c r="F931" s="7">
        <f t="shared" si="56"/>
        <v>217.30909090909088</v>
      </c>
      <c r="G931" t="s">
        <v>20</v>
      </c>
      <c r="H931">
        <v>184</v>
      </c>
      <c r="I931" s="9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3">
        <f t="shared" si="57"/>
        <v>42858.208333333328</v>
      </c>
      <c r="O931" s="13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 s="7">
        <v>3500</v>
      </c>
      <c r="E932" s="7">
        <v>3930</v>
      </c>
      <c r="F932" s="7">
        <f t="shared" si="56"/>
        <v>112.28571428571428</v>
      </c>
      <c r="G932" t="s">
        <v>20</v>
      </c>
      <c r="H932">
        <v>85</v>
      </c>
      <c r="I932" s="9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3">
        <f t="shared" si="57"/>
        <v>42060.25</v>
      </c>
      <c r="O932" s="13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 s="7">
        <v>7900</v>
      </c>
      <c r="E933" s="7">
        <v>5729</v>
      </c>
      <c r="F933" s="7">
        <f t="shared" si="56"/>
        <v>72.51898734177216</v>
      </c>
      <c r="G933" t="s">
        <v>14</v>
      </c>
      <c r="H933">
        <v>112</v>
      </c>
      <c r="I933" s="9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3">
        <f t="shared" si="57"/>
        <v>41818.208333333336</v>
      </c>
      <c r="O933" s="13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 s="7">
        <v>2300</v>
      </c>
      <c r="E934" s="7">
        <v>4883</v>
      </c>
      <c r="F934" s="7">
        <f t="shared" si="56"/>
        <v>212.30434782608697</v>
      </c>
      <c r="G934" t="s">
        <v>20</v>
      </c>
      <c r="H934">
        <v>144</v>
      </c>
      <c r="I934" s="9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3">
        <f t="shared" si="57"/>
        <v>41709.208333333336</v>
      </c>
      <c r="O934" s="13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 s="7">
        <v>73000</v>
      </c>
      <c r="E935" s="7">
        <v>175015</v>
      </c>
      <c r="F935" s="7">
        <f t="shared" si="56"/>
        <v>239.74657534246577</v>
      </c>
      <c r="G935" t="s">
        <v>20</v>
      </c>
      <c r="H935">
        <v>1902</v>
      </c>
      <c r="I935" s="9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3">
        <f t="shared" si="57"/>
        <v>41372.208333333336</v>
      </c>
      <c r="O935" s="13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 s="7">
        <v>6200</v>
      </c>
      <c r="E936" s="7">
        <v>11280</v>
      </c>
      <c r="F936" s="7">
        <f t="shared" si="56"/>
        <v>181.93548387096774</v>
      </c>
      <c r="G936" t="s">
        <v>20</v>
      </c>
      <c r="H936">
        <v>105</v>
      </c>
      <c r="I936" s="9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3">
        <f t="shared" si="57"/>
        <v>42422.25</v>
      </c>
      <c r="O936" s="13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 s="7">
        <v>6100</v>
      </c>
      <c r="E937" s="7">
        <v>10012</v>
      </c>
      <c r="F937" s="7">
        <f t="shared" si="56"/>
        <v>164.13114754098362</v>
      </c>
      <c r="G937" t="s">
        <v>20</v>
      </c>
      <c r="H937">
        <v>132</v>
      </c>
      <c r="I937" s="9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3">
        <f t="shared" si="57"/>
        <v>42209.208333333328</v>
      </c>
      <c r="O937" s="13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 s="7">
        <v>103200</v>
      </c>
      <c r="E938" s="7">
        <v>1690</v>
      </c>
      <c r="F938" s="7">
        <f t="shared" si="56"/>
        <v>1.6375968992248062</v>
      </c>
      <c r="G938" t="s">
        <v>14</v>
      </c>
      <c r="H938">
        <v>21</v>
      </c>
      <c r="I938" s="9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3">
        <f t="shared" si="57"/>
        <v>43668.208333333328</v>
      </c>
      <c r="O938" s="13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 s="7">
        <v>171000</v>
      </c>
      <c r="E939" s="7">
        <v>84891</v>
      </c>
      <c r="F939" s="7">
        <f t="shared" si="56"/>
        <v>49.64385964912281</v>
      </c>
      <c r="G939" t="s">
        <v>74</v>
      </c>
      <c r="H939">
        <v>976</v>
      </c>
      <c r="I939" s="9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3">
        <f t="shared" si="57"/>
        <v>42334.25</v>
      </c>
      <c r="O939" s="13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 s="7">
        <v>9200</v>
      </c>
      <c r="E940" s="7">
        <v>10093</v>
      </c>
      <c r="F940" s="7">
        <f t="shared" si="56"/>
        <v>109.70652173913042</v>
      </c>
      <c r="G940" t="s">
        <v>20</v>
      </c>
      <c r="H940">
        <v>96</v>
      </c>
      <c r="I940" s="9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3">
        <f t="shared" si="57"/>
        <v>43263.208333333328</v>
      </c>
      <c r="O940" s="13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 s="7">
        <v>7800</v>
      </c>
      <c r="E941" s="7">
        <v>3839</v>
      </c>
      <c r="F941" s="7">
        <f t="shared" si="56"/>
        <v>49.217948717948715</v>
      </c>
      <c r="G941" t="s">
        <v>14</v>
      </c>
      <c r="H941">
        <v>67</v>
      </c>
      <c r="I941" s="9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3">
        <f t="shared" si="57"/>
        <v>40670.208333333336</v>
      </c>
      <c r="O941" s="13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 s="7">
        <v>9900</v>
      </c>
      <c r="E942" s="7">
        <v>6161</v>
      </c>
      <c r="F942" s="7">
        <f t="shared" si="56"/>
        <v>62.232323232323225</v>
      </c>
      <c r="G942" t="s">
        <v>47</v>
      </c>
      <c r="H942">
        <v>66</v>
      </c>
      <c r="I942" s="9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3">
        <f t="shared" si="57"/>
        <v>41244.25</v>
      </c>
      <c r="O942" s="13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 s="7">
        <v>43000</v>
      </c>
      <c r="E943" s="7">
        <v>5615</v>
      </c>
      <c r="F943" s="7">
        <f t="shared" si="56"/>
        <v>13.05813953488372</v>
      </c>
      <c r="G943" t="s">
        <v>14</v>
      </c>
      <c r="H943">
        <v>78</v>
      </c>
      <c r="I943" s="9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3">
        <f t="shared" si="57"/>
        <v>40552.25</v>
      </c>
      <c r="O943" s="13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 s="7">
        <v>9600</v>
      </c>
      <c r="E944" s="7">
        <v>6205</v>
      </c>
      <c r="F944" s="7">
        <f t="shared" si="56"/>
        <v>64.635416666666671</v>
      </c>
      <c r="G944" t="s">
        <v>14</v>
      </c>
      <c r="H944">
        <v>67</v>
      </c>
      <c r="I944" s="9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3">
        <f t="shared" si="57"/>
        <v>40568.25</v>
      </c>
      <c r="O944" s="13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 s="7">
        <v>7500</v>
      </c>
      <c r="E945" s="7">
        <v>11969</v>
      </c>
      <c r="F945" s="7">
        <f t="shared" si="56"/>
        <v>159.58666666666667</v>
      </c>
      <c r="G945" t="s">
        <v>20</v>
      </c>
      <c r="H945">
        <v>114</v>
      </c>
      <c r="I945" s="9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3">
        <f t="shared" si="57"/>
        <v>41906.208333333336</v>
      </c>
      <c r="O945" s="13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 s="7">
        <v>10000</v>
      </c>
      <c r="E946" s="7">
        <v>8142</v>
      </c>
      <c r="F946" s="7">
        <f t="shared" si="56"/>
        <v>81.42</v>
      </c>
      <c r="G946" t="s">
        <v>14</v>
      </c>
      <c r="H946">
        <v>263</v>
      </c>
      <c r="I946" s="9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3">
        <f t="shared" si="57"/>
        <v>42776.25</v>
      </c>
      <c r="O946" s="13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 s="7">
        <v>172000</v>
      </c>
      <c r="E947" s="7">
        <v>55805</v>
      </c>
      <c r="F947" s="7">
        <f t="shared" si="56"/>
        <v>32.444767441860463</v>
      </c>
      <c r="G947" t="s">
        <v>14</v>
      </c>
      <c r="H947">
        <v>1691</v>
      </c>
      <c r="I947" s="9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3">
        <f t="shared" si="57"/>
        <v>41004.208333333336</v>
      </c>
      <c r="O947" s="13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 s="7">
        <v>153700</v>
      </c>
      <c r="E948" s="7">
        <v>15238</v>
      </c>
      <c r="F948" s="7">
        <f t="shared" si="56"/>
        <v>9.9141184124918666</v>
      </c>
      <c r="G948" t="s">
        <v>14</v>
      </c>
      <c r="H948">
        <v>181</v>
      </c>
      <c r="I948" s="9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3">
        <f t="shared" si="57"/>
        <v>40710.208333333336</v>
      </c>
      <c r="O948" s="13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 s="7">
        <v>3600</v>
      </c>
      <c r="E949" s="7">
        <v>961</v>
      </c>
      <c r="F949" s="7">
        <f t="shared" si="56"/>
        <v>26.694444444444443</v>
      </c>
      <c r="G949" t="s">
        <v>14</v>
      </c>
      <c r="H949">
        <v>13</v>
      </c>
      <c r="I949" s="9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3">
        <f t="shared" si="57"/>
        <v>41908.208333333336</v>
      </c>
      <c r="O949" s="13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 s="7">
        <v>9400</v>
      </c>
      <c r="E950" s="7">
        <v>5918</v>
      </c>
      <c r="F950" s="7">
        <f t="shared" si="56"/>
        <v>62.957446808510639</v>
      </c>
      <c r="G950" t="s">
        <v>74</v>
      </c>
      <c r="H950">
        <v>160</v>
      </c>
      <c r="I950" s="9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3">
        <f t="shared" si="57"/>
        <v>41985.25</v>
      </c>
      <c r="O950" s="13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 s="7">
        <v>5900</v>
      </c>
      <c r="E951" s="7">
        <v>9520</v>
      </c>
      <c r="F951" s="7">
        <f t="shared" si="56"/>
        <v>161.35593220338984</v>
      </c>
      <c r="G951" t="s">
        <v>20</v>
      </c>
      <c r="H951">
        <v>203</v>
      </c>
      <c r="I951" s="9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3">
        <f t="shared" si="57"/>
        <v>42112.208333333328</v>
      </c>
      <c r="O951" s="13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 s="7">
        <v>100</v>
      </c>
      <c r="E952" s="7">
        <v>5</v>
      </c>
      <c r="F952" s="7">
        <f t="shared" si="56"/>
        <v>5</v>
      </c>
      <c r="G952" t="s">
        <v>14</v>
      </c>
      <c r="H952">
        <v>1</v>
      </c>
      <c r="I952" s="9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3">
        <f t="shared" si="57"/>
        <v>43571.208333333328</v>
      </c>
      <c r="O952" s="13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 s="7">
        <v>14500</v>
      </c>
      <c r="E953" s="7">
        <v>159056</v>
      </c>
      <c r="F953" s="7">
        <f t="shared" si="56"/>
        <v>1096.9379310344827</v>
      </c>
      <c r="G953" t="s">
        <v>20</v>
      </c>
      <c r="H953">
        <v>1559</v>
      </c>
      <c r="I953" s="9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3">
        <f t="shared" si="57"/>
        <v>42730.25</v>
      </c>
      <c r="O953" s="13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 s="7">
        <v>145500</v>
      </c>
      <c r="E954" s="7">
        <v>101987</v>
      </c>
      <c r="F954" s="7">
        <f t="shared" si="56"/>
        <v>70.094158075601371</v>
      </c>
      <c r="G954" t="s">
        <v>74</v>
      </c>
      <c r="H954">
        <v>2266</v>
      </c>
      <c r="I954" s="9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3">
        <f t="shared" si="57"/>
        <v>42591.208333333328</v>
      </c>
      <c r="O954" s="13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 s="7">
        <v>3300</v>
      </c>
      <c r="E955" s="7">
        <v>1980</v>
      </c>
      <c r="F955" s="7">
        <f t="shared" si="56"/>
        <v>60</v>
      </c>
      <c r="G955" t="s">
        <v>14</v>
      </c>
      <c r="H955">
        <v>21</v>
      </c>
      <c r="I955" s="9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3">
        <f t="shared" si="57"/>
        <v>42358.25</v>
      </c>
      <c r="O955" s="13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 s="7">
        <v>42600</v>
      </c>
      <c r="E956" s="7">
        <v>156384</v>
      </c>
      <c r="F956" s="7">
        <f t="shared" si="56"/>
        <v>367.0985915492958</v>
      </c>
      <c r="G956" t="s">
        <v>20</v>
      </c>
      <c r="H956">
        <v>1548</v>
      </c>
      <c r="I956" s="9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3">
        <f t="shared" si="57"/>
        <v>41174.208333333336</v>
      </c>
      <c r="O956" s="13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 s="7">
        <v>700</v>
      </c>
      <c r="E957" s="7">
        <v>7763</v>
      </c>
      <c r="F957" s="7">
        <f t="shared" si="56"/>
        <v>1109</v>
      </c>
      <c r="G957" t="s">
        <v>20</v>
      </c>
      <c r="H957">
        <v>80</v>
      </c>
      <c r="I957" s="9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3">
        <f t="shared" si="57"/>
        <v>41238.25</v>
      </c>
      <c r="O957" s="13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 s="7">
        <v>187600</v>
      </c>
      <c r="E958" s="7">
        <v>35698</v>
      </c>
      <c r="F958" s="7">
        <f t="shared" si="56"/>
        <v>19.028784648187631</v>
      </c>
      <c r="G958" t="s">
        <v>14</v>
      </c>
      <c r="H958">
        <v>830</v>
      </c>
      <c r="I958" s="9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3">
        <f t="shared" si="57"/>
        <v>42360.25</v>
      </c>
      <c r="O958" s="13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 s="7">
        <v>9800</v>
      </c>
      <c r="E959" s="7">
        <v>12434</v>
      </c>
      <c r="F959" s="7">
        <f t="shared" si="56"/>
        <v>126.87755102040816</v>
      </c>
      <c r="G959" t="s">
        <v>20</v>
      </c>
      <c r="H959">
        <v>131</v>
      </c>
      <c r="I959" s="9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3">
        <f t="shared" si="57"/>
        <v>40955.25</v>
      </c>
      <c r="O959" s="13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 s="7">
        <v>1100</v>
      </c>
      <c r="E960" s="7">
        <v>8081</v>
      </c>
      <c r="F960" s="7">
        <f t="shared" si="56"/>
        <v>734.63636363636363</v>
      </c>
      <c r="G960" t="s">
        <v>20</v>
      </c>
      <c r="H960">
        <v>112</v>
      </c>
      <c r="I960" s="9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3">
        <f t="shared" si="57"/>
        <v>40350.208333333336</v>
      </c>
      <c r="O960" s="13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 s="7">
        <v>145000</v>
      </c>
      <c r="E961" s="7">
        <v>6631</v>
      </c>
      <c r="F961" s="7">
        <f t="shared" si="56"/>
        <v>4.5731034482758623</v>
      </c>
      <c r="G961" t="s">
        <v>14</v>
      </c>
      <c r="H961">
        <v>130</v>
      </c>
      <c r="I961" s="9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3">
        <f t="shared" si="57"/>
        <v>40357.208333333336</v>
      </c>
      <c r="O961" s="13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 s="7">
        <v>5500</v>
      </c>
      <c r="E962" s="7">
        <v>4678</v>
      </c>
      <c r="F962" s="7">
        <f t="shared" si="56"/>
        <v>85.054545454545448</v>
      </c>
      <c r="G962" t="s">
        <v>14</v>
      </c>
      <c r="H962">
        <v>55</v>
      </c>
      <c r="I962" s="9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3">
        <f t="shared" si="57"/>
        <v>42408.25</v>
      </c>
      <c r="O962" s="13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 s="7">
        <v>5700</v>
      </c>
      <c r="E963" s="7">
        <v>6800</v>
      </c>
      <c r="F963" s="7">
        <f t="shared" ref="F963:F1001" si="60">(E963/D963)*100</f>
        <v>119.29824561403508</v>
      </c>
      <c r="G963" t="s">
        <v>20</v>
      </c>
      <c r="H963">
        <v>155</v>
      </c>
      <c r="I963" s="9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3">
        <f t="shared" ref="N963:N1001" si="61">(((L963/60)/60)/24)+DATE(1970,1,1)</f>
        <v>40591.25</v>
      </c>
      <c r="O963" s="13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 s="7">
        <v>3600</v>
      </c>
      <c r="E964" s="7">
        <v>10657</v>
      </c>
      <c r="F964" s="7">
        <f t="shared" si="60"/>
        <v>296.02777777777777</v>
      </c>
      <c r="G964" t="s">
        <v>20</v>
      </c>
      <c r="H964">
        <v>266</v>
      </c>
      <c r="I964" s="9">
        <f t="shared" ref="I964:I1001" si="63">IFERROR(E964/H964,0)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3">
        <f t="shared" si="61"/>
        <v>41592.25</v>
      </c>
      <c r="O964" s="13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 s="7">
        <v>5900</v>
      </c>
      <c r="E965" s="7">
        <v>4997</v>
      </c>
      <c r="F965" s="7">
        <f t="shared" si="60"/>
        <v>84.694915254237287</v>
      </c>
      <c r="G965" t="s">
        <v>14</v>
      </c>
      <c r="H965">
        <v>114</v>
      </c>
      <c r="I965" s="9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3">
        <f t="shared" si="61"/>
        <v>40607.25</v>
      </c>
      <c r="O965" s="13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 s="7">
        <v>3700</v>
      </c>
      <c r="E966" s="7">
        <v>13164</v>
      </c>
      <c r="F966" s="7">
        <f t="shared" si="60"/>
        <v>355.7837837837838</v>
      </c>
      <c r="G966" t="s">
        <v>20</v>
      </c>
      <c r="H966">
        <v>155</v>
      </c>
      <c r="I966" s="9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3">
        <f t="shared" si="61"/>
        <v>42135.208333333328</v>
      </c>
      <c r="O966" s="13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 s="7">
        <v>2200</v>
      </c>
      <c r="E967" s="7">
        <v>8501</v>
      </c>
      <c r="F967" s="7">
        <f t="shared" si="60"/>
        <v>386.40909090909093</v>
      </c>
      <c r="G967" t="s">
        <v>20</v>
      </c>
      <c r="H967">
        <v>207</v>
      </c>
      <c r="I967" s="9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3">
        <f t="shared" si="61"/>
        <v>40203.25</v>
      </c>
      <c r="O967" s="13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 s="7">
        <v>1700</v>
      </c>
      <c r="E968" s="7">
        <v>13468</v>
      </c>
      <c r="F968" s="7">
        <f t="shared" si="60"/>
        <v>792.23529411764707</v>
      </c>
      <c r="G968" t="s">
        <v>20</v>
      </c>
      <c r="H968">
        <v>245</v>
      </c>
      <c r="I968" s="9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3">
        <f t="shared" si="61"/>
        <v>42901.208333333328</v>
      </c>
      <c r="O968" s="13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 s="7">
        <v>88400</v>
      </c>
      <c r="E969" s="7">
        <v>121138</v>
      </c>
      <c r="F969" s="7">
        <f t="shared" si="60"/>
        <v>137.03393665158373</v>
      </c>
      <c r="G969" t="s">
        <v>20</v>
      </c>
      <c r="H969">
        <v>1573</v>
      </c>
      <c r="I969" s="9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3">
        <f t="shared" si="61"/>
        <v>41005.208333333336</v>
      </c>
      <c r="O969" s="13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 s="7">
        <v>2400</v>
      </c>
      <c r="E970" s="7">
        <v>8117</v>
      </c>
      <c r="F970" s="7">
        <f t="shared" si="60"/>
        <v>338.20833333333337</v>
      </c>
      <c r="G970" t="s">
        <v>20</v>
      </c>
      <c r="H970">
        <v>114</v>
      </c>
      <c r="I970" s="9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3">
        <f t="shared" si="61"/>
        <v>40544.25</v>
      </c>
      <c r="O970" s="13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 s="7">
        <v>7900</v>
      </c>
      <c r="E971" s="7">
        <v>8550</v>
      </c>
      <c r="F971" s="7">
        <f t="shared" si="60"/>
        <v>108.22784810126582</v>
      </c>
      <c r="G971" t="s">
        <v>20</v>
      </c>
      <c r="H971">
        <v>93</v>
      </c>
      <c r="I971" s="9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3">
        <f t="shared" si="61"/>
        <v>43821.25</v>
      </c>
      <c r="O971" s="13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 s="7">
        <v>94900</v>
      </c>
      <c r="E972" s="7">
        <v>57659</v>
      </c>
      <c r="F972" s="7">
        <f t="shared" si="60"/>
        <v>60.757639620653315</v>
      </c>
      <c r="G972" t="s">
        <v>14</v>
      </c>
      <c r="H972">
        <v>594</v>
      </c>
      <c r="I972" s="9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3">
        <f t="shared" si="61"/>
        <v>40672.208333333336</v>
      </c>
      <c r="O972" s="13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 s="7">
        <v>5100</v>
      </c>
      <c r="E973" s="7">
        <v>1414</v>
      </c>
      <c r="F973" s="7">
        <f t="shared" si="60"/>
        <v>27.725490196078432</v>
      </c>
      <c r="G973" t="s">
        <v>14</v>
      </c>
      <c r="H973">
        <v>24</v>
      </c>
      <c r="I973" s="9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3">
        <f t="shared" si="61"/>
        <v>41555.208333333336</v>
      </c>
      <c r="O973" s="13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 s="7">
        <v>42700</v>
      </c>
      <c r="E974" s="7">
        <v>97524</v>
      </c>
      <c r="F974" s="7">
        <f t="shared" si="60"/>
        <v>228.3934426229508</v>
      </c>
      <c r="G974" t="s">
        <v>20</v>
      </c>
      <c r="H974">
        <v>1681</v>
      </c>
      <c r="I974" s="9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3">
        <f t="shared" si="61"/>
        <v>41792.208333333336</v>
      </c>
      <c r="O974" s="13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 s="7">
        <v>121100</v>
      </c>
      <c r="E975" s="7">
        <v>26176</v>
      </c>
      <c r="F975" s="7">
        <f t="shared" si="60"/>
        <v>21.615194054500414</v>
      </c>
      <c r="G975" t="s">
        <v>14</v>
      </c>
      <c r="H975">
        <v>252</v>
      </c>
      <c r="I975" s="9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3">
        <f t="shared" si="61"/>
        <v>40522.25</v>
      </c>
      <c r="O975" s="13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 s="7">
        <v>800</v>
      </c>
      <c r="E976" s="7">
        <v>2991</v>
      </c>
      <c r="F976" s="7">
        <f t="shared" si="60"/>
        <v>373.875</v>
      </c>
      <c r="G976" t="s">
        <v>20</v>
      </c>
      <c r="H976">
        <v>32</v>
      </c>
      <c r="I976" s="9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3">
        <f t="shared" si="61"/>
        <v>41412.208333333336</v>
      </c>
      <c r="O976" s="13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 s="7">
        <v>5400</v>
      </c>
      <c r="E977" s="7">
        <v>8366</v>
      </c>
      <c r="F977" s="7">
        <f t="shared" si="60"/>
        <v>154.92592592592592</v>
      </c>
      <c r="G977" t="s">
        <v>20</v>
      </c>
      <c r="H977">
        <v>135</v>
      </c>
      <c r="I977" s="9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3">
        <f t="shared" si="61"/>
        <v>42337.25</v>
      </c>
      <c r="O977" s="13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 s="7">
        <v>4000</v>
      </c>
      <c r="E978" s="7">
        <v>12886</v>
      </c>
      <c r="F978" s="7">
        <f t="shared" si="60"/>
        <v>322.14999999999998</v>
      </c>
      <c r="G978" t="s">
        <v>20</v>
      </c>
      <c r="H978">
        <v>140</v>
      </c>
      <c r="I978" s="9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3">
        <f t="shared" si="61"/>
        <v>40571.25</v>
      </c>
      <c r="O978" s="13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 s="7">
        <v>7000</v>
      </c>
      <c r="E979" s="7">
        <v>5177</v>
      </c>
      <c r="F979" s="7">
        <f t="shared" si="60"/>
        <v>73.957142857142856</v>
      </c>
      <c r="G979" t="s">
        <v>14</v>
      </c>
      <c r="H979">
        <v>67</v>
      </c>
      <c r="I979" s="9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3">
        <f t="shared" si="61"/>
        <v>43138.25</v>
      </c>
      <c r="O979" s="13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 s="7">
        <v>1000</v>
      </c>
      <c r="E980" s="7">
        <v>8641</v>
      </c>
      <c r="F980" s="7">
        <f t="shared" si="60"/>
        <v>864.1</v>
      </c>
      <c r="G980" t="s">
        <v>20</v>
      </c>
      <c r="H980">
        <v>92</v>
      </c>
      <c r="I980" s="9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3">
        <f t="shared" si="61"/>
        <v>42686.25</v>
      </c>
      <c r="O980" s="13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 s="7">
        <v>60200</v>
      </c>
      <c r="E981" s="7">
        <v>86244</v>
      </c>
      <c r="F981" s="7">
        <f t="shared" si="60"/>
        <v>143.26245847176079</v>
      </c>
      <c r="G981" t="s">
        <v>20</v>
      </c>
      <c r="H981">
        <v>1015</v>
      </c>
      <c r="I981" s="9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3">
        <f t="shared" si="61"/>
        <v>42078.208333333328</v>
      </c>
      <c r="O981" s="13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 s="7">
        <v>195200</v>
      </c>
      <c r="E982" s="7">
        <v>78630</v>
      </c>
      <c r="F982" s="7">
        <f t="shared" si="60"/>
        <v>40.281762295081968</v>
      </c>
      <c r="G982" t="s">
        <v>14</v>
      </c>
      <c r="H982">
        <v>742</v>
      </c>
      <c r="I982" s="9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3">
        <f t="shared" si="61"/>
        <v>42307.208333333328</v>
      </c>
      <c r="O982" s="13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 s="7">
        <v>6700</v>
      </c>
      <c r="E983" s="7">
        <v>11941</v>
      </c>
      <c r="F983" s="7">
        <f t="shared" si="60"/>
        <v>178.22388059701493</v>
      </c>
      <c r="G983" t="s">
        <v>20</v>
      </c>
      <c r="H983">
        <v>323</v>
      </c>
      <c r="I983" s="9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3">
        <f t="shared" si="61"/>
        <v>43094.25</v>
      </c>
      <c r="O983" s="13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 s="7">
        <v>7200</v>
      </c>
      <c r="E984" s="7">
        <v>6115</v>
      </c>
      <c r="F984" s="7">
        <f t="shared" si="60"/>
        <v>84.930555555555557</v>
      </c>
      <c r="G984" t="s">
        <v>14</v>
      </c>
      <c r="H984">
        <v>75</v>
      </c>
      <c r="I984" s="9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3">
        <f t="shared" si="61"/>
        <v>40743.208333333336</v>
      </c>
      <c r="O984" s="13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 s="7">
        <v>129100</v>
      </c>
      <c r="E985" s="7">
        <v>188404</v>
      </c>
      <c r="F985" s="7">
        <f t="shared" si="60"/>
        <v>145.93648334624322</v>
      </c>
      <c r="G985" t="s">
        <v>20</v>
      </c>
      <c r="H985">
        <v>2326</v>
      </c>
      <c r="I985" s="9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3">
        <f t="shared" si="61"/>
        <v>43681.208333333328</v>
      </c>
      <c r="O985" s="13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 s="7">
        <v>6500</v>
      </c>
      <c r="E986" s="7">
        <v>9910</v>
      </c>
      <c r="F986" s="7">
        <f t="shared" si="60"/>
        <v>152.46153846153848</v>
      </c>
      <c r="G986" t="s">
        <v>20</v>
      </c>
      <c r="H986">
        <v>381</v>
      </c>
      <c r="I986" s="9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3">
        <f t="shared" si="61"/>
        <v>43716.208333333328</v>
      </c>
      <c r="O986" s="13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 s="7">
        <v>170600</v>
      </c>
      <c r="E987" s="7">
        <v>114523</v>
      </c>
      <c r="F987" s="7">
        <f t="shared" si="60"/>
        <v>67.129542790152414</v>
      </c>
      <c r="G987" t="s">
        <v>14</v>
      </c>
      <c r="H987">
        <v>4405</v>
      </c>
      <c r="I987" s="9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3">
        <f t="shared" si="61"/>
        <v>41614.25</v>
      </c>
      <c r="O987" s="13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 s="7">
        <v>7800</v>
      </c>
      <c r="E988" s="7">
        <v>3144</v>
      </c>
      <c r="F988" s="7">
        <f t="shared" si="60"/>
        <v>40.307692307692307</v>
      </c>
      <c r="G988" t="s">
        <v>14</v>
      </c>
      <c r="H988">
        <v>92</v>
      </c>
      <c r="I988" s="9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3">
        <f t="shared" si="61"/>
        <v>40638.208333333336</v>
      </c>
      <c r="O988" s="13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 s="7">
        <v>6200</v>
      </c>
      <c r="E989" s="7">
        <v>13441</v>
      </c>
      <c r="F989" s="7">
        <f t="shared" si="60"/>
        <v>216.79032258064518</v>
      </c>
      <c r="G989" t="s">
        <v>20</v>
      </c>
      <c r="H989">
        <v>480</v>
      </c>
      <c r="I989" s="9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3">
        <f t="shared" si="61"/>
        <v>42852.208333333328</v>
      </c>
      <c r="O989" s="13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 s="7">
        <v>9400</v>
      </c>
      <c r="E990" s="7">
        <v>4899</v>
      </c>
      <c r="F990" s="7">
        <f t="shared" si="60"/>
        <v>52.117021276595743</v>
      </c>
      <c r="G990" t="s">
        <v>14</v>
      </c>
      <c r="H990">
        <v>64</v>
      </c>
      <c r="I990" s="9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3">
        <f t="shared" si="61"/>
        <v>42686.25</v>
      </c>
      <c r="O990" s="13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 s="7">
        <v>2400</v>
      </c>
      <c r="E991" s="7">
        <v>11990</v>
      </c>
      <c r="F991" s="7">
        <f t="shared" si="60"/>
        <v>499.58333333333337</v>
      </c>
      <c r="G991" t="s">
        <v>20</v>
      </c>
      <c r="H991">
        <v>226</v>
      </c>
      <c r="I991" s="9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3">
        <f t="shared" si="61"/>
        <v>43571.208333333328</v>
      </c>
      <c r="O991" s="13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 s="7">
        <v>7800</v>
      </c>
      <c r="E992" s="7">
        <v>6839</v>
      </c>
      <c r="F992" s="7">
        <f t="shared" si="60"/>
        <v>87.679487179487182</v>
      </c>
      <c r="G992" t="s">
        <v>14</v>
      </c>
      <c r="H992">
        <v>64</v>
      </c>
      <c r="I992" s="9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3">
        <f t="shared" si="61"/>
        <v>42432.25</v>
      </c>
      <c r="O992" s="13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 s="7">
        <v>9800</v>
      </c>
      <c r="E993" s="7">
        <v>11091</v>
      </c>
      <c r="F993" s="7">
        <f t="shared" si="60"/>
        <v>113.17346938775511</v>
      </c>
      <c r="G993" t="s">
        <v>20</v>
      </c>
      <c r="H993">
        <v>241</v>
      </c>
      <c r="I993" s="9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3">
        <f t="shared" si="61"/>
        <v>41907.208333333336</v>
      </c>
      <c r="O993" s="13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 s="7">
        <v>3100</v>
      </c>
      <c r="E994" s="7">
        <v>13223</v>
      </c>
      <c r="F994" s="7">
        <f t="shared" si="60"/>
        <v>426.54838709677421</v>
      </c>
      <c r="G994" t="s">
        <v>20</v>
      </c>
      <c r="H994">
        <v>132</v>
      </c>
      <c r="I994" s="9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3">
        <f t="shared" si="61"/>
        <v>43227.208333333328</v>
      </c>
      <c r="O994" s="13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 s="7">
        <v>9800</v>
      </c>
      <c r="E995" s="7">
        <v>7608</v>
      </c>
      <c r="F995" s="7">
        <f t="shared" si="60"/>
        <v>77.632653061224488</v>
      </c>
      <c r="G995" t="s">
        <v>74</v>
      </c>
      <c r="H995">
        <v>75</v>
      </c>
      <c r="I995" s="9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3">
        <f t="shared" si="61"/>
        <v>42362.25</v>
      </c>
      <c r="O995" s="13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 s="7">
        <v>141100</v>
      </c>
      <c r="E996" s="7">
        <v>74073</v>
      </c>
      <c r="F996" s="7">
        <f t="shared" si="60"/>
        <v>52.496810772501767</v>
      </c>
      <c r="G996" t="s">
        <v>14</v>
      </c>
      <c r="H996">
        <v>842</v>
      </c>
      <c r="I996" s="9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3">
        <f t="shared" si="61"/>
        <v>41929.208333333336</v>
      </c>
      <c r="O996" s="13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 s="7">
        <v>97300</v>
      </c>
      <c r="E997" s="7">
        <v>153216</v>
      </c>
      <c r="F997" s="7">
        <f t="shared" si="60"/>
        <v>157.46762589928059</v>
      </c>
      <c r="G997" t="s">
        <v>20</v>
      </c>
      <c r="H997">
        <v>2043</v>
      </c>
      <c r="I997" s="9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3">
        <f t="shared" si="61"/>
        <v>43408.208333333328</v>
      </c>
      <c r="O997" s="13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 s="7">
        <v>6600</v>
      </c>
      <c r="E998" s="7">
        <v>4814</v>
      </c>
      <c r="F998" s="7">
        <f t="shared" si="60"/>
        <v>72.939393939393938</v>
      </c>
      <c r="G998" t="s">
        <v>14</v>
      </c>
      <c r="H998">
        <v>112</v>
      </c>
      <c r="I998" s="9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3">
        <f t="shared" si="61"/>
        <v>41276.25</v>
      </c>
      <c r="O998" s="13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 s="7">
        <v>7600</v>
      </c>
      <c r="E999" s="7">
        <v>4603</v>
      </c>
      <c r="F999" s="7">
        <f t="shared" si="60"/>
        <v>60.565789473684205</v>
      </c>
      <c r="G999" t="s">
        <v>74</v>
      </c>
      <c r="H999">
        <v>139</v>
      </c>
      <c r="I999" s="9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3">
        <f t="shared" si="61"/>
        <v>41659.25</v>
      </c>
      <c r="O999" s="13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 s="7">
        <v>66600</v>
      </c>
      <c r="E1000" s="7">
        <v>37823</v>
      </c>
      <c r="F1000" s="7">
        <f t="shared" si="60"/>
        <v>56.791291291291287</v>
      </c>
      <c r="G1000" t="s">
        <v>14</v>
      </c>
      <c r="H1000">
        <v>374</v>
      </c>
      <c r="I1000" s="9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3">
        <f t="shared" si="61"/>
        <v>40220.25</v>
      </c>
      <c r="O1000" s="13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 s="7">
        <v>111100</v>
      </c>
      <c r="E1001" s="7">
        <v>62819</v>
      </c>
      <c r="F1001" s="7">
        <f t="shared" si="60"/>
        <v>56.542754275427541</v>
      </c>
      <c r="G1001" t="s">
        <v>74</v>
      </c>
      <c r="H1001">
        <v>1122</v>
      </c>
      <c r="I1001" s="9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3">
        <f t="shared" si="61"/>
        <v>42550.208333333328</v>
      </c>
      <c r="O1001" s="13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1:G1001">
    <cfRule type="containsText" dxfId="3" priority="6" operator="containsText" text="failed">
      <formula>NOT(ISERROR(SEARCH("failed",G1)))</formula>
    </cfRule>
  </conditionalFormatting>
  <conditionalFormatting sqref="G1:G1048576">
    <cfRule type="cellIs" dxfId="2" priority="3" operator="equal">
      <formula>"canceled"</formula>
    </cfRule>
    <cfRule type="cellIs" dxfId="1" priority="4" operator="equal">
      <formula>"live"</formula>
    </cfRule>
    <cfRule type="cellIs" dxfId="0" priority="5" operator="equal">
      <formula>"successful"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CC0000"/>
        <color rgb="FF57E040"/>
        <color rgb="FF1681DA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34AF-3B5D-43D1-B7BF-8410AD0D8840}">
  <sheetPr codeName="Sheet1"/>
  <dimension ref="A1:F14"/>
  <sheetViews>
    <sheetView workbookViewId="0">
      <selection activeCell="C26" sqref="C2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0" t="s">
        <v>6</v>
      </c>
      <c r="B1" t="s">
        <v>2069</v>
      </c>
    </row>
    <row r="3" spans="1:6" x14ac:dyDescent="0.25">
      <c r="A3" s="10" t="s">
        <v>2071</v>
      </c>
      <c r="B3" s="10" t="s">
        <v>2070</v>
      </c>
    </row>
    <row r="4" spans="1:6" x14ac:dyDescent="0.25">
      <c r="A4" s="10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11" t="s">
        <v>2035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</row>
    <row r="6" spans="1:6" x14ac:dyDescent="0.25">
      <c r="A6" s="11" t="s">
        <v>2036</v>
      </c>
      <c r="B6" s="12">
        <v>4</v>
      </c>
      <c r="C6" s="12">
        <v>20</v>
      </c>
      <c r="D6" s="12"/>
      <c r="E6" s="12">
        <v>22</v>
      </c>
      <c r="F6" s="12">
        <v>46</v>
      </c>
    </row>
    <row r="7" spans="1:6" x14ac:dyDescent="0.25">
      <c r="A7" s="11" t="s">
        <v>2037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</row>
    <row r="8" spans="1:6" x14ac:dyDescent="0.25">
      <c r="A8" s="11" t="s">
        <v>2038</v>
      </c>
      <c r="B8" s="12"/>
      <c r="C8" s="12"/>
      <c r="D8" s="12"/>
      <c r="E8" s="12">
        <v>4</v>
      </c>
      <c r="F8" s="12">
        <v>4</v>
      </c>
    </row>
    <row r="9" spans="1:6" x14ac:dyDescent="0.25">
      <c r="A9" s="11" t="s">
        <v>2039</v>
      </c>
      <c r="B9" s="12">
        <v>10</v>
      </c>
      <c r="C9" s="12">
        <v>66</v>
      </c>
      <c r="D9" s="12"/>
      <c r="E9" s="12">
        <v>99</v>
      </c>
      <c r="F9" s="12">
        <v>175</v>
      </c>
    </row>
    <row r="10" spans="1:6" x14ac:dyDescent="0.25">
      <c r="A10" s="11" t="s">
        <v>2040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</row>
    <row r="11" spans="1:6" x14ac:dyDescent="0.25">
      <c r="A11" s="11" t="s">
        <v>2041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</row>
    <row r="12" spans="1:6" x14ac:dyDescent="0.25">
      <c r="A12" s="11" t="s">
        <v>2042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</row>
    <row r="13" spans="1:6" x14ac:dyDescent="0.25">
      <c r="A13" s="11" t="s">
        <v>2043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</row>
    <row r="14" spans="1:6" x14ac:dyDescent="0.25">
      <c r="A14" s="11" t="s">
        <v>2034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F644-1B75-4F37-8DC2-409679A0C520}">
  <sheetPr codeName="Sheet2"/>
  <dimension ref="A1:F30"/>
  <sheetViews>
    <sheetView workbookViewId="0">
      <selection activeCell="C19" sqref="C1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0" t="s">
        <v>6</v>
      </c>
      <c r="B1" t="s">
        <v>2069</v>
      </c>
    </row>
    <row r="2" spans="1:6" x14ac:dyDescent="0.25">
      <c r="A2" s="10" t="s">
        <v>2031</v>
      </c>
      <c r="B2" t="s">
        <v>2069</v>
      </c>
    </row>
    <row r="4" spans="1:6" x14ac:dyDescent="0.25">
      <c r="A4" s="10" t="s">
        <v>2071</v>
      </c>
      <c r="B4" s="10" t="s">
        <v>2070</v>
      </c>
    </row>
    <row r="5" spans="1:6" x14ac:dyDescent="0.25">
      <c r="A5" s="10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11" t="s">
        <v>2045</v>
      </c>
      <c r="B6" s="12">
        <v>1</v>
      </c>
      <c r="C6" s="12">
        <v>10</v>
      </c>
      <c r="D6" s="12">
        <v>2</v>
      </c>
      <c r="E6" s="12">
        <v>21</v>
      </c>
      <c r="F6" s="12">
        <v>34</v>
      </c>
    </row>
    <row r="7" spans="1:6" x14ac:dyDescent="0.25">
      <c r="A7" s="11" t="s">
        <v>2054</v>
      </c>
      <c r="B7" s="12"/>
      <c r="C7" s="12"/>
      <c r="D7" s="12"/>
      <c r="E7" s="12">
        <v>4</v>
      </c>
      <c r="F7" s="12">
        <v>4</v>
      </c>
    </row>
    <row r="8" spans="1:6" x14ac:dyDescent="0.25">
      <c r="A8" s="11" t="s">
        <v>2046</v>
      </c>
      <c r="B8" s="12">
        <v>4</v>
      </c>
      <c r="C8" s="12">
        <v>21</v>
      </c>
      <c r="D8" s="12">
        <v>1</v>
      </c>
      <c r="E8" s="12">
        <v>34</v>
      </c>
      <c r="F8" s="12">
        <v>60</v>
      </c>
    </row>
    <row r="9" spans="1:6" x14ac:dyDescent="0.25">
      <c r="A9" s="11" t="s">
        <v>2047</v>
      </c>
      <c r="B9" s="12">
        <v>2</v>
      </c>
      <c r="C9" s="12">
        <v>12</v>
      </c>
      <c r="D9" s="12">
        <v>1</v>
      </c>
      <c r="E9" s="12">
        <v>22</v>
      </c>
      <c r="F9" s="12">
        <v>37</v>
      </c>
    </row>
    <row r="10" spans="1:6" x14ac:dyDescent="0.25">
      <c r="A10" s="11" t="s">
        <v>2055</v>
      </c>
      <c r="B10" s="12"/>
      <c r="C10" s="12">
        <v>8</v>
      </c>
      <c r="D10" s="12"/>
      <c r="E10" s="12">
        <v>10</v>
      </c>
      <c r="F10" s="12">
        <v>18</v>
      </c>
    </row>
    <row r="11" spans="1:6" x14ac:dyDescent="0.25">
      <c r="A11" s="11" t="s">
        <v>2062</v>
      </c>
      <c r="B11" s="12">
        <v>1</v>
      </c>
      <c r="C11" s="12">
        <v>7</v>
      </c>
      <c r="D11" s="12"/>
      <c r="E11" s="12">
        <v>9</v>
      </c>
      <c r="F11" s="12">
        <v>17</v>
      </c>
    </row>
    <row r="12" spans="1:6" x14ac:dyDescent="0.25">
      <c r="A12" s="11" t="s">
        <v>2051</v>
      </c>
      <c r="B12" s="12">
        <v>4</v>
      </c>
      <c r="C12" s="12">
        <v>20</v>
      </c>
      <c r="D12" s="12"/>
      <c r="E12" s="12">
        <v>22</v>
      </c>
      <c r="F12" s="12">
        <v>46</v>
      </c>
    </row>
    <row r="13" spans="1:6" x14ac:dyDescent="0.25">
      <c r="A13" s="11" t="s">
        <v>2056</v>
      </c>
      <c r="B13" s="12">
        <v>3</v>
      </c>
      <c r="C13" s="12">
        <v>19</v>
      </c>
      <c r="D13" s="12"/>
      <c r="E13" s="12">
        <v>23</v>
      </c>
      <c r="F13" s="12">
        <v>45</v>
      </c>
    </row>
    <row r="14" spans="1:6" x14ac:dyDescent="0.25">
      <c r="A14" s="11" t="s">
        <v>2057</v>
      </c>
      <c r="B14" s="12">
        <v>1</v>
      </c>
      <c r="C14" s="12">
        <v>6</v>
      </c>
      <c r="D14" s="12"/>
      <c r="E14" s="12">
        <v>10</v>
      </c>
      <c r="F14" s="12">
        <v>17</v>
      </c>
    </row>
    <row r="15" spans="1:6" x14ac:dyDescent="0.25">
      <c r="A15" s="11" t="s">
        <v>2058</v>
      </c>
      <c r="B15" s="12"/>
      <c r="C15" s="12">
        <v>3</v>
      </c>
      <c r="D15" s="12"/>
      <c r="E15" s="12">
        <v>4</v>
      </c>
      <c r="F15" s="12">
        <v>7</v>
      </c>
    </row>
    <row r="16" spans="1:6" x14ac:dyDescent="0.25">
      <c r="A16" s="11" t="s">
        <v>2052</v>
      </c>
      <c r="B16" s="12"/>
      <c r="C16" s="12">
        <v>8</v>
      </c>
      <c r="D16" s="12">
        <v>1</v>
      </c>
      <c r="E16" s="12">
        <v>4</v>
      </c>
      <c r="F16" s="12">
        <v>13</v>
      </c>
    </row>
    <row r="17" spans="1:6" x14ac:dyDescent="0.25">
      <c r="A17" s="11" t="s">
        <v>2063</v>
      </c>
      <c r="B17" s="12">
        <v>1</v>
      </c>
      <c r="C17" s="12">
        <v>6</v>
      </c>
      <c r="D17" s="12">
        <v>1</v>
      </c>
      <c r="E17" s="12">
        <v>13</v>
      </c>
      <c r="F17" s="12">
        <v>21</v>
      </c>
    </row>
    <row r="18" spans="1:6" x14ac:dyDescent="0.25">
      <c r="A18" s="11" t="s">
        <v>2061</v>
      </c>
      <c r="B18" s="12">
        <v>4</v>
      </c>
      <c r="C18" s="12">
        <v>11</v>
      </c>
      <c r="D18" s="12">
        <v>1</v>
      </c>
      <c r="E18" s="12">
        <v>26</v>
      </c>
      <c r="F18" s="12">
        <v>42</v>
      </c>
    </row>
    <row r="19" spans="1:6" x14ac:dyDescent="0.25">
      <c r="A19" s="11" t="s">
        <v>2068</v>
      </c>
      <c r="B19" s="12">
        <v>23</v>
      </c>
      <c r="C19" s="12">
        <v>132</v>
      </c>
      <c r="D19" s="12">
        <v>2</v>
      </c>
      <c r="E19" s="12">
        <v>187</v>
      </c>
      <c r="F19" s="12">
        <v>344</v>
      </c>
    </row>
    <row r="20" spans="1:6" x14ac:dyDescent="0.25">
      <c r="A20" s="11" t="s">
        <v>2064</v>
      </c>
      <c r="B20" s="12"/>
      <c r="C20" s="12">
        <v>4</v>
      </c>
      <c r="D20" s="12"/>
      <c r="E20" s="12">
        <v>4</v>
      </c>
      <c r="F20" s="12">
        <v>8</v>
      </c>
    </row>
    <row r="21" spans="1:6" x14ac:dyDescent="0.25">
      <c r="A21" s="11" t="s">
        <v>2059</v>
      </c>
      <c r="B21" s="12">
        <v>6</v>
      </c>
      <c r="C21" s="12">
        <v>30</v>
      </c>
      <c r="D21" s="12"/>
      <c r="E21" s="12">
        <v>49</v>
      </c>
      <c r="F21" s="12">
        <v>85</v>
      </c>
    </row>
    <row r="22" spans="1:6" x14ac:dyDescent="0.25">
      <c r="A22" s="11" t="s">
        <v>2048</v>
      </c>
      <c r="B22" s="12"/>
      <c r="C22" s="12">
        <v>9</v>
      </c>
      <c r="D22" s="12"/>
      <c r="E22" s="12">
        <v>5</v>
      </c>
      <c r="F22" s="12">
        <v>14</v>
      </c>
    </row>
    <row r="23" spans="1:6" x14ac:dyDescent="0.25">
      <c r="A23" s="11" t="s">
        <v>2049</v>
      </c>
      <c r="B23" s="12">
        <v>1</v>
      </c>
      <c r="C23" s="12">
        <v>5</v>
      </c>
      <c r="D23" s="12">
        <v>1</v>
      </c>
      <c r="E23" s="12">
        <v>9</v>
      </c>
      <c r="F23" s="12">
        <v>16</v>
      </c>
    </row>
    <row r="24" spans="1:6" x14ac:dyDescent="0.25">
      <c r="A24" s="11" t="s">
        <v>2050</v>
      </c>
      <c r="B24" s="12">
        <v>3</v>
      </c>
      <c r="C24" s="12">
        <v>3</v>
      </c>
      <c r="D24" s="12"/>
      <c r="E24" s="12">
        <v>11</v>
      </c>
      <c r="F24" s="12">
        <v>17</v>
      </c>
    </row>
    <row r="25" spans="1:6" x14ac:dyDescent="0.25">
      <c r="A25" s="11" t="s">
        <v>2065</v>
      </c>
      <c r="B25" s="12"/>
      <c r="C25" s="12">
        <v>7</v>
      </c>
      <c r="D25" s="12"/>
      <c r="E25" s="12">
        <v>14</v>
      </c>
      <c r="F25" s="12">
        <v>21</v>
      </c>
    </row>
    <row r="26" spans="1:6" x14ac:dyDescent="0.25">
      <c r="A26" s="11" t="s">
        <v>2053</v>
      </c>
      <c r="B26" s="12">
        <v>1</v>
      </c>
      <c r="C26" s="12">
        <v>15</v>
      </c>
      <c r="D26" s="12">
        <v>2</v>
      </c>
      <c r="E26" s="12">
        <v>17</v>
      </c>
      <c r="F26" s="12">
        <v>35</v>
      </c>
    </row>
    <row r="27" spans="1:6" x14ac:dyDescent="0.25">
      <c r="A27" s="11" t="s">
        <v>2066</v>
      </c>
      <c r="B27" s="12"/>
      <c r="C27" s="12">
        <v>16</v>
      </c>
      <c r="D27" s="12">
        <v>1</v>
      </c>
      <c r="E27" s="12">
        <v>28</v>
      </c>
      <c r="F27" s="12">
        <v>45</v>
      </c>
    </row>
    <row r="28" spans="1:6" x14ac:dyDescent="0.25">
      <c r="A28" s="11" t="s">
        <v>2067</v>
      </c>
      <c r="B28" s="12">
        <v>2</v>
      </c>
      <c r="C28" s="12">
        <v>12</v>
      </c>
      <c r="D28" s="12">
        <v>1</v>
      </c>
      <c r="E28" s="12">
        <v>36</v>
      </c>
      <c r="F28" s="12">
        <v>51</v>
      </c>
    </row>
    <row r="29" spans="1:6" x14ac:dyDescent="0.25">
      <c r="A29" s="11" t="s">
        <v>2060</v>
      </c>
      <c r="B29" s="12"/>
      <c r="C29" s="12"/>
      <c r="D29" s="12"/>
      <c r="E29" s="12">
        <v>3</v>
      </c>
      <c r="F29" s="12">
        <v>3</v>
      </c>
    </row>
    <row r="30" spans="1:6" x14ac:dyDescent="0.25">
      <c r="A30" s="11" t="s">
        <v>2034</v>
      </c>
      <c r="B30" s="12">
        <v>57</v>
      </c>
      <c r="C30" s="12">
        <v>364</v>
      </c>
      <c r="D30" s="12">
        <v>14</v>
      </c>
      <c r="E30" s="12">
        <v>565</v>
      </c>
      <c r="F30" s="1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BA67-EAFA-4324-BF5F-B41EAF6DF1FE}">
  <sheetPr codeName="Sheet3"/>
  <dimension ref="A1:E18"/>
  <sheetViews>
    <sheetView workbookViewId="0">
      <selection activeCell="M28" sqref="M28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10" t="s">
        <v>2031</v>
      </c>
      <c r="B1" t="s">
        <v>2069</v>
      </c>
    </row>
    <row r="2" spans="1:5" x14ac:dyDescent="0.25">
      <c r="A2" s="10" t="s">
        <v>2086</v>
      </c>
      <c r="B2" t="s">
        <v>2069</v>
      </c>
    </row>
    <row r="4" spans="1:5" x14ac:dyDescent="0.25">
      <c r="A4" s="10" t="s">
        <v>2071</v>
      </c>
      <c r="B4" s="10" t="s">
        <v>2070</v>
      </c>
    </row>
    <row r="5" spans="1:5" x14ac:dyDescent="0.25">
      <c r="A5" s="10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11" t="s">
        <v>2074</v>
      </c>
      <c r="B6" s="12">
        <v>6</v>
      </c>
      <c r="C6" s="12">
        <v>36</v>
      </c>
      <c r="D6" s="12">
        <v>49</v>
      </c>
      <c r="E6" s="12">
        <v>91</v>
      </c>
    </row>
    <row r="7" spans="1:5" x14ac:dyDescent="0.25">
      <c r="A7" s="11" t="s">
        <v>2075</v>
      </c>
      <c r="B7" s="12">
        <v>7</v>
      </c>
      <c r="C7" s="12">
        <v>28</v>
      </c>
      <c r="D7" s="12">
        <v>44</v>
      </c>
      <c r="E7" s="12">
        <v>79</v>
      </c>
    </row>
    <row r="8" spans="1:5" x14ac:dyDescent="0.25">
      <c r="A8" s="11" t="s">
        <v>2076</v>
      </c>
      <c r="B8" s="12">
        <v>4</v>
      </c>
      <c r="C8" s="12">
        <v>33</v>
      </c>
      <c r="D8" s="12">
        <v>49</v>
      </c>
      <c r="E8" s="12">
        <v>86</v>
      </c>
    </row>
    <row r="9" spans="1:5" x14ac:dyDescent="0.25">
      <c r="A9" s="11" t="s">
        <v>2077</v>
      </c>
      <c r="B9" s="12">
        <v>1</v>
      </c>
      <c r="C9" s="12">
        <v>30</v>
      </c>
      <c r="D9" s="12">
        <v>46</v>
      </c>
      <c r="E9" s="12">
        <v>77</v>
      </c>
    </row>
    <row r="10" spans="1:5" x14ac:dyDescent="0.25">
      <c r="A10" s="11" t="s">
        <v>2078</v>
      </c>
      <c r="B10" s="12">
        <v>3</v>
      </c>
      <c r="C10" s="12">
        <v>35</v>
      </c>
      <c r="D10" s="12">
        <v>46</v>
      </c>
      <c r="E10" s="12">
        <v>84</v>
      </c>
    </row>
    <row r="11" spans="1:5" x14ac:dyDescent="0.25">
      <c r="A11" s="11" t="s">
        <v>2079</v>
      </c>
      <c r="B11" s="12">
        <v>3</v>
      </c>
      <c r="C11" s="12">
        <v>28</v>
      </c>
      <c r="D11" s="12">
        <v>55</v>
      </c>
      <c r="E11" s="12">
        <v>86</v>
      </c>
    </row>
    <row r="12" spans="1:5" x14ac:dyDescent="0.25">
      <c r="A12" s="11" t="s">
        <v>2080</v>
      </c>
      <c r="B12" s="12">
        <v>4</v>
      </c>
      <c r="C12" s="12">
        <v>31</v>
      </c>
      <c r="D12" s="12">
        <v>58</v>
      </c>
      <c r="E12" s="12">
        <v>93</v>
      </c>
    </row>
    <row r="13" spans="1:5" x14ac:dyDescent="0.25">
      <c r="A13" s="11" t="s">
        <v>2081</v>
      </c>
      <c r="B13" s="12">
        <v>8</v>
      </c>
      <c r="C13" s="12">
        <v>35</v>
      </c>
      <c r="D13" s="12">
        <v>41</v>
      </c>
      <c r="E13" s="12">
        <v>84</v>
      </c>
    </row>
    <row r="14" spans="1:5" x14ac:dyDescent="0.25">
      <c r="A14" s="11" t="s">
        <v>2082</v>
      </c>
      <c r="B14" s="12">
        <v>5</v>
      </c>
      <c r="C14" s="12">
        <v>23</v>
      </c>
      <c r="D14" s="12">
        <v>45</v>
      </c>
      <c r="E14" s="12">
        <v>73</v>
      </c>
    </row>
    <row r="15" spans="1:5" x14ac:dyDescent="0.25">
      <c r="A15" s="11" t="s">
        <v>2083</v>
      </c>
      <c r="B15" s="12">
        <v>6</v>
      </c>
      <c r="C15" s="12">
        <v>26</v>
      </c>
      <c r="D15" s="12">
        <v>45</v>
      </c>
      <c r="E15" s="12">
        <v>77</v>
      </c>
    </row>
    <row r="16" spans="1:5" x14ac:dyDescent="0.25">
      <c r="A16" s="11" t="s">
        <v>2084</v>
      </c>
      <c r="B16" s="12">
        <v>3</v>
      </c>
      <c r="C16" s="12">
        <v>27</v>
      </c>
      <c r="D16" s="12">
        <v>45</v>
      </c>
      <c r="E16" s="12">
        <v>75</v>
      </c>
    </row>
    <row r="17" spans="1:5" x14ac:dyDescent="0.25">
      <c r="A17" s="11" t="s">
        <v>2085</v>
      </c>
      <c r="B17" s="12">
        <v>7</v>
      </c>
      <c r="C17" s="12">
        <v>32</v>
      </c>
      <c r="D17" s="12">
        <v>42</v>
      </c>
      <c r="E17" s="12">
        <v>81</v>
      </c>
    </row>
    <row r="18" spans="1:5" x14ac:dyDescent="0.25">
      <c r="A18" s="11" t="s">
        <v>2034</v>
      </c>
      <c r="B18" s="12">
        <v>57</v>
      </c>
      <c r="C18" s="12">
        <v>364</v>
      </c>
      <c r="D18" s="12">
        <v>565</v>
      </c>
      <c r="E18" s="12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2D41-2B86-4D1B-9463-88050D5825FF}">
  <sheetPr codeName="Sheet4">
    <tabColor rgb="FFFF0000"/>
  </sheetPr>
  <dimension ref="A1"/>
  <sheetViews>
    <sheetView topLeftCell="A4" workbookViewId="0">
      <selection activeCell="R21" sqref="R21"/>
    </sheetView>
  </sheetViews>
  <sheetFormatPr defaultRowHeight="15.75" x14ac:dyDescent="0.25"/>
  <cols>
    <col min="15" max="15" width="15.5" bestFit="1" customWidth="1"/>
    <col min="16" max="16" width="9.25" bestFit="1" customWidth="1"/>
    <col min="17" max="17" width="9.125" bestFit="1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5CEA-4E7A-4837-A2F6-F6FDEA1D1E1C}">
  <sheetPr codeName="Sheet6"/>
  <dimension ref="A1:H13"/>
  <sheetViews>
    <sheetView zoomScale="90" zoomScaleNormal="90" workbookViewId="0">
      <selection activeCell="D9" sqref="D9"/>
    </sheetView>
  </sheetViews>
  <sheetFormatPr defaultRowHeight="15.75" x14ac:dyDescent="0.25"/>
  <cols>
    <col min="1" max="1" width="26.875" bestFit="1" customWidth="1"/>
    <col min="2" max="8" width="18.875" customWidth="1"/>
  </cols>
  <sheetData>
    <row r="1" spans="1:8" x14ac:dyDescent="0.25">
      <c r="A1" s="14" t="s">
        <v>2087</v>
      </c>
      <c r="B1" s="14" t="s">
        <v>2088</v>
      </c>
      <c r="C1" s="14" t="s">
        <v>2089</v>
      </c>
      <c r="D1" s="14" t="s">
        <v>2090</v>
      </c>
      <c r="E1" s="14" t="s">
        <v>2091</v>
      </c>
      <c r="F1" s="14" t="s">
        <v>2092</v>
      </c>
      <c r="G1" s="14" t="s">
        <v>2093</v>
      </c>
      <c r="H1" s="14" t="s">
        <v>2094</v>
      </c>
    </row>
    <row r="2" spans="1:8" x14ac:dyDescent="0.25">
      <c r="A2" t="s">
        <v>2095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6">
        <f>IFERROR($B2/$E2,0)</f>
        <v>0.58823529411764708</v>
      </c>
      <c r="G2" s="6">
        <f>IFERROR($C2/$E2,0)</f>
        <v>0.39215686274509803</v>
      </c>
      <c r="H2" s="6">
        <f>IFERROR($D2/$E2,0)</f>
        <v>1.9607843137254902E-2</v>
      </c>
    </row>
    <row r="3" spans="1:8" x14ac:dyDescent="0.25">
      <c r="A3" t="s">
        <v>2096</v>
      </c>
      <c r="B3">
        <f>COUNTIFS(Crowdfunding!$G:$G,"successful",Crowdfunding!$D:$D,"&lt;4999")-COUNTIFS(Crowdfunding!$G:$G,"successful",Crowdfunding!$D:$D,"&lt;1000")</f>
        <v>191</v>
      </c>
      <c r="C3">
        <f>COUNTIFS(Crowdfunding!$G:$G,"failed",Crowdfunding!$D:$D,"&lt;4999")-COUNTIFS(Crowdfunding!$G:$G,"failed",Crowdfunding!$D:$D,"&lt;1000")</f>
        <v>38</v>
      </c>
      <c r="D3">
        <f>COUNTIFS(Crowdfunding!$G:$G,"canceled",Crowdfunding!$D:$D,"&lt;4999")-COUNTIFS(Crowdfunding!$G:$G,"canceled",Crowdfunding!$D:$D,"&lt;1000")</f>
        <v>2</v>
      </c>
      <c r="E3">
        <f t="shared" ref="E3:E13" si="0">SUM(B3:D3)</f>
        <v>231</v>
      </c>
      <c r="F3" s="6">
        <f>IFERROR($B3/$E3,0)</f>
        <v>0.82683982683982682</v>
      </c>
      <c r="G3" s="6">
        <f t="shared" ref="G3:G13" si="1">IFERROR($C3/$E3,0)</f>
        <v>0.16450216450216451</v>
      </c>
      <c r="H3" s="6">
        <f t="shared" ref="H3:H13" si="2">IFERROR($D3/$E3,0)</f>
        <v>8.658008658008658E-3</v>
      </c>
    </row>
    <row r="4" spans="1:8" x14ac:dyDescent="0.25">
      <c r="A4" t="s">
        <v>2097</v>
      </c>
      <c r="B4">
        <f>COUNTIFS(Crowdfunding!$G:$G,"successful",Crowdfunding!$D:$D,"&lt;9999")-COUNTIFS(Crowdfunding!$G:$G,"successful",Crowdfunding!$D:$D,"&lt;4999")</f>
        <v>164</v>
      </c>
      <c r="C4">
        <f>COUNTIFS(Crowdfunding!$G:$G,"failed",Crowdfunding!$D:$D,"&lt;9999")-COUNTIFS(Crowdfunding!$G:$G,"failed",Crowdfunding!$D:$D,"&lt;4999")</f>
        <v>126</v>
      </c>
      <c r="D4">
        <f>COUNTIFS(Crowdfunding!$G:$G,"canceled",Crowdfunding!$D:$D,"&lt;9999")-COUNTIFS(Crowdfunding!$G:$G,"canceled",Crowdfunding!$D:$D,"&lt;4999")</f>
        <v>25</v>
      </c>
      <c r="E4">
        <f t="shared" si="0"/>
        <v>315</v>
      </c>
      <c r="F4" s="6">
        <f>IFERROR($B4/$E4,0)</f>
        <v>0.52063492063492067</v>
      </c>
      <c r="G4" s="6">
        <f t="shared" si="1"/>
        <v>0.4</v>
      </c>
      <c r="H4" s="6">
        <f t="shared" si="2"/>
        <v>7.9365079365079361E-2</v>
      </c>
    </row>
    <row r="5" spans="1:8" x14ac:dyDescent="0.25">
      <c r="A5" t="s">
        <v>2098</v>
      </c>
      <c r="B5">
        <f>COUNTIFS(Crowdfunding!$G:$G,"successful",Crowdfunding!$D:$D,"&lt;14999")-COUNTIFS(Crowdfunding!$G:$G,"successful",Crowdfunding!$D:$D,"&lt;9999")</f>
        <v>4</v>
      </c>
      <c r="C5">
        <f>COUNTIFS(Crowdfunding!$G:$G,"failed",Crowdfunding!$D:$D,"&lt;14999")-COUNTIFS(Crowdfunding!$G:$G,"failed",Crowdfunding!$D:$D,"&lt;9999")</f>
        <v>5</v>
      </c>
      <c r="D5">
        <f>COUNTIFS(Crowdfunding!$G:$G,"canceled",Crowdfunding!$D:$D,"&lt;14999")-COUNTIFS(Crowdfunding!$G:$G,"canceled",Crowdfunding!$D:$D,"&lt;9999")</f>
        <v>0</v>
      </c>
      <c r="E5">
        <f t="shared" si="0"/>
        <v>9</v>
      </c>
      <c r="F5" s="6">
        <f t="shared" ref="F3:F13" si="3">IFERROR($B5/$E5,0)</f>
        <v>0.44444444444444442</v>
      </c>
      <c r="G5" s="6">
        <f t="shared" si="1"/>
        <v>0.55555555555555558</v>
      </c>
      <c r="H5" s="6">
        <f t="shared" si="2"/>
        <v>0</v>
      </c>
    </row>
    <row r="6" spans="1:8" x14ac:dyDescent="0.25">
      <c r="A6" t="s">
        <v>2099</v>
      </c>
      <c r="B6">
        <f>COUNTIFS(Crowdfunding!$G:$G,"successful",Crowdfunding!$D:$D,"&lt;19999")-COUNTIFS(Crowdfunding!$G:$G,"successful",Crowdfunding!$D:$D,"&lt;14999")</f>
        <v>10</v>
      </c>
      <c r="C6">
        <f>COUNTIFS(Crowdfunding!$G:$G,"failed",Crowdfunding!$D:$D,"&lt;19999")-COUNTIFS(Crowdfunding!$G:$G,"failed",Crowdfunding!$D:$D,"&lt;14999")</f>
        <v>0</v>
      </c>
      <c r="D6">
        <f>COUNTIFS(Crowdfunding!$G:$G,"canceled",Crowdfunding!$D:$D,"&lt;19999")-COUNTIFS(Crowdfunding!$G:$G,"canceled",Crowdfunding!$D:$D,"&lt;14999")</f>
        <v>0</v>
      </c>
      <c r="E6">
        <f t="shared" si="0"/>
        <v>10</v>
      </c>
      <c r="F6" s="52">
        <f t="shared" si="3"/>
        <v>1</v>
      </c>
      <c r="G6" s="52">
        <f t="shared" si="1"/>
        <v>0</v>
      </c>
      <c r="H6" s="6">
        <f t="shared" si="2"/>
        <v>0</v>
      </c>
    </row>
    <row r="7" spans="1:8" x14ac:dyDescent="0.25">
      <c r="A7" t="s">
        <v>2100</v>
      </c>
      <c r="B7">
        <f>COUNTIFS(Crowdfunding!$G:$G,"successful",Crowdfunding!$D:$D,"&lt;24999")-COUNTIFS(Crowdfunding!$G:$G,"successful",Crowdfunding!$D:$D,"&lt;19999")</f>
        <v>7</v>
      </c>
      <c r="C7">
        <f>COUNTIFS(Crowdfunding!$G:$G,"failed",Crowdfunding!$D:$D,"&lt;24999")-COUNTIFS(Crowdfunding!$G:$G,"failed",Crowdfunding!$D:$D,"&lt;19999")</f>
        <v>0</v>
      </c>
      <c r="D7">
        <f>COUNTIFS(Crowdfunding!$G:$G,"canceled",Crowdfunding!$D:$D,"&lt;24999")-COUNTIFS(Crowdfunding!$G:$G,"canceled",Crowdfunding!$D:$D,"&lt;19999")</f>
        <v>0</v>
      </c>
      <c r="E7">
        <f t="shared" si="0"/>
        <v>7</v>
      </c>
      <c r="F7" s="52">
        <f t="shared" si="3"/>
        <v>1</v>
      </c>
      <c r="G7" s="52">
        <f t="shared" si="1"/>
        <v>0</v>
      </c>
      <c r="H7" s="6">
        <f t="shared" si="2"/>
        <v>0</v>
      </c>
    </row>
    <row r="8" spans="1:8" x14ac:dyDescent="0.25">
      <c r="A8" t="s">
        <v>2101</v>
      </c>
      <c r="B8">
        <f>COUNTIFS(Crowdfunding!$G:$G,"successful",Crowdfunding!$D:$D,"&lt;29999")-COUNTIFS(Crowdfunding!$G:$G,"successful",Crowdfunding!$D:$D,"&lt;24999")</f>
        <v>11</v>
      </c>
      <c r="C8">
        <f>COUNTIFS(Crowdfunding!$G:$G,"failed",Crowdfunding!$D:$D,"&lt;29999")-COUNTIFS(Crowdfunding!$G:$G,"failed",Crowdfunding!$D:$D,"&lt;24999")</f>
        <v>3</v>
      </c>
      <c r="D8">
        <f>COUNTIFS(Crowdfunding!$G:$G,"canceled",Crowdfunding!$D:$D,"&lt;29999")-COUNTIFS(Crowdfunding!$G:$G,"canceled",Crowdfunding!$D:$D,"&lt;24999")</f>
        <v>0</v>
      </c>
      <c r="E8">
        <f t="shared" si="0"/>
        <v>14</v>
      </c>
      <c r="F8" s="52">
        <f t="shared" si="3"/>
        <v>0.7857142857142857</v>
      </c>
      <c r="G8" s="52">
        <f t="shared" si="1"/>
        <v>0.21428571428571427</v>
      </c>
      <c r="H8" s="6">
        <f t="shared" si="2"/>
        <v>0</v>
      </c>
    </row>
    <row r="9" spans="1:8" x14ac:dyDescent="0.25">
      <c r="A9" t="s">
        <v>2102</v>
      </c>
      <c r="B9">
        <f>COUNTIFS(Crowdfunding!$G:$G,"successful",Crowdfunding!$D:$D,"&lt;34999")-COUNTIFS(Crowdfunding!$G:$G,"successful",Crowdfunding!$D:$D,"&lt;29999")</f>
        <v>7</v>
      </c>
      <c r="C9">
        <f>COUNTIFS(Crowdfunding!$G:$G,"failed",Crowdfunding!$D:$D,"&lt;34999")-COUNTIFS(Crowdfunding!$G:$G,"failed",Crowdfunding!$D:$D,"&lt;29999")</f>
        <v>0</v>
      </c>
      <c r="D9">
        <f>COUNTIFS(Crowdfunding!$G:$G,"canceled",Crowdfunding!$D:$D,"&lt;34999")-COUNTIFS(Crowdfunding!$G:$G,"canceled",Crowdfunding!$D:$D,"&lt;29999")</f>
        <v>0</v>
      </c>
      <c r="E9">
        <f t="shared" si="0"/>
        <v>7</v>
      </c>
      <c r="F9" s="52">
        <f t="shared" si="3"/>
        <v>1</v>
      </c>
      <c r="G9" s="52">
        <f t="shared" si="1"/>
        <v>0</v>
      </c>
      <c r="H9" s="6">
        <f t="shared" si="2"/>
        <v>0</v>
      </c>
    </row>
    <row r="10" spans="1:8" x14ac:dyDescent="0.25">
      <c r="A10" t="s">
        <v>2103</v>
      </c>
      <c r="B10">
        <f>COUNTIFS(Crowdfunding!$G:$G,"successful",Crowdfunding!$D:$D,"&lt;39999")-COUNTIFS(Crowdfunding!$G:$G,"successful",Crowdfunding!$D:$D,"&lt;34999")</f>
        <v>8</v>
      </c>
      <c r="C10">
        <f>COUNTIFS(Crowdfunding!$G:$G,"failed",Crowdfunding!$D:$D,"&lt;39999")-COUNTIFS(Crowdfunding!$G:$G,"failed",Crowdfunding!$D:$D,"&lt;34999")</f>
        <v>3</v>
      </c>
      <c r="D10">
        <f>COUNTIFS(Crowdfunding!$G:$G,"canceled",Crowdfunding!$D:$D,"&lt;39999")-COUNTIFS(Crowdfunding!$G:$G,"canceled",Crowdfunding!$D:$D,"&lt;34999")</f>
        <v>1</v>
      </c>
      <c r="E10">
        <f t="shared" si="0"/>
        <v>12</v>
      </c>
      <c r="F10" s="6">
        <f t="shared" si="3"/>
        <v>0.66666666666666663</v>
      </c>
      <c r="G10" s="6">
        <f t="shared" si="1"/>
        <v>0.25</v>
      </c>
      <c r="H10" s="6">
        <f t="shared" si="2"/>
        <v>8.3333333333333329E-2</v>
      </c>
    </row>
    <row r="11" spans="1:8" x14ac:dyDescent="0.25">
      <c r="A11" t="s">
        <v>2104</v>
      </c>
      <c r="B11">
        <f>COUNTIFS(Crowdfunding!$G:$G,"successful",Crowdfunding!$D:$D,"&lt;44999")-COUNTIFS(Crowdfunding!$G:$G,"successful",Crowdfunding!$D:$D,"&lt;39999")</f>
        <v>11</v>
      </c>
      <c r="C11">
        <f>COUNTIFS(Crowdfunding!$G:$G,"failed",Crowdfunding!$D:$D,"&lt;44999")-COUNTIFS(Crowdfunding!$G:$G,"failed",Crowdfunding!$D:$D,"&lt;39999")</f>
        <v>3</v>
      </c>
      <c r="D11">
        <f>COUNTIFS(Crowdfunding!$G:$G,"canceled",Crowdfunding!$D:$D,"&lt;44999")-COUNTIFS(Crowdfunding!$G:$G,"canceled",Crowdfunding!$D:$D,"&lt;39999")</f>
        <v>0</v>
      </c>
      <c r="E11">
        <f t="shared" si="0"/>
        <v>14</v>
      </c>
      <c r="F11" s="6">
        <f t="shared" si="3"/>
        <v>0.7857142857142857</v>
      </c>
      <c r="G11" s="6">
        <f t="shared" si="1"/>
        <v>0.21428571428571427</v>
      </c>
      <c r="H11" s="6">
        <f t="shared" si="2"/>
        <v>0</v>
      </c>
    </row>
    <row r="12" spans="1:8" x14ac:dyDescent="0.25">
      <c r="A12" t="s">
        <v>2105</v>
      </c>
      <c r="B12">
        <f>COUNTIFS(Crowdfunding!$G:$G,"successful",Crowdfunding!$D:$D,"&lt;49999")-COUNTIFS(Crowdfunding!$G:$G,"successful",Crowdfunding!$D:$D,"&lt;44999")</f>
        <v>8</v>
      </c>
      <c r="C12">
        <f>COUNTIFS(Crowdfunding!$G:$G,"failed",Crowdfunding!$D:$D,"&lt;49999")-COUNTIFS(Crowdfunding!$G:$G,"failed",Crowdfunding!$D:$D,"&lt;44999")</f>
        <v>3</v>
      </c>
      <c r="D12">
        <f>COUNTIFS(Crowdfunding!$G:$G,"canceled",Crowdfunding!$D:$D,"&lt;49999")-COUNTIFS(Crowdfunding!$G:$G,"canceled",Crowdfunding!$D:$D,"&lt;44999")</f>
        <v>0</v>
      </c>
      <c r="E12">
        <f t="shared" si="0"/>
        <v>11</v>
      </c>
      <c r="F12" s="6">
        <f t="shared" si="3"/>
        <v>0.72727272727272729</v>
      </c>
      <c r="G12" s="6">
        <f t="shared" si="1"/>
        <v>0.27272727272727271</v>
      </c>
      <c r="H12" s="6">
        <f t="shared" si="2"/>
        <v>0</v>
      </c>
    </row>
    <row r="13" spans="1:8" x14ac:dyDescent="0.25">
      <c r="A13" t="s">
        <v>2106</v>
      </c>
      <c r="B13">
        <f>COUNTIFS(Crowdfunding!$G:$G,"successful",Crowdfunding!$D:$D,"&gt;50000")</f>
        <v>114</v>
      </c>
      <c r="C13">
        <f>COUNTIFS(Crowdfunding!$G:$G,"failed",Crowdfunding!$D:$D,"&gt;50000")</f>
        <v>163</v>
      </c>
      <c r="D13">
        <f>COUNTIFS(Crowdfunding!$G:$G,"canceled",Crowdfunding!$D:$D,"&gt;50000")</f>
        <v>28</v>
      </c>
      <c r="E13">
        <f t="shared" si="0"/>
        <v>305</v>
      </c>
      <c r="F13" s="6">
        <f t="shared" si="3"/>
        <v>0.3737704918032787</v>
      </c>
      <c r="G13" s="6">
        <f t="shared" si="1"/>
        <v>0.53442622950819674</v>
      </c>
      <c r="H13" s="6">
        <f t="shared" si="2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A0B4-46FE-4969-A6E7-431D192208AE}">
  <sheetPr codeName="Sheet7"/>
  <dimension ref="A1:AM583"/>
  <sheetViews>
    <sheetView zoomScale="90" zoomScaleNormal="90" workbookViewId="0">
      <selection activeCell="A21" sqref="A21"/>
    </sheetView>
  </sheetViews>
  <sheetFormatPr defaultRowHeight="15.75" x14ac:dyDescent="0.25"/>
  <cols>
    <col min="1" max="1" width="23.75" bestFit="1" customWidth="1"/>
    <col min="2" max="2" width="15.25" bestFit="1" customWidth="1"/>
    <col min="3" max="3" width="11.375" customWidth="1"/>
    <col min="4" max="4" width="11" bestFit="1" customWidth="1"/>
    <col min="5" max="5" width="8.625" customWidth="1"/>
    <col min="6" max="6" width="5.5" style="33" customWidth="1"/>
    <col min="7" max="7" width="8.5" customWidth="1"/>
    <col min="8" max="8" width="22.625" customWidth="1"/>
    <col min="9" max="11" width="10.625" customWidth="1"/>
    <col min="12" max="12" width="19.75" bestFit="1" customWidth="1"/>
    <col min="13" max="13" width="5.5" style="33" customWidth="1"/>
    <col min="14" max="14" width="9.375" bestFit="1" customWidth="1"/>
    <col min="15" max="15" width="17.25" customWidth="1"/>
    <col min="16" max="16" width="20.5" bestFit="1" customWidth="1"/>
    <col min="17" max="17" width="14.125" customWidth="1"/>
    <col min="18" max="18" width="12.75" bestFit="1" customWidth="1"/>
    <col min="19" max="19" width="20.5" bestFit="1" customWidth="1"/>
  </cols>
  <sheetData>
    <row r="1" spans="1:39" x14ac:dyDescent="0.25">
      <c r="A1" s="33" t="s">
        <v>2124</v>
      </c>
      <c r="B1" s="33"/>
      <c r="C1" s="33"/>
      <c r="D1" s="33"/>
      <c r="E1" s="33"/>
      <c r="G1" s="33"/>
      <c r="H1" s="33" t="s">
        <v>2125</v>
      </c>
      <c r="I1" s="33"/>
      <c r="J1" s="33"/>
      <c r="K1" s="33"/>
      <c r="L1" s="33"/>
      <c r="N1" s="33"/>
      <c r="O1" s="33" t="s">
        <v>2123</v>
      </c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</row>
    <row r="3" spans="1:39" x14ac:dyDescent="0.25">
      <c r="A3" s="46" t="s">
        <v>2108</v>
      </c>
      <c r="O3" s="34"/>
      <c r="P3" s="34"/>
      <c r="Q3" s="34"/>
      <c r="R3" s="26"/>
    </row>
    <row r="4" spans="1:39" x14ac:dyDescent="0.25">
      <c r="A4" s="38"/>
      <c r="B4" s="38"/>
      <c r="C4" s="38"/>
      <c r="D4" s="38"/>
      <c r="E4" s="38"/>
      <c r="F4" s="39"/>
      <c r="G4" s="38"/>
      <c r="H4" s="38"/>
      <c r="I4" s="38"/>
      <c r="J4" s="38"/>
      <c r="P4" s="35" t="s">
        <v>4</v>
      </c>
      <c r="Q4" s="36"/>
      <c r="R4" s="26"/>
    </row>
    <row r="5" spans="1:39" x14ac:dyDescent="0.25">
      <c r="A5" s="40" t="s">
        <v>6</v>
      </c>
      <c r="B5" s="38" t="s">
        <v>2069</v>
      </c>
      <c r="C5" s="38"/>
      <c r="D5" s="38"/>
      <c r="E5" s="38"/>
      <c r="F5" s="39"/>
      <c r="G5" s="38"/>
      <c r="H5" s="38"/>
      <c r="I5" s="38"/>
      <c r="J5" s="38"/>
      <c r="O5" s="47" t="s">
        <v>2120</v>
      </c>
      <c r="P5" s="26" t="s">
        <v>2121</v>
      </c>
      <c r="Q5" s="26" t="s">
        <v>14</v>
      </c>
      <c r="R5" s="26"/>
    </row>
    <row r="6" spans="1:39" x14ac:dyDescent="0.25">
      <c r="A6" s="40" t="s">
        <v>7</v>
      </c>
      <c r="B6" s="38" t="s">
        <v>2069</v>
      </c>
      <c r="C6" s="38"/>
      <c r="D6" s="38"/>
      <c r="E6" s="38"/>
      <c r="F6" s="39"/>
      <c r="G6" s="38"/>
      <c r="H6" s="38"/>
      <c r="I6" s="38"/>
      <c r="J6" s="38"/>
      <c r="O6" s="48" t="s">
        <v>2113</v>
      </c>
      <c r="P6" s="26">
        <f>MIN($P$17:$P$581)</f>
        <v>16</v>
      </c>
      <c r="Q6" s="26">
        <f>MIN($S$17:$S$581)</f>
        <v>0</v>
      </c>
      <c r="R6" s="26"/>
    </row>
    <row r="7" spans="1:39" x14ac:dyDescent="0.25">
      <c r="A7" s="38"/>
      <c r="B7" s="38"/>
      <c r="C7" s="38"/>
      <c r="D7" s="38"/>
      <c r="E7" s="38"/>
      <c r="F7" s="39"/>
      <c r="G7" s="38"/>
      <c r="H7" s="38"/>
      <c r="I7" s="38"/>
      <c r="J7" s="38"/>
      <c r="O7" s="48" t="s">
        <v>2110</v>
      </c>
      <c r="P7" s="26">
        <f>MEDIAN($P$17:$P$581)</f>
        <v>201</v>
      </c>
      <c r="Q7" s="26">
        <f>MEDIAN($S$17:$S$581)</f>
        <v>114.5</v>
      </c>
      <c r="R7" s="26"/>
    </row>
    <row r="8" spans="1:39" x14ac:dyDescent="0.25">
      <c r="A8" s="40" t="s">
        <v>2044</v>
      </c>
      <c r="B8" s="40" t="s">
        <v>2070</v>
      </c>
      <c r="C8" s="38"/>
      <c r="D8" s="38"/>
      <c r="E8" s="38"/>
      <c r="F8" s="39"/>
      <c r="G8" s="38"/>
      <c r="H8" s="38"/>
      <c r="I8" s="38"/>
      <c r="J8" s="38"/>
      <c r="O8" s="48" t="s">
        <v>2109</v>
      </c>
      <c r="P8" s="31">
        <f>AVERAGE($P$17:$P$581)</f>
        <v>851.14690265486729</v>
      </c>
      <c r="Q8" s="31">
        <f>AVERAGE($S$17:$S$581)</f>
        <v>585.61538461538464</v>
      </c>
      <c r="R8" s="26"/>
    </row>
    <row r="9" spans="1:39" x14ac:dyDescent="0.25">
      <c r="A9" s="40" t="s">
        <v>2033</v>
      </c>
      <c r="B9" s="38" t="s">
        <v>20</v>
      </c>
      <c r="C9" s="38" t="s">
        <v>14</v>
      </c>
      <c r="D9" s="38"/>
      <c r="E9" s="38"/>
      <c r="F9" s="39"/>
      <c r="G9" s="38"/>
      <c r="H9" s="41"/>
      <c r="I9" s="41" t="s">
        <v>20</v>
      </c>
      <c r="J9" s="41" t="s">
        <v>14</v>
      </c>
      <c r="O9" s="48" t="s">
        <v>2115</v>
      </c>
      <c r="P9" s="32">
        <f>MAX($P$17:$P$581)</f>
        <v>7295</v>
      </c>
      <c r="Q9" s="32">
        <f>MAX($S$17:$S$581)</f>
        <v>6080</v>
      </c>
      <c r="R9" s="26"/>
    </row>
    <row r="10" spans="1:39" x14ac:dyDescent="0.25">
      <c r="A10" s="42" t="s">
        <v>2035</v>
      </c>
      <c r="B10" s="43">
        <v>71325</v>
      </c>
      <c r="C10" s="43">
        <v>41440</v>
      </c>
      <c r="D10" s="38"/>
      <c r="E10" s="43"/>
      <c r="F10" s="39"/>
      <c r="G10" s="38"/>
      <c r="H10" s="42" t="s">
        <v>2035</v>
      </c>
      <c r="I10" s="44">
        <f>SUMIFS(Crowdfunding!$H:$H,Crowdfunding!$G:$G,$I$9,Crowdfunding!S:S,$H10)</f>
        <v>71325</v>
      </c>
      <c r="J10" s="44">
        <f>SUMIFS(Crowdfunding!$H:$H,Crowdfunding!$G:$G,$J$9,Crowdfunding!S:S,$H10)</f>
        <v>41440</v>
      </c>
      <c r="O10" s="48" t="s">
        <v>2119</v>
      </c>
      <c r="P10" s="32">
        <f>_xlfn.STDEV.P(P17:P581)</f>
        <v>1266.2439466397898</v>
      </c>
      <c r="Q10" s="32">
        <f>_xlfn.STDEV.P(S17:S581)</f>
        <v>959.98681331637863</v>
      </c>
      <c r="R10" s="26"/>
    </row>
    <row r="11" spans="1:39" x14ac:dyDescent="0.25">
      <c r="A11" s="42" t="s">
        <v>2036</v>
      </c>
      <c r="B11" s="43">
        <v>12761</v>
      </c>
      <c r="C11" s="43">
        <v>14103</v>
      </c>
      <c r="D11" s="38"/>
      <c r="E11" s="43"/>
      <c r="F11" s="39"/>
      <c r="G11" s="38"/>
      <c r="H11" s="42" t="s">
        <v>2036</v>
      </c>
      <c r="I11" s="44">
        <f>SUMIFS(Crowdfunding!$H:$H,Crowdfunding!$G:$G,$I$9,Crowdfunding!S:S,$H11)</f>
        <v>12761</v>
      </c>
      <c r="J11" s="44">
        <f>SUMIFS(Crowdfunding!$H:$H,Crowdfunding!$G:$G,$J$9,Crowdfunding!S:S,$H11)</f>
        <v>14103</v>
      </c>
      <c r="O11" s="26" t="s">
        <v>2117</v>
      </c>
      <c r="P11" s="32">
        <f>_xlfn.VAR.P(P17:P581)</f>
        <v>1603373.7324019109</v>
      </c>
      <c r="Q11" s="32">
        <f>_xlfn.VAR.P(S17:S581)</f>
        <v>921574.68174133555</v>
      </c>
      <c r="R11" s="26"/>
    </row>
    <row r="12" spans="1:39" x14ac:dyDescent="0.25">
      <c r="A12" s="42" t="s">
        <v>2037</v>
      </c>
      <c r="B12" s="43">
        <v>12790</v>
      </c>
      <c r="C12" s="43">
        <v>18020</v>
      </c>
      <c r="D12" s="38"/>
      <c r="E12" s="43"/>
      <c r="F12" s="39"/>
      <c r="G12" s="38"/>
      <c r="H12" s="42" t="s">
        <v>2037</v>
      </c>
      <c r="I12" s="44">
        <f>SUMIFS(Crowdfunding!$H:$H,Crowdfunding!$G:$G,$I$9,Crowdfunding!S:S,$H12)</f>
        <v>12790</v>
      </c>
      <c r="J12" s="44">
        <f>SUMIFS(Crowdfunding!$H:$H,Crowdfunding!$G:$G,$J$9,Crowdfunding!S:S,$H12)</f>
        <v>18020</v>
      </c>
      <c r="R12" s="26"/>
    </row>
    <row r="13" spans="1:39" x14ac:dyDescent="0.25">
      <c r="A13" s="42" t="s">
        <v>2038</v>
      </c>
      <c r="B13" s="43">
        <v>1194</v>
      </c>
      <c r="C13" s="43"/>
      <c r="D13" s="38"/>
      <c r="E13" s="43"/>
      <c r="F13" s="39"/>
      <c r="G13" s="38"/>
      <c r="H13" s="42" t="s">
        <v>2038</v>
      </c>
      <c r="I13" s="44">
        <f>SUMIFS(Crowdfunding!$H:$H,Crowdfunding!$G:$G,$I$9,Crowdfunding!S:S,$H13)</f>
        <v>1194</v>
      </c>
      <c r="J13" s="44">
        <f>SUMIFS(Crowdfunding!$H:$H,Crowdfunding!$G:$G,$J$9,Crowdfunding!S:S,$H13)</f>
        <v>0</v>
      </c>
      <c r="O13" t="s">
        <v>2126</v>
      </c>
      <c r="P13">
        <f>MODE(P17:P581)</f>
        <v>85</v>
      </c>
      <c r="Q13">
        <f>MODE(S17:S380)</f>
        <v>1</v>
      </c>
      <c r="R13" s="26"/>
    </row>
    <row r="14" spans="1:39" x14ac:dyDescent="0.25">
      <c r="A14" s="42" t="s">
        <v>2039</v>
      </c>
      <c r="B14" s="43">
        <v>92820</v>
      </c>
      <c r="C14" s="43">
        <v>33941</v>
      </c>
      <c r="D14" s="38"/>
      <c r="E14" s="43"/>
      <c r="F14" s="39"/>
      <c r="G14" s="38"/>
      <c r="H14" s="42" t="s">
        <v>2039</v>
      </c>
      <c r="I14" s="44">
        <f>SUMIFS(Crowdfunding!$H:$H,Crowdfunding!$G:$G,$I$9,Crowdfunding!S:S,$H14)</f>
        <v>92820</v>
      </c>
      <c r="J14" s="44">
        <f>SUMIFS(Crowdfunding!$H:$H,Crowdfunding!$G:$G,$J$9,Crowdfunding!S:S,$H14)</f>
        <v>33941</v>
      </c>
      <c r="K14" s="49"/>
      <c r="O14" s="48" t="s">
        <v>2108</v>
      </c>
      <c r="P14" s="26">
        <f>COUNT($P$17:$P$581)</f>
        <v>565</v>
      </c>
      <c r="Q14" s="26">
        <f>COUNT($S$17:$S$581)</f>
        <v>364</v>
      </c>
      <c r="R14" s="26"/>
    </row>
    <row r="15" spans="1:39" x14ac:dyDescent="0.25">
      <c r="A15" s="42" t="s">
        <v>2040</v>
      </c>
      <c r="B15" s="43">
        <v>16930</v>
      </c>
      <c r="C15" s="43">
        <v>2724</v>
      </c>
      <c r="D15" s="38"/>
      <c r="E15" s="43"/>
      <c r="F15" s="39"/>
      <c r="G15" s="38"/>
      <c r="H15" s="42" t="s">
        <v>2040</v>
      </c>
      <c r="I15" s="44">
        <f>SUMIFS(Crowdfunding!$H:$H,Crowdfunding!$G:$G,$I$9,Crowdfunding!S:S,$H15)</f>
        <v>16930</v>
      </c>
      <c r="J15" s="44">
        <f>SUMIFS(Crowdfunding!$H:$H,Crowdfunding!$G:$G,$J$9,Crowdfunding!S:S,$H15)</f>
        <v>2724</v>
      </c>
    </row>
    <row r="16" spans="1:39" x14ac:dyDescent="0.25">
      <c r="A16" s="42" t="s">
        <v>2041</v>
      </c>
      <c r="B16" s="43">
        <v>35040</v>
      </c>
      <c r="C16" s="43">
        <v>17479</v>
      </c>
      <c r="D16" s="38"/>
      <c r="E16" s="43"/>
      <c r="F16" s="39"/>
      <c r="G16" s="38"/>
      <c r="H16" s="42" t="s">
        <v>2041</v>
      </c>
      <c r="I16" s="44">
        <f>SUMIFS(Crowdfunding!$H:$H,Crowdfunding!$G:$G,$I$9,Crowdfunding!S:S,$H16)</f>
        <v>35040</v>
      </c>
      <c r="J16" s="44">
        <f>SUMIFS(Crowdfunding!$H:$H,Crowdfunding!$G:$G,$J$9,Crowdfunding!S:S,$H16)</f>
        <v>17479</v>
      </c>
      <c r="O16" s="20" t="s">
        <v>4</v>
      </c>
      <c r="P16" s="21" t="s">
        <v>5</v>
      </c>
      <c r="Q16" s="22"/>
      <c r="R16" s="23" t="s">
        <v>4</v>
      </c>
      <c r="S16" s="24" t="s">
        <v>5</v>
      </c>
      <c r="U16" s="26" t="s">
        <v>2121</v>
      </c>
      <c r="X16" s="26" t="s">
        <v>14</v>
      </c>
    </row>
    <row r="17" spans="1:25" x14ac:dyDescent="0.25">
      <c r="A17" s="42" t="s">
        <v>2042</v>
      </c>
      <c r="B17" s="43">
        <v>56203</v>
      </c>
      <c r="C17" s="43">
        <v>10856</v>
      </c>
      <c r="D17" s="38"/>
      <c r="E17" s="43"/>
      <c r="F17" s="39"/>
      <c r="G17" s="38"/>
      <c r="H17" s="42" t="s">
        <v>2042</v>
      </c>
      <c r="I17" s="44">
        <f>SUMIFS(Crowdfunding!$H:$H,Crowdfunding!$G:$G,$I$9,Crowdfunding!S:S,$H17)</f>
        <v>56203</v>
      </c>
      <c r="J17" s="44">
        <f>SUMIFS(Crowdfunding!$H:$H,Crowdfunding!$G:$G,$J$9,Crowdfunding!S:S,$H17)</f>
        <v>10856</v>
      </c>
      <c r="O17" s="25" t="s">
        <v>20</v>
      </c>
      <c r="P17" s="26">
        <v>158</v>
      </c>
      <c r="Q17" s="26"/>
      <c r="R17" s="26" t="s">
        <v>14</v>
      </c>
      <c r="S17" s="27">
        <v>0</v>
      </c>
      <c r="U17" t="s">
        <v>2127</v>
      </c>
      <c r="V17" t="s">
        <v>2108</v>
      </c>
      <c r="X17" t="s">
        <v>2127</v>
      </c>
      <c r="Y17" t="s">
        <v>2108</v>
      </c>
    </row>
    <row r="18" spans="1:25" x14ac:dyDescent="0.25">
      <c r="A18" s="42" t="s">
        <v>2043</v>
      </c>
      <c r="B18" s="43">
        <v>181835</v>
      </c>
      <c r="C18" s="43">
        <v>74601</v>
      </c>
      <c r="D18" s="38"/>
      <c r="E18" s="43"/>
      <c r="F18" s="39"/>
      <c r="G18" s="38"/>
      <c r="H18" s="42" t="s">
        <v>2043</v>
      </c>
      <c r="I18" s="44">
        <f>SUMIFS(Crowdfunding!$H:$H,Crowdfunding!$G:$G,$I$9,Crowdfunding!S:S,$H18)</f>
        <v>181835</v>
      </c>
      <c r="J18" s="44">
        <f>SUMIFS(Crowdfunding!$H:$H,Crowdfunding!$G:$G,$J$9,Crowdfunding!S:S,$H18)</f>
        <v>74601</v>
      </c>
      <c r="O18" s="25" t="s">
        <v>20</v>
      </c>
      <c r="P18" s="26">
        <v>1425</v>
      </c>
      <c r="Q18" s="26"/>
      <c r="R18" s="26" t="s">
        <v>14</v>
      </c>
      <c r="S18" s="27">
        <v>24</v>
      </c>
      <c r="U18" s="51">
        <v>80</v>
      </c>
      <c r="V18" s="4">
        <f>COUNTIF($P$17:$P$581,$U18)</f>
        <v>6</v>
      </c>
      <c r="X18" s="51">
        <v>1</v>
      </c>
      <c r="Y18" s="51">
        <f>COUNTIF($S$1:$S$380,$X18)</f>
        <v>17</v>
      </c>
    </row>
    <row r="19" spans="1:25" ht="16.5" thickBot="1" x14ac:dyDescent="0.3">
      <c r="A19" s="42" t="s">
        <v>2034</v>
      </c>
      <c r="B19" s="43">
        <v>480898</v>
      </c>
      <c r="C19" s="43">
        <v>213164</v>
      </c>
      <c r="D19" s="38"/>
      <c r="E19" s="43"/>
      <c r="F19" s="39"/>
      <c r="G19" s="38"/>
      <c r="H19" s="38"/>
      <c r="I19" s="45">
        <f>SUM(I10:I18)</f>
        <v>480898</v>
      </c>
      <c r="J19" s="45">
        <f t="shared" ref="J19:K19" si="0">SUM(J10:J18)</f>
        <v>213164</v>
      </c>
      <c r="O19" s="25" t="s">
        <v>20</v>
      </c>
      <c r="P19" s="26">
        <v>174</v>
      </c>
      <c r="Q19" s="26"/>
      <c r="R19" s="26" t="s">
        <v>14</v>
      </c>
      <c r="S19" s="27">
        <v>53</v>
      </c>
      <c r="U19" s="51">
        <v>85</v>
      </c>
      <c r="V19" s="4">
        <f>COUNTIF($P$17:$P$581,$U19)</f>
        <v>6</v>
      </c>
      <c r="X19" s="50">
        <v>67</v>
      </c>
      <c r="Y19" s="50">
        <f>COUNTIF($S$1:$S$380,$X19)</f>
        <v>7</v>
      </c>
    </row>
    <row r="20" spans="1:25" x14ac:dyDescent="0.25">
      <c r="A20" s="38"/>
      <c r="B20" s="38"/>
      <c r="C20" s="38"/>
      <c r="D20" s="38"/>
      <c r="E20" s="38"/>
      <c r="F20" s="39"/>
      <c r="G20" s="38"/>
      <c r="H20" s="38"/>
      <c r="I20" s="38"/>
      <c r="J20" s="38"/>
      <c r="O20" s="25" t="s">
        <v>20</v>
      </c>
      <c r="P20" s="26">
        <v>227</v>
      </c>
      <c r="Q20" s="26"/>
      <c r="R20" s="26" t="s">
        <v>14</v>
      </c>
      <c r="S20" s="27">
        <v>18</v>
      </c>
      <c r="U20" s="50">
        <v>92</v>
      </c>
      <c r="V20" s="33">
        <f>COUNTIF($P$17:$P$581,$U20)</f>
        <v>5</v>
      </c>
      <c r="X20" s="50">
        <v>15</v>
      </c>
      <c r="Y20" s="50">
        <f>COUNTIF($S$1:$S$380,$X20)</f>
        <v>6</v>
      </c>
    </row>
    <row r="21" spans="1:25" x14ac:dyDescent="0.25">
      <c r="O21" s="25" t="s">
        <v>20</v>
      </c>
      <c r="P21" s="26">
        <v>220</v>
      </c>
      <c r="Q21" s="26"/>
      <c r="R21" s="26" t="s">
        <v>14</v>
      </c>
      <c r="S21" s="27">
        <v>44</v>
      </c>
      <c r="U21" s="50">
        <v>107</v>
      </c>
      <c r="V21" s="33">
        <f>COUNTIF($P$17:$P$581,$U21)</f>
        <v>5</v>
      </c>
      <c r="X21" s="50">
        <v>31</v>
      </c>
      <c r="Y21" s="50">
        <f>COUNTIF($S$1:$S$380,$X21)</f>
        <v>5</v>
      </c>
    </row>
    <row r="22" spans="1:25" x14ac:dyDescent="0.25">
      <c r="A22" s="4" t="s">
        <v>2109</v>
      </c>
      <c r="O22" s="25" t="s">
        <v>20</v>
      </c>
      <c r="P22" s="26">
        <v>98</v>
      </c>
      <c r="Q22" s="26"/>
      <c r="R22" s="26" t="s">
        <v>14</v>
      </c>
      <c r="S22" s="27">
        <v>27</v>
      </c>
      <c r="U22" s="50">
        <v>126</v>
      </c>
      <c r="V22" s="33">
        <f>COUNTIF($P$17:$P$581,$U22)</f>
        <v>5</v>
      </c>
      <c r="X22" s="50">
        <v>10</v>
      </c>
      <c r="Y22" s="50">
        <f>COUNTIF($S$1:$S$380,$X22)</f>
        <v>4</v>
      </c>
    </row>
    <row r="23" spans="1:25" x14ac:dyDescent="0.25">
      <c r="O23" s="25" t="s">
        <v>20</v>
      </c>
      <c r="P23" s="26">
        <v>100</v>
      </c>
      <c r="Q23" s="26"/>
      <c r="R23" s="26" t="s">
        <v>14</v>
      </c>
      <c r="S23" s="27">
        <v>55</v>
      </c>
      <c r="U23" s="50">
        <v>131</v>
      </c>
      <c r="V23" s="33">
        <f>COUNTIF($P$17:$P$581,$U23)</f>
        <v>5</v>
      </c>
      <c r="X23" s="50">
        <v>16</v>
      </c>
      <c r="Y23" s="50">
        <f>COUNTIF($S$1:$S$380,$X23)</f>
        <v>4</v>
      </c>
    </row>
    <row r="24" spans="1:25" x14ac:dyDescent="0.25">
      <c r="A24" s="10" t="s">
        <v>6</v>
      </c>
      <c r="B24" t="s">
        <v>2069</v>
      </c>
      <c r="O24" s="25" t="s">
        <v>20</v>
      </c>
      <c r="P24" s="26">
        <v>1249</v>
      </c>
      <c r="Q24" s="26"/>
      <c r="R24" s="26" t="s">
        <v>14</v>
      </c>
      <c r="S24" s="27">
        <v>200</v>
      </c>
      <c r="U24" s="50">
        <v>157</v>
      </c>
      <c r="V24" s="33">
        <f>COUNTIF($P$17:$P$581,$U24)</f>
        <v>5</v>
      </c>
      <c r="X24" s="50">
        <v>64</v>
      </c>
      <c r="Y24" s="50">
        <f>COUNTIF($S$1:$S$380,$X24)</f>
        <v>4</v>
      </c>
    </row>
    <row r="25" spans="1:25" x14ac:dyDescent="0.25">
      <c r="A25" s="10" t="s">
        <v>7</v>
      </c>
      <c r="B25" t="s">
        <v>2069</v>
      </c>
      <c r="O25" s="25" t="s">
        <v>20</v>
      </c>
      <c r="P25" s="26">
        <v>1396</v>
      </c>
      <c r="Q25" s="26"/>
      <c r="R25" s="26" t="s">
        <v>14</v>
      </c>
      <c r="S25" s="27">
        <v>452</v>
      </c>
      <c r="U25" s="50">
        <v>164</v>
      </c>
      <c r="V25" s="33">
        <f>COUNTIF($P$17:$P$581,$U25)</f>
        <v>5</v>
      </c>
      <c r="X25" s="50">
        <v>75</v>
      </c>
      <c r="Y25" s="50">
        <f>COUNTIF($S$1:$S$380,$X25)</f>
        <v>4</v>
      </c>
    </row>
    <row r="26" spans="1:25" x14ac:dyDescent="0.25">
      <c r="O26" s="25" t="s">
        <v>20</v>
      </c>
      <c r="P26" s="26">
        <v>890</v>
      </c>
      <c r="Q26" s="26"/>
      <c r="R26" s="26" t="s">
        <v>14</v>
      </c>
      <c r="S26" s="27">
        <v>674</v>
      </c>
      <c r="U26" s="50">
        <v>186</v>
      </c>
      <c r="V26" s="33">
        <f>COUNTIF($P$17:$P$581,$U26)</f>
        <v>5</v>
      </c>
      <c r="X26" s="50">
        <v>17</v>
      </c>
      <c r="Y26" s="50">
        <f>COUNTIF($S$1:$S$380,$X26)</f>
        <v>3</v>
      </c>
    </row>
    <row r="27" spans="1:25" x14ac:dyDescent="0.25">
      <c r="A27" s="10" t="s">
        <v>2107</v>
      </c>
      <c r="B27" s="10" t="s">
        <v>2070</v>
      </c>
      <c r="O27" s="25" t="s">
        <v>20</v>
      </c>
      <c r="P27" s="26">
        <v>142</v>
      </c>
      <c r="Q27" s="26"/>
      <c r="R27" s="26" t="s">
        <v>14</v>
      </c>
      <c r="S27" s="27">
        <v>558</v>
      </c>
      <c r="U27" s="50">
        <v>88</v>
      </c>
      <c r="V27" s="33">
        <f>COUNTIF($P$17:$P$581,$U27)</f>
        <v>4</v>
      </c>
      <c r="X27" s="50">
        <v>19</v>
      </c>
      <c r="Y27" s="50">
        <f>COUNTIF($S$1:$S$380,$X27)</f>
        <v>3</v>
      </c>
    </row>
    <row r="28" spans="1:25" x14ac:dyDescent="0.25">
      <c r="A28" s="10" t="s">
        <v>2033</v>
      </c>
      <c r="B28" t="s">
        <v>20</v>
      </c>
      <c r="C28" t="s">
        <v>14</v>
      </c>
      <c r="H28" s="19"/>
      <c r="I28" s="19" t="s">
        <v>20</v>
      </c>
      <c r="J28" s="19" t="s">
        <v>14</v>
      </c>
      <c r="O28" s="25" t="s">
        <v>20</v>
      </c>
      <c r="P28" s="26">
        <v>2673</v>
      </c>
      <c r="Q28" s="26"/>
      <c r="R28" s="26" t="s">
        <v>14</v>
      </c>
      <c r="S28" s="27">
        <v>15</v>
      </c>
      <c r="U28" s="50">
        <v>110</v>
      </c>
      <c r="V28" s="33">
        <f>COUNTIF($P$17:$P$581,$U28)</f>
        <v>4</v>
      </c>
      <c r="X28" s="50">
        <v>21</v>
      </c>
      <c r="Y28" s="50">
        <f>COUNTIF($S$1:$S$380,$X28)</f>
        <v>3</v>
      </c>
    </row>
    <row r="29" spans="1:25" x14ac:dyDescent="0.25">
      <c r="A29" s="11" t="s">
        <v>2035</v>
      </c>
      <c r="B29" s="15">
        <v>699.26470588235293</v>
      </c>
      <c r="C29" s="15">
        <v>690.66666666666663</v>
      </c>
      <c r="H29" s="11" t="s">
        <v>2035</v>
      </c>
      <c r="I29" s="7">
        <f>AVERAGEIFS(Crowdfunding!$H:$H,Crowdfunding!$G:$G,$I$28,Crowdfunding!S:S,$H29)</f>
        <v>699.26470588235293</v>
      </c>
      <c r="J29" s="7">
        <f>IFERROR(AVERAGEIFS(Crowdfunding!$H:$H,Crowdfunding!$G:$G,$J$28,Crowdfunding!S:S,$H29),0)</f>
        <v>690.66666666666663</v>
      </c>
      <c r="O29" s="25" t="s">
        <v>20</v>
      </c>
      <c r="P29" s="26">
        <v>163</v>
      </c>
      <c r="Q29" s="26"/>
      <c r="R29" s="26" t="s">
        <v>14</v>
      </c>
      <c r="S29" s="27">
        <v>2307</v>
      </c>
      <c r="U29" s="50">
        <v>122</v>
      </c>
      <c r="V29" s="33">
        <f>COUNTIF($P$17:$P$581,$U29)</f>
        <v>4</v>
      </c>
      <c r="X29" s="50">
        <v>24</v>
      </c>
      <c r="Y29" s="50">
        <f>COUNTIF($S$1:$S$380,$X29)</f>
        <v>3</v>
      </c>
    </row>
    <row r="30" spans="1:25" x14ac:dyDescent="0.25">
      <c r="A30" s="11" t="s">
        <v>2036</v>
      </c>
      <c r="B30" s="15">
        <v>580.0454545454545</v>
      </c>
      <c r="C30" s="15">
        <v>705.15</v>
      </c>
      <c r="H30" s="11" t="s">
        <v>2036</v>
      </c>
      <c r="I30" s="7">
        <f>AVERAGEIFS(Crowdfunding!$H:$H,Crowdfunding!$G:$G,$I$28,Crowdfunding!S:S,$H30)</f>
        <v>580.0454545454545</v>
      </c>
      <c r="J30" s="7">
        <f>IFERROR(AVERAGEIFS(Crowdfunding!$H:$H,Crowdfunding!$G:$G,$J$28,Crowdfunding!S:S,$H30),0)</f>
        <v>705.15</v>
      </c>
      <c r="O30" s="25" t="s">
        <v>20</v>
      </c>
      <c r="P30" s="26">
        <v>2220</v>
      </c>
      <c r="Q30" s="26"/>
      <c r="R30" s="26" t="s">
        <v>14</v>
      </c>
      <c r="S30" s="27">
        <v>88</v>
      </c>
      <c r="U30" s="50">
        <v>142</v>
      </c>
      <c r="V30" s="33">
        <f>COUNTIF($P$17:$P$581,$U30)</f>
        <v>4</v>
      </c>
      <c r="X30" s="50">
        <v>26</v>
      </c>
      <c r="Y30" s="50">
        <f>COUNTIF($S$1:$S$380,$X30)</f>
        <v>3</v>
      </c>
    </row>
    <row r="31" spans="1:25" x14ac:dyDescent="0.25">
      <c r="A31" s="11" t="s">
        <v>2037</v>
      </c>
      <c r="B31" s="15">
        <v>609.04761904761904</v>
      </c>
      <c r="C31" s="15">
        <v>783.47826086956525</v>
      </c>
      <c r="H31" s="11" t="s">
        <v>2037</v>
      </c>
      <c r="I31" s="7">
        <f>AVERAGEIFS(Crowdfunding!$H:$H,Crowdfunding!$G:$G,$I$28,Crowdfunding!S:S,$H31)</f>
        <v>609.04761904761904</v>
      </c>
      <c r="J31" s="7">
        <f>IFERROR(AVERAGEIFS(Crowdfunding!$H:$H,Crowdfunding!$G:$G,$J$28,Crowdfunding!S:S,$H31),0)</f>
        <v>783.47826086956525</v>
      </c>
      <c r="O31" s="25" t="s">
        <v>20</v>
      </c>
      <c r="P31" s="26">
        <v>1606</v>
      </c>
      <c r="Q31" s="26"/>
      <c r="R31" s="26" t="s">
        <v>14</v>
      </c>
      <c r="S31" s="27">
        <v>48</v>
      </c>
      <c r="U31" s="50">
        <v>144</v>
      </c>
      <c r="V31" s="33">
        <f>COUNTIF($P$17:$P$581,$U31)</f>
        <v>4</v>
      </c>
      <c r="X31" s="50">
        <v>33</v>
      </c>
      <c r="Y31" s="50">
        <f>COUNTIF($S$1:$S$380,$X31)</f>
        <v>3</v>
      </c>
    </row>
    <row r="32" spans="1:25" x14ac:dyDescent="0.25">
      <c r="A32" s="11" t="s">
        <v>2038</v>
      </c>
      <c r="B32" s="15">
        <v>298.5</v>
      </c>
      <c r="C32" s="15"/>
      <c r="H32" s="11" t="s">
        <v>2038</v>
      </c>
      <c r="I32" s="7">
        <f>AVERAGEIFS(Crowdfunding!$H:$H,Crowdfunding!$G:$G,$I$28,Crowdfunding!S:S,$H32)</f>
        <v>298.5</v>
      </c>
      <c r="J32" s="7">
        <f>IFERROR(AVERAGEIFS(Crowdfunding!$H:$H,Crowdfunding!$G:$G,$J$28,Crowdfunding!S:S,$H32),0)</f>
        <v>0</v>
      </c>
      <c r="O32" s="25" t="s">
        <v>20</v>
      </c>
      <c r="P32" s="26">
        <v>129</v>
      </c>
      <c r="Q32" s="26"/>
      <c r="R32" s="26" t="s">
        <v>14</v>
      </c>
      <c r="S32" s="27">
        <v>1</v>
      </c>
      <c r="U32" s="50">
        <v>154</v>
      </c>
      <c r="V32" s="33">
        <f>COUNTIF($P$17:$P$581,$U32)</f>
        <v>4</v>
      </c>
      <c r="X32" s="50">
        <v>35</v>
      </c>
      <c r="Y32" s="50">
        <f>COUNTIF($S$1:$S$380,$X32)</f>
        <v>3</v>
      </c>
    </row>
    <row r="33" spans="1:25" x14ac:dyDescent="0.25">
      <c r="A33" s="11" t="s">
        <v>2039</v>
      </c>
      <c r="B33" s="15">
        <v>937.57575757575762</v>
      </c>
      <c r="C33" s="15">
        <v>514.25757575757575</v>
      </c>
      <c r="H33" s="11" t="s">
        <v>2039</v>
      </c>
      <c r="I33" s="7">
        <f>AVERAGEIFS(Crowdfunding!$H:$H,Crowdfunding!$G:$G,$I$28,Crowdfunding!S:S,$H33)</f>
        <v>937.57575757575762</v>
      </c>
      <c r="J33" s="7">
        <f>IFERROR(AVERAGEIFS(Crowdfunding!$H:$H,Crowdfunding!$G:$G,$J$28,Crowdfunding!S:S,$H33),0)</f>
        <v>514.25757575757575</v>
      </c>
      <c r="O33" s="25" t="s">
        <v>20</v>
      </c>
      <c r="P33" s="26">
        <v>226</v>
      </c>
      <c r="Q33" s="26"/>
      <c r="R33" s="26" t="s">
        <v>14</v>
      </c>
      <c r="S33" s="27">
        <v>1467</v>
      </c>
      <c r="U33" s="50">
        <v>155</v>
      </c>
      <c r="V33" s="33">
        <f>COUNTIF($P$17:$P$581,$U33)</f>
        <v>4</v>
      </c>
      <c r="X33" s="50">
        <v>37</v>
      </c>
      <c r="Y33" s="50">
        <f>COUNTIF($S$1:$S$380,$X33)</f>
        <v>3</v>
      </c>
    </row>
    <row r="34" spans="1:25" x14ac:dyDescent="0.25">
      <c r="A34" s="11" t="s">
        <v>2040</v>
      </c>
      <c r="B34" s="15">
        <v>651.15384615384619</v>
      </c>
      <c r="C34" s="15">
        <v>247.63636363636363</v>
      </c>
      <c r="H34" s="11" t="s">
        <v>2040</v>
      </c>
      <c r="I34" s="7">
        <f>AVERAGEIFS(Crowdfunding!$H:$H,Crowdfunding!$G:$G,$I$28,Crowdfunding!S:S,$H34)</f>
        <v>651.15384615384619</v>
      </c>
      <c r="J34" s="7">
        <f>IFERROR(AVERAGEIFS(Crowdfunding!$H:$H,Crowdfunding!$G:$G,$J$28,Crowdfunding!S:S,$H34),0)</f>
        <v>247.63636363636363</v>
      </c>
      <c r="O34" s="25" t="s">
        <v>20</v>
      </c>
      <c r="P34" s="26">
        <v>5419</v>
      </c>
      <c r="Q34" s="26"/>
      <c r="R34" s="26" t="s">
        <v>14</v>
      </c>
      <c r="S34" s="27">
        <v>75</v>
      </c>
      <c r="U34" s="50">
        <v>165</v>
      </c>
      <c r="V34" s="33">
        <f>COUNTIF($P$17:$P$581,$U34)</f>
        <v>4</v>
      </c>
      <c r="X34" s="50">
        <v>38</v>
      </c>
      <c r="Y34" s="50">
        <f>COUNTIF($S$1:$S$380,$X34)</f>
        <v>3</v>
      </c>
    </row>
    <row r="35" spans="1:25" x14ac:dyDescent="0.25">
      <c r="A35" s="11" t="s">
        <v>2041</v>
      </c>
      <c r="B35" s="15">
        <v>876</v>
      </c>
      <c r="C35" s="15">
        <v>728.29166666666663</v>
      </c>
      <c r="H35" s="11" t="s">
        <v>2041</v>
      </c>
      <c r="I35" s="7">
        <f>AVERAGEIFS(Crowdfunding!$H:$H,Crowdfunding!$G:$G,$I$28,Crowdfunding!S:S,$H35)</f>
        <v>876</v>
      </c>
      <c r="J35" s="7">
        <f>IFERROR(AVERAGEIFS(Crowdfunding!$H:$H,Crowdfunding!$G:$G,$J$28,Crowdfunding!S:S,$H35),0)</f>
        <v>728.29166666666663</v>
      </c>
      <c r="O35" s="25" t="s">
        <v>20</v>
      </c>
      <c r="P35" s="26">
        <v>165</v>
      </c>
      <c r="Q35" s="26"/>
      <c r="R35" s="26" t="s">
        <v>14</v>
      </c>
      <c r="S35" s="27">
        <v>120</v>
      </c>
      <c r="U35" s="50">
        <v>180</v>
      </c>
      <c r="V35" s="33">
        <f>COUNTIF($P$17:$P$581,$U35)</f>
        <v>4</v>
      </c>
      <c r="X35" s="50">
        <v>40</v>
      </c>
      <c r="Y35" s="50">
        <f>COUNTIF($S$1:$S$380,$X35)</f>
        <v>3</v>
      </c>
    </row>
    <row r="36" spans="1:25" x14ac:dyDescent="0.25">
      <c r="A36" s="11" t="s">
        <v>2042</v>
      </c>
      <c r="B36" s="15">
        <v>878.171875</v>
      </c>
      <c r="C36" s="15">
        <v>387.71428571428572</v>
      </c>
      <c r="H36" s="11" t="s">
        <v>2042</v>
      </c>
      <c r="I36" s="7">
        <f>AVERAGEIFS(Crowdfunding!$H:$H,Crowdfunding!$G:$G,$I$28,Crowdfunding!S:S,$H36)</f>
        <v>878.171875</v>
      </c>
      <c r="J36" s="7">
        <f>IFERROR(AVERAGEIFS(Crowdfunding!$H:$H,Crowdfunding!$G:$G,$J$28,Crowdfunding!S:S,$H36),0)</f>
        <v>387.71428571428572</v>
      </c>
      <c r="O36" s="25" t="s">
        <v>20</v>
      </c>
      <c r="P36" s="26">
        <v>1965</v>
      </c>
      <c r="Q36" s="26"/>
      <c r="R36" s="26" t="s">
        <v>14</v>
      </c>
      <c r="S36" s="27">
        <v>2253</v>
      </c>
      <c r="U36" s="50">
        <v>194</v>
      </c>
      <c r="V36" s="33">
        <f>COUNTIF($P$17:$P$581,$U36)</f>
        <v>4</v>
      </c>
      <c r="X36" s="50">
        <v>77</v>
      </c>
      <c r="Y36" s="50">
        <f>COUNTIF($S$1:$S$380,$X36)</f>
        <v>3</v>
      </c>
    </row>
    <row r="37" spans="1:25" x14ac:dyDescent="0.25">
      <c r="A37" s="11" t="s">
        <v>2043</v>
      </c>
      <c r="B37" s="15">
        <v>972.37967914438502</v>
      </c>
      <c r="C37" s="15">
        <v>565.15909090909088</v>
      </c>
      <c r="H37" s="11" t="s">
        <v>2043</v>
      </c>
      <c r="I37" s="7">
        <f>AVERAGEIFS(Crowdfunding!$H:$H,Crowdfunding!$G:$G,$I$28,Crowdfunding!S:S,$H37)</f>
        <v>972.37967914438502</v>
      </c>
      <c r="J37" s="7">
        <f>IFERROR(AVERAGEIFS(Crowdfunding!$H:$H,Crowdfunding!$G:$G,$J$28,Crowdfunding!S:S,$H37),0)</f>
        <v>565.15909090909088</v>
      </c>
      <c r="O37" s="25" t="s">
        <v>20</v>
      </c>
      <c r="P37" s="26">
        <v>16</v>
      </c>
      <c r="Q37" s="26"/>
      <c r="R37" s="26" t="s">
        <v>14</v>
      </c>
      <c r="S37" s="27">
        <v>5</v>
      </c>
      <c r="U37" s="50">
        <v>48</v>
      </c>
      <c r="V37" s="33">
        <f>COUNTIF($P$17:$P$581,$U37)</f>
        <v>3</v>
      </c>
      <c r="X37" s="50">
        <v>86</v>
      </c>
      <c r="Y37" s="50">
        <f>COUNTIF($S$1:$S$380,$X37)</f>
        <v>3</v>
      </c>
    </row>
    <row r="38" spans="1:25" ht="16.5" thickBot="1" x14ac:dyDescent="0.3">
      <c r="A38" s="11" t="s">
        <v>2034</v>
      </c>
      <c r="B38" s="15">
        <v>851.14690265486729</v>
      </c>
      <c r="C38" s="15">
        <v>585.61538461538464</v>
      </c>
      <c r="I38" s="18">
        <f>AVERAGEIF(Crowdfunding!$G:$G,$I$28,Crowdfunding!$H:$H)</f>
        <v>851.14690265486729</v>
      </c>
      <c r="J38" s="18">
        <f>AVERAGEIF(Crowdfunding!$G:$G,$J$28,Crowdfunding!$H:$H)</f>
        <v>585.61538461538464</v>
      </c>
      <c r="O38" s="25" t="s">
        <v>20</v>
      </c>
      <c r="P38" s="26">
        <v>107</v>
      </c>
      <c r="Q38" s="26"/>
      <c r="R38" s="26" t="s">
        <v>14</v>
      </c>
      <c r="S38" s="27">
        <v>38</v>
      </c>
      <c r="U38" s="50">
        <v>50</v>
      </c>
      <c r="V38" s="33">
        <f>COUNTIF($P$17:$P$581,$U38)</f>
        <v>3</v>
      </c>
      <c r="X38" s="50">
        <v>92</v>
      </c>
      <c r="Y38" s="50">
        <f>COUNTIF($S$1:$S$380,$X38)</f>
        <v>3</v>
      </c>
    </row>
    <row r="39" spans="1:25" x14ac:dyDescent="0.25">
      <c r="O39" s="25" t="s">
        <v>20</v>
      </c>
      <c r="P39" s="26">
        <v>134</v>
      </c>
      <c r="Q39" s="26"/>
      <c r="R39" s="26" t="s">
        <v>14</v>
      </c>
      <c r="S39" s="27">
        <v>12</v>
      </c>
      <c r="U39" s="50">
        <v>86</v>
      </c>
      <c r="V39" s="33">
        <f>COUNTIF($P$17:$P$581,$U39)</f>
        <v>3</v>
      </c>
      <c r="X39" s="50">
        <v>0</v>
      </c>
      <c r="Y39" s="50">
        <f>COUNTIF($S$1:$S$380,$X39)</f>
        <v>2</v>
      </c>
    </row>
    <row r="40" spans="1:25" x14ac:dyDescent="0.25">
      <c r="O40" s="25" t="s">
        <v>20</v>
      </c>
      <c r="P40" s="26">
        <v>198</v>
      </c>
      <c r="Q40" s="26"/>
      <c r="R40" s="26" t="s">
        <v>14</v>
      </c>
      <c r="S40" s="27">
        <v>1684</v>
      </c>
      <c r="U40" s="50">
        <v>87</v>
      </c>
      <c r="V40" s="33">
        <f>COUNTIF($P$17:$P$581,$U40)</f>
        <v>3</v>
      </c>
      <c r="X40" s="50">
        <v>5</v>
      </c>
      <c r="Y40" s="50">
        <f>COUNTIF($S$1:$S$380,$X40)</f>
        <v>2</v>
      </c>
    </row>
    <row r="41" spans="1:25" x14ac:dyDescent="0.25">
      <c r="O41" s="25" t="s">
        <v>20</v>
      </c>
      <c r="P41" s="26">
        <v>111</v>
      </c>
      <c r="Q41" s="26"/>
      <c r="R41" s="26" t="s">
        <v>14</v>
      </c>
      <c r="S41" s="27">
        <v>56</v>
      </c>
      <c r="U41" s="50">
        <v>94</v>
      </c>
      <c r="V41" s="33">
        <f>COUNTIF($P$17:$P$581,$U41)</f>
        <v>3</v>
      </c>
      <c r="X41" s="50">
        <v>7</v>
      </c>
      <c r="Y41" s="50">
        <f>COUNTIF($S$1:$S$380,$X41)</f>
        <v>2</v>
      </c>
    </row>
    <row r="42" spans="1:25" x14ac:dyDescent="0.25">
      <c r="A42" s="17" t="s">
        <v>2110</v>
      </c>
      <c r="O42" s="25" t="s">
        <v>20</v>
      </c>
      <c r="P42" s="26">
        <v>222</v>
      </c>
      <c r="Q42" s="26"/>
      <c r="R42" s="26" t="s">
        <v>14</v>
      </c>
      <c r="S42" s="27">
        <v>838</v>
      </c>
      <c r="U42" s="50">
        <v>96</v>
      </c>
      <c r="V42" s="33">
        <f>COUNTIF($P$17:$P$581,$U42)</f>
        <v>3</v>
      </c>
      <c r="X42" s="50">
        <v>9</v>
      </c>
      <c r="Y42" s="50">
        <f>COUNTIF($S$1:$S$380,$X42)</f>
        <v>2</v>
      </c>
    </row>
    <row r="43" spans="1:25" x14ac:dyDescent="0.25">
      <c r="O43" s="25" t="s">
        <v>20</v>
      </c>
      <c r="P43" s="26">
        <v>6212</v>
      </c>
      <c r="Q43" s="26"/>
      <c r="R43" s="26" t="s">
        <v>14</v>
      </c>
      <c r="S43" s="27">
        <v>1000</v>
      </c>
      <c r="U43" s="50">
        <v>112</v>
      </c>
      <c r="V43" s="33">
        <f>COUNTIF($P$17:$P$581,$U43)</f>
        <v>3</v>
      </c>
      <c r="X43" s="50">
        <v>12</v>
      </c>
      <c r="Y43" s="50">
        <f>COUNTIF($S$1:$S$380,$X43)</f>
        <v>2</v>
      </c>
    </row>
    <row r="44" spans="1:25" x14ac:dyDescent="0.25">
      <c r="A44" s="10" t="s">
        <v>6</v>
      </c>
      <c r="B44" t="s" vm="1">
        <v>2111</v>
      </c>
      <c r="O44" s="25" t="s">
        <v>20</v>
      </c>
      <c r="P44" s="26">
        <v>98</v>
      </c>
      <c r="Q44" s="26"/>
      <c r="R44" s="26" t="s">
        <v>14</v>
      </c>
      <c r="S44" s="27">
        <v>1482</v>
      </c>
      <c r="U44" s="50">
        <v>114</v>
      </c>
      <c r="V44" s="33">
        <f>COUNTIF($P$17:$P$581,$U44)</f>
        <v>3</v>
      </c>
      <c r="X44" s="50">
        <v>13</v>
      </c>
      <c r="Y44" s="50">
        <f>COUNTIF($S$1:$S$380,$X44)</f>
        <v>2</v>
      </c>
    </row>
    <row r="45" spans="1:25" x14ac:dyDescent="0.25">
      <c r="A45" s="10" t="s">
        <v>7</v>
      </c>
      <c r="B45" t="s" vm="2">
        <v>2111</v>
      </c>
      <c r="O45" s="25" t="s">
        <v>20</v>
      </c>
      <c r="P45" s="26">
        <v>92</v>
      </c>
      <c r="Q45" s="26"/>
      <c r="R45" s="26" t="s">
        <v>14</v>
      </c>
      <c r="S45" s="27">
        <v>106</v>
      </c>
      <c r="U45" s="50">
        <v>121</v>
      </c>
      <c r="V45" s="33">
        <f>COUNTIF($P$17:$P$581,$U45)</f>
        <v>3</v>
      </c>
      <c r="X45" s="50">
        <v>14</v>
      </c>
      <c r="Y45" s="50">
        <f>COUNTIF($S$1:$S$380,$X45)</f>
        <v>2</v>
      </c>
    </row>
    <row r="46" spans="1:25" x14ac:dyDescent="0.25">
      <c r="O46" s="25" t="s">
        <v>20</v>
      </c>
      <c r="P46" s="26">
        <v>149</v>
      </c>
      <c r="Q46" s="26"/>
      <c r="R46" s="26" t="s">
        <v>14</v>
      </c>
      <c r="S46" s="27">
        <v>679</v>
      </c>
      <c r="U46" s="50">
        <v>123</v>
      </c>
      <c r="V46" s="33">
        <f>COUNTIF($P$17:$P$581,$U46)</f>
        <v>3</v>
      </c>
      <c r="X46" s="50">
        <v>18</v>
      </c>
      <c r="Y46" s="50">
        <f>COUNTIF($S$1:$S$380,$X46)</f>
        <v>2</v>
      </c>
    </row>
    <row r="47" spans="1:25" x14ac:dyDescent="0.25">
      <c r="A47" s="10" t="s">
        <v>2112</v>
      </c>
      <c r="B47" s="10" t="s">
        <v>2070</v>
      </c>
      <c r="O47" s="25" t="s">
        <v>20</v>
      </c>
      <c r="P47" s="26">
        <v>2431</v>
      </c>
      <c r="Q47" s="26"/>
      <c r="R47" s="26" t="s">
        <v>14</v>
      </c>
      <c r="S47" s="27">
        <v>1220</v>
      </c>
      <c r="U47" s="50">
        <v>132</v>
      </c>
      <c r="V47" s="33">
        <f>COUNTIF($P$17:$P$581,$U47)</f>
        <v>3</v>
      </c>
      <c r="X47" s="50">
        <v>25</v>
      </c>
      <c r="Y47" s="50">
        <f>COUNTIF($S$1:$S$380,$X47)</f>
        <v>2</v>
      </c>
    </row>
    <row r="48" spans="1:25" x14ac:dyDescent="0.25">
      <c r="A48" s="10" t="s">
        <v>2033</v>
      </c>
      <c r="B48" t="s">
        <v>20</v>
      </c>
      <c r="C48" t="s">
        <v>14</v>
      </c>
      <c r="H48" s="19"/>
      <c r="I48" s="19" t="s">
        <v>20</v>
      </c>
      <c r="J48" s="19" t="s">
        <v>14</v>
      </c>
      <c r="O48" s="25" t="s">
        <v>20</v>
      </c>
      <c r="P48" s="26">
        <v>303</v>
      </c>
      <c r="Q48" s="26"/>
      <c r="R48" s="26" t="s">
        <v>14</v>
      </c>
      <c r="S48" s="27">
        <v>1</v>
      </c>
      <c r="U48" s="50">
        <v>133</v>
      </c>
      <c r="V48" s="33">
        <f>COUNTIF($P$17:$P$581,$U48)</f>
        <v>3</v>
      </c>
      <c r="X48" s="50">
        <v>27</v>
      </c>
      <c r="Y48" s="50">
        <f>COUNTIF($S$1:$S$380,$X48)</f>
        <v>2</v>
      </c>
    </row>
    <row r="49" spans="1:25" x14ac:dyDescent="0.25">
      <c r="A49" s="11" t="s">
        <v>2035</v>
      </c>
      <c r="B49" s="16">
        <v>191.5</v>
      </c>
      <c r="C49" s="16">
        <v>187</v>
      </c>
      <c r="H49" s="11" t="s">
        <v>2035</v>
      </c>
      <c r="I49" s="7" cm="1">
        <f t="array" ref="I49">MEDIAN(IF(Crowdfunding!$G:$G='statistical analysis'!$I$48,IF(Crowdfunding!$S:$S='statistical analysis'!$H$49,Crowdfunding!$H:$H,"")))</f>
        <v>191.5</v>
      </c>
      <c r="J49" s="7" cm="1">
        <f t="array" ref="J49">IFERROR(MEDIAN(IF(Crowdfunding!$G:$G='statistical analysis'!$J$48,IF(Crowdfunding!$S:$S='statistical analysis'!$H$49,Crowdfunding!$H:$H,""))),0)</f>
        <v>187</v>
      </c>
      <c r="O49" s="25" t="s">
        <v>20</v>
      </c>
      <c r="P49" s="26">
        <v>209</v>
      </c>
      <c r="Q49" s="26"/>
      <c r="R49" s="26" t="s">
        <v>14</v>
      </c>
      <c r="S49" s="27">
        <v>37</v>
      </c>
      <c r="U49" s="50">
        <v>134</v>
      </c>
      <c r="V49" s="33">
        <f>COUNTIF($P$17:$P$581,$U49)</f>
        <v>3</v>
      </c>
      <c r="X49" s="50">
        <v>30</v>
      </c>
      <c r="Y49" s="50">
        <f>COUNTIF($S$1:$S$380,$X49)</f>
        <v>2</v>
      </c>
    </row>
    <row r="50" spans="1:25" x14ac:dyDescent="0.25">
      <c r="A50" s="11" t="s">
        <v>2036</v>
      </c>
      <c r="B50" s="16">
        <v>189.5</v>
      </c>
      <c r="C50" s="16">
        <v>92.5</v>
      </c>
      <c r="H50" s="11" t="s">
        <v>2036</v>
      </c>
      <c r="I50" s="7" cm="1">
        <f t="array" ref="I50">MEDIAN(IF(Crowdfunding!$G:$G='statistical analysis'!$I$48,IF(Crowdfunding!$S:$S='statistical analysis'!$H$50,Crowdfunding!$H:$H,"")))</f>
        <v>189.5</v>
      </c>
      <c r="J50" s="7" cm="1">
        <f t="array" ref="J50">IFERROR(MEDIAN(IF(Crowdfunding!$G:$G='statistical analysis'!$J$48,IF(Crowdfunding!$S:$S='statistical analysis'!$H$50,Crowdfunding!$H:$H,""))),0)</f>
        <v>92.5</v>
      </c>
      <c r="O50" s="25" t="s">
        <v>20</v>
      </c>
      <c r="P50" s="26">
        <v>131</v>
      </c>
      <c r="Q50" s="26"/>
      <c r="R50" s="26" t="s">
        <v>14</v>
      </c>
      <c r="S50" s="27">
        <v>60</v>
      </c>
      <c r="U50" s="50">
        <v>135</v>
      </c>
      <c r="V50" s="33">
        <f>COUNTIF($P$17:$P$581,$U50)</f>
        <v>3</v>
      </c>
      <c r="X50" s="50">
        <v>32</v>
      </c>
      <c r="Y50" s="50">
        <f>COUNTIF($S$1:$S$380,$X50)</f>
        <v>2</v>
      </c>
    </row>
    <row r="51" spans="1:25" x14ac:dyDescent="0.25">
      <c r="A51" s="11" t="s">
        <v>2037</v>
      </c>
      <c r="B51" s="16">
        <v>186</v>
      </c>
      <c r="C51" s="16">
        <v>395</v>
      </c>
      <c r="H51" s="11" t="s">
        <v>2037</v>
      </c>
      <c r="I51" s="7" cm="1">
        <f t="array" ref="I51">MEDIAN(IF(Crowdfunding!$G:$G='statistical analysis'!$I$48,IF(Crowdfunding!$S:$S='statistical analysis'!$H$51,Crowdfunding!$H:$H,"")))</f>
        <v>186</v>
      </c>
      <c r="J51" s="7" cm="1">
        <f t="array" ref="J51">IFERROR(MEDIAN(IF(Crowdfunding!$G:$G='statistical analysis'!$J$48,IF(Crowdfunding!$S:$S='statistical analysis'!$H$51,Crowdfunding!$H:$H,""))),0)</f>
        <v>395</v>
      </c>
      <c r="O51" s="25" t="s">
        <v>20</v>
      </c>
      <c r="P51" s="26">
        <v>164</v>
      </c>
      <c r="Q51" s="26"/>
      <c r="R51" s="26" t="s">
        <v>14</v>
      </c>
      <c r="S51" s="27">
        <v>296</v>
      </c>
      <c r="U51" s="50">
        <v>138</v>
      </c>
      <c r="V51" s="33">
        <f>COUNTIF($P$17:$P$581,$U51)</f>
        <v>3</v>
      </c>
      <c r="X51" s="50">
        <v>41</v>
      </c>
      <c r="Y51" s="50">
        <f>COUNTIF($S$1:$S$380,$X51)</f>
        <v>2</v>
      </c>
    </row>
    <row r="52" spans="1:25" x14ac:dyDescent="0.25">
      <c r="A52" s="11" t="s">
        <v>2038</v>
      </c>
      <c r="B52" s="16">
        <v>315.5</v>
      </c>
      <c r="C52" s="16"/>
      <c r="H52" s="11" t="s">
        <v>2038</v>
      </c>
      <c r="I52" s="7" cm="1">
        <f t="array" ref="I52">MEDIAN(IF(Crowdfunding!$G:$G='statistical analysis'!$I$48,IF(Crowdfunding!$S:$S='statistical analysis'!$H$52,Crowdfunding!$H:$H,"")))</f>
        <v>315.5</v>
      </c>
      <c r="J52" s="7" cm="1">
        <f t="array" ref="J52">IFERROR(MEDIAN(IF(Crowdfunding!$G:$G='statistical analysis'!$J$48,IF(Crowdfunding!$S:$S='statistical analysis'!$H$52,Crowdfunding!$H:$H,""))),0)</f>
        <v>0</v>
      </c>
      <c r="O52" s="25" t="s">
        <v>20</v>
      </c>
      <c r="P52" s="26">
        <v>201</v>
      </c>
      <c r="Q52" s="26"/>
      <c r="R52" s="26" t="s">
        <v>14</v>
      </c>
      <c r="S52" s="27">
        <v>3304</v>
      </c>
      <c r="U52" s="50">
        <v>140</v>
      </c>
      <c r="V52" s="33">
        <f>COUNTIF($P$17:$P$581,$U52)</f>
        <v>3</v>
      </c>
      <c r="X52" s="50">
        <v>44</v>
      </c>
      <c r="Y52" s="50">
        <f>COUNTIF($S$1:$S$380,$X52)</f>
        <v>2</v>
      </c>
    </row>
    <row r="53" spans="1:25" x14ac:dyDescent="0.25">
      <c r="A53" s="11" t="s">
        <v>2039</v>
      </c>
      <c r="B53" s="16">
        <v>207</v>
      </c>
      <c r="C53" s="16">
        <v>72</v>
      </c>
      <c r="H53" s="11" t="s">
        <v>2039</v>
      </c>
      <c r="I53" s="7" cm="1">
        <f t="array" ref="I53">MEDIAN(IF(Crowdfunding!$G:$G='statistical analysis'!$I$48,IF(Crowdfunding!$S:$S='statistical analysis'!$H$53,Crowdfunding!$H:$H,"")))</f>
        <v>207</v>
      </c>
      <c r="J53" s="7" cm="1">
        <f t="array" ref="J53">IFERROR(MEDIAN(IF(Crowdfunding!$G:$G='statistical analysis'!$J$48,IF(Crowdfunding!$S:$S='statistical analysis'!$H$53,Crowdfunding!$H:$H,""))),0)</f>
        <v>72</v>
      </c>
      <c r="O53" s="25" t="s">
        <v>20</v>
      </c>
      <c r="P53" s="26">
        <v>211</v>
      </c>
      <c r="Q53" s="26"/>
      <c r="R53" s="26" t="s">
        <v>14</v>
      </c>
      <c r="S53" s="27">
        <v>73</v>
      </c>
      <c r="U53" s="50">
        <v>147</v>
      </c>
      <c r="V53" s="33">
        <f>COUNTIF($P$17:$P$581,$U53)</f>
        <v>3</v>
      </c>
      <c r="X53" s="50">
        <v>49</v>
      </c>
      <c r="Y53" s="50">
        <f>COUNTIF($S$1:$S$380,$X53)</f>
        <v>2</v>
      </c>
    </row>
    <row r="54" spans="1:25" x14ac:dyDescent="0.25">
      <c r="A54" s="11" t="s">
        <v>2040</v>
      </c>
      <c r="B54" s="16">
        <v>140</v>
      </c>
      <c r="C54" s="16">
        <v>57</v>
      </c>
      <c r="H54" s="11" t="s">
        <v>2040</v>
      </c>
      <c r="I54" s="7" cm="1">
        <f t="array" ref="I54">MEDIAN(IF(Crowdfunding!$G:$G='statistical analysis'!$I$48,IF(Crowdfunding!$S:$S='statistical analysis'!$H$54,Crowdfunding!$H:$H,"")))</f>
        <v>140</v>
      </c>
      <c r="J54" s="7" cm="1">
        <f t="array" ref="J54">IFERROR(MEDIAN(IF(Crowdfunding!$G:$G='statistical analysis'!$J$48,IF(Crowdfunding!$S:$S='statistical analysis'!$H$54,Crowdfunding!$H:$H,""))),0)</f>
        <v>57</v>
      </c>
      <c r="O54" s="25" t="s">
        <v>20</v>
      </c>
      <c r="P54" s="26">
        <v>128</v>
      </c>
      <c r="Q54" s="26"/>
      <c r="R54" s="26" t="s">
        <v>14</v>
      </c>
      <c r="S54" s="27">
        <v>3387</v>
      </c>
      <c r="U54" s="50">
        <v>159</v>
      </c>
      <c r="V54" s="33">
        <f>COUNTIF($P$17:$P$581,$U54)</f>
        <v>3</v>
      </c>
      <c r="X54" s="50">
        <v>55</v>
      </c>
      <c r="Y54" s="50">
        <f>COUNTIF($S$1:$S$380,$X54)</f>
        <v>2</v>
      </c>
    </row>
    <row r="55" spans="1:25" x14ac:dyDescent="0.25">
      <c r="A55" s="11" t="s">
        <v>2041</v>
      </c>
      <c r="B55" s="16">
        <v>160.5</v>
      </c>
      <c r="C55" s="16">
        <v>249</v>
      </c>
      <c r="H55" s="11" t="s">
        <v>2041</v>
      </c>
      <c r="I55" s="7" cm="1">
        <f t="array" ref="I55">MEDIAN(IF(Crowdfunding!$G:$G='statistical analysis'!$I$48,IF(Crowdfunding!$S:$S='statistical analysis'!$H$55,Crowdfunding!$H:$H,"")))</f>
        <v>160.5</v>
      </c>
      <c r="J55" s="7" cm="1">
        <f t="array" ref="J55">IFERROR(MEDIAN(IF(Crowdfunding!$G:$G='statistical analysis'!$J$48,IF(Crowdfunding!$S:$S='statistical analysis'!$H$55,Crowdfunding!$H:$H,""))),0)</f>
        <v>249</v>
      </c>
      <c r="O55" s="25" t="s">
        <v>20</v>
      </c>
      <c r="P55" s="26">
        <v>1600</v>
      </c>
      <c r="Q55" s="26"/>
      <c r="R55" s="26" t="s">
        <v>14</v>
      </c>
      <c r="S55" s="27">
        <v>662</v>
      </c>
      <c r="U55" s="50">
        <v>170</v>
      </c>
      <c r="V55" s="33">
        <f>COUNTIF($P$17:$P$581,$U55)</f>
        <v>3</v>
      </c>
      <c r="X55" s="50">
        <v>56</v>
      </c>
      <c r="Y55" s="50">
        <f>COUNTIF($S$1:$S$380,$X55)</f>
        <v>2</v>
      </c>
    </row>
    <row r="56" spans="1:25" x14ac:dyDescent="0.25">
      <c r="A56" s="11" t="s">
        <v>2042</v>
      </c>
      <c r="B56" s="16">
        <v>258.5</v>
      </c>
      <c r="C56" s="16">
        <v>109</v>
      </c>
      <c r="H56" s="11" t="s">
        <v>2042</v>
      </c>
      <c r="I56" s="7" cm="1">
        <f t="array" ref="I56">MEDIAN(IF(Crowdfunding!$G:$G='statistical analysis'!$I$48,IF(Crowdfunding!$S:$S='statistical analysis'!$H$56,Crowdfunding!$H:$H,"")))</f>
        <v>258.5</v>
      </c>
      <c r="J56" s="7" cm="1">
        <f t="array" ref="J56">IFERROR(MEDIAN(IF(Crowdfunding!$G:$G='statistical analysis'!$J$48,IF(Crowdfunding!$S:$S='statistical analysis'!$H$56,Crowdfunding!$H:$H,""))),0)</f>
        <v>109</v>
      </c>
      <c r="O56" s="25" t="s">
        <v>20</v>
      </c>
      <c r="P56" s="26">
        <v>249</v>
      </c>
      <c r="Q56" s="26"/>
      <c r="R56" s="26" t="s">
        <v>14</v>
      </c>
      <c r="S56" s="27">
        <v>774</v>
      </c>
      <c r="U56" s="50">
        <v>191</v>
      </c>
      <c r="V56" s="33">
        <f>COUNTIF($P$17:$P$581,$U56)</f>
        <v>3</v>
      </c>
      <c r="X56" s="50">
        <v>57</v>
      </c>
      <c r="Y56" s="50">
        <f>COUNTIF($S$1:$S$380,$X56)</f>
        <v>2</v>
      </c>
    </row>
    <row r="57" spans="1:25" x14ac:dyDescent="0.25">
      <c r="A57" s="11" t="s">
        <v>2043</v>
      </c>
      <c r="B57" s="16">
        <v>214</v>
      </c>
      <c r="C57" s="16">
        <v>119</v>
      </c>
      <c r="H57" s="11" t="s">
        <v>2043</v>
      </c>
      <c r="I57" s="7" cm="1">
        <f t="array" ref="I57">MEDIAN(IF(Crowdfunding!$G:$G='statistical analysis'!$I$48,IF(Crowdfunding!$S:$S='statistical analysis'!$H$57,Crowdfunding!$H:$H,"")))</f>
        <v>214</v>
      </c>
      <c r="J57" s="7" cm="1">
        <f t="array" ref="J57">IFERROR(MEDIAN(IF(Crowdfunding!$G:$G='statistical analysis'!$J$48,IF(Crowdfunding!$S:$S='statistical analysis'!$H$57,Crowdfunding!$H:$H,""))),0)</f>
        <v>119</v>
      </c>
      <c r="O57" s="25" t="s">
        <v>20</v>
      </c>
      <c r="P57" s="26">
        <v>236</v>
      </c>
      <c r="Q57" s="26"/>
      <c r="R57" s="26" t="s">
        <v>14</v>
      </c>
      <c r="S57" s="27">
        <v>672</v>
      </c>
      <c r="U57" s="50">
        <v>198</v>
      </c>
      <c r="V57" s="33">
        <f>COUNTIF($P$17:$P$581,$U57)</f>
        <v>3</v>
      </c>
      <c r="X57" s="50">
        <v>62</v>
      </c>
      <c r="Y57" s="50">
        <f>COUNTIF($S$1:$S$380,$X57)</f>
        <v>2</v>
      </c>
    </row>
    <row r="58" spans="1:25" ht="16.5" thickBot="1" x14ac:dyDescent="0.3">
      <c r="A58" s="11" t="s">
        <v>2034</v>
      </c>
      <c r="B58" s="16">
        <v>201</v>
      </c>
      <c r="C58" s="16">
        <v>114.5</v>
      </c>
      <c r="I58" s="18" cm="1">
        <f t="array" ref="I58">MEDIAN(IF(Crowdfunding!$G:$G='statistical analysis'!$I$48,Crowdfunding!$H:$H,""))</f>
        <v>201</v>
      </c>
      <c r="J58" s="37" cm="1">
        <f t="array" ref="J58">IFERROR(MEDIAN(IF(Crowdfunding!$G:$G='statistical analysis'!$J$48,Crowdfunding!$H:$H,"")),0)</f>
        <v>114.5</v>
      </c>
      <c r="O58" s="25" t="s">
        <v>20</v>
      </c>
      <c r="P58" s="26">
        <v>4065</v>
      </c>
      <c r="Q58" s="26"/>
      <c r="R58" s="26" t="s">
        <v>14</v>
      </c>
      <c r="S58" s="27">
        <v>940</v>
      </c>
      <c r="U58" s="50">
        <v>199</v>
      </c>
      <c r="V58" s="33">
        <f>COUNTIF($P$17:$P$581,$U58)</f>
        <v>3</v>
      </c>
      <c r="X58" s="50">
        <v>63</v>
      </c>
      <c r="Y58" s="50">
        <f>COUNTIF($S$1:$S$380,$X58)</f>
        <v>2</v>
      </c>
    </row>
    <row r="59" spans="1:25" x14ac:dyDescent="0.25">
      <c r="O59" s="25" t="s">
        <v>20</v>
      </c>
      <c r="P59" s="26">
        <v>246</v>
      </c>
      <c r="Q59" s="26"/>
      <c r="R59" s="26" t="s">
        <v>14</v>
      </c>
      <c r="S59" s="27">
        <v>117</v>
      </c>
      <c r="U59" s="50">
        <v>32</v>
      </c>
      <c r="V59" s="33">
        <f>COUNTIF($P$17:$P$581,$U59)</f>
        <v>2</v>
      </c>
      <c r="X59" s="50">
        <v>65</v>
      </c>
      <c r="Y59" s="50">
        <f>COUNTIF($S$1:$S$380,$X59)</f>
        <v>2</v>
      </c>
    </row>
    <row r="60" spans="1:25" x14ac:dyDescent="0.25">
      <c r="O60" s="25" t="s">
        <v>20</v>
      </c>
      <c r="P60" s="26">
        <v>2475</v>
      </c>
      <c r="Q60" s="26"/>
      <c r="R60" s="26" t="s">
        <v>14</v>
      </c>
      <c r="S60" s="27">
        <v>115</v>
      </c>
      <c r="U60" s="50">
        <v>41</v>
      </c>
      <c r="V60" s="33">
        <f>COUNTIF($P$17:$P$581,$U60)</f>
        <v>2</v>
      </c>
      <c r="X60" s="50">
        <v>73</v>
      </c>
      <c r="Y60" s="50">
        <f>COUNTIF($S$1:$S$380,$X60)</f>
        <v>2</v>
      </c>
    </row>
    <row r="61" spans="1:25" x14ac:dyDescent="0.25">
      <c r="O61" s="25" t="s">
        <v>20</v>
      </c>
      <c r="P61" s="26">
        <v>76</v>
      </c>
      <c r="Q61" s="26"/>
      <c r="R61" s="26" t="s">
        <v>14</v>
      </c>
      <c r="S61" s="27">
        <v>326</v>
      </c>
      <c r="U61" s="50">
        <v>43</v>
      </c>
      <c r="V61" s="33">
        <f>COUNTIF($P$17:$P$581,$U61)</f>
        <v>2</v>
      </c>
      <c r="X61" s="50">
        <v>78</v>
      </c>
      <c r="Y61" s="50">
        <f>COUNTIF($S$1:$S$380,$X61)</f>
        <v>2</v>
      </c>
    </row>
    <row r="62" spans="1:25" x14ac:dyDescent="0.25">
      <c r="A62" s="4" t="s">
        <v>2113</v>
      </c>
      <c r="O62" s="25" t="s">
        <v>20</v>
      </c>
      <c r="P62" s="26">
        <v>54</v>
      </c>
      <c r="Q62" s="26"/>
      <c r="R62" s="26" t="s">
        <v>14</v>
      </c>
      <c r="S62" s="27">
        <v>1</v>
      </c>
      <c r="U62" s="50">
        <v>53</v>
      </c>
      <c r="V62" s="33">
        <f>COUNTIF($P$17:$P$581,$U62)</f>
        <v>2</v>
      </c>
      <c r="X62" s="50">
        <v>80</v>
      </c>
      <c r="Y62" s="50">
        <f>COUNTIF($S$1:$S$380,$X62)</f>
        <v>2</v>
      </c>
    </row>
    <row r="63" spans="1:25" x14ac:dyDescent="0.25">
      <c r="O63" s="25" t="s">
        <v>20</v>
      </c>
      <c r="P63" s="26">
        <v>88</v>
      </c>
      <c r="Q63" s="26"/>
      <c r="R63" s="26" t="s">
        <v>14</v>
      </c>
      <c r="S63" s="27">
        <v>1467</v>
      </c>
      <c r="U63" s="50">
        <v>65</v>
      </c>
      <c r="V63" s="33">
        <f>COUNTIF($P$17:$P$581,$U63)</f>
        <v>2</v>
      </c>
      <c r="X63" s="50">
        <v>83</v>
      </c>
      <c r="Y63" s="50">
        <f>COUNTIF($S$1:$S$380,$X63)</f>
        <v>2</v>
      </c>
    </row>
    <row r="64" spans="1:25" x14ac:dyDescent="0.25">
      <c r="A64" s="10" t="s">
        <v>6</v>
      </c>
      <c r="B64" t="s">
        <v>2069</v>
      </c>
      <c r="O64" s="25" t="s">
        <v>20</v>
      </c>
      <c r="P64" s="26">
        <v>85</v>
      </c>
      <c r="Q64" s="26"/>
      <c r="R64" s="26" t="s">
        <v>14</v>
      </c>
      <c r="S64" s="27">
        <v>5681</v>
      </c>
      <c r="U64" s="50">
        <v>69</v>
      </c>
      <c r="V64" s="33">
        <f>COUNTIF($P$17:$P$581,$U64)</f>
        <v>2</v>
      </c>
      <c r="X64" s="50">
        <v>94</v>
      </c>
      <c r="Y64" s="50">
        <f>COUNTIF($S$1:$S$380,$X64)</f>
        <v>2</v>
      </c>
    </row>
    <row r="65" spans="1:25" x14ac:dyDescent="0.25">
      <c r="A65" s="10" t="s">
        <v>7</v>
      </c>
      <c r="B65" t="s">
        <v>2069</v>
      </c>
      <c r="O65" s="25" t="s">
        <v>20</v>
      </c>
      <c r="P65" s="26">
        <v>170</v>
      </c>
      <c r="Q65" s="26"/>
      <c r="R65" s="26" t="s">
        <v>14</v>
      </c>
      <c r="S65" s="27">
        <v>1059</v>
      </c>
      <c r="U65" s="50">
        <v>76</v>
      </c>
      <c r="V65" s="33">
        <f>COUNTIF($P$17:$P$581,$U65)</f>
        <v>2</v>
      </c>
      <c r="X65" s="50">
        <v>105</v>
      </c>
      <c r="Y65" s="50">
        <f>COUNTIF($S$1:$S$380,$X65)</f>
        <v>2</v>
      </c>
    </row>
    <row r="66" spans="1:25" x14ac:dyDescent="0.25">
      <c r="O66" s="25" t="s">
        <v>20</v>
      </c>
      <c r="P66" s="26">
        <v>330</v>
      </c>
      <c r="Q66" s="26"/>
      <c r="R66" s="26" t="s">
        <v>14</v>
      </c>
      <c r="S66" s="27">
        <v>1194</v>
      </c>
      <c r="U66" s="50">
        <v>78</v>
      </c>
      <c r="V66" s="33">
        <f>COUNTIF($P$17:$P$581,$U66)</f>
        <v>2</v>
      </c>
      <c r="X66" s="50">
        <v>112</v>
      </c>
      <c r="Y66" s="50">
        <f>COUNTIF($S$1:$S$380,$X66)</f>
        <v>2</v>
      </c>
    </row>
    <row r="67" spans="1:25" x14ac:dyDescent="0.25">
      <c r="A67" s="10" t="s">
        <v>2114</v>
      </c>
      <c r="B67" s="10" t="s">
        <v>2070</v>
      </c>
      <c r="O67" s="25" t="s">
        <v>20</v>
      </c>
      <c r="P67" s="26">
        <v>127</v>
      </c>
      <c r="Q67" s="26"/>
      <c r="R67" s="26" t="s">
        <v>14</v>
      </c>
      <c r="S67" s="27">
        <v>30</v>
      </c>
      <c r="U67" s="50">
        <v>82</v>
      </c>
      <c r="V67" s="33">
        <f>COUNTIF($P$17:$P$581,$U67)</f>
        <v>2</v>
      </c>
      <c r="X67" s="50">
        <v>120</v>
      </c>
      <c r="Y67" s="50">
        <f>COUNTIF($S$1:$S$380,$X67)</f>
        <v>2</v>
      </c>
    </row>
    <row r="68" spans="1:25" x14ac:dyDescent="0.25">
      <c r="A68" s="10" t="s">
        <v>2033</v>
      </c>
      <c r="B68" t="s">
        <v>20</v>
      </c>
      <c r="C68" t="s">
        <v>14</v>
      </c>
      <c r="H68" s="19"/>
      <c r="I68" s="19" t="s">
        <v>20</v>
      </c>
      <c r="J68" s="19" t="s">
        <v>14</v>
      </c>
      <c r="O68" s="25" t="s">
        <v>20</v>
      </c>
      <c r="P68" s="26">
        <v>411</v>
      </c>
      <c r="Q68" s="26"/>
      <c r="R68" s="26" t="s">
        <v>14</v>
      </c>
      <c r="S68" s="27">
        <v>75</v>
      </c>
      <c r="U68" s="50">
        <v>83</v>
      </c>
      <c r="V68" s="33">
        <f>COUNTIF($P$17:$P$581,$U68)</f>
        <v>2</v>
      </c>
      <c r="X68" s="50">
        <v>133</v>
      </c>
      <c r="Y68" s="50">
        <f>COUNTIF($S$1:$S$380,$X68)</f>
        <v>2</v>
      </c>
    </row>
    <row r="69" spans="1:25" x14ac:dyDescent="0.25">
      <c r="A69" s="11" t="s">
        <v>2035</v>
      </c>
      <c r="B69" s="15">
        <v>27</v>
      </c>
      <c r="C69" s="15">
        <v>1</v>
      </c>
      <c r="H69" s="11" t="s">
        <v>2035</v>
      </c>
      <c r="I69" s="7">
        <f>_xlfn.MINIFS(Crowdfunding!$H:$H,Crowdfunding!$G:$G,$I$68,Crowdfunding!S:S,$H69)</f>
        <v>27</v>
      </c>
      <c r="J69" s="7">
        <f>IFERROR(_xlfn.MINIFS(Crowdfunding!$H:$H,Crowdfunding!$G:$G,$J$28,Crowdfunding!S:S,$H29),0)</f>
        <v>1</v>
      </c>
      <c r="O69" s="25" t="s">
        <v>20</v>
      </c>
      <c r="P69" s="26">
        <v>180</v>
      </c>
      <c r="Q69" s="26"/>
      <c r="R69" s="26" t="s">
        <v>14</v>
      </c>
      <c r="S69" s="27">
        <v>955</v>
      </c>
      <c r="U69" s="50">
        <v>84</v>
      </c>
      <c r="V69" s="33">
        <f>COUNTIF($P$17:$P$581,$U69)</f>
        <v>2</v>
      </c>
      <c r="X69" s="50">
        <v>191</v>
      </c>
      <c r="Y69" s="50">
        <f>COUNTIF($S$1:$S$380,$X69)</f>
        <v>2</v>
      </c>
    </row>
    <row r="70" spans="1:25" x14ac:dyDescent="0.25">
      <c r="A70" s="11" t="s">
        <v>2036</v>
      </c>
      <c r="B70" s="15">
        <v>78</v>
      </c>
      <c r="C70" s="15">
        <v>0</v>
      </c>
      <c r="H70" s="11" t="s">
        <v>2036</v>
      </c>
      <c r="I70" s="7">
        <f>_xlfn.MINIFS(Crowdfunding!$H:$H,Crowdfunding!$G:$G,$I$68,Crowdfunding!S:S,$H70)</f>
        <v>78</v>
      </c>
      <c r="J70" s="7">
        <f>IFERROR(_xlfn.MINIFS(Crowdfunding!$H:$H,Crowdfunding!$G:$G,$J$28,Crowdfunding!S:S,$H30),0)</f>
        <v>0</v>
      </c>
      <c r="O70" s="25" t="s">
        <v>20</v>
      </c>
      <c r="P70" s="26">
        <v>374</v>
      </c>
      <c r="Q70" s="26"/>
      <c r="R70" s="26" t="s">
        <v>14</v>
      </c>
      <c r="S70" s="27">
        <v>67</v>
      </c>
      <c r="U70" s="50">
        <v>89</v>
      </c>
      <c r="V70" s="33">
        <f>COUNTIF($P$17:$P$581,$U70)</f>
        <v>2</v>
      </c>
      <c r="X70" s="50">
        <v>210</v>
      </c>
      <c r="Y70" s="50">
        <f>COUNTIF($S$1:$S$380,$X70)</f>
        <v>2</v>
      </c>
    </row>
    <row r="71" spans="1:25" x14ac:dyDescent="0.25">
      <c r="A71" s="11" t="s">
        <v>2037</v>
      </c>
      <c r="B71" s="15">
        <v>41</v>
      </c>
      <c r="C71" s="15">
        <v>9</v>
      </c>
      <c r="H71" s="11" t="s">
        <v>2037</v>
      </c>
      <c r="I71" s="7">
        <f>_xlfn.MINIFS(Crowdfunding!$H:$H,Crowdfunding!$G:$G,$I$68,Crowdfunding!S:S,$H71)</f>
        <v>41</v>
      </c>
      <c r="J71" s="7">
        <f>IFERROR(_xlfn.MINIFS(Crowdfunding!$H:$H,Crowdfunding!$G:$G,$J$28,Crowdfunding!S:S,$H31),0)</f>
        <v>9</v>
      </c>
      <c r="O71" s="25" t="s">
        <v>20</v>
      </c>
      <c r="P71" s="26">
        <v>71</v>
      </c>
      <c r="Q71" s="26"/>
      <c r="R71" s="26" t="s">
        <v>14</v>
      </c>
      <c r="S71" s="27">
        <v>5</v>
      </c>
      <c r="U71" s="50">
        <v>98</v>
      </c>
      <c r="V71" s="33">
        <f>COUNTIF($P$17:$P$581,$U71)</f>
        <v>2</v>
      </c>
      <c r="X71" s="50">
        <v>243</v>
      </c>
      <c r="Y71" s="50">
        <f>COUNTIF($S$1:$S$380,$X71)</f>
        <v>2</v>
      </c>
    </row>
    <row r="72" spans="1:25" x14ac:dyDescent="0.25">
      <c r="A72" s="11" t="s">
        <v>2038</v>
      </c>
      <c r="B72" s="15">
        <v>144</v>
      </c>
      <c r="C72" s="15"/>
      <c r="H72" s="11" t="s">
        <v>2038</v>
      </c>
      <c r="I72" s="7">
        <f>_xlfn.MINIFS(Crowdfunding!$H:$H,Crowdfunding!$G:$G,$I$68,Crowdfunding!S:S,$H72)</f>
        <v>144</v>
      </c>
      <c r="J72" s="7">
        <f>IFERROR(_xlfn.MINIFS(Crowdfunding!$H:$H,Crowdfunding!$G:$G,$J$28,Crowdfunding!S:S,$H32),0)</f>
        <v>0</v>
      </c>
      <c r="O72" s="25" t="s">
        <v>20</v>
      </c>
      <c r="P72" s="26">
        <v>203</v>
      </c>
      <c r="Q72" s="26"/>
      <c r="R72" s="26" t="s">
        <v>14</v>
      </c>
      <c r="S72" s="27">
        <v>26</v>
      </c>
      <c r="U72" s="50">
        <v>100</v>
      </c>
      <c r="V72" s="33">
        <f>COUNTIF($P$17:$P$581,$U72)</f>
        <v>2</v>
      </c>
      <c r="X72" s="50">
        <v>245</v>
      </c>
      <c r="Y72" s="50">
        <f>COUNTIF($S$1:$S$380,$X72)</f>
        <v>2</v>
      </c>
    </row>
    <row r="73" spans="1:25" x14ac:dyDescent="0.25">
      <c r="A73" s="11" t="s">
        <v>2039</v>
      </c>
      <c r="B73" s="15">
        <v>32</v>
      </c>
      <c r="C73" s="15">
        <v>1</v>
      </c>
      <c r="H73" s="11" t="s">
        <v>2039</v>
      </c>
      <c r="I73" s="7">
        <f>_xlfn.MINIFS(Crowdfunding!$H:$H,Crowdfunding!$G:$G,$I$68,Crowdfunding!S:S,$H73)</f>
        <v>32</v>
      </c>
      <c r="J73" s="7">
        <f>IFERROR(_xlfn.MINIFS(Crowdfunding!$H:$H,Crowdfunding!$G:$G,$J$28,Crowdfunding!S:S,$H33),0)</f>
        <v>1</v>
      </c>
      <c r="O73" s="25" t="s">
        <v>20</v>
      </c>
      <c r="P73" s="26">
        <v>113</v>
      </c>
      <c r="Q73" s="26"/>
      <c r="R73" s="26" t="s">
        <v>14</v>
      </c>
      <c r="S73" s="27">
        <v>1130</v>
      </c>
      <c r="U73" s="50">
        <v>101</v>
      </c>
      <c r="V73" s="33">
        <f>COUNTIF($P$17:$P$581,$U73)</f>
        <v>2</v>
      </c>
      <c r="X73" s="50">
        <v>452</v>
      </c>
      <c r="Y73" s="50">
        <f>COUNTIF($S$1:$S$380,$X73)</f>
        <v>2</v>
      </c>
    </row>
    <row r="74" spans="1:25" x14ac:dyDescent="0.25">
      <c r="A74" s="11" t="s">
        <v>2040</v>
      </c>
      <c r="B74" s="15">
        <v>50</v>
      </c>
      <c r="C74" s="15">
        <v>1</v>
      </c>
      <c r="H74" s="11" t="s">
        <v>2040</v>
      </c>
      <c r="I74" s="7">
        <f>_xlfn.MINIFS(Crowdfunding!$H:$H,Crowdfunding!$G:$G,$I$68,Crowdfunding!S:S,$H74)</f>
        <v>50</v>
      </c>
      <c r="J74" s="7">
        <f>IFERROR(_xlfn.MINIFS(Crowdfunding!$H:$H,Crowdfunding!$G:$G,$J$28,Crowdfunding!S:S,$H34),0)</f>
        <v>1</v>
      </c>
      <c r="O74" s="25" t="s">
        <v>20</v>
      </c>
      <c r="P74" s="26">
        <v>96</v>
      </c>
      <c r="Q74" s="26"/>
      <c r="R74" s="26" t="s">
        <v>14</v>
      </c>
      <c r="S74" s="27">
        <v>782</v>
      </c>
      <c r="U74" s="50">
        <v>102</v>
      </c>
      <c r="V74" s="33">
        <f>COUNTIF($P$17:$P$581,$U74)</f>
        <v>2</v>
      </c>
      <c r="X74" s="50">
        <v>558</v>
      </c>
      <c r="Y74" s="50">
        <f>COUNTIF($S$1:$S$380,$X74)</f>
        <v>2</v>
      </c>
    </row>
    <row r="75" spans="1:25" x14ac:dyDescent="0.25">
      <c r="A75" s="11" t="s">
        <v>2041</v>
      </c>
      <c r="B75" s="15">
        <v>50</v>
      </c>
      <c r="C75" s="15">
        <v>1</v>
      </c>
      <c r="H75" s="11" t="s">
        <v>2041</v>
      </c>
      <c r="I75" s="7">
        <f>_xlfn.MINIFS(Crowdfunding!$H:$H,Crowdfunding!$G:$G,$I$68,Crowdfunding!S:S,$H75)</f>
        <v>50</v>
      </c>
      <c r="J75" s="7">
        <f>IFERROR(_xlfn.MINIFS(Crowdfunding!$H:$H,Crowdfunding!$G:$G,$J$28,Crowdfunding!S:S,$H35),0)</f>
        <v>1</v>
      </c>
      <c r="O75" s="25" t="s">
        <v>20</v>
      </c>
      <c r="P75" s="26">
        <v>498</v>
      </c>
      <c r="Q75" s="26"/>
      <c r="R75" s="26" t="s">
        <v>14</v>
      </c>
      <c r="S75" s="27">
        <v>210</v>
      </c>
      <c r="U75" s="50">
        <v>103</v>
      </c>
      <c r="V75" s="33">
        <f>COUNTIF($P$17:$P$581,$U75)</f>
        <v>2</v>
      </c>
      <c r="X75" s="50">
        <v>648</v>
      </c>
      <c r="Y75" s="50">
        <f>COUNTIF($S$1:$S$380,$X75)</f>
        <v>2</v>
      </c>
    </row>
    <row r="76" spans="1:25" x14ac:dyDescent="0.25">
      <c r="A76" s="11" t="s">
        <v>2042</v>
      </c>
      <c r="B76" s="15">
        <v>42</v>
      </c>
      <c r="C76" s="15">
        <v>1</v>
      </c>
      <c r="H76" s="11" t="s">
        <v>2042</v>
      </c>
      <c r="I76" s="7">
        <f>_xlfn.MINIFS(Crowdfunding!$H:$H,Crowdfunding!$G:$G,$I$68,Crowdfunding!S:S,$H76)</f>
        <v>42</v>
      </c>
      <c r="J76" s="7">
        <f>IFERROR(_xlfn.MINIFS(Crowdfunding!$H:$H,Crowdfunding!$G:$G,$J$28,Crowdfunding!S:S,$H36),0)</f>
        <v>1</v>
      </c>
      <c r="O76" s="25" t="s">
        <v>20</v>
      </c>
      <c r="P76" s="26">
        <v>180</v>
      </c>
      <c r="Q76" s="26"/>
      <c r="R76" s="26" t="s">
        <v>14</v>
      </c>
      <c r="S76" s="27">
        <v>136</v>
      </c>
      <c r="U76" s="50">
        <v>106</v>
      </c>
      <c r="V76" s="33">
        <f>COUNTIF($P$17:$P$581,$U76)</f>
        <v>2</v>
      </c>
      <c r="X76" s="50">
        <v>679</v>
      </c>
      <c r="Y76" s="50">
        <f>COUNTIF($S$1:$S$380,$X76)</f>
        <v>2</v>
      </c>
    </row>
    <row r="77" spans="1:25" x14ac:dyDescent="0.25">
      <c r="A77" s="11" t="s">
        <v>2043</v>
      </c>
      <c r="B77" s="15">
        <v>16</v>
      </c>
      <c r="C77" s="15">
        <v>0</v>
      </c>
      <c r="H77" s="11" t="s">
        <v>2043</v>
      </c>
      <c r="I77" s="7">
        <f>_xlfn.MINIFS(Crowdfunding!$H:$H,Crowdfunding!$G:$G,$I$68,Crowdfunding!S:S,$H77)</f>
        <v>16</v>
      </c>
      <c r="J77" s="7">
        <f>IFERROR(_xlfn.MINIFS(Crowdfunding!$H:$H,Crowdfunding!$G:$G,$J$28,Crowdfunding!S:S,$H37),0)</f>
        <v>0</v>
      </c>
      <c r="O77" s="25" t="s">
        <v>20</v>
      </c>
      <c r="P77" s="26">
        <v>27</v>
      </c>
      <c r="Q77" s="26"/>
      <c r="R77" s="26" t="s">
        <v>14</v>
      </c>
      <c r="S77" s="27">
        <v>86</v>
      </c>
      <c r="U77" s="50">
        <v>113</v>
      </c>
      <c r="V77" s="33">
        <f>COUNTIF($P$17:$P$581,$U77)</f>
        <v>2</v>
      </c>
      <c r="X77" s="50">
        <v>750</v>
      </c>
      <c r="Y77" s="50">
        <f>COUNTIF($S$1:$S$380,$X77)</f>
        <v>2</v>
      </c>
    </row>
    <row r="78" spans="1:25" ht="16.5" thickBot="1" x14ac:dyDescent="0.3">
      <c r="A78" s="11" t="s">
        <v>2034</v>
      </c>
      <c r="B78" s="15">
        <v>16</v>
      </c>
      <c r="C78" s="15">
        <v>0</v>
      </c>
      <c r="I78" s="18">
        <f>MIN(I69:I77)</f>
        <v>16</v>
      </c>
      <c r="J78" s="18">
        <f>MIN(J69:J77)</f>
        <v>0</v>
      </c>
      <c r="O78" s="25" t="s">
        <v>20</v>
      </c>
      <c r="P78" s="26">
        <v>2331</v>
      </c>
      <c r="Q78" s="26"/>
      <c r="R78" s="26" t="s">
        <v>14</v>
      </c>
      <c r="S78" s="27">
        <v>19</v>
      </c>
      <c r="U78" s="50">
        <v>116</v>
      </c>
      <c r="V78" s="33">
        <f>COUNTIF($P$17:$P$581,$U78)</f>
        <v>2</v>
      </c>
      <c r="X78" s="50">
        <v>830</v>
      </c>
      <c r="Y78" s="50">
        <f>COUNTIF($S$1:$S$380,$X78)</f>
        <v>2</v>
      </c>
    </row>
    <row r="79" spans="1:25" x14ac:dyDescent="0.25">
      <c r="O79" s="25" t="s">
        <v>20</v>
      </c>
      <c r="P79" s="26">
        <v>113</v>
      </c>
      <c r="Q79" s="26"/>
      <c r="R79" s="26" t="s">
        <v>14</v>
      </c>
      <c r="S79" s="27">
        <v>886</v>
      </c>
      <c r="U79" s="50">
        <v>117</v>
      </c>
      <c r="V79" s="33">
        <f>COUNTIF($P$17:$P$581,$U79)</f>
        <v>2</v>
      </c>
      <c r="X79" s="50">
        <v>1467</v>
      </c>
      <c r="Y79" s="50">
        <f>COUNTIF($S$1:$S$380,$X79)</f>
        <v>2</v>
      </c>
    </row>
    <row r="80" spans="1:25" x14ac:dyDescent="0.25">
      <c r="O80" s="25" t="s">
        <v>20</v>
      </c>
      <c r="P80" s="26">
        <v>164</v>
      </c>
      <c r="Q80" s="26"/>
      <c r="R80" s="26" t="s">
        <v>14</v>
      </c>
      <c r="S80" s="27">
        <v>35</v>
      </c>
      <c r="U80" s="50">
        <v>127</v>
      </c>
      <c r="V80" s="33">
        <f>COUNTIF($P$17:$P$581,$U80)</f>
        <v>2</v>
      </c>
      <c r="X80" s="50">
        <v>6</v>
      </c>
      <c r="Y80" s="50">
        <f>COUNTIF($S$1:$S$380,$X80)</f>
        <v>1</v>
      </c>
    </row>
    <row r="81" spans="1:25" x14ac:dyDescent="0.25">
      <c r="O81" s="25" t="s">
        <v>20</v>
      </c>
      <c r="P81" s="26">
        <v>164</v>
      </c>
      <c r="Q81" s="26"/>
      <c r="R81" s="26" t="s">
        <v>14</v>
      </c>
      <c r="S81" s="27">
        <v>24</v>
      </c>
      <c r="U81" s="50">
        <v>128</v>
      </c>
      <c r="V81" s="33">
        <f>COUNTIF($P$17:$P$581,$U81)</f>
        <v>2</v>
      </c>
      <c r="X81" s="50">
        <v>22</v>
      </c>
      <c r="Y81" s="50">
        <f>COUNTIF($S$1:$S$380,$X81)</f>
        <v>1</v>
      </c>
    </row>
    <row r="82" spans="1:25" x14ac:dyDescent="0.25">
      <c r="A82" s="4" t="s">
        <v>2115</v>
      </c>
      <c r="O82" s="25" t="s">
        <v>20</v>
      </c>
      <c r="P82" s="26">
        <v>336</v>
      </c>
      <c r="Q82" s="26"/>
      <c r="R82" s="26" t="s">
        <v>14</v>
      </c>
      <c r="S82" s="27">
        <v>86</v>
      </c>
      <c r="U82" s="50">
        <v>129</v>
      </c>
      <c r="V82" s="33">
        <f>COUNTIF($P$17:$P$581,$U82)</f>
        <v>2</v>
      </c>
      <c r="X82" s="50">
        <v>23</v>
      </c>
      <c r="Y82" s="50">
        <f>COUNTIF($S$1:$S$380,$X82)</f>
        <v>1</v>
      </c>
    </row>
    <row r="83" spans="1:25" x14ac:dyDescent="0.25">
      <c r="O83" s="25" t="s">
        <v>20</v>
      </c>
      <c r="P83" s="26">
        <v>1917</v>
      </c>
      <c r="Q83" s="26"/>
      <c r="R83" s="26" t="s">
        <v>14</v>
      </c>
      <c r="S83" s="27">
        <v>243</v>
      </c>
      <c r="U83" s="50">
        <v>130</v>
      </c>
      <c r="V83" s="33">
        <f>COUNTIF($P$17:$P$581,$U83)</f>
        <v>2</v>
      </c>
      <c r="X83" s="50">
        <v>29</v>
      </c>
      <c r="Y83" s="50">
        <f>COUNTIF($S$1:$S$380,$X83)</f>
        <v>1</v>
      </c>
    </row>
    <row r="84" spans="1:25" x14ac:dyDescent="0.25">
      <c r="A84" s="10" t="s">
        <v>6</v>
      </c>
      <c r="B84" t="s">
        <v>2069</v>
      </c>
      <c r="O84" s="25" t="s">
        <v>20</v>
      </c>
      <c r="P84" s="26">
        <v>95</v>
      </c>
      <c r="Q84" s="26"/>
      <c r="R84" s="26" t="s">
        <v>14</v>
      </c>
      <c r="S84" s="27">
        <v>65</v>
      </c>
      <c r="U84" s="50">
        <v>137</v>
      </c>
      <c r="V84" s="33">
        <f>COUNTIF($P$17:$P$581,$U84)</f>
        <v>2</v>
      </c>
      <c r="X84" s="50">
        <v>34</v>
      </c>
      <c r="Y84" s="50">
        <f>COUNTIF($S$1:$S$380,$X84)</f>
        <v>1</v>
      </c>
    </row>
    <row r="85" spans="1:25" x14ac:dyDescent="0.25">
      <c r="A85" s="10" t="s">
        <v>7</v>
      </c>
      <c r="B85" t="s">
        <v>2069</v>
      </c>
      <c r="O85" s="25" t="s">
        <v>20</v>
      </c>
      <c r="P85" s="26">
        <v>147</v>
      </c>
      <c r="Q85" s="26"/>
      <c r="R85" s="26" t="s">
        <v>14</v>
      </c>
      <c r="S85" s="27">
        <v>100</v>
      </c>
      <c r="U85" s="50">
        <v>139</v>
      </c>
      <c r="V85" s="33">
        <f>COUNTIF($P$17:$P$581,$U85)</f>
        <v>2</v>
      </c>
      <c r="X85" s="50">
        <v>36</v>
      </c>
      <c r="Y85" s="50">
        <f>COUNTIF($S$1:$S$380,$X85)</f>
        <v>1</v>
      </c>
    </row>
    <row r="86" spans="1:25" x14ac:dyDescent="0.25">
      <c r="O86" s="25" t="s">
        <v>20</v>
      </c>
      <c r="P86" s="26">
        <v>86</v>
      </c>
      <c r="Q86" s="26"/>
      <c r="R86" s="26" t="s">
        <v>14</v>
      </c>
      <c r="S86" s="27">
        <v>168</v>
      </c>
      <c r="U86" s="50">
        <v>148</v>
      </c>
      <c r="V86" s="33">
        <f>COUNTIF($P$17:$P$581,$U86)</f>
        <v>2</v>
      </c>
      <c r="X86" s="50">
        <v>39</v>
      </c>
      <c r="Y86" s="50">
        <f>COUNTIF($S$1:$S$380,$X86)</f>
        <v>1</v>
      </c>
    </row>
    <row r="87" spans="1:25" x14ac:dyDescent="0.25">
      <c r="A87" s="10" t="s">
        <v>2116</v>
      </c>
      <c r="B87" s="10" t="s">
        <v>2070</v>
      </c>
      <c r="O87" s="25" t="s">
        <v>20</v>
      </c>
      <c r="P87" s="26">
        <v>83</v>
      </c>
      <c r="Q87" s="26"/>
      <c r="R87" s="26" t="s">
        <v>14</v>
      </c>
      <c r="S87" s="27">
        <v>13</v>
      </c>
      <c r="U87" s="50">
        <v>149</v>
      </c>
      <c r="V87" s="33">
        <f>COUNTIF($P$17:$P$581,$U87)</f>
        <v>2</v>
      </c>
      <c r="X87" s="50">
        <v>42</v>
      </c>
      <c r="Y87" s="50">
        <f>COUNTIF($S$1:$S$380,$X87)</f>
        <v>1</v>
      </c>
    </row>
    <row r="88" spans="1:25" x14ac:dyDescent="0.25">
      <c r="A88" s="10" t="s">
        <v>2033</v>
      </c>
      <c r="B88" t="s">
        <v>20</v>
      </c>
      <c r="C88" t="s">
        <v>14</v>
      </c>
      <c r="H88" s="19"/>
      <c r="I88" s="19" t="s">
        <v>20</v>
      </c>
      <c r="J88" s="19" t="s">
        <v>14</v>
      </c>
      <c r="O88" s="25" t="s">
        <v>20</v>
      </c>
      <c r="P88" s="26">
        <v>676</v>
      </c>
      <c r="Q88" s="26"/>
      <c r="R88" s="26" t="s">
        <v>14</v>
      </c>
      <c r="S88" s="27">
        <v>1</v>
      </c>
      <c r="U88" s="50">
        <v>150</v>
      </c>
      <c r="V88" s="33">
        <f>COUNTIF($P$17:$P$581,$U88)</f>
        <v>2</v>
      </c>
      <c r="X88" s="50">
        <v>45</v>
      </c>
      <c r="Y88" s="50">
        <f>COUNTIF($S$1:$S$380,$X88)</f>
        <v>1</v>
      </c>
    </row>
    <row r="89" spans="1:25" x14ac:dyDescent="0.25">
      <c r="A89" s="11" t="s">
        <v>2035</v>
      </c>
      <c r="B89" s="15">
        <v>4799</v>
      </c>
      <c r="C89" s="15">
        <v>6080</v>
      </c>
      <c r="H89" s="11" t="s">
        <v>2035</v>
      </c>
      <c r="I89" s="7">
        <f>IFERROR(_xlfn.MAXIFS(Crowdfunding!$H:$H,Crowdfunding!$G:$G,$I$88,Crowdfunding!S:S,$H89),0)</f>
        <v>4799</v>
      </c>
      <c r="J89" s="7">
        <f>IFERROR(_xlfn.MAXIFS(Crowdfunding!$H:$H,Crowdfunding!$G:$G,$J$28,Crowdfunding!S:S,$H29),0)</f>
        <v>6080</v>
      </c>
      <c r="O89" s="25" t="s">
        <v>20</v>
      </c>
      <c r="P89" s="26">
        <v>361</v>
      </c>
      <c r="Q89" s="26"/>
      <c r="R89" s="26" t="s">
        <v>14</v>
      </c>
      <c r="S89" s="27">
        <v>40</v>
      </c>
      <c r="U89" s="50">
        <v>156</v>
      </c>
      <c r="V89" s="33">
        <f>COUNTIF($P$17:$P$581,$U89)</f>
        <v>2</v>
      </c>
      <c r="X89" s="50">
        <v>46</v>
      </c>
      <c r="Y89" s="50">
        <f>COUNTIF($S$1:$S$380,$X89)</f>
        <v>1</v>
      </c>
    </row>
    <row r="90" spans="1:25" x14ac:dyDescent="0.25">
      <c r="A90" s="11" t="s">
        <v>2036</v>
      </c>
      <c r="B90" s="15">
        <v>2443</v>
      </c>
      <c r="C90" s="15">
        <v>5497</v>
      </c>
      <c r="H90" s="11" t="s">
        <v>2036</v>
      </c>
      <c r="I90" s="7">
        <f>IFERROR(_xlfn.MAXIFS(Crowdfunding!$H:$H,Crowdfunding!$G:$G,$I$88,Crowdfunding!S:S,$H90),0)</f>
        <v>2443</v>
      </c>
      <c r="J90" s="7">
        <f>IFERROR(_xlfn.MAXIFS(Crowdfunding!$H:$H,Crowdfunding!$G:$G,$J$28,Crowdfunding!S:S,$H30),0)</f>
        <v>5497</v>
      </c>
      <c r="O90" s="25" t="s">
        <v>20</v>
      </c>
      <c r="P90" s="26">
        <v>131</v>
      </c>
      <c r="Q90" s="26"/>
      <c r="R90" s="26" t="s">
        <v>14</v>
      </c>
      <c r="S90" s="27">
        <v>226</v>
      </c>
      <c r="U90" s="50">
        <v>158</v>
      </c>
      <c r="V90" s="33">
        <f>COUNTIF($P$17:$P$581,$U90)</f>
        <v>2</v>
      </c>
      <c r="X90" s="50">
        <v>47</v>
      </c>
      <c r="Y90" s="50">
        <f>COUNTIF($S$1:$S$380,$X90)</f>
        <v>1</v>
      </c>
    </row>
    <row r="91" spans="1:25" x14ac:dyDescent="0.25">
      <c r="A91" s="11" t="s">
        <v>2037</v>
      </c>
      <c r="B91" s="15">
        <v>3934</v>
      </c>
      <c r="C91" s="15">
        <v>3410</v>
      </c>
      <c r="H91" s="11" t="s">
        <v>2037</v>
      </c>
      <c r="I91" s="7">
        <f>IFERROR(_xlfn.MAXIFS(Crowdfunding!$H:$H,Crowdfunding!$G:$G,$I$88,Crowdfunding!S:S,$H91),0)</f>
        <v>3934</v>
      </c>
      <c r="J91" s="7">
        <f>IFERROR(_xlfn.MAXIFS(Crowdfunding!$H:$H,Crowdfunding!$G:$G,$J$28,Crowdfunding!S:S,$H31),0)</f>
        <v>3410</v>
      </c>
      <c r="O91" s="25" t="s">
        <v>20</v>
      </c>
      <c r="P91" s="26">
        <v>126</v>
      </c>
      <c r="Q91" s="26"/>
      <c r="R91" s="26" t="s">
        <v>14</v>
      </c>
      <c r="S91" s="27">
        <v>1625</v>
      </c>
      <c r="U91" s="50">
        <v>160</v>
      </c>
      <c r="V91" s="33">
        <f>COUNTIF($P$17:$P$581,$U91)</f>
        <v>2</v>
      </c>
      <c r="X91" s="50">
        <v>48</v>
      </c>
      <c r="Y91" s="50">
        <f>COUNTIF($S$1:$S$380,$X91)</f>
        <v>1</v>
      </c>
    </row>
    <row r="92" spans="1:25" x14ac:dyDescent="0.25">
      <c r="A92" s="11" t="s">
        <v>2038</v>
      </c>
      <c r="B92" s="15">
        <v>419</v>
      </c>
      <c r="C92" s="15"/>
      <c r="H92" s="11" t="s">
        <v>2038</v>
      </c>
      <c r="I92" s="7">
        <f>IFERROR(_xlfn.MAXIFS(Crowdfunding!$H:$H,Crowdfunding!$G:$G,$I$88,Crowdfunding!S:S,$H92),0)</f>
        <v>419</v>
      </c>
      <c r="J92" s="7">
        <f>IFERROR(_xlfn.MAXIFS(Crowdfunding!$H:$H,Crowdfunding!$G:$G,$J$28,Crowdfunding!S:S,$H32),0)</f>
        <v>0</v>
      </c>
      <c r="O92" s="25" t="s">
        <v>20</v>
      </c>
      <c r="P92" s="26">
        <v>275</v>
      </c>
      <c r="Q92" s="26"/>
      <c r="R92" s="26" t="s">
        <v>14</v>
      </c>
      <c r="S92" s="27">
        <v>143</v>
      </c>
      <c r="U92" s="50">
        <v>163</v>
      </c>
      <c r="V92" s="33">
        <f>COUNTIF($P$17:$P$581,$U92)</f>
        <v>2</v>
      </c>
      <c r="X92" s="50">
        <v>52</v>
      </c>
      <c r="Y92" s="50">
        <f>COUNTIF($S$1:$S$380,$X92)</f>
        <v>1</v>
      </c>
    </row>
    <row r="93" spans="1:25" x14ac:dyDescent="0.25">
      <c r="A93" s="11" t="s">
        <v>2039</v>
      </c>
      <c r="B93" s="15">
        <v>7295</v>
      </c>
      <c r="C93" s="15">
        <v>4697</v>
      </c>
      <c r="H93" s="11" t="s">
        <v>2039</v>
      </c>
      <c r="I93" s="7">
        <f>IFERROR(_xlfn.MAXIFS(Crowdfunding!$H:$H,Crowdfunding!$G:$G,$I$88,Crowdfunding!S:S,$H93),0)</f>
        <v>7295</v>
      </c>
      <c r="J93" s="7">
        <f>IFERROR(_xlfn.MAXIFS(Crowdfunding!$H:$H,Crowdfunding!$G:$G,$J$28,Crowdfunding!S:S,$H33),0)</f>
        <v>4697</v>
      </c>
      <c r="O93" s="25" t="s">
        <v>20</v>
      </c>
      <c r="P93" s="26">
        <v>67</v>
      </c>
      <c r="Q93" s="26"/>
      <c r="R93" s="26" t="s">
        <v>14</v>
      </c>
      <c r="S93" s="27">
        <v>934</v>
      </c>
      <c r="U93" s="50">
        <v>168</v>
      </c>
      <c r="V93" s="33">
        <f>COUNTIF($P$17:$P$581,$U93)</f>
        <v>2</v>
      </c>
      <c r="X93" s="50">
        <v>53</v>
      </c>
      <c r="Y93" s="50">
        <f>COUNTIF($S$1:$S$380,$X93)</f>
        <v>1</v>
      </c>
    </row>
    <row r="94" spans="1:25" x14ac:dyDescent="0.25">
      <c r="A94" s="11" t="s">
        <v>2040</v>
      </c>
      <c r="B94" s="15">
        <v>4358</v>
      </c>
      <c r="C94" s="15">
        <v>1691</v>
      </c>
      <c r="H94" s="11" t="s">
        <v>2040</v>
      </c>
      <c r="I94" s="7">
        <f>IFERROR(_xlfn.MAXIFS(Crowdfunding!$H:$H,Crowdfunding!$G:$G,$I$88,Crowdfunding!S:S,$H94),0)</f>
        <v>4358</v>
      </c>
      <c r="J94" s="7">
        <f>IFERROR(_xlfn.MAXIFS(Crowdfunding!$H:$H,Crowdfunding!$G:$G,$J$28,Crowdfunding!S:S,$H34),0)</f>
        <v>1691</v>
      </c>
      <c r="O94" s="25" t="s">
        <v>20</v>
      </c>
      <c r="P94" s="26">
        <v>154</v>
      </c>
      <c r="Q94" s="26"/>
      <c r="R94" s="26" t="s">
        <v>14</v>
      </c>
      <c r="S94" s="27">
        <v>17</v>
      </c>
      <c r="U94" s="50">
        <v>174</v>
      </c>
      <c r="V94" s="33">
        <f>COUNTIF($P$17:$P$581,$U94)</f>
        <v>2</v>
      </c>
      <c r="X94" s="50">
        <v>54</v>
      </c>
      <c r="Y94" s="50">
        <f>COUNTIF($S$1:$S$380,$X94)</f>
        <v>1</v>
      </c>
    </row>
    <row r="95" spans="1:25" x14ac:dyDescent="0.25">
      <c r="A95" s="11" t="s">
        <v>2041</v>
      </c>
      <c r="B95" s="15">
        <v>6465</v>
      </c>
      <c r="C95" s="15">
        <v>3387</v>
      </c>
      <c r="H95" s="11" t="s">
        <v>2041</v>
      </c>
      <c r="I95" s="7">
        <f>IFERROR(_xlfn.MAXIFS(Crowdfunding!$H:$H,Crowdfunding!$G:$G,$I$88,Crowdfunding!S:S,$H95),0)</f>
        <v>6465</v>
      </c>
      <c r="J95" s="7">
        <f>IFERROR(_xlfn.MAXIFS(Crowdfunding!$H:$H,Crowdfunding!$G:$G,$J$28,Crowdfunding!S:S,$H35),0)</f>
        <v>3387</v>
      </c>
      <c r="O95" s="25" t="s">
        <v>20</v>
      </c>
      <c r="P95" s="26">
        <v>1782</v>
      </c>
      <c r="Q95" s="26"/>
      <c r="R95" s="26" t="s">
        <v>14</v>
      </c>
      <c r="S95" s="27">
        <v>2179</v>
      </c>
      <c r="U95" s="50">
        <v>181</v>
      </c>
      <c r="V95" s="33">
        <f>COUNTIF($P$17:$P$581,$U95)</f>
        <v>2</v>
      </c>
      <c r="X95" s="50">
        <v>58</v>
      </c>
      <c r="Y95" s="50">
        <f>COUNTIF($S$1:$S$380,$X95)</f>
        <v>1</v>
      </c>
    </row>
    <row r="96" spans="1:25" x14ac:dyDescent="0.25">
      <c r="A96" s="11" t="s">
        <v>2042</v>
      </c>
      <c r="B96" s="15">
        <v>5203</v>
      </c>
      <c r="C96" s="15">
        <v>2779</v>
      </c>
      <c r="H96" s="11" t="s">
        <v>2042</v>
      </c>
      <c r="I96" s="7">
        <f>IFERROR(_xlfn.MAXIFS(Crowdfunding!$H:$H,Crowdfunding!$G:$G,$I$88,Crowdfunding!S:S,$H96),0)</f>
        <v>5203</v>
      </c>
      <c r="J96" s="7">
        <f>IFERROR(_xlfn.MAXIFS(Crowdfunding!$H:$H,Crowdfunding!$G:$G,$J$28,Crowdfunding!S:S,$H36),0)</f>
        <v>2779</v>
      </c>
      <c r="O96" s="25" t="s">
        <v>20</v>
      </c>
      <c r="P96" s="26">
        <v>903</v>
      </c>
      <c r="Q96" s="26"/>
      <c r="R96" s="26" t="s">
        <v>14</v>
      </c>
      <c r="S96" s="27">
        <v>931</v>
      </c>
      <c r="U96" s="50">
        <v>183</v>
      </c>
      <c r="V96" s="33">
        <f>COUNTIF($P$17:$P$581,$U96)</f>
        <v>2</v>
      </c>
      <c r="X96" s="50">
        <v>60</v>
      </c>
      <c r="Y96" s="50">
        <f>COUNTIF($S$1:$S$380,$X96)</f>
        <v>1</v>
      </c>
    </row>
    <row r="97" spans="1:25" x14ac:dyDescent="0.25">
      <c r="A97" s="11" t="s">
        <v>2043</v>
      </c>
      <c r="B97" s="15">
        <v>6406</v>
      </c>
      <c r="C97" s="15">
        <v>5681</v>
      </c>
      <c r="H97" s="11" t="s">
        <v>2043</v>
      </c>
      <c r="I97" s="7">
        <f>IFERROR(_xlfn.MAXIFS(Crowdfunding!$H:$H,Crowdfunding!$G:$G,$I$88,Crowdfunding!S:S,$H97),0)</f>
        <v>6406</v>
      </c>
      <c r="J97" s="7">
        <f>IFERROR(_xlfn.MAXIFS(Crowdfunding!$H:$H,Crowdfunding!$G:$G,$J$28,Crowdfunding!S:S,$H37),0)</f>
        <v>5681</v>
      </c>
      <c r="O97" s="25" t="s">
        <v>20</v>
      </c>
      <c r="P97" s="26">
        <v>94</v>
      </c>
      <c r="Q97" s="26"/>
      <c r="R97" s="26" t="s">
        <v>14</v>
      </c>
      <c r="S97" s="27">
        <v>92</v>
      </c>
      <c r="U97" s="50">
        <v>189</v>
      </c>
      <c r="V97" s="33">
        <f>COUNTIF($P$17:$P$581,$U97)</f>
        <v>2</v>
      </c>
      <c r="X97" s="50">
        <v>70</v>
      </c>
      <c r="Y97" s="50">
        <f>COUNTIF($S$1:$S$380,$X97)</f>
        <v>1</v>
      </c>
    </row>
    <row r="98" spans="1:25" ht="16.5" thickBot="1" x14ac:dyDescent="0.3">
      <c r="A98" s="11" t="s">
        <v>2034</v>
      </c>
      <c r="B98" s="15">
        <v>7295</v>
      </c>
      <c r="C98" s="15">
        <v>6080</v>
      </c>
      <c r="I98" s="18">
        <f>MAX(I89:I97)</f>
        <v>7295</v>
      </c>
      <c r="J98" s="18">
        <f>MAX(J89:J97)</f>
        <v>6080</v>
      </c>
      <c r="O98" s="25" t="s">
        <v>20</v>
      </c>
      <c r="P98" s="26">
        <v>180</v>
      </c>
      <c r="Q98" s="26"/>
      <c r="R98" s="26" t="s">
        <v>14</v>
      </c>
      <c r="S98" s="27">
        <v>57</v>
      </c>
      <c r="U98" s="50">
        <v>190</v>
      </c>
      <c r="V98" s="33">
        <f>COUNTIF($P$17:$P$581,$U98)</f>
        <v>2</v>
      </c>
      <c r="X98" s="50">
        <v>71</v>
      </c>
      <c r="Y98" s="50">
        <f>COUNTIF($S$1:$S$380,$X98)</f>
        <v>1</v>
      </c>
    </row>
    <row r="99" spans="1:25" x14ac:dyDescent="0.25">
      <c r="O99" s="25" t="s">
        <v>20</v>
      </c>
      <c r="P99" s="26">
        <v>533</v>
      </c>
      <c r="Q99" s="26"/>
      <c r="R99" s="26" t="s">
        <v>14</v>
      </c>
      <c r="S99" s="27">
        <v>41</v>
      </c>
      <c r="U99" s="50">
        <v>192</v>
      </c>
      <c r="V99" s="33">
        <f>COUNTIF($P$17:$P$581,$U99)</f>
        <v>2</v>
      </c>
      <c r="X99" s="50">
        <v>76</v>
      </c>
      <c r="Y99" s="50">
        <f>COUNTIF($S$1:$S$380,$X99)</f>
        <v>1</v>
      </c>
    </row>
    <row r="100" spans="1:25" x14ac:dyDescent="0.25">
      <c r="O100" s="25" t="s">
        <v>20</v>
      </c>
      <c r="P100" s="26">
        <v>2443</v>
      </c>
      <c r="Q100" s="26"/>
      <c r="R100" s="26" t="s">
        <v>14</v>
      </c>
      <c r="S100" s="27">
        <v>1</v>
      </c>
      <c r="U100" s="50">
        <v>195</v>
      </c>
      <c r="V100" s="33">
        <f>COUNTIF($P$17:$P$581,$U100)</f>
        <v>2</v>
      </c>
      <c r="X100" s="50">
        <v>79</v>
      </c>
      <c r="Y100" s="50">
        <f>COUNTIF($S$1:$S$380,$X100)</f>
        <v>1</v>
      </c>
    </row>
    <row r="101" spans="1:25" x14ac:dyDescent="0.25">
      <c r="O101" s="25" t="s">
        <v>20</v>
      </c>
      <c r="P101" s="26">
        <v>89</v>
      </c>
      <c r="Q101" s="26"/>
      <c r="R101" s="26" t="s">
        <v>14</v>
      </c>
      <c r="S101" s="27">
        <v>101</v>
      </c>
      <c r="U101" s="50">
        <v>202</v>
      </c>
      <c r="V101" s="33">
        <f>COUNTIF($P$17:$P$581,$U101)</f>
        <v>2</v>
      </c>
      <c r="X101" s="50">
        <v>82</v>
      </c>
      <c r="Y101" s="50">
        <f>COUNTIF($S$1:$S$380,$X101)</f>
        <v>1</v>
      </c>
    </row>
    <row r="102" spans="1:25" x14ac:dyDescent="0.25">
      <c r="A102" s="4" t="s">
        <v>2117</v>
      </c>
      <c r="O102" s="25" t="s">
        <v>20</v>
      </c>
      <c r="P102" s="26">
        <v>159</v>
      </c>
      <c r="Q102" s="26"/>
      <c r="R102" s="26" t="s">
        <v>14</v>
      </c>
      <c r="S102" s="27">
        <v>1335</v>
      </c>
      <c r="U102" s="50">
        <v>203</v>
      </c>
      <c r="V102" s="33">
        <f>COUNTIF($P$17:$P$581,$U102)</f>
        <v>2</v>
      </c>
      <c r="X102" s="50">
        <v>84</v>
      </c>
      <c r="Y102" s="50">
        <f>COUNTIF($S$1:$S$380,$X102)</f>
        <v>1</v>
      </c>
    </row>
    <row r="103" spans="1:25" x14ac:dyDescent="0.25">
      <c r="O103" s="25" t="s">
        <v>20</v>
      </c>
      <c r="P103" s="26">
        <v>50</v>
      </c>
      <c r="Q103" s="26"/>
      <c r="R103" s="26" t="s">
        <v>14</v>
      </c>
      <c r="S103" s="27">
        <v>15</v>
      </c>
      <c r="U103" s="50">
        <v>207</v>
      </c>
      <c r="V103" s="33">
        <f>COUNTIF($P$17:$P$581,$U103)</f>
        <v>2</v>
      </c>
      <c r="X103" s="50">
        <v>87</v>
      </c>
      <c r="Y103" s="50">
        <f>COUNTIF($S$1:$S$380,$X103)</f>
        <v>1</v>
      </c>
    </row>
    <row r="104" spans="1:25" x14ac:dyDescent="0.25">
      <c r="A104" s="10" t="s">
        <v>6</v>
      </c>
      <c r="B104" t="s">
        <v>2069</v>
      </c>
      <c r="O104" s="25" t="s">
        <v>20</v>
      </c>
      <c r="P104" s="26">
        <v>186</v>
      </c>
      <c r="Q104" s="26"/>
      <c r="R104" s="26" t="s">
        <v>14</v>
      </c>
      <c r="S104" s="27">
        <v>454</v>
      </c>
      <c r="U104" s="50">
        <v>211</v>
      </c>
      <c r="V104" s="33">
        <f>COUNTIF($P$17:$P$581,$U104)</f>
        <v>2</v>
      </c>
      <c r="X104" s="50">
        <v>88</v>
      </c>
      <c r="Y104" s="50">
        <f>COUNTIF($S$1:$S$380,$X104)</f>
        <v>1</v>
      </c>
    </row>
    <row r="105" spans="1:25" x14ac:dyDescent="0.25">
      <c r="A105" s="10" t="s">
        <v>7</v>
      </c>
      <c r="B105" t="s">
        <v>2069</v>
      </c>
      <c r="O105" s="25" t="s">
        <v>20</v>
      </c>
      <c r="P105" s="26">
        <v>1071</v>
      </c>
      <c r="Q105" s="26"/>
      <c r="R105" s="26" t="s">
        <v>14</v>
      </c>
      <c r="S105" s="27">
        <v>3182</v>
      </c>
      <c r="U105" s="50">
        <v>218</v>
      </c>
      <c r="V105" s="33">
        <f>COUNTIF($P$17:$P$581,$U105)</f>
        <v>2</v>
      </c>
      <c r="X105" s="50">
        <v>91</v>
      </c>
      <c r="Y105" s="50">
        <f>COUNTIF($S$1:$S$380,$X105)</f>
        <v>1</v>
      </c>
    </row>
    <row r="106" spans="1:25" x14ac:dyDescent="0.25">
      <c r="O106" s="25" t="s">
        <v>20</v>
      </c>
      <c r="P106" s="26">
        <v>117</v>
      </c>
      <c r="Q106" s="26"/>
      <c r="R106" s="26" t="s">
        <v>14</v>
      </c>
      <c r="S106" s="27">
        <v>15</v>
      </c>
      <c r="U106" s="50">
        <v>220</v>
      </c>
      <c r="V106" s="33">
        <f>COUNTIF($P$17:$P$581,$U106)</f>
        <v>2</v>
      </c>
      <c r="X106" s="50">
        <v>100</v>
      </c>
      <c r="Y106" s="50">
        <f>COUNTIF($S$1:$S$380,$X106)</f>
        <v>1</v>
      </c>
    </row>
    <row r="107" spans="1:25" x14ac:dyDescent="0.25">
      <c r="A107" s="10" t="s">
        <v>2122</v>
      </c>
      <c r="B107" s="10" t="s">
        <v>2070</v>
      </c>
      <c r="O107" s="25" t="s">
        <v>20</v>
      </c>
      <c r="P107" s="26">
        <v>70</v>
      </c>
      <c r="Q107" s="26"/>
      <c r="R107" s="26" t="s">
        <v>14</v>
      </c>
      <c r="S107" s="27">
        <v>133</v>
      </c>
      <c r="U107" s="50">
        <v>221</v>
      </c>
      <c r="V107" s="33">
        <f>COUNTIF($P$17:$P$581,$U107)</f>
        <v>2</v>
      </c>
      <c r="X107" s="50">
        <v>101</v>
      </c>
      <c r="Y107" s="50">
        <f>COUNTIF($S$1:$S$380,$X107)</f>
        <v>1</v>
      </c>
    </row>
    <row r="108" spans="1:25" x14ac:dyDescent="0.25">
      <c r="A108" s="10" t="s">
        <v>2033</v>
      </c>
      <c r="B108" t="s">
        <v>20</v>
      </c>
      <c r="C108" t="s">
        <v>14</v>
      </c>
      <c r="H108" s="19"/>
      <c r="I108" s="19" t="s">
        <v>20</v>
      </c>
      <c r="J108" s="19" t="s">
        <v>14</v>
      </c>
      <c r="O108" s="25" t="s">
        <v>20</v>
      </c>
      <c r="P108" s="26">
        <v>135</v>
      </c>
      <c r="Q108" s="26"/>
      <c r="R108" s="26" t="s">
        <v>14</v>
      </c>
      <c r="S108" s="27">
        <v>2062</v>
      </c>
      <c r="U108" s="50">
        <v>222</v>
      </c>
      <c r="V108" s="33">
        <f>COUNTIF($P$17:$P$581,$U108)</f>
        <v>2</v>
      </c>
      <c r="X108" s="50">
        <v>102</v>
      </c>
      <c r="Y108" s="50">
        <f>COUNTIF($S$1:$S$380,$X108)</f>
        <v>1</v>
      </c>
    </row>
    <row r="109" spans="1:25" x14ac:dyDescent="0.25">
      <c r="A109" s="11" t="s">
        <v>2035</v>
      </c>
      <c r="B109" s="15">
        <v>980895.01816609001</v>
      </c>
      <c r="C109" s="15">
        <v>1176885.4222222222</v>
      </c>
      <c r="H109" s="11" t="s">
        <v>2035</v>
      </c>
      <c r="I109" s="7" cm="1">
        <f t="array" ref="I109">IFERROR(_xlfn.VAR.P(IF(Crowdfunding!$G:$G='statistical analysis'!$I$108,IF(Crowdfunding!$S:$S='statistical analysis'!$H$109,Crowdfunding!$H:$H,""))),0)</f>
        <v>980895.01816609001</v>
      </c>
      <c r="J109" s="7" cm="1">
        <f t="array" ref="J109">IFERROR(_xlfn.VAR.P(IF(Crowdfunding!$G:$G='statistical analysis'!$J$108,IF(Crowdfunding!$S:$S='statistical analysis'!$H$109,Crowdfunding!$H:$H,""))),0)</f>
        <v>1176885.4222222222</v>
      </c>
      <c r="O109" s="25" t="s">
        <v>20</v>
      </c>
      <c r="P109" s="26">
        <v>768</v>
      </c>
      <c r="Q109" s="26"/>
      <c r="R109" s="26" t="s">
        <v>14</v>
      </c>
      <c r="S109" s="27">
        <v>29</v>
      </c>
      <c r="U109" s="50">
        <v>226</v>
      </c>
      <c r="V109" s="33">
        <f>COUNTIF($P$17:$P$581,$U109)</f>
        <v>2</v>
      </c>
      <c r="X109" s="50">
        <v>104</v>
      </c>
      <c r="Y109" s="50">
        <f>COUNTIF($S$1:$S$380,$X109)</f>
        <v>1</v>
      </c>
    </row>
    <row r="110" spans="1:25" x14ac:dyDescent="0.25">
      <c r="A110" s="11" t="s">
        <v>2036</v>
      </c>
      <c r="B110" s="15">
        <v>588206.3161157025</v>
      </c>
      <c r="C110" s="15">
        <v>1956239.6274999999</v>
      </c>
      <c r="H110" s="11" t="s">
        <v>2036</v>
      </c>
      <c r="I110" s="7" cm="1">
        <f t="array" ref="I110">IFERROR(_xlfn.VAR.P(IF(Crowdfunding!$G:$G='statistical analysis'!$I$108,IF(Crowdfunding!$S:$S='statistical analysis'!$H$110,Crowdfunding!$H:$H,""))),0)</f>
        <v>588206.3161157025</v>
      </c>
      <c r="J110" s="7" cm="1">
        <f t="array" ref="J110">IFERROR(_xlfn.VAR.P(IF(Crowdfunding!$G:$G='statistical analysis'!$J$108,IF(Crowdfunding!$S:$S='statistical analysis'!$H$110,Crowdfunding!$H:$H,""))),0)</f>
        <v>1956239.6274999999</v>
      </c>
      <c r="O110" s="25" t="s">
        <v>20</v>
      </c>
      <c r="P110" s="26">
        <v>199</v>
      </c>
      <c r="Q110" s="26"/>
      <c r="R110" s="26" t="s">
        <v>14</v>
      </c>
      <c r="S110" s="27">
        <v>132</v>
      </c>
      <c r="U110" s="50">
        <v>236</v>
      </c>
      <c r="V110" s="33">
        <f>COUNTIF($P$17:$P$581,$U110)</f>
        <v>2</v>
      </c>
      <c r="X110" s="50">
        <v>106</v>
      </c>
      <c r="Y110" s="50">
        <f>COUNTIF($S$1:$S$380,$X110)</f>
        <v>1</v>
      </c>
    </row>
    <row r="111" spans="1:25" x14ac:dyDescent="0.25">
      <c r="A111" s="11" t="s">
        <v>2037</v>
      </c>
      <c r="B111" s="15">
        <v>937771.9501133787</v>
      </c>
      <c r="C111" s="15">
        <v>998526.6843100189</v>
      </c>
      <c r="H111" s="11" t="s">
        <v>2037</v>
      </c>
      <c r="I111" s="7" cm="1">
        <f t="array" ref="I111">IFERROR(_xlfn.VAR.P(IF(Crowdfunding!$G:$G='statistical analysis'!$I$108,IF(Crowdfunding!$S:$S='statistical analysis'!$H$111,Crowdfunding!$H:$H,""))),0)</f>
        <v>937771.9501133787</v>
      </c>
      <c r="J111" s="7" cm="1">
        <f t="array" ref="J111">IFERROR(_xlfn.VAR.P(IF(Crowdfunding!$G:$G='statistical analysis'!$J$108,IF(Crowdfunding!$S:$S='statistical analysis'!$H$111,Crowdfunding!$H:$H,""))),0)</f>
        <v>998526.6843100189</v>
      </c>
      <c r="O111" s="25" t="s">
        <v>20</v>
      </c>
      <c r="P111" s="26">
        <v>107</v>
      </c>
      <c r="Q111" s="26"/>
      <c r="R111" s="26" t="s">
        <v>14</v>
      </c>
      <c r="S111" s="27">
        <v>137</v>
      </c>
      <c r="U111" s="50">
        <v>238</v>
      </c>
      <c r="V111" s="33">
        <f>COUNTIF($P$17:$P$581,$U111)</f>
        <v>2</v>
      </c>
      <c r="X111" s="50">
        <v>107</v>
      </c>
      <c r="Y111" s="50">
        <f>COUNTIF($S$1:$S$380,$X111)</f>
        <v>1</v>
      </c>
    </row>
    <row r="112" spans="1:25" x14ac:dyDescent="0.25">
      <c r="A112" s="11" t="s">
        <v>2038</v>
      </c>
      <c r="B112" s="15">
        <v>9862.25</v>
      </c>
      <c r="C112" s="15"/>
      <c r="H112" s="11" t="s">
        <v>2038</v>
      </c>
      <c r="I112" s="7" cm="1">
        <f t="array" ref="I112">IFERROR(_xlfn.VAR.P(IF(Crowdfunding!$G:$G='statistical analysis'!$I$108,IF(Crowdfunding!$S:$S='statistical analysis'!$H$112,Crowdfunding!$H:$H,""))),0)</f>
        <v>9862.25</v>
      </c>
      <c r="J112" s="7" cm="1">
        <f t="array" ref="J112">IFERROR(_xlfn.VAR.P(IF(Crowdfunding!$G:$G='statistical analysis'!$J$108,IF(Crowdfunding!$S:$S='statistical analysis'!$H$112,Crowdfunding!$H:$H,""))),0)</f>
        <v>0</v>
      </c>
      <c r="O112" s="25" t="s">
        <v>20</v>
      </c>
      <c r="P112" s="26">
        <v>195</v>
      </c>
      <c r="Q112" s="26"/>
      <c r="R112" s="26" t="s">
        <v>14</v>
      </c>
      <c r="S112" s="27">
        <v>908</v>
      </c>
      <c r="U112" s="50">
        <v>244</v>
      </c>
      <c r="V112" s="33">
        <f>COUNTIF($P$17:$P$581,$U112)</f>
        <v>2</v>
      </c>
      <c r="X112" s="50">
        <v>108</v>
      </c>
      <c r="Y112" s="50">
        <f>COUNTIF($S$1:$S$380,$X112)</f>
        <v>1</v>
      </c>
    </row>
    <row r="113" spans="1:25" x14ac:dyDescent="0.25">
      <c r="A113" s="11" t="s">
        <v>2039</v>
      </c>
      <c r="B113" s="15">
        <v>2022210.9917355373</v>
      </c>
      <c r="C113" s="15">
        <v>852875.13062442606</v>
      </c>
      <c r="H113" s="11" t="s">
        <v>2039</v>
      </c>
      <c r="I113" s="7" cm="1">
        <f t="array" ref="I113">IFERROR(_xlfn.VAR.P(IF(Crowdfunding!$G:$G='statistical analysis'!$I$108,IF(Crowdfunding!$S:$S='statistical analysis'!$H$113,Crowdfunding!$H:$H,""))),0)</f>
        <v>2022210.9917355373</v>
      </c>
      <c r="J113" s="7" cm="1">
        <f t="array" ref="J113">IFERROR(_xlfn.VAR.P(IF(Crowdfunding!$G:$G='statistical analysis'!$J$108,IF(Crowdfunding!$S:$S='statistical analysis'!$H$113,Crowdfunding!$H:$H,""))),0)</f>
        <v>852875.13062442606</v>
      </c>
      <c r="O113" s="25" t="s">
        <v>20</v>
      </c>
      <c r="P113" s="26">
        <v>3376</v>
      </c>
      <c r="Q113" s="26"/>
      <c r="R113" s="26" t="s">
        <v>14</v>
      </c>
      <c r="S113" s="27">
        <v>10</v>
      </c>
      <c r="U113" s="50">
        <v>246</v>
      </c>
      <c r="V113" s="33">
        <f>COUNTIF($P$17:$P$581,$U113)</f>
        <v>2</v>
      </c>
      <c r="X113" s="50">
        <v>111</v>
      </c>
      <c r="Y113" s="50">
        <f>COUNTIF($S$1:$S$380,$X113)</f>
        <v>1</v>
      </c>
    </row>
    <row r="114" spans="1:25" x14ac:dyDescent="0.25">
      <c r="A114" s="11" t="s">
        <v>2040</v>
      </c>
      <c r="B114" s="15">
        <v>1363736.3609467456</v>
      </c>
      <c r="C114" s="15">
        <v>221317.68595041323</v>
      </c>
      <c r="H114" s="11" t="s">
        <v>2040</v>
      </c>
      <c r="I114" s="7" cm="1">
        <f t="array" ref="I114">IFERROR(_xlfn.VAR.P(IF(Crowdfunding!$G:$G='statistical analysis'!$I$108,IF(Crowdfunding!$S:$S='statistical analysis'!$H$114,Crowdfunding!$H:$H,""))),0)</f>
        <v>1363736.3609467456</v>
      </c>
      <c r="J114" s="7" cm="1">
        <f t="array" ref="J114">IFERROR(_xlfn.VAR.P(IF(Crowdfunding!$G:$G='statistical analysis'!$J$108,IF(Crowdfunding!$S:$S='statistical analysis'!$H$114,Crowdfunding!$H:$H,""))),0)</f>
        <v>221317.68595041323</v>
      </c>
      <c r="O114" s="25" t="s">
        <v>20</v>
      </c>
      <c r="P114" s="26">
        <v>41</v>
      </c>
      <c r="Q114" s="26"/>
      <c r="R114" s="26" t="s">
        <v>14</v>
      </c>
      <c r="S114" s="27">
        <v>1910</v>
      </c>
      <c r="U114" s="50">
        <v>247</v>
      </c>
      <c r="V114" s="33">
        <f>COUNTIF($P$17:$P$581,$U114)</f>
        <v>2</v>
      </c>
      <c r="X114" s="50">
        <v>113</v>
      </c>
      <c r="Y114" s="50">
        <f>COUNTIF($S$1:$S$380,$X114)</f>
        <v>1</v>
      </c>
    </row>
    <row r="115" spans="1:25" x14ac:dyDescent="0.25">
      <c r="A115" s="11" t="s">
        <v>2041</v>
      </c>
      <c r="B115" s="15">
        <v>2187698.7000000002</v>
      </c>
      <c r="C115" s="15">
        <v>938423.5399305555</v>
      </c>
      <c r="H115" s="11" t="s">
        <v>2041</v>
      </c>
      <c r="I115" s="7" cm="1">
        <f t="array" ref="I115">IFERROR(_xlfn.VAR.P(IF(Crowdfunding!$G:$G='statistical analysis'!$I$108,IF(Crowdfunding!$S:$S='statistical analysis'!$H$115,Crowdfunding!$H:$H,""))),0)</f>
        <v>2187698.7000000002</v>
      </c>
      <c r="J115" s="7" cm="1">
        <f t="array" ref="J115">IFERROR(_xlfn.VAR.P(IF(Crowdfunding!$G:$G='statistical analysis'!$J$108,IF(Crowdfunding!$S:$S='statistical analysis'!$H$115,Crowdfunding!$H:$H,""))),0)</f>
        <v>938423.5399305555</v>
      </c>
      <c r="O115" s="25" t="s">
        <v>20</v>
      </c>
      <c r="P115" s="26">
        <v>1821</v>
      </c>
      <c r="Q115" s="26"/>
      <c r="R115" s="26" t="s">
        <v>14</v>
      </c>
      <c r="S115" s="27">
        <v>38</v>
      </c>
      <c r="U115" s="50">
        <v>249</v>
      </c>
      <c r="V115" s="33">
        <f>COUNTIF($P$17:$P$581,$U115)</f>
        <v>2</v>
      </c>
      <c r="X115" s="50">
        <v>114</v>
      </c>
      <c r="Y115" s="50">
        <f>COUNTIF($S$1:$S$380,$X115)</f>
        <v>1</v>
      </c>
    </row>
    <row r="116" spans="1:25" x14ac:dyDescent="0.25">
      <c r="A116" s="11" t="s">
        <v>2042</v>
      </c>
      <c r="B116" s="15">
        <v>1404971.4548339844</v>
      </c>
      <c r="C116" s="15">
        <v>440093.91836734692</v>
      </c>
      <c r="H116" s="11" t="s">
        <v>2042</v>
      </c>
      <c r="I116" s="7" cm="1">
        <f t="array" ref="I116">IFERROR(_xlfn.VAR.P(IF(Crowdfunding!$G:$G='statistical analysis'!$I$108,IF(Crowdfunding!$S:$S='statistical analysis'!$H$116,Crowdfunding!$H:$H,""))),0)</f>
        <v>1404971.4548339844</v>
      </c>
      <c r="J116" s="7" cm="1">
        <f t="array" ref="J116">IFERROR(_xlfn.VAR.P(IF(Crowdfunding!$G:$G='statistical analysis'!$J$108,IF(Crowdfunding!$S:$S='statistical analysis'!$H$116,Crowdfunding!$H:$H,""))),0)</f>
        <v>440093.91836734692</v>
      </c>
      <c r="O116" s="25" t="s">
        <v>20</v>
      </c>
      <c r="P116" s="26">
        <v>164</v>
      </c>
      <c r="Q116" s="26"/>
      <c r="R116" s="26" t="s">
        <v>14</v>
      </c>
      <c r="S116" s="27">
        <v>104</v>
      </c>
      <c r="U116" s="50">
        <v>261</v>
      </c>
      <c r="V116" s="33">
        <f>COUNTIF($P$17:$P$581,$U116)</f>
        <v>2</v>
      </c>
      <c r="X116" s="50">
        <v>115</v>
      </c>
      <c r="Y116" s="50">
        <f>COUNTIF($S$1:$S$380,$X116)</f>
        <v>1</v>
      </c>
    </row>
    <row r="117" spans="1:25" x14ac:dyDescent="0.25">
      <c r="A117" s="11" t="s">
        <v>2043</v>
      </c>
      <c r="B117" s="15">
        <v>1866726.2248277045</v>
      </c>
      <c r="C117" s="15">
        <v>788626.81559917354</v>
      </c>
      <c r="H117" s="11" t="s">
        <v>2043</v>
      </c>
      <c r="I117" s="7" cm="1">
        <f t="array" ref="I117">IFERROR(_xlfn.VAR.P(IF(Crowdfunding!$G:$G='statistical analysis'!$I$108,IF(Crowdfunding!$S:$S='statistical analysis'!$H$117,Crowdfunding!$H:$H,""))),0)</f>
        <v>1866726.2248277045</v>
      </c>
      <c r="J117" s="7" cm="1">
        <f t="array" ref="J117">IFERROR(_xlfn.VAR.P(IF(Crowdfunding!$G:$G='statistical analysis'!$J$108,IF(Crowdfunding!$S:$S='statistical analysis'!$H$117,Crowdfunding!$H:$H,""))),0)</f>
        <v>788626.81559917354</v>
      </c>
      <c r="O117" s="25" t="s">
        <v>20</v>
      </c>
      <c r="P117" s="26">
        <v>157</v>
      </c>
      <c r="Q117" s="26"/>
      <c r="R117" s="26" t="s">
        <v>14</v>
      </c>
      <c r="S117" s="27">
        <v>49</v>
      </c>
      <c r="U117" s="50">
        <v>300</v>
      </c>
      <c r="V117" s="33">
        <f>COUNTIF($P$17:$P$581,$U117)</f>
        <v>2</v>
      </c>
      <c r="X117" s="50">
        <v>117</v>
      </c>
      <c r="Y117" s="50">
        <f>COUNTIF($S$1:$S$380,$X117)</f>
        <v>1</v>
      </c>
    </row>
    <row r="118" spans="1:25" ht="16.5" thickBot="1" x14ac:dyDescent="0.3">
      <c r="A118" s="11" t="s">
        <v>2034</v>
      </c>
      <c r="B118" s="15">
        <v>1603373.7324019109</v>
      </c>
      <c r="C118" s="15">
        <v>921574.68174133555</v>
      </c>
      <c r="I118" s="18" cm="1">
        <f t="array" ref="I118">_xlfn.VAR.P(IF(Crowdfunding!$G:$G='statistical analysis'!$I$108,Crowdfunding!$H:$H,""))</f>
        <v>1603373.7324019109</v>
      </c>
      <c r="J118" s="18" cm="1">
        <f t="array" ref="J118">_xlfn.VAR.P(IF(Crowdfunding!$G:$G='statistical analysis'!$J$108,Crowdfunding!$H:$H,""))</f>
        <v>921574.68174133555</v>
      </c>
      <c r="O118" s="25" t="s">
        <v>20</v>
      </c>
      <c r="P118" s="26">
        <v>246</v>
      </c>
      <c r="Q118" s="26"/>
      <c r="R118" s="26" t="s">
        <v>14</v>
      </c>
      <c r="S118" s="27">
        <v>1</v>
      </c>
      <c r="U118" s="50">
        <v>307</v>
      </c>
      <c r="V118" s="33">
        <f>COUNTIF($P$17:$P$581,$U118)</f>
        <v>2</v>
      </c>
      <c r="X118" s="50">
        <v>118</v>
      </c>
      <c r="Y118" s="50">
        <f>COUNTIF($S$1:$S$380,$X118)</f>
        <v>1</v>
      </c>
    </row>
    <row r="119" spans="1:25" x14ac:dyDescent="0.25">
      <c r="O119" s="25" t="s">
        <v>20</v>
      </c>
      <c r="P119" s="26">
        <v>1396</v>
      </c>
      <c r="Q119" s="26"/>
      <c r="R119" s="26" t="s">
        <v>14</v>
      </c>
      <c r="S119" s="27">
        <v>245</v>
      </c>
      <c r="U119" s="50">
        <v>381</v>
      </c>
      <c r="V119" s="33">
        <f>COUNTIF($P$17:$P$581,$U119)</f>
        <v>2</v>
      </c>
      <c r="X119" s="50">
        <v>121</v>
      </c>
      <c r="Y119" s="50">
        <f>COUNTIF($S$1:$S$380,$X119)</f>
        <v>1</v>
      </c>
    </row>
    <row r="120" spans="1:25" x14ac:dyDescent="0.25">
      <c r="O120" s="25" t="s">
        <v>20</v>
      </c>
      <c r="P120" s="26">
        <v>2506</v>
      </c>
      <c r="Q120" s="26"/>
      <c r="R120" s="26" t="s">
        <v>14</v>
      </c>
      <c r="S120" s="27">
        <v>32</v>
      </c>
      <c r="U120" s="50">
        <v>1071</v>
      </c>
      <c r="V120" s="33">
        <f>COUNTIF($P$17:$P$581,$U120)</f>
        <v>2</v>
      </c>
      <c r="X120" s="50">
        <v>127</v>
      </c>
      <c r="Y120" s="50">
        <f>COUNTIF($S$1:$S$380,$X120)</f>
        <v>1</v>
      </c>
    </row>
    <row r="121" spans="1:25" x14ac:dyDescent="0.25">
      <c r="A121" s="4" t="s">
        <v>2119</v>
      </c>
      <c r="O121" s="25" t="s">
        <v>20</v>
      </c>
      <c r="P121" s="26">
        <v>244</v>
      </c>
      <c r="Q121" s="26"/>
      <c r="R121" s="26" t="s">
        <v>14</v>
      </c>
      <c r="S121" s="27">
        <v>7</v>
      </c>
      <c r="U121" s="50">
        <v>1396</v>
      </c>
      <c r="V121" s="33">
        <f>COUNTIF($P$17:$P$581,$U121)</f>
        <v>2</v>
      </c>
      <c r="X121" s="50">
        <v>128</v>
      </c>
      <c r="Y121" s="50">
        <f>COUNTIF($S$1:$S$380,$X121)</f>
        <v>1</v>
      </c>
    </row>
    <row r="122" spans="1:25" x14ac:dyDescent="0.25">
      <c r="O122" s="25" t="s">
        <v>20</v>
      </c>
      <c r="P122" s="26">
        <v>146</v>
      </c>
      <c r="Q122" s="26"/>
      <c r="R122" s="26" t="s">
        <v>14</v>
      </c>
      <c r="S122" s="27">
        <v>803</v>
      </c>
      <c r="U122" s="50">
        <v>2443</v>
      </c>
      <c r="V122" s="33">
        <f>COUNTIF($P$17:$P$581,$U122)</f>
        <v>2</v>
      </c>
      <c r="X122" s="50">
        <v>130</v>
      </c>
      <c r="Y122" s="50">
        <f>COUNTIF($S$1:$S$380,$X122)</f>
        <v>1</v>
      </c>
    </row>
    <row r="123" spans="1:25" x14ac:dyDescent="0.25">
      <c r="A123" s="10" t="s">
        <v>6</v>
      </c>
      <c r="B123" t="s">
        <v>2069</v>
      </c>
      <c r="O123" s="25" t="s">
        <v>20</v>
      </c>
      <c r="P123" s="26">
        <v>1267</v>
      </c>
      <c r="Q123" s="26"/>
      <c r="R123" s="26" t="s">
        <v>14</v>
      </c>
      <c r="S123" s="27">
        <v>16</v>
      </c>
      <c r="U123" s="50">
        <v>16</v>
      </c>
      <c r="V123" s="33">
        <f>COUNTIF($P$17:$P$581,$U123)</f>
        <v>1</v>
      </c>
      <c r="X123" s="50">
        <v>131</v>
      </c>
      <c r="Y123" s="50">
        <f>COUNTIF($S$1:$S$380,$X123)</f>
        <v>1</v>
      </c>
    </row>
    <row r="124" spans="1:25" x14ac:dyDescent="0.25">
      <c r="A124" s="10" t="s">
        <v>7</v>
      </c>
      <c r="B124" t="s">
        <v>2069</v>
      </c>
      <c r="O124" s="25" t="s">
        <v>20</v>
      </c>
      <c r="P124" s="26">
        <v>1561</v>
      </c>
      <c r="Q124" s="26"/>
      <c r="R124" s="26" t="s">
        <v>14</v>
      </c>
      <c r="S124" s="27">
        <v>31</v>
      </c>
      <c r="U124" s="50">
        <v>26</v>
      </c>
      <c r="V124" s="33">
        <f>COUNTIF($P$17:$P$581,$U124)</f>
        <v>1</v>
      </c>
      <c r="X124" s="50">
        <v>132</v>
      </c>
      <c r="Y124" s="50">
        <f>COUNTIF($S$1:$S$380,$X124)</f>
        <v>1</v>
      </c>
    </row>
    <row r="125" spans="1:25" x14ac:dyDescent="0.25">
      <c r="O125" s="25" t="s">
        <v>20</v>
      </c>
      <c r="P125" s="26">
        <v>48</v>
      </c>
      <c r="Q125" s="26"/>
      <c r="R125" s="26" t="s">
        <v>14</v>
      </c>
      <c r="S125" s="27">
        <v>108</v>
      </c>
      <c r="U125" s="50">
        <v>27</v>
      </c>
      <c r="V125" s="33">
        <f>COUNTIF($P$17:$P$581,$U125)</f>
        <v>1</v>
      </c>
      <c r="X125" s="50">
        <v>136</v>
      </c>
      <c r="Y125" s="50">
        <f>COUNTIF($S$1:$S$380,$X125)</f>
        <v>1</v>
      </c>
    </row>
    <row r="126" spans="1:25" x14ac:dyDescent="0.25">
      <c r="A126" s="10" t="s">
        <v>2118</v>
      </c>
      <c r="B126" s="10" t="s">
        <v>2070</v>
      </c>
      <c r="O126" s="25" t="s">
        <v>20</v>
      </c>
      <c r="P126" s="26">
        <v>2739</v>
      </c>
      <c r="Q126" s="26"/>
      <c r="R126" s="26" t="s">
        <v>14</v>
      </c>
      <c r="S126" s="27">
        <v>30</v>
      </c>
      <c r="U126" s="50">
        <v>34</v>
      </c>
      <c r="V126" s="33">
        <f>COUNTIF($P$17:$P$581,$U126)</f>
        <v>1</v>
      </c>
      <c r="X126" s="50">
        <v>137</v>
      </c>
      <c r="Y126" s="50">
        <f>COUNTIF($S$1:$S$380,$X126)</f>
        <v>1</v>
      </c>
    </row>
    <row r="127" spans="1:25" x14ac:dyDescent="0.25">
      <c r="A127" s="10" t="s">
        <v>2033</v>
      </c>
      <c r="B127" t="s">
        <v>20</v>
      </c>
      <c r="C127" t="s">
        <v>14</v>
      </c>
      <c r="H127" s="19"/>
      <c r="I127" s="19" t="s">
        <v>20</v>
      </c>
      <c r="J127" s="19" t="s">
        <v>14</v>
      </c>
      <c r="O127" s="25" t="s">
        <v>20</v>
      </c>
      <c r="P127" s="26">
        <v>3537</v>
      </c>
      <c r="Q127" s="26"/>
      <c r="R127" s="26" t="s">
        <v>14</v>
      </c>
      <c r="S127" s="27">
        <v>17</v>
      </c>
      <c r="U127" s="50">
        <v>40</v>
      </c>
      <c r="V127" s="33">
        <f>COUNTIF($P$17:$P$581,$U127)</f>
        <v>1</v>
      </c>
      <c r="X127" s="50">
        <v>141</v>
      </c>
      <c r="Y127" s="50">
        <f>COUNTIF($S$1:$S$380,$X127)</f>
        <v>1</v>
      </c>
    </row>
    <row r="128" spans="1:25" x14ac:dyDescent="0.25">
      <c r="A128" s="11" t="s">
        <v>2035</v>
      </c>
      <c r="B128" s="15">
        <v>990.401442934172</v>
      </c>
      <c r="C128" s="15">
        <v>1084.8435012582331</v>
      </c>
      <c r="H128" s="11" t="s">
        <v>2035</v>
      </c>
      <c r="I128" s="7" cm="1">
        <f t="array" ref="I128">IFERROR(_xlfn.STDEV.P(IF(Crowdfunding!$G:$G='statistical analysis'!$I$127,IF(Crowdfunding!$S:$S='statistical analysis'!$H$128,Crowdfunding!$H:$H,""))),0)</f>
        <v>990.401442934172</v>
      </c>
      <c r="J128" s="7" cm="1">
        <f t="array" ref="J128">IFERROR(_xlfn.STDEV.P(IF(Crowdfunding!$G:$G='statistical analysis'!$J$127,IF(Crowdfunding!$S:$S='statistical analysis'!$H$128,Crowdfunding!$H:$H,""))),0)</f>
        <v>1084.8435012582331</v>
      </c>
      <c r="O128" s="25" t="s">
        <v>20</v>
      </c>
      <c r="P128" s="26">
        <v>2107</v>
      </c>
      <c r="Q128" s="26"/>
      <c r="R128" s="26" t="s">
        <v>14</v>
      </c>
      <c r="S128" s="27">
        <v>80</v>
      </c>
      <c r="U128" s="50">
        <v>42</v>
      </c>
      <c r="V128" s="33">
        <f>COUNTIF($P$17:$P$581,$U128)</f>
        <v>1</v>
      </c>
      <c r="X128" s="50">
        <v>143</v>
      </c>
      <c r="Y128" s="50">
        <f>COUNTIF($S$1:$S$380,$X128)</f>
        <v>1</v>
      </c>
    </row>
    <row r="129" spans="1:25" x14ac:dyDescent="0.25">
      <c r="A129" s="11" t="s">
        <v>2036</v>
      </c>
      <c r="B129" s="15">
        <v>766.94609726870794</v>
      </c>
      <c r="C129" s="15">
        <v>1398.6563650518308</v>
      </c>
      <c r="H129" s="11" t="s">
        <v>2036</v>
      </c>
      <c r="I129" s="7" cm="1">
        <f t="array" ref="I129">IFERROR(_xlfn.STDEV.P(IF(Crowdfunding!$G:$G='statistical analysis'!$I$127,IF(Crowdfunding!$S:$S='statistical analysis'!$H$129,Crowdfunding!$H:$H,""))),0)</f>
        <v>766.94609726870794</v>
      </c>
      <c r="J129" s="7" cm="1">
        <f t="array" ref="J129">IFERROR(_xlfn.STDEV.P(IF(Crowdfunding!$G:$G='statistical analysis'!$J$127,IF(Crowdfunding!$S:$S='statistical analysis'!$H$129,Crowdfunding!$H:$H,""))),0)</f>
        <v>1398.6563650518308</v>
      </c>
      <c r="O129" s="25" t="s">
        <v>20</v>
      </c>
      <c r="P129" s="26">
        <v>3318</v>
      </c>
      <c r="Q129" s="26"/>
      <c r="R129" s="26" t="s">
        <v>14</v>
      </c>
      <c r="S129" s="27">
        <v>2468</v>
      </c>
      <c r="U129" s="50">
        <v>52</v>
      </c>
      <c r="V129" s="33">
        <f>COUNTIF($P$17:$P$581,$U129)</f>
        <v>1</v>
      </c>
      <c r="X129" s="50">
        <v>147</v>
      </c>
      <c r="Y129" s="50">
        <f>COUNTIF($S$1:$S$380,$X129)</f>
        <v>1</v>
      </c>
    </row>
    <row r="130" spans="1:25" x14ac:dyDescent="0.25">
      <c r="A130" s="11" t="s">
        <v>2037</v>
      </c>
      <c r="B130" s="15">
        <v>968.38626080370364</v>
      </c>
      <c r="C130" s="15">
        <v>999.2630706225558</v>
      </c>
      <c r="H130" s="11" t="s">
        <v>2037</v>
      </c>
      <c r="I130" s="7" cm="1">
        <f t="array" ref="I130">IFERROR(_xlfn.STDEV.P(IF(Crowdfunding!$G:$G='statistical analysis'!$I$127,IF(Crowdfunding!$S:$S='statistical analysis'!$H$130,Crowdfunding!$H:$H,""))),0)</f>
        <v>968.38626080370364</v>
      </c>
      <c r="J130" s="7" cm="1">
        <f t="array" ref="J130">IFERROR(_xlfn.STDEV.P(IF(Crowdfunding!$G:$G='statistical analysis'!$J$127,IF(Crowdfunding!$S:$S='statistical analysis'!$H$130,Crowdfunding!$H:$H,""))),0)</f>
        <v>999.2630706225558</v>
      </c>
      <c r="O130" s="25" t="s">
        <v>20</v>
      </c>
      <c r="P130" s="26">
        <v>340</v>
      </c>
      <c r="Q130" s="26"/>
      <c r="R130" s="26" t="s">
        <v>14</v>
      </c>
      <c r="S130" s="27">
        <v>26</v>
      </c>
      <c r="U130" s="50">
        <v>54</v>
      </c>
      <c r="V130" s="33">
        <f>COUNTIF($P$17:$P$581,$U130)</f>
        <v>1</v>
      </c>
      <c r="X130" s="50">
        <v>151</v>
      </c>
      <c r="Y130" s="50">
        <f>COUNTIF($S$1:$S$380,$X130)</f>
        <v>1</v>
      </c>
    </row>
    <row r="131" spans="1:25" x14ac:dyDescent="0.25">
      <c r="A131" s="11" t="s">
        <v>2038</v>
      </c>
      <c r="B131" s="15">
        <v>99.308861638828589</v>
      </c>
      <c r="C131" s="15"/>
      <c r="H131" s="11" t="s">
        <v>2038</v>
      </c>
      <c r="I131" s="7" cm="1">
        <f t="array" ref="I131">IFERROR(_xlfn.STDEV.P(IF(Crowdfunding!$G:$G='statistical analysis'!$I$127,IF(Crowdfunding!$S:$S='statistical analysis'!$H$131,Crowdfunding!$H:$H,""))),0)</f>
        <v>99.308861638828589</v>
      </c>
      <c r="J131" s="7" cm="1">
        <f t="array" ref="J131">IFERROR(_xlfn.STDEV.P(IF(Crowdfunding!$G:$G='statistical analysis'!$J$127,IF(Crowdfunding!$S:$S='statistical analysis'!$H$131,Crowdfunding!$H:$H,""))),0)</f>
        <v>0</v>
      </c>
      <c r="O131" s="25" t="s">
        <v>20</v>
      </c>
      <c r="P131" s="26">
        <v>1442</v>
      </c>
      <c r="Q131" s="26"/>
      <c r="R131" s="26" t="s">
        <v>14</v>
      </c>
      <c r="S131" s="27">
        <v>73</v>
      </c>
      <c r="U131" s="50">
        <v>55</v>
      </c>
      <c r="V131" s="33">
        <f>COUNTIF($P$17:$P$581,$U131)</f>
        <v>1</v>
      </c>
      <c r="X131" s="50">
        <v>154</v>
      </c>
      <c r="Y131" s="50">
        <f>COUNTIF($S$1:$S$380,$X131)</f>
        <v>1</v>
      </c>
    </row>
    <row r="132" spans="1:25" x14ac:dyDescent="0.25">
      <c r="A132" s="11" t="s">
        <v>2039</v>
      </c>
      <c r="B132" s="15">
        <v>1422.0446518079302</v>
      </c>
      <c r="C132" s="15">
        <v>923.51238791064736</v>
      </c>
      <c r="H132" s="11" t="s">
        <v>2039</v>
      </c>
      <c r="I132" s="7" cm="1">
        <f t="array" ref="I132">IFERROR(_xlfn.STDEV.P(IF(Crowdfunding!$G:$G='statistical analysis'!$I$127,IF(Crowdfunding!$S:$S='statistical analysis'!$H$132,Crowdfunding!$H:$H,""))),0)</f>
        <v>1422.0446518079302</v>
      </c>
      <c r="J132" s="7" cm="1">
        <f t="array" ref="J132">IFERROR(_xlfn.STDEV.P(IF(Crowdfunding!$G:$G='statistical analysis'!$J$127,IF(Crowdfunding!$S:$S='statistical analysis'!$H$132,Crowdfunding!$H:$H,""))),0)</f>
        <v>923.51238791064736</v>
      </c>
      <c r="O132" s="25" t="s">
        <v>20</v>
      </c>
      <c r="P132" s="26">
        <v>126</v>
      </c>
      <c r="Q132" s="26"/>
      <c r="R132" s="26" t="s">
        <v>14</v>
      </c>
      <c r="S132" s="27">
        <v>128</v>
      </c>
      <c r="U132" s="50">
        <v>56</v>
      </c>
      <c r="V132" s="33">
        <f>COUNTIF($P$17:$P$581,$U132)</f>
        <v>1</v>
      </c>
      <c r="X132" s="50">
        <v>156</v>
      </c>
      <c r="Y132" s="50">
        <f>COUNTIF($S$1:$S$380,$X132)</f>
        <v>1</v>
      </c>
    </row>
    <row r="133" spans="1:25" x14ac:dyDescent="0.25">
      <c r="A133" s="11" t="s">
        <v>2040</v>
      </c>
      <c r="B133" s="15">
        <v>1167.7912317476723</v>
      </c>
      <c r="C133" s="15">
        <v>470.44413690725622</v>
      </c>
      <c r="H133" s="11" t="s">
        <v>2040</v>
      </c>
      <c r="I133" s="7" cm="1">
        <f t="array" ref="I133">IFERROR(_xlfn.STDEV.P(IF(Crowdfunding!$G:$G='statistical analysis'!$I$127,IF(Crowdfunding!$S:$S='statistical analysis'!$H$133,Crowdfunding!$H:$H,""))),0)</f>
        <v>1167.7912317476723</v>
      </c>
      <c r="J133" s="7" cm="1">
        <f t="array" ref="J133">IFERROR(_xlfn.STDEV.P(IF(Crowdfunding!$G:$G='statistical analysis'!$J$127,IF(Crowdfunding!$S:$S='statistical analysis'!$H$133,Crowdfunding!$H:$H,""))),0)</f>
        <v>470.44413690725622</v>
      </c>
      <c r="O133" s="25" t="s">
        <v>20</v>
      </c>
      <c r="P133" s="26">
        <v>524</v>
      </c>
      <c r="Q133" s="26"/>
      <c r="R133" s="26" t="s">
        <v>14</v>
      </c>
      <c r="S133" s="27">
        <v>33</v>
      </c>
      <c r="U133" s="50">
        <v>59</v>
      </c>
      <c r="V133" s="33">
        <f>COUNTIF($P$17:$P$581,$U133)</f>
        <v>1</v>
      </c>
      <c r="X133" s="50">
        <v>157</v>
      </c>
      <c r="Y133" s="50">
        <f>COUNTIF($S$1:$S$380,$X133)</f>
        <v>1</v>
      </c>
    </row>
    <row r="134" spans="1:25" x14ac:dyDescent="0.25">
      <c r="A134" s="11" t="s">
        <v>2041</v>
      </c>
      <c r="B134" s="15">
        <v>1479.0871171097394</v>
      </c>
      <c r="C134" s="15">
        <v>968.72263312599216</v>
      </c>
      <c r="H134" s="11" t="s">
        <v>2041</v>
      </c>
      <c r="I134" s="7" cm="1">
        <f t="array" ref="I134">IFERROR(_xlfn.STDEV.P(IF(Crowdfunding!$G:$G='statistical analysis'!$I$127,IF(Crowdfunding!$S:$S='statistical analysis'!$H$134,Crowdfunding!$H:$H,""))),0)</f>
        <v>1479.0871171097394</v>
      </c>
      <c r="J134" s="7" cm="1">
        <f t="array" ref="J134">IFERROR(_xlfn.STDEV.P(IF(Crowdfunding!$G:$G='statistical analysis'!$J$127,IF(Crowdfunding!$S:$S='statistical analysis'!$H$134,Crowdfunding!$H:$H,""))),0)</f>
        <v>968.72263312599216</v>
      </c>
      <c r="O134" s="25" t="s">
        <v>20</v>
      </c>
      <c r="P134" s="26">
        <v>1989</v>
      </c>
      <c r="Q134" s="26"/>
      <c r="R134" s="26" t="s">
        <v>14</v>
      </c>
      <c r="S134" s="27">
        <v>1072</v>
      </c>
      <c r="U134" s="50">
        <v>62</v>
      </c>
      <c r="V134" s="33">
        <f>COUNTIF($P$17:$P$581,$U134)</f>
        <v>1</v>
      </c>
      <c r="X134" s="50">
        <v>162</v>
      </c>
      <c r="Y134" s="50">
        <f>COUNTIF($S$1:$S$380,$X134)</f>
        <v>1</v>
      </c>
    </row>
    <row r="135" spans="1:25" x14ac:dyDescent="0.25">
      <c r="A135" s="11" t="s">
        <v>2042</v>
      </c>
      <c r="B135" s="15">
        <v>1185.314918000269</v>
      </c>
      <c r="C135" s="15">
        <v>663.39574792679139</v>
      </c>
      <c r="H135" s="11" t="s">
        <v>2042</v>
      </c>
      <c r="I135" s="7" cm="1">
        <f t="array" ref="I135">IFERROR(_xlfn.STDEV.P(IF(Crowdfunding!$G:$G='statistical analysis'!$I$127,IF(Crowdfunding!$S:$S='statistical analysis'!$H$135,Crowdfunding!$H:$H,""))),0)</f>
        <v>1185.314918000269</v>
      </c>
      <c r="J135" s="7" cm="1">
        <f t="array" ref="J135">IFERROR(_xlfn.STDEV.P(IF(Crowdfunding!$G:$G='statistical analysis'!$J$127,IF(Crowdfunding!$S:$S='statistical analysis'!$H$135,Crowdfunding!$H:$H,""))),0)</f>
        <v>663.39574792679139</v>
      </c>
      <c r="O135" s="25" t="s">
        <v>20</v>
      </c>
      <c r="P135" s="26">
        <v>157</v>
      </c>
      <c r="Q135" s="26"/>
      <c r="R135" s="26" t="s">
        <v>14</v>
      </c>
      <c r="S135" s="27">
        <v>393</v>
      </c>
      <c r="U135" s="50">
        <v>64</v>
      </c>
      <c r="V135" s="33">
        <f>COUNTIF($P$17:$P$581,$U135)</f>
        <v>1</v>
      </c>
      <c r="X135" s="50">
        <v>168</v>
      </c>
      <c r="Y135" s="50">
        <f>COUNTIF($S$1:$S$380,$X135)</f>
        <v>1</v>
      </c>
    </row>
    <row r="136" spans="1:25" x14ac:dyDescent="0.25">
      <c r="A136" s="11" t="s">
        <v>2043</v>
      </c>
      <c r="B136" s="15">
        <v>1366.2818980092302</v>
      </c>
      <c r="C136" s="15">
        <v>888.046629180683</v>
      </c>
      <c r="H136" s="11" t="s">
        <v>2043</v>
      </c>
      <c r="I136" s="7" cm="1">
        <f t="array" ref="I136">IFERROR(_xlfn.STDEV.P(IF(Crowdfunding!$G:$G='statistical analysis'!$I$127,IF(Crowdfunding!$S:$S='statistical analysis'!$H$136,Crowdfunding!$H:$H,""))),0)</f>
        <v>1366.2818980092302</v>
      </c>
      <c r="J136" s="7" cm="1">
        <f t="array" ref="J136">IFERROR(_xlfn.STDEV.P(IF(Crowdfunding!$G:$G='statistical analysis'!$J$127,IF(Crowdfunding!$S:$S='statistical analysis'!$H$136,Crowdfunding!$H:$H,""))),0)</f>
        <v>888.046629180683</v>
      </c>
      <c r="O136" s="25" t="s">
        <v>20</v>
      </c>
      <c r="P136" s="26">
        <v>4498</v>
      </c>
      <c r="Q136" s="26"/>
      <c r="R136" s="26" t="s">
        <v>14</v>
      </c>
      <c r="S136" s="27">
        <v>1257</v>
      </c>
      <c r="U136" s="50">
        <v>67</v>
      </c>
      <c r="V136" s="33">
        <f>COUNTIF($P$17:$P$581,$U136)</f>
        <v>1</v>
      </c>
      <c r="X136" s="50">
        <v>180</v>
      </c>
      <c r="Y136" s="50">
        <f>COUNTIF($S$1:$S$380,$X136)</f>
        <v>1</v>
      </c>
    </row>
    <row r="137" spans="1:25" ht="16.5" thickBot="1" x14ac:dyDescent="0.3">
      <c r="A137" s="11" t="s">
        <v>2034</v>
      </c>
      <c r="B137" s="15">
        <v>1266.2439466397898</v>
      </c>
      <c r="C137" s="15">
        <v>959.98681331637863</v>
      </c>
      <c r="I137" s="18" cm="1">
        <f t="array" ref="I137">_xlfn.STDEV.P(IF(Crowdfunding!$G:$G='statistical analysis'!$I$127,Crowdfunding!$H:$H,""))</f>
        <v>1266.2439466397898</v>
      </c>
      <c r="J137" s="18" cm="1">
        <f t="array" ref="J137">_xlfn.STDEV.P(IF(Crowdfunding!$G:$G='statistical analysis'!$J$127,Crowdfunding!$H:$H,""))</f>
        <v>959.98681331637863</v>
      </c>
      <c r="O137" s="25" t="s">
        <v>20</v>
      </c>
      <c r="P137" s="26">
        <v>80</v>
      </c>
      <c r="Q137" s="26"/>
      <c r="R137" s="26" t="s">
        <v>14</v>
      </c>
      <c r="S137" s="27">
        <v>328</v>
      </c>
      <c r="U137" s="50">
        <v>68</v>
      </c>
      <c r="V137" s="33">
        <f>COUNTIF($P$17:$P$581,$U137)</f>
        <v>1</v>
      </c>
      <c r="X137" s="50">
        <v>181</v>
      </c>
      <c r="Y137" s="50">
        <f>COUNTIF($S$1:$S$380,$X137)</f>
        <v>1</v>
      </c>
    </row>
    <row r="138" spans="1:25" x14ac:dyDescent="0.25">
      <c r="O138" s="25" t="s">
        <v>20</v>
      </c>
      <c r="P138" s="26">
        <v>43</v>
      </c>
      <c r="Q138" s="26"/>
      <c r="R138" s="26" t="s">
        <v>14</v>
      </c>
      <c r="S138" s="27">
        <v>147</v>
      </c>
      <c r="U138" s="50">
        <v>70</v>
      </c>
      <c r="V138" s="33">
        <f>COUNTIF($P$17:$P$581,$U138)</f>
        <v>1</v>
      </c>
      <c r="X138" s="50">
        <v>183</v>
      </c>
      <c r="Y138" s="50">
        <f>COUNTIF($S$1:$S$380,$X138)</f>
        <v>1</v>
      </c>
    </row>
    <row r="139" spans="1:25" x14ac:dyDescent="0.25">
      <c r="O139" s="25" t="s">
        <v>20</v>
      </c>
      <c r="P139" s="26">
        <v>2053</v>
      </c>
      <c r="Q139" s="26"/>
      <c r="R139" s="26" t="s">
        <v>14</v>
      </c>
      <c r="S139" s="27">
        <v>830</v>
      </c>
      <c r="U139" s="50">
        <v>71</v>
      </c>
      <c r="V139" s="33">
        <f>COUNTIF($P$17:$P$581,$U139)</f>
        <v>1</v>
      </c>
      <c r="X139" s="50">
        <v>186</v>
      </c>
      <c r="Y139" s="50">
        <f>COUNTIF($S$1:$S$380,$X139)</f>
        <v>1</v>
      </c>
    </row>
    <row r="140" spans="1:25" x14ac:dyDescent="0.25">
      <c r="O140" s="25" t="s">
        <v>20</v>
      </c>
      <c r="P140" s="26">
        <v>168</v>
      </c>
      <c r="Q140" s="26"/>
      <c r="R140" s="26" t="s">
        <v>14</v>
      </c>
      <c r="S140" s="27">
        <v>331</v>
      </c>
      <c r="U140" s="50">
        <v>72</v>
      </c>
      <c r="V140" s="33">
        <f>COUNTIF($P$17:$P$581,$U140)</f>
        <v>1</v>
      </c>
      <c r="X140" s="50">
        <v>200</v>
      </c>
      <c r="Y140" s="50">
        <f>COUNTIF($S$1:$S$380,$X140)</f>
        <v>1</v>
      </c>
    </row>
    <row r="141" spans="1:25" x14ac:dyDescent="0.25">
      <c r="O141" s="25" t="s">
        <v>20</v>
      </c>
      <c r="P141" s="26">
        <v>4289</v>
      </c>
      <c r="Q141" s="26"/>
      <c r="R141" s="26" t="s">
        <v>14</v>
      </c>
      <c r="S141" s="27">
        <v>25</v>
      </c>
      <c r="U141" s="50">
        <v>81</v>
      </c>
      <c r="V141" s="33">
        <f>COUNTIF($P$17:$P$581,$U141)</f>
        <v>1</v>
      </c>
      <c r="X141" s="50">
        <v>225</v>
      </c>
      <c r="Y141" s="50">
        <f>COUNTIF($S$1:$S$380,$X141)</f>
        <v>1</v>
      </c>
    </row>
    <row r="142" spans="1:25" x14ac:dyDescent="0.25">
      <c r="O142" s="25" t="s">
        <v>20</v>
      </c>
      <c r="P142" s="26">
        <v>165</v>
      </c>
      <c r="Q142" s="26"/>
      <c r="R142" s="26" t="s">
        <v>14</v>
      </c>
      <c r="S142" s="27">
        <v>3483</v>
      </c>
      <c r="U142" s="50">
        <v>91</v>
      </c>
      <c r="V142" s="33">
        <f>COUNTIF($P$17:$P$581,$U142)</f>
        <v>1</v>
      </c>
      <c r="X142" s="50">
        <v>226</v>
      </c>
      <c r="Y142" s="50">
        <f>COUNTIF($S$1:$S$380,$X142)</f>
        <v>1</v>
      </c>
    </row>
    <row r="143" spans="1:25" x14ac:dyDescent="0.25">
      <c r="O143" s="25" t="s">
        <v>20</v>
      </c>
      <c r="P143" s="26">
        <v>1815</v>
      </c>
      <c r="Q143" s="26"/>
      <c r="R143" s="26" t="s">
        <v>14</v>
      </c>
      <c r="S143" s="27">
        <v>923</v>
      </c>
      <c r="U143" s="50">
        <v>93</v>
      </c>
      <c r="V143" s="33">
        <f>COUNTIF($P$17:$P$581,$U143)</f>
        <v>1</v>
      </c>
      <c r="X143" s="50">
        <v>248</v>
      </c>
      <c r="Y143" s="50">
        <f>COUNTIF($S$1:$S$380,$X143)</f>
        <v>1</v>
      </c>
    </row>
    <row r="144" spans="1:25" x14ac:dyDescent="0.25">
      <c r="O144" s="25" t="s">
        <v>20</v>
      </c>
      <c r="P144" s="26">
        <v>397</v>
      </c>
      <c r="Q144" s="26"/>
      <c r="R144" s="26" t="s">
        <v>14</v>
      </c>
      <c r="S144" s="27">
        <v>1</v>
      </c>
      <c r="U144" s="50">
        <v>95</v>
      </c>
      <c r="V144" s="33">
        <f>COUNTIF($P$17:$P$581,$U144)</f>
        <v>1</v>
      </c>
      <c r="X144" s="50">
        <v>252</v>
      </c>
      <c r="Y144" s="50">
        <f>COUNTIF($S$1:$S$380,$X144)</f>
        <v>1</v>
      </c>
    </row>
    <row r="145" spans="15:25" x14ac:dyDescent="0.25">
      <c r="O145" s="25" t="s">
        <v>20</v>
      </c>
      <c r="P145" s="26">
        <v>1539</v>
      </c>
      <c r="Q145" s="26"/>
      <c r="R145" s="26" t="s">
        <v>14</v>
      </c>
      <c r="S145" s="27">
        <v>33</v>
      </c>
      <c r="U145" s="50">
        <v>97</v>
      </c>
      <c r="V145" s="33">
        <f>COUNTIF($P$17:$P$581,$U145)</f>
        <v>1</v>
      </c>
      <c r="X145" s="50">
        <v>253</v>
      </c>
      <c r="Y145" s="50">
        <f>COUNTIF($S$1:$S$380,$X145)</f>
        <v>1</v>
      </c>
    </row>
    <row r="146" spans="15:25" x14ac:dyDescent="0.25">
      <c r="O146" s="25" t="s">
        <v>20</v>
      </c>
      <c r="P146" s="26">
        <v>138</v>
      </c>
      <c r="Q146" s="26"/>
      <c r="R146" s="26" t="s">
        <v>14</v>
      </c>
      <c r="S146" s="27">
        <v>40</v>
      </c>
      <c r="U146" s="50">
        <v>105</v>
      </c>
      <c r="V146" s="33">
        <f>COUNTIF($P$17:$P$581,$U146)</f>
        <v>1</v>
      </c>
      <c r="X146" s="50">
        <v>257</v>
      </c>
      <c r="Y146" s="50">
        <f>COUNTIF($S$1:$S$380,$X146)</f>
        <v>1</v>
      </c>
    </row>
    <row r="147" spans="15:25" x14ac:dyDescent="0.25">
      <c r="O147" s="25" t="s">
        <v>20</v>
      </c>
      <c r="P147" s="26">
        <v>3594</v>
      </c>
      <c r="Q147" s="26"/>
      <c r="R147" s="26" t="s">
        <v>14</v>
      </c>
      <c r="S147" s="27">
        <v>23</v>
      </c>
      <c r="U147" s="50">
        <v>111</v>
      </c>
      <c r="V147" s="33">
        <f>COUNTIF($P$17:$P$581,$U147)</f>
        <v>1</v>
      </c>
      <c r="X147" s="50">
        <v>263</v>
      </c>
      <c r="Y147" s="50">
        <f>COUNTIF($S$1:$S$380,$X147)</f>
        <v>1</v>
      </c>
    </row>
    <row r="148" spans="15:25" x14ac:dyDescent="0.25">
      <c r="O148" s="25" t="s">
        <v>20</v>
      </c>
      <c r="P148" s="26">
        <v>5880</v>
      </c>
      <c r="Q148" s="26"/>
      <c r="R148" s="26" t="s">
        <v>14</v>
      </c>
      <c r="S148" s="27">
        <v>75</v>
      </c>
      <c r="U148" s="50">
        <v>115</v>
      </c>
      <c r="V148" s="33">
        <f>COUNTIF($P$17:$P$581,$U148)</f>
        <v>1</v>
      </c>
      <c r="X148" s="50">
        <v>296</v>
      </c>
      <c r="Y148" s="50">
        <f>COUNTIF($S$1:$S$380,$X148)</f>
        <v>1</v>
      </c>
    </row>
    <row r="149" spans="15:25" x14ac:dyDescent="0.25">
      <c r="O149" s="25" t="s">
        <v>20</v>
      </c>
      <c r="P149" s="26">
        <v>112</v>
      </c>
      <c r="Q149" s="26"/>
      <c r="R149" s="26" t="s">
        <v>14</v>
      </c>
      <c r="S149" s="27">
        <v>2176</v>
      </c>
      <c r="U149" s="50">
        <v>119</v>
      </c>
      <c r="V149" s="33">
        <f>COUNTIF($P$17:$P$581,$U149)</f>
        <v>1</v>
      </c>
      <c r="X149" s="50">
        <v>326</v>
      </c>
      <c r="Y149" s="50">
        <f>COUNTIF($S$1:$S$380,$X149)</f>
        <v>1</v>
      </c>
    </row>
    <row r="150" spans="15:25" x14ac:dyDescent="0.25">
      <c r="O150" s="25" t="s">
        <v>20</v>
      </c>
      <c r="P150" s="26">
        <v>943</v>
      </c>
      <c r="Q150" s="26"/>
      <c r="R150" s="26" t="s">
        <v>14</v>
      </c>
      <c r="S150" s="27">
        <v>441</v>
      </c>
      <c r="U150" s="50">
        <v>125</v>
      </c>
      <c r="V150" s="33">
        <f>COUNTIF($P$17:$P$581,$U150)</f>
        <v>1</v>
      </c>
      <c r="X150" s="50">
        <v>328</v>
      </c>
      <c r="Y150" s="50">
        <f>COUNTIF($S$1:$S$380,$X150)</f>
        <v>1</v>
      </c>
    </row>
    <row r="151" spans="15:25" x14ac:dyDescent="0.25">
      <c r="O151" s="25" t="s">
        <v>20</v>
      </c>
      <c r="P151" s="26">
        <v>2468</v>
      </c>
      <c r="Q151" s="26"/>
      <c r="R151" s="26" t="s">
        <v>14</v>
      </c>
      <c r="S151" s="27">
        <v>25</v>
      </c>
      <c r="U151" s="50">
        <v>136</v>
      </c>
      <c r="V151" s="33">
        <f>COUNTIF($P$17:$P$581,$U151)</f>
        <v>1</v>
      </c>
      <c r="X151" s="50">
        <v>331</v>
      </c>
      <c r="Y151" s="50">
        <f>COUNTIF($S$1:$S$380,$X151)</f>
        <v>1</v>
      </c>
    </row>
    <row r="152" spans="15:25" x14ac:dyDescent="0.25">
      <c r="O152" s="25" t="s">
        <v>20</v>
      </c>
      <c r="P152" s="26">
        <v>2551</v>
      </c>
      <c r="Q152" s="26"/>
      <c r="R152" s="26" t="s">
        <v>14</v>
      </c>
      <c r="S152" s="27">
        <v>127</v>
      </c>
      <c r="U152" s="50">
        <v>143</v>
      </c>
      <c r="V152" s="33">
        <f>COUNTIF($P$17:$P$581,$U152)</f>
        <v>1</v>
      </c>
      <c r="X152" s="50">
        <v>347</v>
      </c>
      <c r="Y152" s="50">
        <f>COUNTIF($S$1:$S$380,$X152)</f>
        <v>1</v>
      </c>
    </row>
    <row r="153" spans="15:25" x14ac:dyDescent="0.25">
      <c r="O153" s="25" t="s">
        <v>20</v>
      </c>
      <c r="P153" s="26">
        <v>101</v>
      </c>
      <c r="Q153" s="26"/>
      <c r="R153" s="26" t="s">
        <v>14</v>
      </c>
      <c r="S153" s="27">
        <v>355</v>
      </c>
      <c r="U153" s="50">
        <v>146</v>
      </c>
      <c r="V153" s="33">
        <f>COUNTIF($P$17:$P$581,$U153)</f>
        <v>1</v>
      </c>
      <c r="X153" s="50">
        <v>355</v>
      </c>
      <c r="Y153" s="50">
        <f>COUNTIF($S$1:$S$380,$X153)</f>
        <v>1</v>
      </c>
    </row>
    <row r="154" spans="15:25" x14ac:dyDescent="0.25">
      <c r="O154" s="25" t="s">
        <v>20</v>
      </c>
      <c r="P154" s="26">
        <v>92</v>
      </c>
      <c r="Q154" s="26"/>
      <c r="R154" s="26" t="s">
        <v>14</v>
      </c>
      <c r="S154" s="27">
        <v>44</v>
      </c>
      <c r="U154" s="50">
        <v>161</v>
      </c>
      <c r="V154" s="33">
        <f>COUNTIF($P$17:$P$581,$U154)</f>
        <v>1</v>
      </c>
      <c r="X154" s="50">
        <v>362</v>
      </c>
      <c r="Y154" s="50">
        <f>COUNTIF($S$1:$S$380,$X154)</f>
        <v>1</v>
      </c>
    </row>
    <row r="155" spans="15:25" x14ac:dyDescent="0.25">
      <c r="O155" s="25" t="s">
        <v>20</v>
      </c>
      <c r="P155" s="26">
        <v>62</v>
      </c>
      <c r="Q155" s="26"/>
      <c r="R155" s="26" t="s">
        <v>14</v>
      </c>
      <c r="S155" s="27">
        <v>67</v>
      </c>
      <c r="U155" s="50">
        <v>166</v>
      </c>
      <c r="V155" s="33">
        <f>COUNTIF($P$17:$P$581,$U155)</f>
        <v>1</v>
      </c>
      <c r="X155" s="50">
        <v>374</v>
      </c>
      <c r="Y155" s="50">
        <f>COUNTIF($S$1:$S$380,$X155)</f>
        <v>1</v>
      </c>
    </row>
    <row r="156" spans="15:25" x14ac:dyDescent="0.25">
      <c r="O156" s="25" t="s">
        <v>20</v>
      </c>
      <c r="P156" s="26">
        <v>149</v>
      </c>
      <c r="Q156" s="26"/>
      <c r="R156" s="26" t="s">
        <v>14</v>
      </c>
      <c r="S156" s="27">
        <v>1068</v>
      </c>
      <c r="U156" s="50">
        <v>169</v>
      </c>
      <c r="V156" s="33">
        <f>COUNTIF($P$17:$P$581,$U156)</f>
        <v>1</v>
      </c>
      <c r="X156" s="50">
        <v>393</v>
      </c>
      <c r="Y156" s="50">
        <f>COUNTIF($S$1:$S$380,$X156)</f>
        <v>1</v>
      </c>
    </row>
    <row r="157" spans="15:25" x14ac:dyDescent="0.25">
      <c r="O157" s="25" t="s">
        <v>20</v>
      </c>
      <c r="P157" s="26">
        <v>329</v>
      </c>
      <c r="Q157" s="26"/>
      <c r="R157" s="26" t="s">
        <v>14</v>
      </c>
      <c r="S157" s="27">
        <v>424</v>
      </c>
      <c r="U157" s="50">
        <v>172</v>
      </c>
      <c r="V157" s="33">
        <f>COUNTIF($P$17:$P$581,$U157)</f>
        <v>1</v>
      </c>
      <c r="X157" s="50">
        <v>395</v>
      </c>
      <c r="Y157" s="50">
        <f>COUNTIF($S$1:$S$380,$X157)</f>
        <v>1</v>
      </c>
    </row>
    <row r="158" spans="15:25" x14ac:dyDescent="0.25">
      <c r="O158" s="25" t="s">
        <v>20</v>
      </c>
      <c r="P158" s="26">
        <v>97</v>
      </c>
      <c r="Q158" s="26"/>
      <c r="R158" s="26" t="s">
        <v>14</v>
      </c>
      <c r="S158" s="27">
        <v>151</v>
      </c>
      <c r="U158" s="50">
        <v>173</v>
      </c>
      <c r="V158" s="33">
        <f>COUNTIF($P$17:$P$581,$U158)</f>
        <v>1</v>
      </c>
      <c r="X158" s="50">
        <v>418</v>
      </c>
      <c r="Y158" s="50">
        <f>COUNTIF($S$1:$S$380,$X158)</f>
        <v>1</v>
      </c>
    </row>
    <row r="159" spans="15:25" x14ac:dyDescent="0.25">
      <c r="O159" s="25" t="s">
        <v>20</v>
      </c>
      <c r="P159" s="26">
        <v>1784</v>
      </c>
      <c r="Q159" s="26"/>
      <c r="R159" s="26" t="s">
        <v>14</v>
      </c>
      <c r="S159" s="27">
        <v>1608</v>
      </c>
      <c r="U159" s="50">
        <v>175</v>
      </c>
      <c r="V159" s="33">
        <f>COUNTIF($P$17:$P$581,$U159)</f>
        <v>1</v>
      </c>
      <c r="X159" s="50">
        <v>424</v>
      </c>
      <c r="Y159" s="50">
        <f>COUNTIF($S$1:$S$380,$X159)</f>
        <v>1</v>
      </c>
    </row>
    <row r="160" spans="15:25" x14ac:dyDescent="0.25">
      <c r="O160" s="25" t="s">
        <v>20</v>
      </c>
      <c r="P160" s="26">
        <v>1684</v>
      </c>
      <c r="Q160" s="26"/>
      <c r="R160" s="26" t="s">
        <v>14</v>
      </c>
      <c r="S160" s="27">
        <v>941</v>
      </c>
      <c r="U160" s="50">
        <v>176</v>
      </c>
      <c r="V160" s="33">
        <f>COUNTIF($P$17:$P$581,$U160)</f>
        <v>1</v>
      </c>
      <c r="X160" s="50">
        <v>435</v>
      </c>
      <c r="Y160" s="50">
        <f>COUNTIF($S$1:$S$380,$X160)</f>
        <v>1</v>
      </c>
    </row>
    <row r="161" spans="15:25" x14ac:dyDescent="0.25">
      <c r="O161" s="25" t="s">
        <v>20</v>
      </c>
      <c r="P161" s="26">
        <v>250</v>
      </c>
      <c r="Q161" s="26"/>
      <c r="R161" s="26" t="s">
        <v>14</v>
      </c>
      <c r="S161" s="27">
        <v>1</v>
      </c>
      <c r="U161" s="50">
        <v>179</v>
      </c>
      <c r="V161" s="33">
        <f>COUNTIF($P$17:$P$581,$U161)</f>
        <v>1</v>
      </c>
      <c r="X161" s="50">
        <v>441</v>
      </c>
      <c r="Y161" s="50">
        <f>COUNTIF($S$1:$S$380,$X161)</f>
        <v>1</v>
      </c>
    </row>
    <row r="162" spans="15:25" x14ac:dyDescent="0.25">
      <c r="O162" s="25" t="s">
        <v>20</v>
      </c>
      <c r="P162" s="26">
        <v>238</v>
      </c>
      <c r="Q162" s="26"/>
      <c r="R162" s="26" t="s">
        <v>14</v>
      </c>
      <c r="S162" s="27">
        <v>40</v>
      </c>
      <c r="U162" s="50">
        <v>182</v>
      </c>
      <c r="V162" s="33">
        <f>COUNTIF($P$17:$P$581,$U162)</f>
        <v>1</v>
      </c>
      <c r="X162" s="50">
        <v>454</v>
      </c>
      <c r="Y162" s="50">
        <f>COUNTIF($S$1:$S$380,$X162)</f>
        <v>1</v>
      </c>
    </row>
    <row r="163" spans="15:25" x14ac:dyDescent="0.25">
      <c r="O163" s="25" t="s">
        <v>20</v>
      </c>
      <c r="P163" s="26">
        <v>53</v>
      </c>
      <c r="Q163" s="26"/>
      <c r="R163" s="26" t="s">
        <v>14</v>
      </c>
      <c r="S163" s="27">
        <v>3015</v>
      </c>
      <c r="U163" s="50">
        <v>184</v>
      </c>
      <c r="V163" s="33">
        <f>COUNTIF($P$17:$P$581,$U163)</f>
        <v>1</v>
      </c>
      <c r="X163" s="50">
        <v>504</v>
      </c>
      <c r="Y163" s="50">
        <f>COUNTIF($S$1:$S$380,$X163)</f>
        <v>1</v>
      </c>
    </row>
    <row r="164" spans="15:25" x14ac:dyDescent="0.25">
      <c r="O164" s="25" t="s">
        <v>20</v>
      </c>
      <c r="P164" s="26">
        <v>214</v>
      </c>
      <c r="Q164" s="26"/>
      <c r="R164" s="26" t="s">
        <v>14</v>
      </c>
      <c r="S164" s="27">
        <v>435</v>
      </c>
      <c r="U164" s="50">
        <v>185</v>
      </c>
      <c r="V164" s="33">
        <f>COUNTIF($P$17:$P$581,$U164)</f>
        <v>1</v>
      </c>
      <c r="X164" s="50">
        <v>513</v>
      </c>
      <c r="Y164" s="50">
        <f>COUNTIF($S$1:$S$380,$X164)</f>
        <v>1</v>
      </c>
    </row>
    <row r="165" spans="15:25" x14ac:dyDescent="0.25">
      <c r="O165" s="25" t="s">
        <v>20</v>
      </c>
      <c r="P165" s="26">
        <v>222</v>
      </c>
      <c r="Q165" s="26"/>
      <c r="R165" s="26" t="s">
        <v>14</v>
      </c>
      <c r="S165" s="27">
        <v>714</v>
      </c>
      <c r="U165" s="50">
        <v>187</v>
      </c>
      <c r="V165" s="33">
        <f>COUNTIF($P$17:$P$581,$U165)</f>
        <v>1</v>
      </c>
      <c r="X165" s="50">
        <v>523</v>
      </c>
      <c r="Y165" s="50">
        <f>COUNTIF($S$1:$S$380,$X165)</f>
        <v>1</v>
      </c>
    </row>
    <row r="166" spans="15:25" x14ac:dyDescent="0.25">
      <c r="O166" s="25" t="s">
        <v>20</v>
      </c>
      <c r="P166" s="26">
        <v>1884</v>
      </c>
      <c r="Q166" s="26"/>
      <c r="R166" s="26" t="s">
        <v>14</v>
      </c>
      <c r="S166" s="27">
        <v>5497</v>
      </c>
      <c r="U166" s="50">
        <v>193</v>
      </c>
      <c r="V166" s="33">
        <f>COUNTIF($P$17:$P$581,$U166)</f>
        <v>1</v>
      </c>
      <c r="X166" s="50">
        <v>526</v>
      </c>
      <c r="Y166" s="50">
        <f>COUNTIF($S$1:$S$380,$X166)</f>
        <v>1</v>
      </c>
    </row>
    <row r="167" spans="15:25" x14ac:dyDescent="0.25">
      <c r="O167" s="25" t="s">
        <v>20</v>
      </c>
      <c r="P167" s="26">
        <v>218</v>
      </c>
      <c r="Q167" s="26"/>
      <c r="R167" s="26" t="s">
        <v>14</v>
      </c>
      <c r="S167" s="27">
        <v>418</v>
      </c>
      <c r="U167" s="50">
        <v>196</v>
      </c>
      <c r="V167" s="33">
        <f>COUNTIF($P$17:$P$581,$U167)</f>
        <v>1</v>
      </c>
      <c r="X167" s="50">
        <v>535</v>
      </c>
      <c r="Y167" s="50">
        <f>COUNTIF($S$1:$S$380,$X167)</f>
        <v>1</v>
      </c>
    </row>
    <row r="168" spans="15:25" x14ac:dyDescent="0.25">
      <c r="O168" s="25" t="s">
        <v>20</v>
      </c>
      <c r="P168" s="26">
        <v>6465</v>
      </c>
      <c r="Q168" s="26"/>
      <c r="R168" s="26" t="s">
        <v>14</v>
      </c>
      <c r="S168" s="27">
        <v>1439</v>
      </c>
      <c r="U168" s="50">
        <v>201</v>
      </c>
      <c r="V168" s="33">
        <f>COUNTIF($P$17:$P$581,$U168)</f>
        <v>1</v>
      </c>
      <c r="X168" s="50">
        <v>554</v>
      </c>
      <c r="Y168" s="50">
        <f>COUNTIF($S$1:$S$380,$X168)</f>
        <v>1</v>
      </c>
    </row>
    <row r="169" spans="15:25" x14ac:dyDescent="0.25">
      <c r="O169" s="25" t="s">
        <v>20</v>
      </c>
      <c r="P169" s="26">
        <v>59</v>
      </c>
      <c r="Q169" s="26"/>
      <c r="R169" s="26" t="s">
        <v>14</v>
      </c>
      <c r="S169" s="27">
        <v>15</v>
      </c>
      <c r="U169" s="50">
        <v>205</v>
      </c>
      <c r="V169" s="33">
        <f>COUNTIF($P$17:$P$581,$U169)</f>
        <v>1</v>
      </c>
      <c r="X169" s="50">
        <v>575</v>
      </c>
      <c r="Y169" s="50">
        <f>COUNTIF($S$1:$S$380,$X169)</f>
        <v>1</v>
      </c>
    </row>
    <row r="170" spans="15:25" x14ac:dyDescent="0.25">
      <c r="O170" s="25" t="s">
        <v>20</v>
      </c>
      <c r="P170" s="26">
        <v>88</v>
      </c>
      <c r="Q170" s="26"/>
      <c r="R170" s="26" t="s">
        <v>14</v>
      </c>
      <c r="S170" s="27">
        <v>1999</v>
      </c>
      <c r="U170" s="50">
        <v>206</v>
      </c>
      <c r="V170" s="33">
        <f>COUNTIF($P$17:$P$581,$U170)</f>
        <v>1</v>
      </c>
      <c r="X170" s="50">
        <v>579</v>
      </c>
      <c r="Y170" s="50">
        <f>COUNTIF($S$1:$S$380,$X170)</f>
        <v>1</v>
      </c>
    </row>
    <row r="171" spans="15:25" x14ac:dyDescent="0.25">
      <c r="O171" s="25" t="s">
        <v>20</v>
      </c>
      <c r="P171" s="26">
        <v>1697</v>
      </c>
      <c r="Q171" s="26"/>
      <c r="R171" s="26" t="s">
        <v>14</v>
      </c>
      <c r="S171" s="27">
        <v>118</v>
      </c>
      <c r="U171" s="50">
        <v>209</v>
      </c>
      <c r="V171" s="33">
        <f>COUNTIF($P$17:$P$581,$U171)</f>
        <v>1</v>
      </c>
      <c r="X171" s="50">
        <v>594</v>
      </c>
      <c r="Y171" s="50">
        <f>COUNTIF($S$1:$S$380,$X171)</f>
        <v>1</v>
      </c>
    </row>
    <row r="172" spans="15:25" x14ac:dyDescent="0.25">
      <c r="O172" s="25" t="s">
        <v>20</v>
      </c>
      <c r="P172" s="26">
        <v>92</v>
      </c>
      <c r="Q172" s="26"/>
      <c r="R172" s="26" t="s">
        <v>14</v>
      </c>
      <c r="S172" s="27">
        <v>162</v>
      </c>
      <c r="U172" s="50">
        <v>210</v>
      </c>
      <c r="V172" s="33">
        <f>COUNTIF($P$17:$P$581,$U172)</f>
        <v>1</v>
      </c>
      <c r="X172" s="50">
        <v>602</v>
      </c>
      <c r="Y172" s="50">
        <f>COUNTIF($S$1:$S$380,$X172)</f>
        <v>1</v>
      </c>
    </row>
    <row r="173" spans="15:25" x14ac:dyDescent="0.25">
      <c r="O173" s="25" t="s">
        <v>20</v>
      </c>
      <c r="P173" s="26">
        <v>186</v>
      </c>
      <c r="Q173" s="26"/>
      <c r="R173" s="26" t="s">
        <v>14</v>
      </c>
      <c r="S173" s="27">
        <v>83</v>
      </c>
      <c r="U173" s="50">
        <v>214</v>
      </c>
      <c r="V173" s="33">
        <f>COUNTIF($P$17:$P$581,$U173)</f>
        <v>1</v>
      </c>
      <c r="X173" s="50">
        <v>605</v>
      </c>
      <c r="Y173" s="50">
        <f>COUNTIF($S$1:$S$380,$X173)</f>
        <v>1</v>
      </c>
    </row>
    <row r="174" spans="15:25" x14ac:dyDescent="0.25">
      <c r="O174" s="25" t="s">
        <v>20</v>
      </c>
      <c r="P174" s="26">
        <v>138</v>
      </c>
      <c r="Q174" s="26"/>
      <c r="R174" s="26" t="s">
        <v>14</v>
      </c>
      <c r="S174" s="27">
        <v>747</v>
      </c>
      <c r="U174" s="50">
        <v>216</v>
      </c>
      <c r="V174" s="33">
        <f>COUNTIF($P$17:$P$581,$U174)</f>
        <v>1</v>
      </c>
      <c r="X174" s="50">
        <v>656</v>
      </c>
      <c r="Y174" s="50">
        <f>COUNTIF($S$1:$S$380,$X174)</f>
        <v>1</v>
      </c>
    </row>
    <row r="175" spans="15:25" x14ac:dyDescent="0.25">
      <c r="O175" s="25" t="s">
        <v>20</v>
      </c>
      <c r="P175" s="26">
        <v>261</v>
      </c>
      <c r="Q175" s="26"/>
      <c r="R175" s="26" t="s">
        <v>14</v>
      </c>
      <c r="S175" s="27">
        <v>84</v>
      </c>
      <c r="U175" s="50">
        <v>217</v>
      </c>
      <c r="V175" s="33">
        <f>COUNTIF($P$17:$P$581,$U175)</f>
        <v>1</v>
      </c>
      <c r="X175" s="50">
        <v>662</v>
      </c>
      <c r="Y175" s="50">
        <f>COUNTIF($S$1:$S$380,$X175)</f>
        <v>1</v>
      </c>
    </row>
    <row r="176" spans="15:25" x14ac:dyDescent="0.25">
      <c r="O176" s="25" t="s">
        <v>20</v>
      </c>
      <c r="P176" s="26">
        <v>107</v>
      </c>
      <c r="Q176" s="26"/>
      <c r="R176" s="26" t="s">
        <v>14</v>
      </c>
      <c r="S176" s="27">
        <v>91</v>
      </c>
      <c r="U176" s="50">
        <v>219</v>
      </c>
      <c r="V176" s="33">
        <f>COUNTIF($P$17:$P$581,$U176)</f>
        <v>1</v>
      </c>
      <c r="X176" s="50">
        <v>672</v>
      </c>
      <c r="Y176" s="50">
        <f>COUNTIF($S$1:$S$380,$X176)</f>
        <v>1</v>
      </c>
    </row>
    <row r="177" spans="15:25" x14ac:dyDescent="0.25">
      <c r="O177" s="25" t="s">
        <v>20</v>
      </c>
      <c r="P177" s="26">
        <v>199</v>
      </c>
      <c r="Q177" s="26"/>
      <c r="R177" s="26" t="s">
        <v>14</v>
      </c>
      <c r="S177" s="27">
        <v>792</v>
      </c>
      <c r="U177" s="50">
        <v>223</v>
      </c>
      <c r="V177" s="33">
        <f>COUNTIF($P$17:$P$581,$U177)</f>
        <v>1</v>
      </c>
      <c r="X177" s="50">
        <v>674</v>
      </c>
      <c r="Y177" s="50">
        <f>COUNTIF($S$1:$S$380,$X177)</f>
        <v>1</v>
      </c>
    </row>
    <row r="178" spans="15:25" x14ac:dyDescent="0.25">
      <c r="O178" s="25" t="s">
        <v>20</v>
      </c>
      <c r="P178" s="26">
        <v>5512</v>
      </c>
      <c r="Q178" s="26"/>
      <c r="R178" s="26" t="s">
        <v>14</v>
      </c>
      <c r="S178" s="27">
        <v>32</v>
      </c>
      <c r="U178" s="50">
        <v>225</v>
      </c>
      <c r="V178" s="33">
        <f>COUNTIF($P$17:$P$581,$U178)</f>
        <v>1</v>
      </c>
      <c r="X178" s="50">
        <v>676</v>
      </c>
      <c r="Y178" s="50">
        <f>COUNTIF($S$1:$S$380,$X178)</f>
        <v>1</v>
      </c>
    </row>
    <row r="179" spans="15:25" x14ac:dyDescent="0.25">
      <c r="O179" s="25" t="s">
        <v>20</v>
      </c>
      <c r="P179" s="26">
        <v>86</v>
      </c>
      <c r="Q179" s="26"/>
      <c r="R179" s="26" t="s">
        <v>14</v>
      </c>
      <c r="S179" s="27">
        <v>186</v>
      </c>
      <c r="U179" s="50">
        <v>227</v>
      </c>
      <c r="V179" s="33">
        <f>COUNTIF($P$17:$P$581,$U179)</f>
        <v>1</v>
      </c>
      <c r="X179" s="50">
        <v>714</v>
      </c>
      <c r="Y179" s="50">
        <f>COUNTIF($S$1:$S$380,$X179)</f>
        <v>1</v>
      </c>
    </row>
    <row r="180" spans="15:25" x14ac:dyDescent="0.25">
      <c r="O180" s="25" t="s">
        <v>20</v>
      </c>
      <c r="P180" s="26">
        <v>2768</v>
      </c>
      <c r="Q180" s="26"/>
      <c r="R180" s="26" t="s">
        <v>14</v>
      </c>
      <c r="S180" s="27">
        <v>605</v>
      </c>
      <c r="U180" s="50">
        <v>233</v>
      </c>
      <c r="V180" s="33">
        <f>COUNTIF($P$17:$P$581,$U180)</f>
        <v>1</v>
      </c>
      <c r="X180" s="50">
        <v>742</v>
      </c>
      <c r="Y180" s="50">
        <f>COUNTIF($S$1:$S$380,$X180)</f>
        <v>1</v>
      </c>
    </row>
    <row r="181" spans="15:25" x14ac:dyDescent="0.25">
      <c r="O181" s="25" t="s">
        <v>20</v>
      </c>
      <c r="P181" s="26">
        <v>48</v>
      </c>
      <c r="Q181" s="26"/>
      <c r="R181" s="26" t="s">
        <v>14</v>
      </c>
      <c r="S181" s="27">
        <v>1</v>
      </c>
      <c r="U181" s="50">
        <v>234</v>
      </c>
      <c r="V181" s="33">
        <f>COUNTIF($P$17:$P$581,$U181)</f>
        <v>1</v>
      </c>
      <c r="X181" s="50">
        <v>747</v>
      </c>
      <c r="Y181" s="50">
        <f>COUNTIF($S$1:$S$380,$X181)</f>
        <v>1</v>
      </c>
    </row>
    <row r="182" spans="15:25" x14ac:dyDescent="0.25">
      <c r="O182" s="25" t="s">
        <v>20</v>
      </c>
      <c r="P182" s="26">
        <v>87</v>
      </c>
      <c r="Q182" s="26"/>
      <c r="R182" s="26" t="s">
        <v>14</v>
      </c>
      <c r="S182" s="27">
        <v>31</v>
      </c>
      <c r="U182" s="50">
        <v>235</v>
      </c>
      <c r="V182" s="33">
        <f>COUNTIF($P$17:$P$581,$U182)</f>
        <v>1</v>
      </c>
      <c r="X182" s="50">
        <v>752</v>
      </c>
      <c r="Y182" s="50">
        <f>COUNTIF($S$1:$S$380,$X182)</f>
        <v>1</v>
      </c>
    </row>
    <row r="183" spans="15:25" x14ac:dyDescent="0.25">
      <c r="O183" s="25" t="s">
        <v>20</v>
      </c>
      <c r="P183" s="26">
        <v>1894</v>
      </c>
      <c r="Q183" s="26"/>
      <c r="R183" s="26" t="s">
        <v>14</v>
      </c>
      <c r="S183" s="27">
        <v>1181</v>
      </c>
      <c r="U183" s="50">
        <v>237</v>
      </c>
      <c r="V183" s="33">
        <f>COUNTIF($P$17:$P$581,$U183)</f>
        <v>1</v>
      </c>
      <c r="X183" s="50">
        <v>774</v>
      </c>
      <c r="Y183" s="50">
        <f>COUNTIF($S$1:$S$380,$X183)</f>
        <v>1</v>
      </c>
    </row>
    <row r="184" spans="15:25" x14ac:dyDescent="0.25">
      <c r="O184" s="25" t="s">
        <v>20</v>
      </c>
      <c r="P184" s="26">
        <v>282</v>
      </c>
      <c r="Q184" s="26"/>
      <c r="R184" s="26" t="s">
        <v>14</v>
      </c>
      <c r="S184" s="27">
        <v>39</v>
      </c>
      <c r="U184" s="50">
        <v>239</v>
      </c>
      <c r="V184" s="33">
        <f>COUNTIF($P$17:$P$581,$U184)</f>
        <v>1</v>
      </c>
      <c r="X184" s="50">
        <v>782</v>
      </c>
      <c r="Y184" s="50">
        <f>COUNTIF($S$1:$S$380,$X184)</f>
        <v>1</v>
      </c>
    </row>
    <row r="185" spans="15:25" x14ac:dyDescent="0.25">
      <c r="O185" s="25" t="s">
        <v>20</v>
      </c>
      <c r="P185" s="26">
        <v>116</v>
      </c>
      <c r="Q185" s="26"/>
      <c r="R185" s="26" t="s">
        <v>14</v>
      </c>
      <c r="S185" s="27">
        <v>46</v>
      </c>
      <c r="U185" s="50">
        <v>241</v>
      </c>
      <c r="V185" s="33">
        <f>COUNTIF($P$17:$P$581,$U185)</f>
        <v>1</v>
      </c>
      <c r="X185" s="50">
        <v>792</v>
      </c>
      <c r="Y185" s="50">
        <f>COUNTIF($S$1:$S$380,$X185)</f>
        <v>1</v>
      </c>
    </row>
    <row r="186" spans="15:25" x14ac:dyDescent="0.25">
      <c r="O186" s="25" t="s">
        <v>20</v>
      </c>
      <c r="P186" s="26">
        <v>83</v>
      </c>
      <c r="Q186" s="26"/>
      <c r="R186" s="26" t="s">
        <v>14</v>
      </c>
      <c r="S186" s="27">
        <v>105</v>
      </c>
      <c r="U186" s="50">
        <v>245</v>
      </c>
      <c r="V186" s="33">
        <f>COUNTIF($P$17:$P$581,$U186)</f>
        <v>1</v>
      </c>
      <c r="X186" s="50">
        <v>803</v>
      </c>
      <c r="Y186" s="50">
        <f>COUNTIF($S$1:$S$380,$X186)</f>
        <v>1</v>
      </c>
    </row>
    <row r="187" spans="15:25" x14ac:dyDescent="0.25">
      <c r="O187" s="25" t="s">
        <v>20</v>
      </c>
      <c r="P187" s="26">
        <v>91</v>
      </c>
      <c r="Q187" s="26"/>
      <c r="R187" s="26" t="s">
        <v>14</v>
      </c>
      <c r="S187" s="27">
        <v>535</v>
      </c>
      <c r="U187" s="50">
        <v>250</v>
      </c>
      <c r="V187" s="33">
        <f>COUNTIF($P$17:$P$581,$U187)</f>
        <v>1</v>
      </c>
      <c r="X187" s="50">
        <v>831</v>
      </c>
      <c r="Y187" s="50">
        <f>COUNTIF($S$1:$S$380,$X187)</f>
        <v>1</v>
      </c>
    </row>
    <row r="188" spans="15:25" x14ac:dyDescent="0.25">
      <c r="O188" s="25" t="s">
        <v>20</v>
      </c>
      <c r="P188" s="26">
        <v>546</v>
      </c>
      <c r="Q188" s="26"/>
      <c r="R188" s="26" t="s">
        <v>14</v>
      </c>
      <c r="S188" s="27">
        <v>16</v>
      </c>
      <c r="U188" s="50">
        <v>252</v>
      </c>
      <c r="V188" s="33">
        <f>COUNTIF($P$17:$P$581,$U188)</f>
        <v>1</v>
      </c>
      <c r="X188" s="50">
        <v>838</v>
      </c>
      <c r="Y188" s="50">
        <f>COUNTIF($S$1:$S$380,$X188)</f>
        <v>1</v>
      </c>
    </row>
    <row r="189" spans="15:25" x14ac:dyDescent="0.25">
      <c r="O189" s="25" t="s">
        <v>20</v>
      </c>
      <c r="P189" s="26">
        <v>393</v>
      </c>
      <c r="Q189" s="26"/>
      <c r="R189" s="26" t="s">
        <v>14</v>
      </c>
      <c r="S189" s="27">
        <v>575</v>
      </c>
      <c r="U189" s="50">
        <v>253</v>
      </c>
      <c r="V189" s="33">
        <f>COUNTIF($P$17:$P$581,$U189)</f>
        <v>1</v>
      </c>
      <c r="X189" s="50">
        <v>842</v>
      </c>
      <c r="Y189" s="50">
        <f>COUNTIF($S$1:$S$380,$X189)</f>
        <v>1</v>
      </c>
    </row>
    <row r="190" spans="15:25" x14ac:dyDescent="0.25">
      <c r="O190" s="25" t="s">
        <v>20</v>
      </c>
      <c r="P190" s="26">
        <v>133</v>
      </c>
      <c r="Q190" s="26"/>
      <c r="R190" s="26" t="s">
        <v>14</v>
      </c>
      <c r="S190" s="27">
        <v>1120</v>
      </c>
      <c r="U190" s="50">
        <v>254</v>
      </c>
      <c r="V190" s="33">
        <f>COUNTIF($P$17:$P$581,$U190)</f>
        <v>1</v>
      </c>
      <c r="X190" s="50">
        <v>846</v>
      </c>
      <c r="Y190" s="50">
        <f>COUNTIF($S$1:$S$380,$X190)</f>
        <v>1</v>
      </c>
    </row>
    <row r="191" spans="15:25" x14ac:dyDescent="0.25">
      <c r="O191" s="25" t="s">
        <v>20</v>
      </c>
      <c r="P191" s="26">
        <v>254</v>
      </c>
      <c r="Q191" s="26"/>
      <c r="R191" s="26" t="s">
        <v>14</v>
      </c>
      <c r="S191" s="27">
        <v>113</v>
      </c>
      <c r="U191" s="50">
        <v>255</v>
      </c>
      <c r="V191" s="33">
        <f>COUNTIF($P$17:$P$581,$U191)</f>
        <v>1</v>
      </c>
      <c r="X191" s="50">
        <v>859</v>
      </c>
      <c r="Y191" s="50">
        <f>COUNTIF($S$1:$S$380,$X191)</f>
        <v>1</v>
      </c>
    </row>
    <row r="192" spans="15:25" x14ac:dyDescent="0.25">
      <c r="O192" s="25" t="s">
        <v>20</v>
      </c>
      <c r="P192" s="26">
        <v>176</v>
      </c>
      <c r="Q192" s="26"/>
      <c r="R192" s="26" t="s">
        <v>14</v>
      </c>
      <c r="S192" s="27">
        <v>1538</v>
      </c>
      <c r="U192" s="50">
        <v>264</v>
      </c>
      <c r="V192" s="33">
        <f>COUNTIF($P$17:$P$581,$U192)</f>
        <v>1</v>
      </c>
      <c r="X192" s="50">
        <v>886</v>
      </c>
      <c r="Y192" s="50">
        <f>COUNTIF($S$1:$S$380,$X192)</f>
        <v>1</v>
      </c>
    </row>
    <row r="193" spans="15:25" x14ac:dyDescent="0.25">
      <c r="O193" s="25" t="s">
        <v>20</v>
      </c>
      <c r="P193" s="26">
        <v>337</v>
      </c>
      <c r="Q193" s="26"/>
      <c r="R193" s="26" t="s">
        <v>14</v>
      </c>
      <c r="S193" s="27">
        <v>9</v>
      </c>
      <c r="U193" s="50">
        <v>266</v>
      </c>
      <c r="V193" s="33">
        <f>COUNTIF($P$17:$P$581,$U193)</f>
        <v>1</v>
      </c>
      <c r="X193" s="50">
        <v>889</v>
      </c>
      <c r="Y193" s="50">
        <f>COUNTIF($S$1:$S$380,$X193)</f>
        <v>1</v>
      </c>
    </row>
    <row r="194" spans="15:25" x14ac:dyDescent="0.25">
      <c r="O194" s="25" t="s">
        <v>20</v>
      </c>
      <c r="P194" s="26">
        <v>107</v>
      </c>
      <c r="Q194" s="26"/>
      <c r="R194" s="26" t="s">
        <v>14</v>
      </c>
      <c r="S194" s="27">
        <v>554</v>
      </c>
      <c r="U194" s="50">
        <v>268</v>
      </c>
      <c r="V194" s="33">
        <f>COUNTIF($P$17:$P$581,$U194)</f>
        <v>1</v>
      </c>
      <c r="X194" s="50">
        <v>908</v>
      </c>
      <c r="Y194" s="50">
        <f>COUNTIF($S$1:$S$380,$X194)</f>
        <v>1</v>
      </c>
    </row>
    <row r="195" spans="15:25" x14ac:dyDescent="0.25">
      <c r="O195" s="25" t="s">
        <v>20</v>
      </c>
      <c r="P195" s="26">
        <v>183</v>
      </c>
      <c r="Q195" s="26"/>
      <c r="R195" s="26" t="s">
        <v>14</v>
      </c>
      <c r="S195" s="27">
        <v>648</v>
      </c>
      <c r="U195" s="50">
        <v>269</v>
      </c>
      <c r="V195" s="33">
        <f>COUNTIF($P$17:$P$581,$U195)</f>
        <v>1</v>
      </c>
      <c r="X195" s="50">
        <v>923</v>
      </c>
      <c r="Y195" s="50">
        <f>COUNTIF($S$1:$S$380,$X195)</f>
        <v>1</v>
      </c>
    </row>
    <row r="196" spans="15:25" x14ac:dyDescent="0.25">
      <c r="O196" s="25" t="s">
        <v>20</v>
      </c>
      <c r="P196" s="26">
        <v>72</v>
      </c>
      <c r="Q196" s="26"/>
      <c r="R196" s="26" t="s">
        <v>14</v>
      </c>
      <c r="S196" s="27">
        <v>21</v>
      </c>
      <c r="U196" s="50">
        <v>270</v>
      </c>
      <c r="V196" s="33">
        <f>COUNTIF($P$17:$P$581,$U196)</f>
        <v>1</v>
      </c>
      <c r="X196" s="50">
        <v>926</v>
      </c>
      <c r="Y196" s="50">
        <f>COUNTIF($S$1:$S$380,$X196)</f>
        <v>1</v>
      </c>
    </row>
    <row r="197" spans="15:25" x14ac:dyDescent="0.25">
      <c r="O197" s="25" t="s">
        <v>20</v>
      </c>
      <c r="P197" s="26">
        <v>295</v>
      </c>
      <c r="Q197" s="26"/>
      <c r="R197" s="26" t="s">
        <v>14</v>
      </c>
      <c r="S197" s="27">
        <v>54</v>
      </c>
      <c r="U197" s="50">
        <v>272</v>
      </c>
      <c r="V197" s="33">
        <f>COUNTIF($P$17:$P$581,$U197)</f>
        <v>1</v>
      </c>
      <c r="X197" s="50">
        <v>931</v>
      </c>
      <c r="Y197" s="50">
        <f>COUNTIF($S$1:$S$380,$X197)</f>
        <v>1</v>
      </c>
    </row>
    <row r="198" spans="15:25" x14ac:dyDescent="0.25">
      <c r="O198" s="25" t="s">
        <v>20</v>
      </c>
      <c r="P198" s="26">
        <v>142</v>
      </c>
      <c r="Q198" s="26"/>
      <c r="R198" s="26" t="s">
        <v>14</v>
      </c>
      <c r="S198" s="27">
        <v>120</v>
      </c>
      <c r="U198" s="50">
        <v>275</v>
      </c>
      <c r="V198" s="33">
        <f>COUNTIF($P$17:$P$581,$U198)</f>
        <v>1</v>
      </c>
      <c r="X198" s="50">
        <v>934</v>
      </c>
      <c r="Y198" s="50">
        <f>COUNTIF($S$1:$S$380,$X198)</f>
        <v>1</v>
      </c>
    </row>
    <row r="199" spans="15:25" x14ac:dyDescent="0.25">
      <c r="O199" s="25" t="s">
        <v>20</v>
      </c>
      <c r="P199" s="26">
        <v>85</v>
      </c>
      <c r="Q199" s="26"/>
      <c r="R199" s="26" t="s">
        <v>14</v>
      </c>
      <c r="S199" s="27">
        <v>579</v>
      </c>
      <c r="U199" s="50">
        <v>279</v>
      </c>
      <c r="V199" s="33">
        <f>COUNTIF($P$17:$P$581,$U199)</f>
        <v>1</v>
      </c>
      <c r="X199" s="50">
        <v>940</v>
      </c>
      <c r="Y199" s="50">
        <f>COUNTIF($S$1:$S$380,$X199)</f>
        <v>1</v>
      </c>
    </row>
    <row r="200" spans="15:25" x14ac:dyDescent="0.25">
      <c r="O200" s="25" t="s">
        <v>20</v>
      </c>
      <c r="P200" s="26">
        <v>659</v>
      </c>
      <c r="Q200" s="26"/>
      <c r="R200" s="26" t="s">
        <v>14</v>
      </c>
      <c r="S200" s="27">
        <v>2072</v>
      </c>
      <c r="U200" s="50">
        <v>280</v>
      </c>
      <c r="V200" s="33">
        <f>COUNTIF($P$17:$P$581,$U200)</f>
        <v>1</v>
      </c>
      <c r="X200" s="50">
        <v>941</v>
      </c>
      <c r="Y200" s="50">
        <f>COUNTIF($S$1:$S$380,$X200)</f>
        <v>1</v>
      </c>
    </row>
    <row r="201" spans="15:25" x14ac:dyDescent="0.25">
      <c r="O201" s="25" t="s">
        <v>20</v>
      </c>
      <c r="P201" s="26">
        <v>121</v>
      </c>
      <c r="Q201" s="26"/>
      <c r="R201" s="26" t="s">
        <v>14</v>
      </c>
      <c r="S201" s="27">
        <v>0</v>
      </c>
      <c r="U201" s="50">
        <v>282</v>
      </c>
      <c r="V201" s="33">
        <f>COUNTIF($P$17:$P$581,$U201)</f>
        <v>1</v>
      </c>
      <c r="X201" s="50">
        <v>955</v>
      </c>
      <c r="Y201" s="50">
        <f>COUNTIF($S$1:$S$380,$X201)</f>
        <v>1</v>
      </c>
    </row>
    <row r="202" spans="15:25" x14ac:dyDescent="0.25">
      <c r="O202" s="25" t="s">
        <v>20</v>
      </c>
      <c r="P202" s="26">
        <v>3742</v>
      </c>
      <c r="Q202" s="26"/>
      <c r="R202" s="26" t="s">
        <v>14</v>
      </c>
      <c r="S202" s="27">
        <v>1796</v>
      </c>
      <c r="U202" s="50">
        <v>288</v>
      </c>
      <c r="V202" s="33">
        <f>COUNTIF($P$17:$P$581,$U202)</f>
        <v>1</v>
      </c>
      <c r="X202" s="50">
        <v>1000</v>
      </c>
      <c r="Y202" s="50">
        <f>COUNTIF($S$1:$S$380,$X202)</f>
        <v>1</v>
      </c>
    </row>
    <row r="203" spans="15:25" x14ac:dyDescent="0.25">
      <c r="O203" s="25" t="s">
        <v>20</v>
      </c>
      <c r="P203" s="26">
        <v>223</v>
      </c>
      <c r="Q203" s="26"/>
      <c r="R203" s="26" t="s">
        <v>14</v>
      </c>
      <c r="S203" s="27">
        <v>62</v>
      </c>
      <c r="U203" s="50">
        <v>290</v>
      </c>
      <c r="V203" s="33">
        <f>COUNTIF($P$17:$P$581,$U203)</f>
        <v>1</v>
      </c>
      <c r="X203" s="50">
        <v>1028</v>
      </c>
      <c r="Y203" s="50">
        <f>COUNTIF($S$1:$S$380,$X203)</f>
        <v>1</v>
      </c>
    </row>
    <row r="204" spans="15:25" x14ac:dyDescent="0.25">
      <c r="O204" s="25" t="s">
        <v>20</v>
      </c>
      <c r="P204" s="26">
        <v>133</v>
      </c>
      <c r="Q204" s="26"/>
      <c r="R204" s="26" t="s">
        <v>14</v>
      </c>
      <c r="S204" s="27">
        <v>347</v>
      </c>
      <c r="U204" s="50">
        <v>295</v>
      </c>
      <c r="V204" s="33">
        <f>COUNTIF($P$17:$P$581,$U204)</f>
        <v>1</v>
      </c>
      <c r="X204" s="50">
        <v>1059</v>
      </c>
      <c r="Y204" s="50">
        <f>COUNTIF($S$1:$S$380,$X204)</f>
        <v>1</v>
      </c>
    </row>
    <row r="205" spans="15:25" x14ac:dyDescent="0.25">
      <c r="O205" s="25" t="s">
        <v>20</v>
      </c>
      <c r="P205" s="26">
        <v>5168</v>
      </c>
      <c r="Q205" s="26"/>
      <c r="R205" s="26" t="s">
        <v>14</v>
      </c>
      <c r="S205" s="27">
        <v>19</v>
      </c>
      <c r="U205" s="50">
        <v>296</v>
      </c>
      <c r="V205" s="33">
        <f>COUNTIF($P$17:$P$581,$U205)</f>
        <v>1</v>
      </c>
      <c r="X205" s="50">
        <v>1063</v>
      </c>
      <c r="Y205" s="50">
        <f>COUNTIF($S$1:$S$380,$X205)</f>
        <v>1</v>
      </c>
    </row>
    <row r="206" spans="15:25" x14ac:dyDescent="0.25">
      <c r="O206" s="25" t="s">
        <v>20</v>
      </c>
      <c r="P206" s="26">
        <v>307</v>
      </c>
      <c r="Q206" s="26"/>
      <c r="R206" s="26" t="s">
        <v>14</v>
      </c>
      <c r="S206" s="27">
        <v>1258</v>
      </c>
      <c r="U206" s="50">
        <v>297</v>
      </c>
      <c r="V206" s="33">
        <f>COUNTIF($P$17:$P$581,$U206)</f>
        <v>1</v>
      </c>
      <c r="X206" s="50">
        <v>1068</v>
      </c>
      <c r="Y206" s="50">
        <f>COUNTIF($S$1:$S$380,$X206)</f>
        <v>1</v>
      </c>
    </row>
    <row r="207" spans="15:25" x14ac:dyDescent="0.25">
      <c r="O207" s="25" t="s">
        <v>20</v>
      </c>
      <c r="P207" s="26">
        <v>2441</v>
      </c>
      <c r="Q207" s="26"/>
      <c r="R207" s="26" t="s">
        <v>14</v>
      </c>
      <c r="S207" s="27">
        <v>362</v>
      </c>
      <c r="U207" s="50">
        <v>299</v>
      </c>
      <c r="V207" s="33">
        <f>COUNTIF($P$17:$P$581,$U207)</f>
        <v>1</v>
      </c>
      <c r="X207" s="50">
        <v>1072</v>
      </c>
      <c r="Y207" s="50">
        <f>COUNTIF($S$1:$S$380,$X207)</f>
        <v>1</v>
      </c>
    </row>
    <row r="208" spans="15:25" x14ac:dyDescent="0.25">
      <c r="O208" s="25" t="s">
        <v>20</v>
      </c>
      <c r="P208" s="26">
        <v>1385</v>
      </c>
      <c r="Q208" s="26"/>
      <c r="R208" s="26" t="s">
        <v>14</v>
      </c>
      <c r="S208" s="27">
        <v>133</v>
      </c>
      <c r="U208" s="50">
        <v>303</v>
      </c>
      <c r="V208" s="33">
        <f>COUNTIF($P$17:$P$581,$U208)</f>
        <v>1</v>
      </c>
      <c r="X208" s="50">
        <v>1120</v>
      </c>
      <c r="Y208" s="50">
        <f>COUNTIF($S$1:$S$380,$X208)</f>
        <v>1</v>
      </c>
    </row>
    <row r="209" spans="15:25" x14ac:dyDescent="0.25">
      <c r="O209" s="25" t="s">
        <v>20</v>
      </c>
      <c r="P209" s="26">
        <v>190</v>
      </c>
      <c r="Q209" s="26"/>
      <c r="R209" s="26" t="s">
        <v>14</v>
      </c>
      <c r="S209" s="27">
        <v>846</v>
      </c>
      <c r="U209" s="50">
        <v>316</v>
      </c>
      <c r="V209" s="33">
        <f>COUNTIF($P$17:$P$581,$U209)</f>
        <v>1</v>
      </c>
      <c r="X209" s="50">
        <v>1121</v>
      </c>
      <c r="Y209" s="50">
        <f>COUNTIF($S$1:$S$380,$X209)</f>
        <v>1</v>
      </c>
    </row>
    <row r="210" spans="15:25" x14ac:dyDescent="0.25">
      <c r="O210" s="25" t="s">
        <v>20</v>
      </c>
      <c r="P210" s="26">
        <v>470</v>
      </c>
      <c r="Q210" s="26"/>
      <c r="R210" s="26" t="s">
        <v>14</v>
      </c>
      <c r="S210" s="27">
        <v>10</v>
      </c>
      <c r="U210" s="50">
        <v>323</v>
      </c>
      <c r="V210" s="33">
        <f>COUNTIF($P$17:$P$581,$U210)</f>
        <v>1</v>
      </c>
      <c r="X210" s="50">
        <v>1130</v>
      </c>
      <c r="Y210" s="50">
        <f>COUNTIF($S$1:$S$380,$X210)</f>
        <v>1</v>
      </c>
    </row>
    <row r="211" spans="15:25" x14ac:dyDescent="0.25">
      <c r="O211" s="25" t="s">
        <v>20</v>
      </c>
      <c r="P211" s="26">
        <v>253</v>
      </c>
      <c r="Q211" s="26"/>
      <c r="R211" s="26" t="s">
        <v>14</v>
      </c>
      <c r="S211" s="27">
        <v>191</v>
      </c>
      <c r="U211" s="50">
        <v>329</v>
      </c>
      <c r="V211" s="33">
        <f>COUNTIF($P$17:$P$581,$U211)</f>
        <v>1</v>
      </c>
      <c r="X211" s="50">
        <v>1181</v>
      </c>
      <c r="Y211" s="50">
        <f>COUNTIF($S$1:$S$380,$X211)</f>
        <v>1</v>
      </c>
    </row>
    <row r="212" spans="15:25" x14ac:dyDescent="0.25">
      <c r="O212" s="25" t="s">
        <v>20</v>
      </c>
      <c r="P212" s="26">
        <v>1113</v>
      </c>
      <c r="Q212" s="26"/>
      <c r="R212" s="26" t="s">
        <v>14</v>
      </c>
      <c r="S212" s="27">
        <v>1979</v>
      </c>
      <c r="U212" s="50">
        <v>330</v>
      </c>
      <c r="V212" s="33">
        <f>COUNTIF($P$17:$P$581,$U212)</f>
        <v>1</v>
      </c>
      <c r="X212" s="50">
        <v>1194</v>
      </c>
      <c r="Y212" s="50">
        <f>COUNTIF($S$1:$S$380,$X212)</f>
        <v>1</v>
      </c>
    </row>
    <row r="213" spans="15:25" x14ac:dyDescent="0.25">
      <c r="O213" s="25" t="s">
        <v>20</v>
      </c>
      <c r="P213" s="26">
        <v>2283</v>
      </c>
      <c r="Q213" s="26"/>
      <c r="R213" s="26" t="s">
        <v>14</v>
      </c>
      <c r="S213" s="27">
        <v>63</v>
      </c>
      <c r="U213" s="50">
        <v>331</v>
      </c>
      <c r="V213" s="33">
        <f>COUNTIF($P$17:$P$581,$U213)</f>
        <v>1</v>
      </c>
      <c r="X213" s="50">
        <v>1198</v>
      </c>
      <c r="Y213" s="50">
        <f>COUNTIF($S$1:$S$380,$X213)</f>
        <v>1</v>
      </c>
    </row>
    <row r="214" spans="15:25" x14ac:dyDescent="0.25">
      <c r="O214" s="25" t="s">
        <v>20</v>
      </c>
      <c r="P214" s="26">
        <v>1095</v>
      </c>
      <c r="Q214" s="26"/>
      <c r="R214" s="26" t="s">
        <v>14</v>
      </c>
      <c r="S214" s="27">
        <v>6080</v>
      </c>
      <c r="U214" s="50">
        <v>336</v>
      </c>
      <c r="V214" s="33">
        <f>COUNTIF($P$17:$P$581,$U214)</f>
        <v>1</v>
      </c>
      <c r="X214" s="50">
        <v>1220</v>
      </c>
      <c r="Y214" s="50">
        <f>COUNTIF($S$1:$S$380,$X214)</f>
        <v>1</v>
      </c>
    </row>
    <row r="215" spans="15:25" x14ac:dyDescent="0.25">
      <c r="O215" s="25" t="s">
        <v>20</v>
      </c>
      <c r="P215" s="26">
        <v>1690</v>
      </c>
      <c r="Q215" s="26"/>
      <c r="R215" s="26" t="s">
        <v>14</v>
      </c>
      <c r="S215" s="27">
        <v>80</v>
      </c>
      <c r="U215" s="50">
        <v>337</v>
      </c>
      <c r="V215" s="33">
        <f>COUNTIF($P$17:$P$581,$U215)</f>
        <v>1</v>
      </c>
      <c r="X215" s="50">
        <v>1221</v>
      </c>
      <c r="Y215" s="50">
        <f>COUNTIF($S$1:$S$380,$X215)</f>
        <v>1</v>
      </c>
    </row>
    <row r="216" spans="15:25" x14ac:dyDescent="0.25">
      <c r="O216" s="25" t="s">
        <v>20</v>
      </c>
      <c r="P216" s="26">
        <v>191</v>
      </c>
      <c r="Q216" s="26"/>
      <c r="R216" s="26" t="s">
        <v>14</v>
      </c>
      <c r="S216" s="27">
        <v>9</v>
      </c>
      <c r="U216" s="50">
        <v>340</v>
      </c>
      <c r="V216" s="33">
        <f>COUNTIF($P$17:$P$581,$U216)</f>
        <v>1</v>
      </c>
      <c r="X216" s="50">
        <v>1225</v>
      </c>
      <c r="Y216" s="50">
        <f>COUNTIF($S$1:$S$380,$X216)</f>
        <v>1</v>
      </c>
    </row>
    <row r="217" spans="15:25" x14ac:dyDescent="0.25">
      <c r="O217" s="25" t="s">
        <v>20</v>
      </c>
      <c r="P217" s="26">
        <v>2013</v>
      </c>
      <c r="Q217" s="26"/>
      <c r="R217" s="26" t="s">
        <v>14</v>
      </c>
      <c r="S217" s="27">
        <v>1784</v>
      </c>
      <c r="U217" s="50">
        <v>361</v>
      </c>
      <c r="V217" s="33">
        <f>COUNTIF($P$17:$P$581,$U217)</f>
        <v>1</v>
      </c>
      <c r="X217" s="50">
        <v>1229</v>
      </c>
      <c r="Y217" s="50">
        <f>COUNTIF($S$1:$S$380,$X217)</f>
        <v>1</v>
      </c>
    </row>
    <row r="218" spans="15:25" x14ac:dyDescent="0.25">
      <c r="O218" s="25" t="s">
        <v>20</v>
      </c>
      <c r="P218" s="26">
        <v>1703</v>
      </c>
      <c r="Q218" s="26"/>
      <c r="R218" s="26" t="s">
        <v>14</v>
      </c>
      <c r="S218" s="27">
        <v>243</v>
      </c>
      <c r="U218" s="50">
        <v>363</v>
      </c>
      <c r="V218" s="33">
        <f>COUNTIF($P$17:$P$581,$U218)</f>
        <v>1</v>
      </c>
      <c r="X218" s="50">
        <v>1257</v>
      </c>
      <c r="Y218" s="50">
        <f>COUNTIF($S$1:$S$380,$X218)</f>
        <v>1</v>
      </c>
    </row>
    <row r="219" spans="15:25" x14ac:dyDescent="0.25">
      <c r="O219" s="25" t="s">
        <v>20</v>
      </c>
      <c r="P219" s="26">
        <v>80</v>
      </c>
      <c r="Q219" s="26"/>
      <c r="R219" s="26" t="s">
        <v>14</v>
      </c>
      <c r="S219" s="27">
        <v>1296</v>
      </c>
      <c r="U219" s="50">
        <v>366</v>
      </c>
      <c r="V219" s="33">
        <f>COUNTIF($P$17:$P$581,$U219)</f>
        <v>1</v>
      </c>
      <c r="X219" s="50">
        <v>1258</v>
      </c>
      <c r="Y219" s="50">
        <f>COUNTIF($S$1:$S$380,$X219)</f>
        <v>1</v>
      </c>
    </row>
    <row r="220" spans="15:25" x14ac:dyDescent="0.25">
      <c r="O220" s="25" t="s">
        <v>20</v>
      </c>
      <c r="P220" s="26">
        <v>41</v>
      </c>
      <c r="Q220" s="26"/>
      <c r="R220" s="26" t="s">
        <v>14</v>
      </c>
      <c r="S220" s="27">
        <v>77</v>
      </c>
      <c r="U220" s="50">
        <v>369</v>
      </c>
      <c r="V220" s="33">
        <f>COUNTIF($P$17:$P$581,$U220)</f>
        <v>1</v>
      </c>
      <c r="X220" s="50">
        <v>1274</v>
      </c>
      <c r="Y220" s="50">
        <f>COUNTIF($S$1:$S$380,$X220)</f>
        <v>1</v>
      </c>
    </row>
    <row r="221" spans="15:25" x14ac:dyDescent="0.25">
      <c r="O221" s="25" t="s">
        <v>20</v>
      </c>
      <c r="P221" s="26">
        <v>187</v>
      </c>
      <c r="Q221" s="26"/>
      <c r="R221" s="26" t="s">
        <v>14</v>
      </c>
      <c r="S221" s="27">
        <v>395</v>
      </c>
      <c r="U221" s="50">
        <v>374</v>
      </c>
      <c r="V221" s="33">
        <f>COUNTIF($P$17:$P$581,$U221)</f>
        <v>1</v>
      </c>
      <c r="X221" s="50">
        <v>1296</v>
      </c>
      <c r="Y221" s="50">
        <f>COUNTIF($S$1:$S$380,$X221)</f>
        <v>1</v>
      </c>
    </row>
    <row r="222" spans="15:25" x14ac:dyDescent="0.25">
      <c r="O222" s="25" t="s">
        <v>20</v>
      </c>
      <c r="P222" s="26">
        <v>2875</v>
      </c>
      <c r="Q222" s="26"/>
      <c r="R222" s="26" t="s">
        <v>14</v>
      </c>
      <c r="S222" s="27">
        <v>49</v>
      </c>
      <c r="U222" s="50">
        <v>375</v>
      </c>
      <c r="V222" s="33">
        <f>COUNTIF($P$17:$P$581,$U222)</f>
        <v>1</v>
      </c>
      <c r="X222" s="50">
        <v>1335</v>
      </c>
      <c r="Y222" s="50">
        <f>COUNTIF($S$1:$S$380,$X222)</f>
        <v>1</v>
      </c>
    </row>
    <row r="223" spans="15:25" x14ac:dyDescent="0.25">
      <c r="O223" s="25" t="s">
        <v>20</v>
      </c>
      <c r="P223" s="26">
        <v>88</v>
      </c>
      <c r="Q223" s="26"/>
      <c r="R223" s="26" t="s">
        <v>14</v>
      </c>
      <c r="S223" s="27">
        <v>180</v>
      </c>
      <c r="U223" s="50">
        <v>393</v>
      </c>
      <c r="V223" s="33">
        <f>COUNTIF($P$17:$P$581,$U223)</f>
        <v>1</v>
      </c>
      <c r="X223" s="50">
        <v>1368</v>
      </c>
      <c r="Y223" s="50">
        <f>COUNTIF($S$1:$S$380,$X223)</f>
        <v>1</v>
      </c>
    </row>
    <row r="224" spans="15:25" x14ac:dyDescent="0.25">
      <c r="O224" s="25" t="s">
        <v>20</v>
      </c>
      <c r="P224" s="26">
        <v>191</v>
      </c>
      <c r="Q224" s="26"/>
      <c r="R224" s="26" t="s">
        <v>14</v>
      </c>
      <c r="S224" s="27">
        <v>2690</v>
      </c>
      <c r="U224" s="50">
        <v>397</v>
      </c>
      <c r="V224" s="33">
        <f>COUNTIF($P$17:$P$581,$U224)</f>
        <v>1</v>
      </c>
      <c r="X224" s="50">
        <v>1439</v>
      </c>
      <c r="Y224" s="50">
        <f>COUNTIF($S$1:$S$380,$X224)</f>
        <v>1</v>
      </c>
    </row>
    <row r="225" spans="15:25" x14ac:dyDescent="0.25">
      <c r="O225" s="25" t="s">
        <v>20</v>
      </c>
      <c r="P225" s="26">
        <v>139</v>
      </c>
      <c r="Q225" s="26"/>
      <c r="R225" s="26" t="s">
        <v>14</v>
      </c>
      <c r="S225" s="27">
        <v>2779</v>
      </c>
      <c r="U225" s="50">
        <v>409</v>
      </c>
      <c r="V225" s="33">
        <f>COUNTIF($P$17:$P$581,$U225)</f>
        <v>1</v>
      </c>
      <c r="X225" s="50">
        <v>1482</v>
      </c>
      <c r="Y225" s="50">
        <f>COUNTIF($S$1:$S$380,$X225)</f>
        <v>1</v>
      </c>
    </row>
    <row r="226" spans="15:25" x14ac:dyDescent="0.25">
      <c r="O226" s="25" t="s">
        <v>20</v>
      </c>
      <c r="P226" s="26">
        <v>186</v>
      </c>
      <c r="Q226" s="26"/>
      <c r="R226" s="26" t="s">
        <v>14</v>
      </c>
      <c r="S226" s="27">
        <v>92</v>
      </c>
      <c r="U226" s="50">
        <v>411</v>
      </c>
      <c r="V226" s="33">
        <f>COUNTIF($P$17:$P$581,$U226)</f>
        <v>1</v>
      </c>
      <c r="X226" s="50">
        <v>1538</v>
      </c>
      <c r="Y226" s="50">
        <f>COUNTIF($S$1:$S$380,$X226)</f>
        <v>1</v>
      </c>
    </row>
    <row r="227" spans="15:25" x14ac:dyDescent="0.25">
      <c r="O227" s="25" t="s">
        <v>20</v>
      </c>
      <c r="P227" s="26">
        <v>112</v>
      </c>
      <c r="Q227" s="26"/>
      <c r="R227" s="26" t="s">
        <v>14</v>
      </c>
      <c r="S227" s="27">
        <v>1028</v>
      </c>
      <c r="U227" s="50">
        <v>419</v>
      </c>
      <c r="V227" s="33">
        <f>COUNTIF($P$17:$P$581,$U227)</f>
        <v>1</v>
      </c>
      <c r="X227" s="50">
        <v>1596</v>
      </c>
      <c r="Y227" s="50">
        <f>COUNTIF($S$1:$S$380,$X227)</f>
        <v>1</v>
      </c>
    </row>
    <row r="228" spans="15:25" x14ac:dyDescent="0.25">
      <c r="O228" s="25" t="s">
        <v>20</v>
      </c>
      <c r="P228" s="26">
        <v>101</v>
      </c>
      <c r="Q228" s="26"/>
      <c r="R228" s="26" t="s">
        <v>14</v>
      </c>
      <c r="S228" s="27">
        <v>26</v>
      </c>
      <c r="U228" s="50">
        <v>432</v>
      </c>
      <c r="V228" s="33">
        <f>COUNTIF($P$17:$P$581,$U228)</f>
        <v>1</v>
      </c>
      <c r="X228" s="50">
        <v>1608</v>
      </c>
      <c r="Y228" s="50">
        <f>COUNTIF($S$1:$S$380,$X228)</f>
        <v>1</v>
      </c>
    </row>
    <row r="229" spans="15:25" x14ac:dyDescent="0.25">
      <c r="O229" s="25" t="s">
        <v>20</v>
      </c>
      <c r="P229" s="26">
        <v>206</v>
      </c>
      <c r="Q229" s="26"/>
      <c r="R229" s="26" t="s">
        <v>14</v>
      </c>
      <c r="S229" s="27">
        <v>1790</v>
      </c>
      <c r="U229" s="50">
        <v>452</v>
      </c>
      <c r="V229" s="33">
        <f>COUNTIF($P$17:$P$581,$U229)</f>
        <v>1</v>
      </c>
      <c r="X229" s="50">
        <v>1625</v>
      </c>
      <c r="Y229" s="50">
        <f>COUNTIF($S$1:$S$380,$X229)</f>
        <v>1</v>
      </c>
    </row>
    <row r="230" spans="15:25" x14ac:dyDescent="0.25">
      <c r="O230" s="25" t="s">
        <v>20</v>
      </c>
      <c r="P230" s="26">
        <v>154</v>
      </c>
      <c r="Q230" s="26"/>
      <c r="R230" s="26" t="s">
        <v>14</v>
      </c>
      <c r="S230" s="27">
        <v>37</v>
      </c>
      <c r="U230" s="50">
        <v>454</v>
      </c>
      <c r="V230" s="33">
        <f>COUNTIF($P$17:$P$581,$U230)</f>
        <v>1</v>
      </c>
      <c r="X230" s="50">
        <v>1657</v>
      </c>
      <c r="Y230" s="50">
        <f>COUNTIF($S$1:$S$380,$X230)</f>
        <v>1</v>
      </c>
    </row>
    <row r="231" spans="15:25" x14ac:dyDescent="0.25">
      <c r="O231" s="25" t="s">
        <v>20</v>
      </c>
      <c r="P231" s="26">
        <v>5966</v>
      </c>
      <c r="Q231" s="26"/>
      <c r="R231" s="26" t="s">
        <v>14</v>
      </c>
      <c r="S231" s="27">
        <v>35</v>
      </c>
      <c r="U231" s="50">
        <v>460</v>
      </c>
      <c r="V231" s="33">
        <f>COUNTIF($P$17:$P$581,$U231)</f>
        <v>1</v>
      </c>
      <c r="X231" s="50">
        <v>1684</v>
      </c>
      <c r="Y231" s="50">
        <f>COUNTIF($S$1:$S$380,$X231)</f>
        <v>1</v>
      </c>
    </row>
    <row r="232" spans="15:25" x14ac:dyDescent="0.25">
      <c r="O232" s="25" t="s">
        <v>20</v>
      </c>
      <c r="P232" s="26">
        <v>169</v>
      </c>
      <c r="Q232" s="26"/>
      <c r="R232" s="26" t="s">
        <v>14</v>
      </c>
      <c r="S232" s="27">
        <v>558</v>
      </c>
      <c r="U232" s="50">
        <v>462</v>
      </c>
      <c r="V232" s="33">
        <f>COUNTIF($P$17:$P$581,$U232)</f>
        <v>1</v>
      </c>
      <c r="X232" s="50">
        <v>1691</v>
      </c>
      <c r="Y232" s="50">
        <f>COUNTIF($S$1:$S$380,$X232)</f>
        <v>1</v>
      </c>
    </row>
    <row r="233" spans="15:25" x14ac:dyDescent="0.25">
      <c r="O233" s="25" t="s">
        <v>20</v>
      </c>
      <c r="P233" s="26">
        <v>2106</v>
      </c>
      <c r="Q233" s="26"/>
      <c r="R233" s="26" t="s">
        <v>14</v>
      </c>
      <c r="S233" s="27">
        <v>64</v>
      </c>
      <c r="U233" s="50">
        <v>470</v>
      </c>
      <c r="V233" s="33">
        <f>COUNTIF($P$17:$P$581,$U233)</f>
        <v>1</v>
      </c>
      <c r="X233" s="50">
        <v>1748</v>
      </c>
      <c r="Y233" s="50">
        <f>COUNTIF($S$1:$S$380,$X233)</f>
        <v>1</v>
      </c>
    </row>
    <row r="234" spans="15:25" x14ac:dyDescent="0.25">
      <c r="O234" s="25" t="s">
        <v>20</v>
      </c>
      <c r="P234" s="26">
        <v>131</v>
      </c>
      <c r="Q234" s="26"/>
      <c r="R234" s="26" t="s">
        <v>14</v>
      </c>
      <c r="S234" s="27">
        <v>245</v>
      </c>
      <c r="U234" s="50">
        <v>480</v>
      </c>
      <c r="V234" s="33">
        <f>COUNTIF($P$17:$P$581,$U234)</f>
        <v>1</v>
      </c>
      <c r="X234" s="50">
        <v>1758</v>
      </c>
      <c r="Y234" s="50">
        <f>COUNTIF($S$1:$S$380,$X234)</f>
        <v>1</v>
      </c>
    </row>
    <row r="235" spans="15:25" x14ac:dyDescent="0.25">
      <c r="O235" s="25" t="s">
        <v>20</v>
      </c>
      <c r="P235" s="26">
        <v>84</v>
      </c>
      <c r="Q235" s="26"/>
      <c r="R235" s="26" t="s">
        <v>14</v>
      </c>
      <c r="S235" s="27">
        <v>71</v>
      </c>
      <c r="U235" s="50">
        <v>484</v>
      </c>
      <c r="V235" s="33">
        <f>COUNTIF($P$17:$P$581,$U235)</f>
        <v>1</v>
      </c>
      <c r="X235" s="50">
        <v>1784</v>
      </c>
      <c r="Y235" s="50">
        <f>COUNTIF($S$1:$S$380,$X235)</f>
        <v>1</v>
      </c>
    </row>
    <row r="236" spans="15:25" x14ac:dyDescent="0.25">
      <c r="O236" s="25" t="s">
        <v>20</v>
      </c>
      <c r="P236" s="26">
        <v>155</v>
      </c>
      <c r="Q236" s="26"/>
      <c r="R236" s="26" t="s">
        <v>14</v>
      </c>
      <c r="S236" s="27">
        <v>42</v>
      </c>
      <c r="U236" s="50">
        <v>498</v>
      </c>
      <c r="V236" s="33">
        <f>COUNTIF($P$17:$P$581,$U236)</f>
        <v>1</v>
      </c>
      <c r="X236" s="50">
        <v>1790</v>
      </c>
      <c r="Y236" s="50">
        <f>COUNTIF($S$1:$S$380,$X236)</f>
        <v>1</v>
      </c>
    </row>
    <row r="237" spans="15:25" x14ac:dyDescent="0.25">
      <c r="O237" s="25" t="s">
        <v>20</v>
      </c>
      <c r="P237" s="26">
        <v>189</v>
      </c>
      <c r="Q237" s="26"/>
      <c r="R237" s="26" t="s">
        <v>14</v>
      </c>
      <c r="S237" s="27">
        <v>156</v>
      </c>
      <c r="U237" s="50">
        <v>524</v>
      </c>
      <c r="V237" s="33">
        <f>COUNTIF($P$17:$P$581,$U237)</f>
        <v>1</v>
      </c>
      <c r="X237" s="50">
        <v>1796</v>
      </c>
      <c r="Y237" s="50">
        <f>COUNTIF($S$1:$S$380,$X237)</f>
        <v>1</v>
      </c>
    </row>
    <row r="238" spans="15:25" x14ac:dyDescent="0.25">
      <c r="O238" s="25" t="s">
        <v>20</v>
      </c>
      <c r="P238" s="26">
        <v>4799</v>
      </c>
      <c r="Q238" s="26"/>
      <c r="R238" s="26" t="s">
        <v>14</v>
      </c>
      <c r="S238" s="27">
        <v>1368</v>
      </c>
      <c r="U238" s="50">
        <v>533</v>
      </c>
      <c r="V238" s="33">
        <f>COUNTIF($P$17:$P$581,$U238)</f>
        <v>1</v>
      </c>
      <c r="X238" s="50">
        <v>1825</v>
      </c>
      <c r="Y238" s="50">
        <f>COUNTIF($S$1:$S$380,$X238)</f>
        <v>1</v>
      </c>
    </row>
    <row r="239" spans="15:25" x14ac:dyDescent="0.25">
      <c r="O239" s="25" t="s">
        <v>20</v>
      </c>
      <c r="P239" s="26">
        <v>1137</v>
      </c>
      <c r="Q239" s="26"/>
      <c r="R239" s="26" t="s">
        <v>14</v>
      </c>
      <c r="S239" s="27">
        <v>102</v>
      </c>
      <c r="U239" s="50">
        <v>536</v>
      </c>
      <c r="V239" s="33">
        <f>COUNTIF($P$17:$P$581,$U239)</f>
        <v>1</v>
      </c>
      <c r="X239" s="50">
        <v>1886</v>
      </c>
      <c r="Y239" s="50">
        <f>COUNTIF($S$1:$S$380,$X239)</f>
        <v>1</v>
      </c>
    </row>
    <row r="240" spans="15:25" x14ac:dyDescent="0.25">
      <c r="O240" s="25" t="s">
        <v>20</v>
      </c>
      <c r="P240" s="26">
        <v>1152</v>
      </c>
      <c r="Q240" s="26"/>
      <c r="R240" s="26" t="s">
        <v>14</v>
      </c>
      <c r="S240" s="27">
        <v>86</v>
      </c>
      <c r="U240" s="50">
        <v>546</v>
      </c>
      <c r="V240" s="33">
        <f>COUNTIF($P$17:$P$581,$U240)</f>
        <v>1</v>
      </c>
      <c r="X240" s="50">
        <v>1910</v>
      </c>
      <c r="Y240" s="50">
        <f>COUNTIF($S$1:$S$380,$X240)</f>
        <v>1</v>
      </c>
    </row>
    <row r="241" spans="15:25" x14ac:dyDescent="0.25">
      <c r="O241" s="25" t="s">
        <v>20</v>
      </c>
      <c r="P241" s="26">
        <v>50</v>
      </c>
      <c r="Q241" s="26"/>
      <c r="R241" s="26" t="s">
        <v>14</v>
      </c>
      <c r="S241" s="27">
        <v>253</v>
      </c>
      <c r="U241" s="50">
        <v>554</v>
      </c>
      <c r="V241" s="33">
        <f>COUNTIF($P$17:$P$581,$U241)</f>
        <v>1</v>
      </c>
      <c r="X241" s="50">
        <v>1979</v>
      </c>
      <c r="Y241" s="50">
        <f>COUNTIF($S$1:$S$380,$X241)</f>
        <v>1</v>
      </c>
    </row>
    <row r="242" spans="15:25" x14ac:dyDescent="0.25">
      <c r="O242" s="25" t="s">
        <v>20</v>
      </c>
      <c r="P242" s="26">
        <v>3059</v>
      </c>
      <c r="Q242" s="26"/>
      <c r="R242" s="26" t="s">
        <v>14</v>
      </c>
      <c r="S242" s="27">
        <v>157</v>
      </c>
      <c r="U242" s="50">
        <v>555</v>
      </c>
      <c r="V242" s="33">
        <f>COUNTIF($P$17:$P$581,$U242)</f>
        <v>1</v>
      </c>
      <c r="X242" s="50">
        <v>1999</v>
      </c>
      <c r="Y242" s="50">
        <f>COUNTIF($S$1:$S$380,$X242)</f>
        <v>1</v>
      </c>
    </row>
    <row r="243" spans="15:25" x14ac:dyDescent="0.25">
      <c r="O243" s="25" t="s">
        <v>20</v>
      </c>
      <c r="P243" s="26">
        <v>34</v>
      </c>
      <c r="Q243" s="26"/>
      <c r="R243" s="26" t="s">
        <v>14</v>
      </c>
      <c r="S243" s="27">
        <v>183</v>
      </c>
      <c r="U243" s="50">
        <v>589</v>
      </c>
      <c r="V243" s="33">
        <f>COUNTIF($P$17:$P$581,$U243)</f>
        <v>1</v>
      </c>
      <c r="X243" s="50">
        <v>2025</v>
      </c>
      <c r="Y243" s="50">
        <f>COUNTIF($S$1:$S$380,$X243)</f>
        <v>1</v>
      </c>
    </row>
    <row r="244" spans="15:25" x14ac:dyDescent="0.25">
      <c r="O244" s="25" t="s">
        <v>20</v>
      </c>
      <c r="P244" s="26">
        <v>220</v>
      </c>
      <c r="Q244" s="26"/>
      <c r="R244" s="26" t="s">
        <v>14</v>
      </c>
      <c r="S244" s="27">
        <v>82</v>
      </c>
      <c r="U244" s="50">
        <v>645</v>
      </c>
      <c r="V244" s="33">
        <f>COUNTIF($P$17:$P$581,$U244)</f>
        <v>1</v>
      </c>
      <c r="X244" s="50">
        <v>2062</v>
      </c>
      <c r="Y244" s="50">
        <f>COUNTIF($S$1:$S$380,$X244)</f>
        <v>1</v>
      </c>
    </row>
    <row r="245" spans="15:25" x14ac:dyDescent="0.25">
      <c r="O245" s="25" t="s">
        <v>20</v>
      </c>
      <c r="P245" s="26">
        <v>1604</v>
      </c>
      <c r="Q245" s="26"/>
      <c r="R245" s="26" t="s">
        <v>14</v>
      </c>
      <c r="S245" s="27">
        <v>1</v>
      </c>
      <c r="U245" s="50">
        <v>659</v>
      </c>
      <c r="V245" s="33">
        <f>COUNTIF($P$17:$P$581,$U245)</f>
        <v>1</v>
      </c>
      <c r="X245" s="50">
        <v>2072</v>
      </c>
      <c r="Y245" s="50">
        <f>COUNTIF($S$1:$S$380,$X245)</f>
        <v>1</v>
      </c>
    </row>
    <row r="246" spans="15:25" x14ac:dyDescent="0.25">
      <c r="O246" s="25" t="s">
        <v>20</v>
      </c>
      <c r="P246" s="26">
        <v>454</v>
      </c>
      <c r="Q246" s="26"/>
      <c r="R246" s="26" t="s">
        <v>14</v>
      </c>
      <c r="S246" s="27">
        <v>1198</v>
      </c>
      <c r="U246" s="50">
        <v>676</v>
      </c>
      <c r="V246" s="33">
        <f>COUNTIF($P$17:$P$581,$U246)</f>
        <v>1</v>
      </c>
      <c r="X246" s="50">
        <v>2108</v>
      </c>
      <c r="Y246" s="50">
        <f>COUNTIF($S$1:$S$380,$X246)</f>
        <v>1</v>
      </c>
    </row>
    <row r="247" spans="15:25" x14ac:dyDescent="0.25">
      <c r="O247" s="25" t="s">
        <v>20</v>
      </c>
      <c r="P247" s="26">
        <v>123</v>
      </c>
      <c r="Q247" s="26"/>
      <c r="R247" s="26" t="s">
        <v>14</v>
      </c>
      <c r="S247" s="27">
        <v>648</v>
      </c>
      <c r="U247" s="50">
        <v>723</v>
      </c>
      <c r="V247" s="33">
        <f>COUNTIF($P$17:$P$581,$U247)</f>
        <v>1</v>
      </c>
      <c r="X247" s="50">
        <v>2176</v>
      </c>
      <c r="Y247" s="50">
        <f>COUNTIF($S$1:$S$380,$X247)</f>
        <v>1</v>
      </c>
    </row>
    <row r="248" spans="15:25" x14ac:dyDescent="0.25">
      <c r="O248" s="25" t="s">
        <v>20</v>
      </c>
      <c r="P248" s="26">
        <v>299</v>
      </c>
      <c r="Q248" s="26"/>
      <c r="R248" s="26" t="s">
        <v>14</v>
      </c>
      <c r="S248" s="27">
        <v>64</v>
      </c>
      <c r="U248" s="50">
        <v>762</v>
      </c>
      <c r="V248" s="33">
        <f>COUNTIF($P$17:$P$581,$U248)</f>
        <v>1</v>
      </c>
      <c r="X248" s="50">
        <v>2179</v>
      </c>
      <c r="Y248" s="50">
        <f>COUNTIF($S$1:$S$380,$X248)</f>
        <v>1</v>
      </c>
    </row>
    <row r="249" spans="15:25" x14ac:dyDescent="0.25">
      <c r="O249" s="25" t="s">
        <v>20</v>
      </c>
      <c r="P249" s="26">
        <v>2237</v>
      </c>
      <c r="Q249" s="26"/>
      <c r="R249" s="26" t="s">
        <v>14</v>
      </c>
      <c r="S249" s="27">
        <v>62</v>
      </c>
      <c r="U249" s="50">
        <v>768</v>
      </c>
      <c r="V249" s="33">
        <f>COUNTIF($P$17:$P$581,$U249)</f>
        <v>1</v>
      </c>
      <c r="X249" s="50">
        <v>2201</v>
      </c>
      <c r="Y249" s="50">
        <f>COUNTIF($S$1:$S$380,$X249)</f>
        <v>1</v>
      </c>
    </row>
    <row r="250" spans="15:25" x14ac:dyDescent="0.25">
      <c r="O250" s="25" t="s">
        <v>20</v>
      </c>
      <c r="P250" s="26">
        <v>645</v>
      </c>
      <c r="Q250" s="26"/>
      <c r="R250" s="26" t="s">
        <v>14</v>
      </c>
      <c r="S250" s="27">
        <v>750</v>
      </c>
      <c r="U250" s="50">
        <v>820</v>
      </c>
      <c r="V250" s="33">
        <f>COUNTIF($P$17:$P$581,$U250)</f>
        <v>1</v>
      </c>
      <c r="X250" s="50">
        <v>2253</v>
      </c>
      <c r="Y250" s="50">
        <f>COUNTIF($S$1:$S$380,$X250)</f>
        <v>1</v>
      </c>
    </row>
    <row r="251" spans="15:25" x14ac:dyDescent="0.25">
      <c r="O251" s="25" t="s">
        <v>20</v>
      </c>
      <c r="P251" s="26">
        <v>484</v>
      </c>
      <c r="Q251" s="26"/>
      <c r="R251" s="26" t="s">
        <v>14</v>
      </c>
      <c r="S251" s="27">
        <v>105</v>
      </c>
      <c r="U251" s="50">
        <v>890</v>
      </c>
      <c r="V251" s="33">
        <f>COUNTIF($P$17:$P$581,$U251)</f>
        <v>1</v>
      </c>
      <c r="X251" s="50">
        <v>2307</v>
      </c>
      <c r="Y251" s="50">
        <f>COUNTIF($S$1:$S$380,$X251)</f>
        <v>1</v>
      </c>
    </row>
    <row r="252" spans="15:25" x14ac:dyDescent="0.25">
      <c r="O252" s="25" t="s">
        <v>20</v>
      </c>
      <c r="P252" s="26">
        <v>154</v>
      </c>
      <c r="Q252" s="26"/>
      <c r="R252" s="26" t="s">
        <v>14</v>
      </c>
      <c r="S252" s="27">
        <v>2604</v>
      </c>
      <c r="U252" s="50">
        <v>903</v>
      </c>
      <c r="V252" s="33">
        <f>COUNTIF($P$17:$P$581,$U252)</f>
        <v>1</v>
      </c>
      <c r="X252" s="50">
        <v>2468</v>
      </c>
      <c r="Y252" s="50">
        <f>COUNTIF($S$1:$S$380,$X252)</f>
        <v>1</v>
      </c>
    </row>
    <row r="253" spans="15:25" x14ac:dyDescent="0.25">
      <c r="O253" s="25" t="s">
        <v>20</v>
      </c>
      <c r="P253" s="26">
        <v>82</v>
      </c>
      <c r="Q253" s="26"/>
      <c r="R253" s="26" t="s">
        <v>14</v>
      </c>
      <c r="S253" s="27">
        <v>65</v>
      </c>
      <c r="U253" s="50">
        <v>909</v>
      </c>
      <c r="V253" s="33">
        <f>COUNTIF($P$17:$P$581,$U253)</f>
        <v>1</v>
      </c>
      <c r="X253" s="50">
        <v>2604</v>
      </c>
      <c r="Y253" s="50">
        <f>COUNTIF($S$1:$S$380,$X253)</f>
        <v>1</v>
      </c>
    </row>
    <row r="254" spans="15:25" x14ac:dyDescent="0.25">
      <c r="O254" s="25" t="s">
        <v>20</v>
      </c>
      <c r="P254" s="26">
        <v>134</v>
      </c>
      <c r="Q254" s="26"/>
      <c r="R254" s="26" t="s">
        <v>14</v>
      </c>
      <c r="S254" s="27">
        <v>94</v>
      </c>
      <c r="U254" s="50">
        <v>943</v>
      </c>
      <c r="V254" s="33">
        <f>COUNTIF($P$17:$P$581,$U254)</f>
        <v>1</v>
      </c>
      <c r="X254" s="50">
        <v>2690</v>
      </c>
      <c r="Y254" s="50">
        <f>COUNTIF($S$1:$S$380,$X254)</f>
        <v>1</v>
      </c>
    </row>
    <row r="255" spans="15:25" x14ac:dyDescent="0.25">
      <c r="O255" s="25" t="s">
        <v>20</v>
      </c>
      <c r="P255" s="26">
        <v>5203</v>
      </c>
      <c r="Q255" s="26"/>
      <c r="R255" s="26" t="s">
        <v>14</v>
      </c>
      <c r="S255" s="27">
        <v>257</v>
      </c>
      <c r="U255" s="50">
        <v>980</v>
      </c>
      <c r="V255" s="33">
        <f>COUNTIF($P$17:$P$581,$U255)</f>
        <v>1</v>
      </c>
      <c r="X255" s="50">
        <v>2779</v>
      </c>
      <c r="Y255" s="50">
        <f>COUNTIF($S$1:$S$380,$X255)</f>
        <v>1</v>
      </c>
    </row>
    <row r="256" spans="15:25" x14ac:dyDescent="0.25">
      <c r="O256" s="25" t="s">
        <v>20</v>
      </c>
      <c r="P256" s="26">
        <v>94</v>
      </c>
      <c r="Q256" s="26"/>
      <c r="R256" s="26" t="s">
        <v>14</v>
      </c>
      <c r="S256" s="27">
        <v>2928</v>
      </c>
      <c r="U256" s="50">
        <v>1015</v>
      </c>
      <c r="V256" s="33">
        <f>COUNTIF($P$17:$P$581,$U256)</f>
        <v>1</v>
      </c>
      <c r="X256" s="50">
        <v>2915</v>
      </c>
      <c r="Y256" s="50">
        <f>COUNTIF($S$1:$S$380,$X256)</f>
        <v>1</v>
      </c>
    </row>
    <row r="257" spans="15:25" x14ac:dyDescent="0.25">
      <c r="O257" s="25" t="s">
        <v>20</v>
      </c>
      <c r="P257" s="26">
        <v>205</v>
      </c>
      <c r="Q257" s="26"/>
      <c r="R257" s="26" t="s">
        <v>14</v>
      </c>
      <c r="S257" s="27">
        <v>4697</v>
      </c>
      <c r="U257" s="50">
        <v>1022</v>
      </c>
      <c r="V257" s="33">
        <f>COUNTIF($P$17:$P$581,$U257)</f>
        <v>1</v>
      </c>
      <c r="X257" s="50">
        <v>2928</v>
      </c>
      <c r="Y257" s="50">
        <f>COUNTIF($S$1:$S$380,$X257)</f>
        <v>1</v>
      </c>
    </row>
    <row r="258" spans="15:25" x14ac:dyDescent="0.25">
      <c r="O258" s="25" t="s">
        <v>20</v>
      </c>
      <c r="P258" s="26">
        <v>92</v>
      </c>
      <c r="Q258" s="26"/>
      <c r="R258" s="26" t="s">
        <v>14</v>
      </c>
      <c r="S258" s="27">
        <v>2915</v>
      </c>
      <c r="U258" s="50">
        <v>1052</v>
      </c>
      <c r="V258" s="33">
        <f>COUNTIF($P$17:$P$581,$U258)</f>
        <v>1</v>
      </c>
      <c r="X258" s="50">
        <v>2955</v>
      </c>
      <c r="Y258" s="50">
        <f>COUNTIF($S$1:$S$380,$X258)</f>
        <v>1</v>
      </c>
    </row>
    <row r="259" spans="15:25" x14ac:dyDescent="0.25">
      <c r="O259" s="25" t="s">
        <v>20</v>
      </c>
      <c r="P259" s="26">
        <v>219</v>
      </c>
      <c r="Q259" s="26"/>
      <c r="R259" s="26" t="s">
        <v>14</v>
      </c>
      <c r="S259" s="27">
        <v>18</v>
      </c>
      <c r="U259" s="50">
        <v>1073</v>
      </c>
      <c r="V259" s="33">
        <f>COUNTIF($P$17:$P$581,$U259)</f>
        <v>1</v>
      </c>
      <c r="X259" s="50">
        <v>3015</v>
      </c>
      <c r="Y259" s="50">
        <f>COUNTIF($S$1:$S$380,$X259)</f>
        <v>1</v>
      </c>
    </row>
    <row r="260" spans="15:25" x14ac:dyDescent="0.25">
      <c r="O260" s="25" t="s">
        <v>20</v>
      </c>
      <c r="P260" s="26">
        <v>2526</v>
      </c>
      <c r="Q260" s="26"/>
      <c r="R260" s="26" t="s">
        <v>14</v>
      </c>
      <c r="S260" s="27">
        <v>602</v>
      </c>
      <c r="U260" s="50">
        <v>1095</v>
      </c>
      <c r="V260" s="33">
        <f>COUNTIF($P$17:$P$581,$U260)</f>
        <v>1</v>
      </c>
      <c r="X260" s="50">
        <v>3182</v>
      </c>
      <c r="Y260" s="50">
        <f>COUNTIF($S$1:$S$380,$X260)</f>
        <v>1</v>
      </c>
    </row>
    <row r="261" spans="15:25" x14ac:dyDescent="0.25">
      <c r="O261" s="25" t="s">
        <v>20</v>
      </c>
      <c r="P261" s="26">
        <v>94</v>
      </c>
      <c r="Q261" s="26"/>
      <c r="R261" s="26" t="s">
        <v>14</v>
      </c>
      <c r="S261" s="27">
        <v>1</v>
      </c>
      <c r="U261" s="50">
        <v>1101</v>
      </c>
      <c r="V261" s="33">
        <f>COUNTIF($P$17:$P$581,$U261)</f>
        <v>1</v>
      </c>
      <c r="X261" s="50">
        <v>3304</v>
      </c>
      <c r="Y261" s="50">
        <f>COUNTIF($S$1:$S$380,$X261)</f>
        <v>1</v>
      </c>
    </row>
    <row r="262" spans="15:25" x14ac:dyDescent="0.25">
      <c r="O262" s="25" t="s">
        <v>20</v>
      </c>
      <c r="P262" s="26">
        <v>1713</v>
      </c>
      <c r="Q262" s="26"/>
      <c r="R262" s="26" t="s">
        <v>14</v>
      </c>
      <c r="S262" s="27">
        <v>3868</v>
      </c>
      <c r="U262" s="50">
        <v>1113</v>
      </c>
      <c r="V262" s="33">
        <f>COUNTIF($P$17:$P$581,$U262)</f>
        <v>1</v>
      </c>
      <c r="X262" s="50">
        <v>3387</v>
      </c>
      <c r="Y262" s="50">
        <f>COUNTIF($S$1:$S$380,$X262)</f>
        <v>1</v>
      </c>
    </row>
    <row r="263" spans="15:25" x14ac:dyDescent="0.25">
      <c r="O263" s="25" t="s">
        <v>20</v>
      </c>
      <c r="P263" s="26">
        <v>249</v>
      </c>
      <c r="Q263" s="26"/>
      <c r="R263" s="26" t="s">
        <v>14</v>
      </c>
      <c r="S263" s="27">
        <v>504</v>
      </c>
      <c r="U263" s="50">
        <v>1137</v>
      </c>
      <c r="V263" s="33">
        <f>COUNTIF($P$17:$P$581,$U263)</f>
        <v>1</v>
      </c>
      <c r="X263" s="50">
        <v>3410</v>
      </c>
      <c r="Y263" s="50">
        <f>COUNTIF($S$1:$S$380,$X263)</f>
        <v>1</v>
      </c>
    </row>
    <row r="264" spans="15:25" x14ac:dyDescent="0.25">
      <c r="O264" s="25" t="s">
        <v>20</v>
      </c>
      <c r="P264" s="26">
        <v>192</v>
      </c>
      <c r="Q264" s="26"/>
      <c r="R264" s="26" t="s">
        <v>14</v>
      </c>
      <c r="S264" s="27">
        <v>14</v>
      </c>
      <c r="U264" s="50">
        <v>1140</v>
      </c>
      <c r="V264" s="33">
        <f>COUNTIF($P$17:$P$581,$U264)</f>
        <v>1</v>
      </c>
      <c r="X264" s="50">
        <v>3483</v>
      </c>
      <c r="Y264" s="50">
        <f>COUNTIF($S$1:$S$380,$X264)</f>
        <v>1</v>
      </c>
    </row>
    <row r="265" spans="15:25" x14ac:dyDescent="0.25">
      <c r="O265" s="25" t="s">
        <v>20</v>
      </c>
      <c r="P265" s="26">
        <v>247</v>
      </c>
      <c r="Q265" s="26"/>
      <c r="R265" s="26" t="s">
        <v>14</v>
      </c>
      <c r="S265" s="27">
        <v>750</v>
      </c>
      <c r="U265" s="50">
        <v>1152</v>
      </c>
      <c r="V265" s="33">
        <f>COUNTIF($P$17:$P$581,$U265)</f>
        <v>1</v>
      </c>
      <c r="X265" s="50">
        <v>3868</v>
      </c>
      <c r="Y265" s="50">
        <f>COUNTIF($S$1:$S$380,$X265)</f>
        <v>1</v>
      </c>
    </row>
    <row r="266" spans="15:25" x14ac:dyDescent="0.25">
      <c r="O266" s="25" t="s">
        <v>20</v>
      </c>
      <c r="P266" s="26">
        <v>2293</v>
      </c>
      <c r="Q266" s="26"/>
      <c r="R266" s="26" t="s">
        <v>14</v>
      </c>
      <c r="S266" s="27">
        <v>77</v>
      </c>
      <c r="U266" s="50">
        <v>1170</v>
      </c>
      <c r="V266" s="33">
        <f>COUNTIF($P$17:$P$581,$U266)</f>
        <v>1</v>
      </c>
      <c r="X266" s="50">
        <v>4405</v>
      </c>
      <c r="Y266" s="50">
        <f>COUNTIF($S$1:$S$380,$X266)</f>
        <v>1</v>
      </c>
    </row>
    <row r="267" spans="15:25" x14ac:dyDescent="0.25">
      <c r="O267" s="25" t="s">
        <v>20</v>
      </c>
      <c r="P267" s="26">
        <v>3131</v>
      </c>
      <c r="Q267" s="26"/>
      <c r="R267" s="26" t="s">
        <v>14</v>
      </c>
      <c r="S267" s="27">
        <v>752</v>
      </c>
      <c r="U267" s="50">
        <v>1249</v>
      </c>
      <c r="V267" s="33">
        <f>COUNTIF($P$17:$P$581,$U267)</f>
        <v>1</v>
      </c>
      <c r="X267" s="50">
        <v>4428</v>
      </c>
      <c r="Y267" s="50">
        <f>COUNTIF($S$1:$S$380,$X267)</f>
        <v>1</v>
      </c>
    </row>
    <row r="268" spans="15:25" x14ac:dyDescent="0.25">
      <c r="O268" s="25" t="s">
        <v>20</v>
      </c>
      <c r="P268" s="26">
        <v>143</v>
      </c>
      <c r="Q268" s="26"/>
      <c r="R268" s="26" t="s">
        <v>14</v>
      </c>
      <c r="S268" s="27">
        <v>131</v>
      </c>
      <c r="U268" s="50">
        <v>1267</v>
      </c>
      <c r="V268" s="33">
        <f>COUNTIF($P$17:$P$581,$U268)</f>
        <v>1</v>
      </c>
      <c r="X268" s="50">
        <v>4697</v>
      </c>
      <c r="Y268" s="50">
        <f>COUNTIF($S$1:$S$380,$X268)</f>
        <v>1</v>
      </c>
    </row>
    <row r="269" spans="15:25" x14ac:dyDescent="0.25">
      <c r="O269" s="25" t="s">
        <v>20</v>
      </c>
      <c r="P269" s="26">
        <v>296</v>
      </c>
      <c r="Q269" s="26"/>
      <c r="R269" s="26" t="s">
        <v>14</v>
      </c>
      <c r="S269" s="27">
        <v>87</v>
      </c>
      <c r="U269" s="50">
        <v>1280</v>
      </c>
      <c r="V269" s="33">
        <f>COUNTIF($P$17:$P$581,$U269)</f>
        <v>1</v>
      </c>
      <c r="X269" s="50">
        <v>5497</v>
      </c>
      <c r="Y269" s="50">
        <f>COUNTIF($S$1:$S$380,$X269)</f>
        <v>1</v>
      </c>
    </row>
    <row r="270" spans="15:25" x14ac:dyDescent="0.25">
      <c r="O270" s="25" t="s">
        <v>20</v>
      </c>
      <c r="P270" s="26">
        <v>170</v>
      </c>
      <c r="Q270" s="26"/>
      <c r="R270" s="26" t="s">
        <v>14</v>
      </c>
      <c r="S270" s="27">
        <v>1063</v>
      </c>
      <c r="U270" s="50">
        <v>1297</v>
      </c>
      <c r="V270" s="33">
        <f>COUNTIF($P$17:$P$581,$U270)</f>
        <v>1</v>
      </c>
      <c r="X270" s="50">
        <v>5681</v>
      </c>
      <c r="Y270" s="50">
        <f>COUNTIF($S$1:$S$380,$X270)</f>
        <v>1</v>
      </c>
    </row>
    <row r="271" spans="15:25" x14ac:dyDescent="0.25">
      <c r="O271" s="25" t="s">
        <v>20</v>
      </c>
      <c r="P271" s="26">
        <v>86</v>
      </c>
      <c r="Q271" s="26"/>
      <c r="R271" s="26" t="s">
        <v>14</v>
      </c>
      <c r="S271" s="27">
        <v>76</v>
      </c>
      <c r="U271" s="50">
        <v>1345</v>
      </c>
      <c r="V271" s="33">
        <f>COUNTIF($P$17:$P$581,$U271)</f>
        <v>1</v>
      </c>
      <c r="X271" s="50">
        <v>6080</v>
      </c>
      <c r="Y271" s="50">
        <f>COUNTIF($S$1:$S$380,$X271)</f>
        <v>1</v>
      </c>
    </row>
    <row r="272" spans="15:25" x14ac:dyDescent="0.25">
      <c r="O272" s="25" t="s">
        <v>20</v>
      </c>
      <c r="P272" s="26">
        <v>6286</v>
      </c>
      <c r="Q272" s="26"/>
      <c r="R272" s="26" t="s">
        <v>14</v>
      </c>
      <c r="S272" s="27">
        <v>4428</v>
      </c>
      <c r="U272" s="50">
        <v>1354</v>
      </c>
      <c r="V272" s="33">
        <f>COUNTIF($P$17:$P$581,$U272)</f>
        <v>1</v>
      </c>
    </row>
    <row r="273" spans="15:22" x14ac:dyDescent="0.25">
      <c r="O273" s="25" t="s">
        <v>20</v>
      </c>
      <c r="P273" s="26">
        <v>3727</v>
      </c>
      <c r="Q273" s="26"/>
      <c r="R273" s="26" t="s">
        <v>14</v>
      </c>
      <c r="S273" s="27">
        <v>58</v>
      </c>
      <c r="U273" s="50">
        <v>1385</v>
      </c>
      <c r="V273" s="33">
        <f>COUNTIF($P$17:$P$581,$U273)</f>
        <v>1</v>
      </c>
    </row>
    <row r="274" spans="15:22" x14ac:dyDescent="0.25">
      <c r="O274" s="25" t="s">
        <v>20</v>
      </c>
      <c r="P274" s="26">
        <v>1605</v>
      </c>
      <c r="Q274" s="26"/>
      <c r="R274" s="26" t="s">
        <v>14</v>
      </c>
      <c r="S274" s="27">
        <v>111</v>
      </c>
      <c r="U274" s="50">
        <v>1425</v>
      </c>
      <c r="V274" s="33">
        <f>COUNTIF($P$17:$P$581,$U274)</f>
        <v>1</v>
      </c>
    </row>
    <row r="275" spans="15:22" x14ac:dyDescent="0.25">
      <c r="O275" s="25" t="s">
        <v>20</v>
      </c>
      <c r="P275" s="26">
        <v>2120</v>
      </c>
      <c r="Q275" s="26"/>
      <c r="R275" s="26" t="s">
        <v>14</v>
      </c>
      <c r="S275" s="27">
        <v>2955</v>
      </c>
      <c r="U275" s="50">
        <v>1442</v>
      </c>
      <c r="V275" s="33">
        <f>COUNTIF($P$17:$P$581,$U275)</f>
        <v>1</v>
      </c>
    </row>
    <row r="276" spans="15:22" x14ac:dyDescent="0.25">
      <c r="O276" s="25" t="s">
        <v>20</v>
      </c>
      <c r="P276" s="26">
        <v>50</v>
      </c>
      <c r="Q276" s="26"/>
      <c r="R276" s="26" t="s">
        <v>14</v>
      </c>
      <c r="S276" s="27">
        <v>1657</v>
      </c>
      <c r="U276" s="50">
        <v>1460</v>
      </c>
      <c r="V276" s="33">
        <f>COUNTIF($P$17:$P$581,$U276)</f>
        <v>1</v>
      </c>
    </row>
    <row r="277" spans="15:22" x14ac:dyDescent="0.25">
      <c r="O277" s="25" t="s">
        <v>20</v>
      </c>
      <c r="P277" s="26">
        <v>2080</v>
      </c>
      <c r="Q277" s="26"/>
      <c r="R277" s="26" t="s">
        <v>14</v>
      </c>
      <c r="S277" s="27">
        <v>926</v>
      </c>
      <c r="U277" s="50">
        <v>1467</v>
      </c>
      <c r="V277" s="33">
        <f>COUNTIF($P$17:$P$581,$U277)</f>
        <v>1</v>
      </c>
    </row>
    <row r="278" spans="15:22" x14ac:dyDescent="0.25">
      <c r="O278" s="25" t="s">
        <v>20</v>
      </c>
      <c r="P278" s="26">
        <v>2105</v>
      </c>
      <c r="Q278" s="26"/>
      <c r="R278" s="26" t="s">
        <v>14</v>
      </c>
      <c r="S278" s="27">
        <v>77</v>
      </c>
      <c r="U278" s="50">
        <v>1470</v>
      </c>
      <c r="V278" s="33">
        <f>COUNTIF($P$17:$P$581,$U278)</f>
        <v>1</v>
      </c>
    </row>
    <row r="279" spans="15:22" x14ac:dyDescent="0.25">
      <c r="O279" s="25" t="s">
        <v>20</v>
      </c>
      <c r="P279" s="26">
        <v>2436</v>
      </c>
      <c r="Q279" s="26"/>
      <c r="R279" s="26" t="s">
        <v>14</v>
      </c>
      <c r="S279" s="27">
        <v>1748</v>
      </c>
      <c r="U279" s="50">
        <v>1518</v>
      </c>
      <c r="V279" s="33">
        <f>COUNTIF($P$17:$P$581,$U279)</f>
        <v>1</v>
      </c>
    </row>
    <row r="280" spans="15:22" x14ac:dyDescent="0.25">
      <c r="O280" s="25" t="s">
        <v>20</v>
      </c>
      <c r="P280" s="26">
        <v>80</v>
      </c>
      <c r="Q280" s="26"/>
      <c r="R280" s="26" t="s">
        <v>14</v>
      </c>
      <c r="S280" s="27">
        <v>79</v>
      </c>
      <c r="U280" s="50">
        <v>1539</v>
      </c>
      <c r="V280" s="33">
        <f>COUNTIF($P$17:$P$581,$U280)</f>
        <v>1</v>
      </c>
    </row>
    <row r="281" spans="15:22" x14ac:dyDescent="0.25">
      <c r="O281" s="25" t="s">
        <v>20</v>
      </c>
      <c r="P281" s="26">
        <v>42</v>
      </c>
      <c r="Q281" s="26"/>
      <c r="R281" s="26" t="s">
        <v>14</v>
      </c>
      <c r="S281" s="27">
        <v>889</v>
      </c>
      <c r="U281" s="50">
        <v>1548</v>
      </c>
      <c r="V281" s="33">
        <f>COUNTIF($P$17:$P$581,$U281)</f>
        <v>1</v>
      </c>
    </row>
    <row r="282" spans="15:22" x14ac:dyDescent="0.25">
      <c r="O282" s="25" t="s">
        <v>20</v>
      </c>
      <c r="P282" s="26">
        <v>139</v>
      </c>
      <c r="Q282" s="26"/>
      <c r="R282" s="26" t="s">
        <v>14</v>
      </c>
      <c r="S282" s="27">
        <v>56</v>
      </c>
      <c r="U282" s="50">
        <v>1559</v>
      </c>
      <c r="V282" s="33">
        <f>COUNTIF($P$17:$P$581,$U282)</f>
        <v>1</v>
      </c>
    </row>
    <row r="283" spans="15:22" x14ac:dyDescent="0.25">
      <c r="O283" s="25" t="s">
        <v>20</v>
      </c>
      <c r="P283" s="26">
        <v>159</v>
      </c>
      <c r="Q283" s="26"/>
      <c r="R283" s="26" t="s">
        <v>14</v>
      </c>
      <c r="S283" s="27">
        <v>1</v>
      </c>
      <c r="U283" s="50">
        <v>1561</v>
      </c>
      <c r="V283" s="33">
        <f>COUNTIF($P$17:$P$581,$U283)</f>
        <v>1</v>
      </c>
    </row>
    <row r="284" spans="15:22" x14ac:dyDescent="0.25">
      <c r="O284" s="25" t="s">
        <v>20</v>
      </c>
      <c r="P284" s="26">
        <v>381</v>
      </c>
      <c r="Q284" s="26"/>
      <c r="R284" s="26" t="s">
        <v>14</v>
      </c>
      <c r="S284" s="27">
        <v>83</v>
      </c>
      <c r="U284" s="50">
        <v>1572</v>
      </c>
      <c r="V284" s="33">
        <f>COUNTIF($P$17:$P$581,$U284)</f>
        <v>1</v>
      </c>
    </row>
    <row r="285" spans="15:22" x14ac:dyDescent="0.25">
      <c r="O285" s="25" t="s">
        <v>20</v>
      </c>
      <c r="P285" s="26">
        <v>194</v>
      </c>
      <c r="Q285" s="26"/>
      <c r="R285" s="26" t="s">
        <v>14</v>
      </c>
      <c r="S285" s="27">
        <v>2025</v>
      </c>
      <c r="U285" s="50">
        <v>1573</v>
      </c>
      <c r="V285" s="33">
        <f>COUNTIF($P$17:$P$581,$U285)</f>
        <v>1</v>
      </c>
    </row>
    <row r="286" spans="15:22" x14ac:dyDescent="0.25">
      <c r="O286" s="25" t="s">
        <v>20</v>
      </c>
      <c r="P286" s="26">
        <v>106</v>
      </c>
      <c r="Q286" s="26"/>
      <c r="R286" s="26" t="s">
        <v>14</v>
      </c>
      <c r="S286" s="27">
        <v>14</v>
      </c>
      <c r="U286" s="50">
        <v>1600</v>
      </c>
      <c r="V286" s="33">
        <f>COUNTIF($P$17:$P$581,$U286)</f>
        <v>1</v>
      </c>
    </row>
    <row r="287" spans="15:22" x14ac:dyDescent="0.25">
      <c r="O287" s="25" t="s">
        <v>20</v>
      </c>
      <c r="P287" s="26">
        <v>142</v>
      </c>
      <c r="Q287" s="26"/>
      <c r="R287" s="26" t="s">
        <v>14</v>
      </c>
      <c r="S287" s="27">
        <v>656</v>
      </c>
      <c r="U287" s="50">
        <v>1604</v>
      </c>
      <c r="V287" s="33">
        <f>COUNTIF($P$17:$P$581,$U287)</f>
        <v>1</v>
      </c>
    </row>
    <row r="288" spans="15:22" x14ac:dyDescent="0.25">
      <c r="O288" s="25" t="s">
        <v>20</v>
      </c>
      <c r="P288" s="26">
        <v>211</v>
      </c>
      <c r="Q288" s="26"/>
      <c r="R288" s="26" t="s">
        <v>14</v>
      </c>
      <c r="S288" s="27">
        <v>1596</v>
      </c>
      <c r="U288" s="50">
        <v>1605</v>
      </c>
      <c r="V288" s="33">
        <f>COUNTIF($P$17:$P$581,$U288)</f>
        <v>1</v>
      </c>
    </row>
    <row r="289" spans="15:22" x14ac:dyDescent="0.25">
      <c r="O289" s="25" t="s">
        <v>20</v>
      </c>
      <c r="P289" s="26">
        <v>2756</v>
      </c>
      <c r="Q289" s="26"/>
      <c r="R289" s="26" t="s">
        <v>14</v>
      </c>
      <c r="S289" s="27">
        <v>10</v>
      </c>
      <c r="U289" s="50">
        <v>1606</v>
      </c>
      <c r="V289" s="33">
        <f>COUNTIF($P$17:$P$581,$U289)</f>
        <v>1</v>
      </c>
    </row>
    <row r="290" spans="15:22" x14ac:dyDescent="0.25">
      <c r="O290" s="25" t="s">
        <v>20</v>
      </c>
      <c r="P290" s="26">
        <v>173</v>
      </c>
      <c r="Q290" s="26"/>
      <c r="R290" s="26" t="s">
        <v>14</v>
      </c>
      <c r="S290" s="27">
        <v>1121</v>
      </c>
      <c r="U290" s="50">
        <v>1613</v>
      </c>
      <c r="V290" s="33">
        <f>COUNTIF($P$17:$P$581,$U290)</f>
        <v>1</v>
      </c>
    </row>
    <row r="291" spans="15:22" x14ac:dyDescent="0.25">
      <c r="O291" s="25" t="s">
        <v>20</v>
      </c>
      <c r="P291" s="26">
        <v>87</v>
      </c>
      <c r="Q291" s="26"/>
      <c r="R291" s="26" t="s">
        <v>14</v>
      </c>
      <c r="S291" s="27">
        <v>15</v>
      </c>
      <c r="U291" s="50">
        <v>1621</v>
      </c>
      <c r="V291" s="33">
        <f>COUNTIF($P$17:$P$581,$U291)</f>
        <v>1</v>
      </c>
    </row>
    <row r="292" spans="15:22" x14ac:dyDescent="0.25">
      <c r="O292" s="25" t="s">
        <v>20</v>
      </c>
      <c r="P292" s="26">
        <v>1572</v>
      </c>
      <c r="Q292" s="26"/>
      <c r="R292" s="26" t="s">
        <v>14</v>
      </c>
      <c r="S292" s="27">
        <v>191</v>
      </c>
      <c r="U292" s="50">
        <v>1629</v>
      </c>
      <c r="V292" s="33">
        <f>COUNTIF($P$17:$P$581,$U292)</f>
        <v>1</v>
      </c>
    </row>
    <row r="293" spans="15:22" x14ac:dyDescent="0.25">
      <c r="O293" s="25" t="s">
        <v>20</v>
      </c>
      <c r="P293" s="26">
        <v>2346</v>
      </c>
      <c r="Q293" s="26"/>
      <c r="R293" s="26" t="s">
        <v>14</v>
      </c>
      <c r="S293" s="27">
        <v>16</v>
      </c>
      <c r="U293" s="50">
        <v>1681</v>
      </c>
      <c r="V293" s="33">
        <f>COUNTIF($P$17:$P$581,$U293)</f>
        <v>1</v>
      </c>
    </row>
    <row r="294" spans="15:22" x14ac:dyDescent="0.25">
      <c r="O294" s="25" t="s">
        <v>20</v>
      </c>
      <c r="P294" s="26">
        <v>115</v>
      </c>
      <c r="Q294" s="26"/>
      <c r="R294" s="26" t="s">
        <v>14</v>
      </c>
      <c r="S294" s="27">
        <v>17</v>
      </c>
      <c r="U294" s="50">
        <v>1684</v>
      </c>
      <c r="V294" s="33">
        <f>COUNTIF($P$17:$P$581,$U294)</f>
        <v>1</v>
      </c>
    </row>
    <row r="295" spans="15:22" x14ac:dyDescent="0.25">
      <c r="O295" s="25" t="s">
        <v>20</v>
      </c>
      <c r="P295" s="26">
        <v>85</v>
      </c>
      <c r="Q295" s="26"/>
      <c r="R295" s="26" t="s">
        <v>14</v>
      </c>
      <c r="S295" s="27">
        <v>34</v>
      </c>
      <c r="U295" s="50">
        <v>1690</v>
      </c>
      <c r="V295" s="33">
        <f>COUNTIF($P$17:$P$581,$U295)</f>
        <v>1</v>
      </c>
    </row>
    <row r="296" spans="15:22" x14ac:dyDescent="0.25">
      <c r="O296" s="25" t="s">
        <v>20</v>
      </c>
      <c r="P296" s="26">
        <v>144</v>
      </c>
      <c r="Q296" s="26"/>
      <c r="R296" s="26" t="s">
        <v>14</v>
      </c>
      <c r="S296" s="27">
        <v>1</v>
      </c>
      <c r="U296" s="50">
        <v>1697</v>
      </c>
      <c r="V296" s="33">
        <f>COUNTIF($P$17:$P$581,$U296)</f>
        <v>1</v>
      </c>
    </row>
    <row r="297" spans="15:22" x14ac:dyDescent="0.25">
      <c r="O297" s="25" t="s">
        <v>20</v>
      </c>
      <c r="P297" s="26">
        <v>2443</v>
      </c>
      <c r="Q297" s="26"/>
      <c r="R297" s="26" t="s">
        <v>14</v>
      </c>
      <c r="S297" s="27">
        <v>1274</v>
      </c>
      <c r="U297" s="50">
        <v>1703</v>
      </c>
      <c r="V297" s="33">
        <f>COUNTIF($P$17:$P$581,$U297)</f>
        <v>1</v>
      </c>
    </row>
    <row r="298" spans="15:22" x14ac:dyDescent="0.25">
      <c r="O298" s="25" t="s">
        <v>20</v>
      </c>
      <c r="P298" s="26">
        <v>64</v>
      </c>
      <c r="Q298" s="26"/>
      <c r="R298" s="26" t="s">
        <v>14</v>
      </c>
      <c r="S298" s="27">
        <v>210</v>
      </c>
      <c r="U298" s="50">
        <v>1713</v>
      </c>
      <c r="V298" s="33">
        <f>COUNTIF($P$17:$P$581,$U298)</f>
        <v>1</v>
      </c>
    </row>
    <row r="299" spans="15:22" x14ac:dyDescent="0.25">
      <c r="O299" s="25" t="s">
        <v>20</v>
      </c>
      <c r="P299" s="26">
        <v>268</v>
      </c>
      <c r="Q299" s="26"/>
      <c r="R299" s="26" t="s">
        <v>14</v>
      </c>
      <c r="S299" s="27">
        <v>248</v>
      </c>
      <c r="U299" s="50">
        <v>1773</v>
      </c>
      <c r="V299" s="33">
        <f>COUNTIF($P$17:$P$581,$U299)</f>
        <v>1</v>
      </c>
    </row>
    <row r="300" spans="15:22" x14ac:dyDescent="0.25">
      <c r="O300" s="25" t="s">
        <v>20</v>
      </c>
      <c r="P300" s="26">
        <v>195</v>
      </c>
      <c r="Q300" s="26"/>
      <c r="R300" s="26" t="s">
        <v>14</v>
      </c>
      <c r="S300" s="27">
        <v>513</v>
      </c>
      <c r="U300" s="50">
        <v>1782</v>
      </c>
      <c r="V300" s="33">
        <f>COUNTIF($P$17:$P$581,$U300)</f>
        <v>1</v>
      </c>
    </row>
    <row r="301" spans="15:22" x14ac:dyDescent="0.25">
      <c r="O301" s="25" t="s">
        <v>20</v>
      </c>
      <c r="P301" s="26">
        <v>186</v>
      </c>
      <c r="Q301" s="26"/>
      <c r="R301" s="26" t="s">
        <v>14</v>
      </c>
      <c r="S301" s="27">
        <v>3410</v>
      </c>
      <c r="U301" s="50">
        <v>1784</v>
      </c>
      <c r="V301" s="33">
        <f>COUNTIF($P$17:$P$581,$U301)</f>
        <v>1</v>
      </c>
    </row>
    <row r="302" spans="15:22" x14ac:dyDescent="0.25">
      <c r="O302" s="25" t="s">
        <v>20</v>
      </c>
      <c r="P302" s="26">
        <v>460</v>
      </c>
      <c r="Q302" s="26"/>
      <c r="R302" s="26" t="s">
        <v>14</v>
      </c>
      <c r="S302" s="27">
        <v>10</v>
      </c>
      <c r="U302" s="50">
        <v>1785</v>
      </c>
      <c r="V302" s="33">
        <f>COUNTIF($P$17:$P$581,$U302)</f>
        <v>1</v>
      </c>
    </row>
    <row r="303" spans="15:22" x14ac:dyDescent="0.25">
      <c r="O303" s="25" t="s">
        <v>20</v>
      </c>
      <c r="P303" s="26">
        <v>2528</v>
      </c>
      <c r="Q303" s="26"/>
      <c r="R303" s="26" t="s">
        <v>14</v>
      </c>
      <c r="S303" s="27">
        <v>2201</v>
      </c>
      <c r="U303" s="50">
        <v>1797</v>
      </c>
      <c r="V303" s="33">
        <f>COUNTIF($P$17:$P$581,$U303)</f>
        <v>1</v>
      </c>
    </row>
    <row r="304" spans="15:22" x14ac:dyDescent="0.25">
      <c r="O304" s="25" t="s">
        <v>20</v>
      </c>
      <c r="P304" s="26">
        <v>3657</v>
      </c>
      <c r="Q304" s="26"/>
      <c r="R304" s="26" t="s">
        <v>14</v>
      </c>
      <c r="S304" s="27">
        <v>676</v>
      </c>
      <c r="U304" s="50">
        <v>1815</v>
      </c>
      <c r="V304" s="33">
        <f>COUNTIF($P$17:$P$581,$U304)</f>
        <v>1</v>
      </c>
    </row>
    <row r="305" spans="15:22" x14ac:dyDescent="0.25">
      <c r="O305" s="25" t="s">
        <v>20</v>
      </c>
      <c r="P305" s="26">
        <v>131</v>
      </c>
      <c r="Q305" s="26"/>
      <c r="R305" s="26" t="s">
        <v>14</v>
      </c>
      <c r="S305" s="27">
        <v>831</v>
      </c>
      <c r="U305" s="50">
        <v>1821</v>
      </c>
      <c r="V305" s="33">
        <f>COUNTIF($P$17:$P$581,$U305)</f>
        <v>1</v>
      </c>
    </row>
    <row r="306" spans="15:22" x14ac:dyDescent="0.25">
      <c r="O306" s="25" t="s">
        <v>20</v>
      </c>
      <c r="P306" s="26">
        <v>239</v>
      </c>
      <c r="Q306" s="26"/>
      <c r="R306" s="26" t="s">
        <v>14</v>
      </c>
      <c r="S306" s="27">
        <v>859</v>
      </c>
      <c r="U306" s="50">
        <v>1866</v>
      </c>
      <c r="V306" s="33">
        <f>COUNTIF($P$17:$P$581,$U306)</f>
        <v>1</v>
      </c>
    </row>
    <row r="307" spans="15:22" x14ac:dyDescent="0.25">
      <c r="O307" s="25" t="s">
        <v>20</v>
      </c>
      <c r="P307" s="26">
        <v>78</v>
      </c>
      <c r="Q307" s="26"/>
      <c r="R307" s="26" t="s">
        <v>14</v>
      </c>
      <c r="S307" s="27">
        <v>45</v>
      </c>
      <c r="U307" s="50">
        <v>1884</v>
      </c>
      <c r="V307" s="33">
        <f>COUNTIF($P$17:$P$581,$U307)</f>
        <v>1</v>
      </c>
    </row>
    <row r="308" spans="15:22" x14ac:dyDescent="0.25">
      <c r="O308" s="25" t="s">
        <v>20</v>
      </c>
      <c r="P308" s="26">
        <v>1773</v>
      </c>
      <c r="Q308" s="26"/>
      <c r="R308" s="26" t="s">
        <v>14</v>
      </c>
      <c r="S308" s="27">
        <v>6</v>
      </c>
      <c r="U308" s="50">
        <v>1887</v>
      </c>
      <c r="V308" s="33">
        <f>COUNTIF($P$17:$P$581,$U308)</f>
        <v>1</v>
      </c>
    </row>
    <row r="309" spans="15:22" x14ac:dyDescent="0.25">
      <c r="O309" s="25" t="s">
        <v>20</v>
      </c>
      <c r="P309" s="26">
        <v>32</v>
      </c>
      <c r="Q309" s="26"/>
      <c r="R309" s="26" t="s">
        <v>14</v>
      </c>
      <c r="S309" s="27">
        <v>7</v>
      </c>
      <c r="U309" s="50">
        <v>1894</v>
      </c>
      <c r="V309" s="33">
        <f>COUNTIF($P$17:$P$581,$U309)</f>
        <v>1</v>
      </c>
    </row>
    <row r="310" spans="15:22" x14ac:dyDescent="0.25">
      <c r="O310" s="25" t="s">
        <v>20</v>
      </c>
      <c r="P310" s="26">
        <v>369</v>
      </c>
      <c r="Q310" s="26"/>
      <c r="R310" s="26" t="s">
        <v>14</v>
      </c>
      <c r="S310" s="27">
        <v>31</v>
      </c>
      <c r="U310" s="50">
        <v>1902</v>
      </c>
      <c r="V310" s="33">
        <f>COUNTIF($P$17:$P$581,$U310)</f>
        <v>1</v>
      </c>
    </row>
    <row r="311" spans="15:22" x14ac:dyDescent="0.25">
      <c r="O311" s="25" t="s">
        <v>20</v>
      </c>
      <c r="P311" s="26">
        <v>89</v>
      </c>
      <c r="Q311" s="26"/>
      <c r="R311" s="26" t="s">
        <v>14</v>
      </c>
      <c r="S311" s="27">
        <v>78</v>
      </c>
      <c r="U311" s="50">
        <v>1917</v>
      </c>
      <c r="V311" s="33">
        <f>COUNTIF($P$17:$P$581,$U311)</f>
        <v>1</v>
      </c>
    </row>
    <row r="312" spans="15:22" x14ac:dyDescent="0.25">
      <c r="O312" s="25" t="s">
        <v>20</v>
      </c>
      <c r="P312" s="26">
        <v>147</v>
      </c>
      <c r="Q312" s="26"/>
      <c r="R312" s="26" t="s">
        <v>14</v>
      </c>
      <c r="S312" s="27">
        <v>1225</v>
      </c>
      <c r="U312" s="50">
        <v>1965</v>
      </c>
      <c r="V312" s="33">
        <f>COUNTIF($P$17:$P$581,$U312)</f>
        <v>1</v>
      </c>
    </row>
    <row r="313" spans="15:22" x14ac:dyDescent="0.25">
      <c r="O313" s="25" t="s">
        <v>20</v>
      </c>
      <c r="P313" s="26">
        <v>126</v>
      </c>
      <c r="Q313" s="26"/>
      <c r="R313" s="26" t="s">
        <v>14</v>
      </c>
      <c r="S313" s="27">
        <v>1</v>
      </c>
      <c r="U313" s="50">
        <v>1989</v>
      </c>
      <c r="V313" s="33">
        <f>COUNTIF($P$17:$P$581,$U313)</f>
        <v>1</v>
      </c>
    </row>
    <row r="314" spans="15:22" x14ac:dyDescent="0.25">
      <c r="O314" s="25" t="s">
        <v>20</v>
      </c>
      <c r="P314" s="26">
        <v>2218</v>
      </c>
      <c r="Q314" s="26"/>
      <c r="R314" s="26" t="s">
        <v>14</v>
      </c>
      <c r="S314" s="27">
        <v>67</v>
      </c>
      <c r="U314" s="50">
        <v>1991</v>
      </c>
      <c r="V314" s="33">
        <f>COUNTIF($P$17:$P$581,$U314)</f>
        <v>1</v>
      </c>
    </row>
    <row r="315" spans="15:22" x14ac:dyDescent="0.25">
      <c r="O315" s="25" t="s">
        <v>20</v>
      </c>
      <c r="P315" s="26">
        <v>202</v>
      </c>
      <c r="Q315" s="26"/>
      <c r="R315" s="26" t="s">
        <v>14</v>
      </c>
      <c r="S315" s="27">
        <v>19</v>
      </c>
      <c r="U315" s="50">
        <v>2013</v>
      </c>
      <c r="V315" s="33">
        <f>COUNTIF($P$17:$P$581,$U315)</f>
        <v>1</v>
      </c>
    </row>
    <row r="316" spans="15:22" x14ac:dyDescent="0.25">
      <c r="O316" s="25" t="s">
        <v>20</v>
      </c>
      <c r="P316" s="26">
        <v>140</v>
      </c>
      <c r="Q316" s="26"/>
      <c r="R316" s="26" t="s">
        <v>14</v>
      </c>
      <c r="S316" s="27">
        <v>2108</v>
      </c>
      <c r="U316" s="50">
        <v>2038</v>
      </c>
      <c r="V316" s="33">
        <f>COUNTIF($P$17:$P$581,$U316)</f>
        <v>1</v>
      </c>
    </row>
    <row r="317" spans="15:22" x14ac:dyDescent="0.25">
      <c r="O317" s="25" t="s">
        <v>20</v>
      </c>
      <c r="P317" s="26">
        <v>1052</v>
      </c>
      <c r="Q317" s="26"/>
      <c r="R317" s="26" t="s">
        <v>14</v>
      </c>
      <c r="S317" s="27">
        <v>679</v>
      </c>
      <c r="U317" s="50">
        <v>2043</v>
      </c>
      <c r="V317" s="33">
        <f>COUNTIF($P$17:$P$581,$U317)</f>
        <v>1</v>
      </c>
    </row>
    <row r="318" spans="15:22" x14ac:dyDescent="0.25">
      <c r="O318" s="25" t="s">
        <v>20</v>
      </c>
      <c r="P318" s="26">
        <v>247</v>
      </c>
      <c r="Q318" s="26"/>
      <c r="R318" s="26" t="s">
        <v>14</v>
      </c>
      <c r="S318" s="27">
        <v>36</v>
      </c>
      <c r="U318" s="50">
        <v>2053</v>
      </c>
      <c r="V318" s="33">
        <f>COUNTIF($P$17:$P$581,$U318)</f>
        <v>1</v>
      </c>
    </row>
    <row r="319" spans="15:22" x14ac:dyDescent="0.25">
      <c r="O319" s="25" t="s">
        <v>20</v>
      </c>
      <c r="P319" s="26">
        <v>84</v>
      </c>
      <c r="Q319" s="26"/>
      <c r="R319" s="26" t="s">
        <v>14</v>
      </c>
      <c r="S319" s="27">
        <v>47</v>
      </c>
      <c r="U319" s="50">
        <v>2080</v>
      </c>
      <c r="V319" s="33">
        <f>COUNTIF($P$17:$P$581,$U319)</f>
        <v>1</v>
      </c>
    </row>
    <row r="320" spans="15:22" x14ac:dyDescent="0.25">
      <c r="O320" s="25" t="s">
        <v>20</v>
      </c>
      <c r="P320" s="26">
        <v>88</v>
      </c>
      <c r="Q320" s="26"/>
      <c r="R320" s="26" t="s">
        <v>14</v>
      </c>
      <c r="S320" s="27">
        <v>70</v>
      </c>
      <c r="U320" s="50">
        <v>2100</v>
      </c>
      <c r="V320" s="33">
        <f>COUNTIF($P$17:$P$581,$U320)</f>
        <v>1</v>
      </c>
    </row>
    <row r="321" spans="15:22" x14ac:dyDescent="0.25">
      <c r="O321" s="25" t="s">
        <v>20</v>
      </c>
      <c r="P321" s="26">
        <v>156</v>
      </c>
      <c r="Q321" s="26"/>
      <c r="R321" s="26" t="s">
        <v>14</v>
      </c>
      <c r="S321" s="27">
        <v>154</v>
      </c>
      <c r="U321" s="50">
        <v>2105</v>
      </c>
      <c r="V321" s="33">
        <f>COUNTIF($P$17:$P$581,$U321)</f>
        <v>1</v>
      </c>
    </row>
    <row r="322" spans="15:22" x14ac:dyDescent="0.25">
      <c r="O322" s="25" t="s">
        <v>20</v>
      </c>
      <c r="P322" s="26">
        <v>2985</v>
      </c>
      <c r="Q322" s="26"/>
      <c r="R322" s="26" t="s">
        <v>14</v>
      </c>
      <c r="S322" s="27">
        <v>22</v>
      </c>
      <c r="U322" s="50">
        <v>2106</v>
      </c>
      <c r="V322" s="33">
        <f>COUNTIF($P$17:$P$581,$U322)</f>
        <v>1</v>
      </c>
    </row>
    <row r="323" spans="15:22" x14ac:dyDescent="0.25">
      <c r="O323" s="25" t="s">
        <v>20</v>
      </c>
      <c r="P323" s="26">
        <v>762</v>
      </c>
      <c r="Q323" s="26"/>
      <c r="R323" s="26" t="s">
        <v>14</v>
      </c>
      <c r="S323" s="27">
        <v>1758</v>
      </c>
      <c r="U323" s="50">
        <v>2107</v>
      </c>
      <c r="V323" s="33">
        <f>COUNTIF($P$17:$P$581,$U323)</f>
        <v>1</v>
      </c>
    </row>
    <row r="324" spans="15:22" x14ac:dyDescent="0.25">
      <c r="O324" s="25" t="s">
        <v>20</v>
      </c>
      <c r="P324" s="26">
        <v>554</v>
      </c>
      <c r="Q324" s="26"/>
      <c r="R324" s="26" t="s">
        <v>14</v>
      </c>
      <c r="S324" s="27">
        <v>94</v>
      </c>
      <c r="U324" s="50">
        <v>2120</v>
      </c>
      <c r="V324" s="33">
        <f>COUNTIF($P$17:$P$581,$U324)</f>
        <v>1</v>
      </c>
    </row>
    <row r="325" spans="15:22" x14ac:dyDescent="0.25">
      <c r="O325" s="25" t="s">
        <v>20</v>
      </c>
      <c r="P325" s="26">
        <v>135</v>
      </c>
      <c r="Q325" s="26"/>
      <c r="R325" s="26" t="s">
        <v>14</v>
      </c>
      <c r="S325" s="27">
        <v>33</v>
      </c>
      <c r="U325" s="50">
        <v>2144</v>
      </c>
      <c r="V325" s="33">
        <f>COUNTIF($P$17:$P$581,$U325)</f>
        <v>1</v>
      </c>
    </row>
    <row r="326" spans="15:22" x14ac:dyDescent="0.25">
      <c r="O326" s="25" t="s">
        <v>20</v>
      </c>
      <c r="P326" s="26">
        <v>122</v>
      </c>
      <c r="Q326" s="26"/>
      <c r="R326" s="26" t="s">
        <v>14</v>
      </c>
      <c r="S326" s="27">
        <v>1</v>
      </c>
      <c r="U326" s="50">
        <v>2188</v>
      </c>
      <c r="V326" s="33">
        <f>COUNTIF($P$17:$P$581,$U326)</f>
        <v>1</v>
      </c>
    </row>
    <row r="327" spans="15:22" x14ac:dyDescent="0.25">
      <c r="O327" s="25" t="s">
        <v>20</v>
      </c>
      <c r="P327" s="26">
        <v>221</v>
      </c>
      <c r="Q327" s="26"/>
      <c r="R327" s="26" t="s">
        <v>14</v>
      </c>
      <c r="S327" s="27">
        <v>31</v>
      </c>
      <c r="U327" s="50">
        <v>2218</v>
      </c>
      <c r="V327" s="33">
        <f>COUNTIF($P$17:$P$581,$U327)</f>
        <v>1</v>
      </c>
    </row>
    <row r="328" spans="15:22" x14ac:dyDescent="0.25">
      <c r="O328" s="25" t="s">
        <v>20</v>
      </c>
      <c r="P328" s="26">
        <v>126</v>
      </c>
      <c r="Q328" s="26"/>
      <c r="R328" s="26" t="s">
        <v>14</v>
      </c>
      <c r="S328" s="27">
        <v>35</v>
      </c>
      <c r="U328" s="50">
        <v>2220</v>
      </c>
      <c r="V328" s="33">
        <f>COUNTIF($P$17:$P$581,$U328)</f>
        <v>1</v>
      </c>
    </row>
    <row r="329" spans="15:22" x14ac:dyDescent="0.25">
      <c r="O329" s="25" t="s">
        <v>20</v>
      </c>
      <c r="P329" s="26">
        <v>1022</v>
      </c>
      <c r="Q329" s="26"/>
      <c r="R329" s="26" t="s">
        <v>14</v>
      </c>
      <c r="S329" s="27">
        <v>63</v>
      </c>
      <c r="U329" s="50">
        <v>2230</v>
      </c>
      <c r="V329" s="33">
        <f>COUNTIF($P$17:$P$581,$U329)</f>
        <v>1</v>
      </c>
    </row>
    <row r="330" spans="15:22" x14ac:dyDescent="0.25">
      <c r="O330" s="25" t="s">
        <v>20</v>
      </c>
      <c r="P330" s="26">
        <v>3177</v>
      </c>
      <c r="Q330" s="26"/>
      <c r="R330" s="26" t="s">
        <v>14</v>
      </c>
      <c r="S330" s="27">
        <v>526</v>
      </c>
      <c r="U330" s="50">
        <v>2237</v>
      </c>
      <c r="V330" s="33">
        <f>COUNTIF($P$17:$P$581,$U330)</f>
        <v>1</v>
      </c>
    </row>
    <row r="331" spans="15:22" x14ac:dyDescent="0.25">
      <c r="O331" s="25" t="s">
        <v>20</v>
      </c>
      <c r="P331" s="26">
        <v>198</v>
      </c>
      <c r="Q331" s="26"/>
      <c r="R331" s="26" t="s">
        <v>14</v>
      </c>
      <c r="S331" s="27">
        <v>121</v>
      </c>
      <c r="U331" s="50">
        <v>2261</v>
      </c>
      <c r="V331" s="33">
        <f>COUNTIF($P$17:$P$581,$U331)</f>
        <v>1</v>
      </c>
    </row>
    <row r="332" spans="15:22" x14ac:dyDescent="0.25">
      <c r="O332" s="25" t="s">
        <v>20</v>
      </c>
      <c r="P332" s="26">
        <v>85</v>
      </c>
      <c r="Q332" s="26"/>
      <c r="R332" s="26" t="s">
        <v>14</v>
      </c>
      <c r="S332" s="27">
        <v>67</v>
      </c>
      <c r="U332" s="50">
        <v>2266</v>
      </c>
      <c r="V332" s="33">
        <f>COUNTIF($P$17:$P$581,$U332)</f>
        <v>1</v>
      </c>
    </row>
    <row r="333" spans="15:22" x14ac:dyDescent="0.25">
      <c r="O333" s="25" t="s">
        <v>20</v>
      </c>
      <c r="P333" s="26">
        <v>3596</v>
      </c>
      <c r="Q333" s="26"/>
      <c r="R333" s="26" t="s">
        <v>14</v>
      </c>
      <c r="S333" s="27">
        <v>57</v>
      </c>
      <c r="U333" s="50">
        <v>2283</v>
      </c>
      <c r="V333" s="33">
        <f>COUNTIF($P$17:$P$581,$U333)</f>
        <v>1</v>
      </c>
    </row>
    <row r="334" spans="15:22" x14ac:dyDescent="0.25">
      <c r="O334" s="25" t="s">
        <v>20</v>
      </c>
      <c r="P334" s="26">
        <v>244</v>
      </c>
      <c r="Q334" s="26"/>
      <c r="R334" s="26" t="s">
        <v>14</v>
      </c>
      <c r="S334" s="27">
        <v>1229</v>
      </c>
      <c r="U334" s="50">
        <v>2289</v>
      </c>
      <c r="V334" s="33">
        <f>COUNTIF($P$17:$P$581,$U334)</f>
        <v>1</v>
      </c>
    </row>
    <row r="335" spans="15:22" x14ac:dyDescent="0.25">
      <c r="O335" s="25" t="s">
        <v>20</v>
      </c>
      <c r="P335" s="26">
        <v>5180</v>
      </c>
      <c r="Q335" s="26"/>
      <c r="R335" s="26" t="s">
        <v>14</v>
      </c>
      <c r="S335" s="27">
        <v>12</v>
      </c>
      <c r="U335" s="50">
        <v>2293</v>
      </c>
      <c r="V335" s="33">
        <f>COUNTIF($P$17:$P$581,$U335)</f>
        <v>1</v>
      </c>
    </row>
    <row r="336" spans="15:22" x14ac:dyDescent="0.25">
      <c r="O336" s="25" t="s">
        <v>20</v>
      </c>
      <c r="P336" s="26">
        <v>589</v>
      </c>
      <c r="Q336" s="26"/>
      <c r="R336" s="26" t="s">
        <v>14</v>
      </c>
      <c r="S336" s="27">
        <v>452</v>
      </c>
      <c r="U336" s="50">
        <v>2320</v>
      </c>
      <c r="V336" s="33">
        <f>COUNTIF($P$17:$P$581,$U336)</f>
        <v>1</v>
      </c>
    </row>
    <row r="337" spans="15:22" x14ac:dyDescent="0.25">
      <c r="O337" s="25" t="s">
        <v>20</v>
      </c>
      <c r="P337" s="26">
        <v>2725</v>
      </c>
      <c r="Q337" s="26"/>
      <c r="R337" s="26" t="s">
        <v>14</v>
      </c>
      <c r="S337" s="27">
        <v>1886</v>
      </c>
      <c r="U337" s="50">
        <v>2326</v>
      </c>
      <c r="V337" s="33">
        <f>COUNTIF($P$17:$P$581,$U337)</f>
        <v>1</v>
      </c>
    </row>
    <row r="338" spans="15:22" x14ac:dyDescent="0.25">
      <c r="O338" s="25" t="s">
        <v>20</v>
      </c>
      <c r="P338" s="26">
        <v>300</v>
      </c>
      <c r="Q338" s="26"/>
      <c r="R338" s="26" t="s">
        <v>14</v>
      </c>
      <c r="S338" s="27">
        <v>1825</v>
      </c>
      <c r="U338" s="50">
        <v>2331</v>
      </c>
      <c r="V338" s="33">
        <f>COUNTIF($P$17:$P$581,$U338)</f>
        <v>1</v>
      </c>
    </row>
    <row r="339" spans="15:22" x14ac:dyDescent="0.25">
      <c r="O339" s="25" t="s">
        <v>20</v>
      </c>
      <c r="P339" s="26">
        <v>144</v>
      </c>
      <c r="Q339" s="26"/>
      <c r="R339" s="26" t="s">
        <v>14</v>
      </c>
      <c r="S339" s="27">
        <v>31</v>
      </c>
      <c r="U339" s="50">
        <v>2346</v>
      </c>
      <c r="V339" s="33">
        <f>COUNTIF($P$17:$P$581,$U339)</f>
        <v>1</v>
      </c>
    </row>
    <row r="340" spans="15:22" x14ac:dyDescent="0.25">
      <c r="O340" s="25" t="s">
        <v>20</v>
      </c>
      <c r="P340" s="26">
        <v>87</v>
      </c>
      <c r="Q340" s="26"/>
      <c r="R340" s="26" t="s">
        <v>14</v>
      </c>
      <c r="S340" s="27">
        <v>107</v>
      </c>
      <c r="U340" s="50">
        <v>2353</v>
      </c>
      <c r="V340" s="33">
        <f>COUNTIF($P$17:$P$581,$U340)</f>
        <v>1</v>
      </c>
    </row>
    <row r="341" spans="15:22" x14ac:dyDescent="0.25">
      <c r="O341" s="25" t="s">
        <v>20</v>
      </c>
      <c r="P341" s="26">
        <v>3116</v>
      </c>
      <c r="Q341" s="26"/>
      <c r="R341" s="26" t="s">
        <v>14</v>
      </c>
      <c r="S341" s="27">
        <v>27</v>
      </c>
      <c r="U341" s="50">
        <v>2409</v>
      </c>
      <c r="V341" s="33">
        <f>COUNTIF($P$17:$P$581,$U341)</f>
        <v>1</v>
      </c>
    </row>
    <row r="342" spans="15:22" x14ac:dyDescent="0.25">
      <c r="O342" s="25" t="s">
        <v>20</v>
      </c>
      <c r="P342" s="26">
        <v>909</v>
      </c>
      <c r="Q342" s="26"/>
      <c r="R342" s="26" t="s">
        <v>14</v>
      </c>
      <c r="S342" s="27">
        <v>1221</v>
      </c>
      <c r="U342" s="50">
        <v>2414</v>
      </c>
      <c r="V342" s="33">
        <f>COUNTIF($P$17:$P$581,$U342)</f>
        <v>1</v>
      </c>
    </row>
    <row r="343" spans="15:22" x14ac:dyDescent="0.25">
      <c r="O343" s="25" t="s">
        <v>20</v>
      </c>
      <c r="P343" s="26">
        <v>1613</v>
      </c>
      <c r="Q343" s="26"/>
      <c r="R343" s="26" t="s">
        <v>14</v>
      </c>
      <c r="S343" s="27">
        <v>1</v>
      </c>
      <c r="U343" s="50">
        <v>2431</v>
      </c>
      <c r="V343" s="33">
        <f>COUNTIF($P$17:$P$581,$U343)</f>
        <v>1</v>
      </c>
    </row>
    <row r="344" spans="15:22" x14ac:dyDescent="0.25">
      <c r="O344" s="25" t="s">
        <v>20</v>
      </c>
      <c r="P344" s="26">
        <v>136</v>
      </c>
      <c r="Q344" s="26"/>
      <c r="R344" s="26" t="s">
        <v>14</v>
      </c>
      <c r="S344" s="27">
        <v>16</v>
      </c>
      <c r="U344" s="50">
        <v>2436</v>
      </c>
      <c r="V344" s="33">
        <f>COUNTIF($P$17:$P$581,$U344)</f>
        <v>1</v>
      </c>
    </row>
    <row r="345" spans="15:22" x14ac:dyDescent="0.25">
      <c r="O345" s="25" t="s">
        <v>20</v>
      </c>
      <c r="P345" s="26">
        <v>130</v>
      </c>
      <c r="Q345" s="26"/>
      <c r="R345" s="26" t="s">
        <v>14</v>
      </c>
      <c r="S345" s="27">
        <v>41</v>
      </c>
      <c r="U345" s="50">
        <v>2441</v>
      </c>
      <c r="V345" s="33">
        <f>COUNTIF($P$17:$P$581,$U345)</f>
        <v>1</v>
      </c>
    </row>
    <row r="346" spans="15:22" x14ac:dyDescent="0.25">
      <c r="O346" s="25" t="s">
        <v>20</v>
      </c>
      <c r="P346" s="26">
        <v>102</v>
      </c>
      <c r="Q346" s="26"/>
      <c r="R346" s="26" t="s">
        <v>14</v>
      </c>
      <c r="S346" s="27">
        <v>523</v>
      </c>
      <c r="U346" s="50">
        <v>2468</v>
      </c>
      <c r="V346" s="33">
        <f>COUNTIF($P$17:$P$581,$U346)</f>
        <v>1</v>
      </c>
    </row>
    <row r="347" spans="15:22" x14ac:dyDescent="0.25">
      <c r="O347" s="25" t="s">
        <v>20</v>
      </c>
      <c r="P347" s="26">
        <v>4006</v>
      </c>
      <c r="Q347" s="26"/>
      <c r="R347" s="26" t="s">
        <v>14</v>
      </c>
      <c r="S347" s="27">
        <v>141</v>
      </c>
      <c r="U347" s="50">
        <v>2475</v>
      </c>
      <c r="V347" s="33">
        <f>COUNTIF($P$17:$P$581,$U347)</f>
        <v>1</v>
      </c>
    </row>
    <row r="348" spans="15:22" x14ac:dyDescent="0.25">
      <c r="O348" s="25" t="s">
        <v>20</v>
      </c>
      <c r="P348" s="26">
        <v>1629</v>
      </c>
      <c r="Q348" s="26"/>
      <c r="R348" s="26" t="s">
        <v>14</v>
      </c>
      <c r="S348" s="27">
        <v>52</v>
      </c>
      <c r="U348" s="50">
        <v>2489</v>
      </c>
      <c r="V348" s="33">
        <f>COUNTIF($P$17:$P$581,$U348)</f>
        <v>1</v>
      </c>
    </row>
    <row r="349" spans="15:22" x14ac:dyDescent="0.25">
      <c r="O349" s="25" t="s">
        <v>20</v>
      </c>
      <c r="P349" s="26">
        <v>2188</v>
      </c>
      <c r="Q349" s="26"/>
      <c r="R349" s="26" t="s">
        <v>14</v>
      </c>
      <c r="S349" s="27">
        <v>225</v>
      </c>
      <c r="U349" s="50">
        <v>2506</v>
      </c>
      <c r="V349" s="33">
        <f>COUNTIF($P$17:$P$581,$U349)</f>
        <v>1</v>
      </c>
    </row>
    <row r="350" spans="15:22" x14ac:dyDescent="0.25">
      <c r="O350" s="25" t="s">
        <v>20</v>
      </c>
      <c r="P350" s="26">
        <v>2409</v>
      </c>
      <c r="Q350" s="26"/>
      <c r="R350" s="26" t="s">
        <v>14</v>
      </c>
      <c r="S350" s="27">
        <v>38</v>
      </c>
      <c r="U350" s="50">
        <v>2526</v>
      </c>
      <c r="V350" s="33">
        <f>COUNTIF($P$17:$P$581,$U350)</f>
        <v>1</v>
      </c>
    </row>
    <row r="351" spans="15:22" x14ac:dyDescent="0.25">
      <c r="O351" s="25" t="s">
        <v>20</v>
      </c>
      <c r="P351" s="26">
        <v>194</v>
      </c>
      <c r="Q351" s="26"/>
      <c r="R351" s="26" t="s">
        <v>14</v>
      </c>
      <c r="S351" s="27">
        <v>15</v>
      </c>
      <c r="U351" s="50">
        <v>2528</v>
      </c>
      <c r="V351" s="33">
        <f>COUNTIF($P$17:$P$581,$U351)</f>
        <v>1</v>
      </c>
    </row>
    <row r="352" spans="15:22" x14ac:dyDescent="0.25">
      <c r="O352" s="25" t="s">
        <v>20</v>
      </c>
      <c r="P352" s="26">
        <v>1140</v>
      </c>
      <c r="Q352" s="26"/>
      <c r="R352" s="26" t="s">
        <v>14</v>
      </c>
      <c r="S352" s="27">
        <v>37</v>
      </c>
      <c r="U352" s="50">
        <v>2551</v>
      </c>
      <c r="V352" s="33">
        <f>COUNTIF($P$17:$P$581,$U352)</f>
        <v>1</v>
      </c>
    </row>
    <row r="353" spans="15:22" x14ac:dyDescent="0.25">
      <c r="O353" s="25" t="s">
        <v>20</v>
      </c>
      <c r="P353" s="26">
        <v>102</v>
      </c>
      <c r="Q353" s="26"/>
      <c r="R353" s="26" t="s">
        <v>14</v>
      </c>
      <c r="S353" s="27">
        <v>112</v>
      </c>
      <c r="U353" s="50">
        <v>2662</v>
      </c>
      <c r="V353" s="33">
        <f>COUNTIF($P$17:$P$581,$U353)</f>
        <v>1</v>
      </c>
    </row>
    <row r="354" spans="15:22" x14ac:dyDescent="0.25">
      <c r="O354" s="25" t="s">
        <v>20</v>
      </c>
      <c r="P354" s="26">
        <v>2857</v>
      </c>
      <c r="Q354" s="26"/>
      <c r="R354" s="26" t="s">
        <v>14</v>
      </c>
      <c r="S354" s="27">
        <v>21</v>
      </c>
      <c r="U354" s="50">
        <v>2673</v>
      </c>
      <c r="V354" s="33">
        <f>COUNTIF($P$17:$P$581,$U354)</f>
        <v>1</v>
      </c>
    </row>
    <row r="355" spans="15:22" x14ac:dyDescent="0.25">
      <c r="O355" s="25" t="s">
        <v>20</v>
      </c>
      <c r="P355" s="26">
        <v>107</v>
      </c>
      <c r="Q355" s="26"/>
      <c r="R355" s="26" t="s">
        <v>14</v>
      </c>
      <c r="S355" s="27">
        <v>67</v>
      </c>
      <c r="U355" s="50">
        <v>2693</v>
      </c>
      <c r="V355" s="33">
        <f>COUNTIF($P$17:$P$581,$U355)</f>
        <v>1</v>
      </c>
    </row>
    <row r="356" spans="15:22" x14ac:dyDescent="0.25">
      <c r="O356" s="25" t="s">
        <v>20</v>
      </c>
      <c r="P356" s="26">
        <v>160</v>
      </c>
      <c r="Q356" s="26"/>
      <c r="R356" s="26" t="s">
        <v>14</v>
      </c>
      <c r="S356" s="27">
        <v>78</v>
      </c>
      <c r="U356" s="50">
        <v>2725</v>
      </c>
      <c r="V356" s="33">
        <f>COUNTIF($P$17:$P$581,$U356)</f>
        <v>1</v>
      </c>
    </row>
    <row r="357" spans="15:22" x14ac:dyDescent="0.25">
      <c r="O357" s="25" t="s">
        <v>20</v>
      </c>
      <c r="P357" s="26">
        <v>2230</v>
      </c>
      <c r="Q357" s="26"/>
      <c r="R357" s="26" t="s">
        <v>14</v>
      </c>
      <c r="S357" s="27">
        <v>67</v>
      </c>
      <c r="U357" s="50">
        <v>2739</v>
      </c>
      <c r="V357" s="33">
        <f>COUNTIF($P$17:$P$581,$U357)</f>
        <v>1</v>
      </c>
    </row>
    <row r="358" spans="15:22" x14ac:dyDescent="0.25">
      <c r="O358" s="25" t="s">
        <v>20</v>
      </c>
      <c r="P358" s="26">
        <v>316</v>
      </c>
      <c r="Q358" s="26"/>
      <c r="R358" s="26" t="s">
        <v>14</v>
      </c>
      <c r="S358" s="27">
        <v>263</v>
      </c>
      <c r="U358" s="50">
        <v>2756</v>
      </c>
      <c r="V358" s="33">
        <f>COUNTIF($P$17:$P$581,$U358)</f>
        <v>1</v>
      </c>
    </row>
    <row r="359" spans="15:22" x14ac:dyDescent="0.25">
      <c r="O359" s="25" t="s">
        <v>20</v>
      </c>
      <c r="P359" s="26">
        <v>117</v>
      </c>
      <c r="Q359" s="26"/>
      <c r="R359" s="26" t="s">
        <v>14</v>
      </c>
      <c r="S359" s="27">
        <v>1691</v>
      </c>
      <c r="U359" s="50">
        <v>2768</v>
      </c>
      <c r="V359" s="33">
        <f>COUNTIF($P$17:$P$581,$U359)</f>
        <v>1</v>
      </c>
    </row>
    <row r="360" spans="15:22" x14ac:dyDescent="0.25">
      <c r="O360" s="25" t="s">
        <v>20</v>
      </c>
      <c r="P360" s="26">
        <v>6406</v>
      </c>
      <c r="Q360" s="26"/>
      <c r="R360" s="26" t="s">
        <v>14</v>
      </c>
      <c r="S360" s="27">
        <v>181</v>
      </c>
      <c r="U360" s="50">
        <v>2805</v>
      </c>
      <c r="V360" s="33">
        <f>COUNTIF($P$17:$P$581,$U360)</f>
        <v>1</v>
      </c>
    </row>
    <row r="361" spans="15:22" x14ac:dyDescent="0.25">
      <c r="O361" s="25" t="s">
        <v>20</v>
      </c>
      <c r="P361" s="26">
        <v>192</v>
      </c>
      <c r="Q361" s="26"/>
      <c r="R361" s="26" t="s">
        <v>14</v>
      </c>
      <c r="S361" s="27">
        <v>13</v>
      </c>
      <c r="U361" s="50">
        <v>2857</v>
      </c>
      <c r="V361" s="33">
        <f>COUNTIF($P$17:$P$581,$U361)</f>
        <v>1</v>
      </c>
    </row>
    <row r="362" spans="15:22" x14ac:dyDescent="0.25">
      <c r="O362" s="25" t="s">
        <v>20</v>
      </c>
      <c r="P362" s="26">
        <v>26</v>
      </c>
      <c r="Q362" s="26"/>
      <c r="R362" s="26" t="s">
        <v>14</v>
      </c>
      <c r="S362" s="27">
        <v>1</v>
      </c>
      <c r="U362" s="50">
        <v>2875</v>
      </c>
      <c r="V362" s="33">
        <f>COUNTIF($P$17:$P$581,$U362)</f>
        <v>1</v>
      </c>
    </row>
    <row r="363" spans="15:22" x14ac:dyDescent="0.25">
      <c r="O363" s="25" t="s">
        <v>20</v>
      </c>
      <c r="P363" s="26">
        <v>723</v>
      </c>
      <c r="Q363" s="26"/>
      <c r="R363" s="26" t="s">
        <v>14</v>
      </c>
      <c r="S363" s="27">
        <v>21</v>
      </c>
      <c r="U363" s="50">
        <v>2893</v>
      </c>
      <c r="V363" s="33">
        <f>COUNTIF($P$17:$P$581,$U363)</f>
        <v>1</v>
      </c>
    </row>
    <row r="364" spans="15:22" x14ac:dyDescent="0.25">
      <c r="O364" s="25" t="s">
        <v>20</v>
      </c>
      <c r="P364" s="26">
        <v>170</v>
      </c>
      <c r="Q364" s="26"/>
      <c r="R364" s="26" t="s">
        <v>14</v>
      </c>
      <c r="S364" s="27">
        <v>830</v>
      </c>
      <c r="U364" s="50">
        <v>2985</v>
      </c>
      <c r="V364" s="33">
        <f>COUNTIF($P$17:$P$581,$U364)</f>
        <v>1</v>
      </c>
    </row>
    <row r="365" spans="15:22" x14ac:dyDescent="0.25">
      <c r="O365" s="25" t="s">
        <v>20</v>
      </c>
      <c r="P365" s="26">
        <v>238</v>
      </c>
      <c r="Q365" s="26"/>
      <c r="R365" s="26" t="s">
        <v>14</v>
      </c>
      <c r="S365" s="27">
        <v>130</v>
      </c>
      <c r="U365" s="50">
        <v>3016</v>
      </c>
      <c r="V365" s="33">
        <f>COUNTIF($P$17:$P$581,$U365)</f>
        <v>1</v>
      </c>
    </row>
    <row r="366" spans="15:22" x14ac:dyDescent="0.25">
      <c r="O366" s="25" t="s">
        <v>20</v>
      </c>
      <c r="P366" s="26">
        <v>55</v>
      </c>
      <c r="Q366" s="26"/>
      <c r="R366" s="26" t="s">
        <v>14</v>
      </c>
      <c r="S366" s="27">
        <v>55</v>
      </c>
      <c r="U366" s="50">
        <v>3036</v>
      </c>
      <c r="V366" s="33">
        <f>COUNTIF($P$17:$P$581,$U366)</f>
        <v>1</v>
      </c>
    </row>
    <row r="367" spans="15:22" x14ac:dyDescent="0.25">
      <c r="O367" s="25" t="s">
        <v>20</v>
      </c>
      <c r="P367" s="26">
        <v>128</v>
      </c>
      <c r="Q367" s="26"/>
      <c r="R367" s="26" t="s">
        <v>14</v>
      </c>
      <c r="S367" s="27">
        <v>114</v>
      </c>
      <c r="U367" s="50">
        <v>3059</v>
      </c>
      <c r="V367" s="33">
        <f>COUNTIF($P$17:$P$581,$U367)</f>
        <v>1</v>
      </c>
    </row>
    <row r="368" spans="15:22" x14ac:dyDescent="0.25">
      <c r="O368" s="25" t="s">
        <v>20</v>
      </c>
      <c r="P368" s="26">
        <v>2144</v>
      </c>
      <c r="Q368" s="26"/>
      <c r="R368" s="26" t="s">
        <v>14</v>
      </c>
      <c r="S368" s="27">
        <v>594</v>
      </c>
      <c r="U368" s="50">
        <v>3063</v>
      </c>
      <c r="V368" s="33">
        <f>COUNTIF($P$17:$P$581,$U368)</f>
        <v>1</v>
      </c>
    </row>
    <row r="369" spans="15:22" x14ac:dyDescent="0.25">
      <c r="O369" s="25" t="s">
        <v>20</v>
      </c>
      <c r="P369" s="26">
        <v>2693</v>
      </c>
      <c r="Q369" s="26"/>
      <c r="R369" s="26" t="s">
        <v>14</v>
      </c>
      <c r="S369" s="27">
        <v>24</v>
      </c>
      <c r="U369" s="50">
        <v>3116</v>
      </c>
      <c r="V369" s="33">
        <f>COUNTIF($P$17:$P$581,$U369)</f>
        <v>1</v>
      </c>
    </row>
    <row r="370" spans="15:22" x14ac:dyDescent="0.25">
      <c r="O370" s="25" t="s">
        <v>20</v>
      </c>
      <c r="P370" s="26">
        <v>432</v>
      </c>
      <c r="Q370" s="26"/>
      <c r="R370" s="26" t="s">
        <v>14</v>
      </c>
      <c r="S370" s="27">
        <v>252</v>
      </c>
      <c r="U370" s="50">
        <v>3131</v>
      </c>
      <c r="V370" s="33">
        <f>COUNTIF($P$17:$P$581,$U370)</f>
        <v>1</v>
      </c>
    </row>
    <row r="371" spans="15:22" x14ac:dyDescent="0.25">
      <c r="O371" s="25" t="s">
        <v>20</v>
      </c>
      <c r="P371" s="26">
        <v>189</v>
      </c>
      <c r="Q371" s="26"/>
      <c r="R371" s="26" t="s">
        <v>14</v>
      </c>
      <c r="S371" s="27">
        <v>67</v>
      </c>
      <c r="U371" s="50">
        <v>3177</v>
      </c>
      <c r="V371" s="33">
        <f>COUNTIF($P$17:$P$581,$U371)</f>
        <v>1</v>
      </c>
    </row>
    <row r="372" spans="15:22" x14ac:dyDescent="0.25">
      <c r="O372" s="25" t="s">
        <v>20</v>
      </c>
      <c r="P372" s="26">
        <v>154</v>
      </c>
      <c r="Q372" s="26"/>
      <c r="R372" s="26" t="s">
        <v>14</v>
      </c>
      <c r="S372" s="27">
        <v>742</v>
      </c>
      <c r="U372" s="50">
        <v>3205</v>
      </c>
      <c r="V372" s="33">
        <f>COUNTIF($P$17:$P$581,$U372)</f>
        <v>1</v>
      </c>
    </row>
    <row r="373" spans="15:22" x14ac:dyDescent="0.25">
      <c r="O373" s="25" t="s">
        <v>20</v>
      </c>
      <c r="P373" s="26">
        <v>96</v>
      </c>
      <c r="Q373" s="26"/>
      <c r="R373" s="26" t="s">
        <v>14</v>
      </c>
      <c r="S373" s="27">
        <v>75</v>
      </c>
      <c r="U373" s="50">
        <v>3272</v>
      </c>
      <c r="V373" s="33">
        <f>COUNTIF($P$17:$P$581,$U373)</f>
        <v>1</v>
      </c>
    </row>
    <row r="374" spans="15:22" x14ac:dyDescent="0.25">
      <c r="O374" s="25" t="s">
        <v>20</v>
      </c>
      <c r="P374" s="26">
        <v>3063</v>
      </c>
      <c r="Q374" s="26"/>
      <c r="R374" s="26" t="s">
        <v>14</v>
      </c>
      <c r="S374" s="27">
        <v>4405</v>
      </c>
      <c r="U374" s="50">
        <v>3308</v>
      </c>
      <c r="V374" s="33">
        <f>COUNTIF($P$17:$P$581,$U374)</f>
        <v>1</v>
      </c>
    </row>
    <row r="375" spans="15:22" x14ac:dyDescent="0.25">
      <c r="O375" s="25" t="s">
        <v>20</v>
      </c>
      <c r="P375" s="26">
        <v>2266</v>
      </c>
      <c r="Q375" s="26"/>
      <c r="R375" s="26" t="s">
        <v>14</v>
      </c>
      <c r="S375" s="27">
        <v>92</v>
      </c>
      <c r="U375" s="50">
        <v>3318</v>
      </c>
      <c r="V375" s="33">
        <f>COUNTIF($P$17:$P$581,$U375)</f>
        <v>1</v>
      </c>
    </row>
    <row r="376" spans="15:22" x14ac:dyDescent="0.25">
      <c r="O376" s="25" t="s">
        <v>20</v>
      </c>
      <c r="P376" s="26">
        <v>194</v>
      </c>
      <c r="Q376" s="26"/>
      <c r="R376" s="26" t="s">
        <v>14</v>
      </c>
      <c r="S376" s="27">
        <v>64</v>
      </c>
      <c r="U376" s="50">
        <v>3376</v>
      </c>
      <c r="V376" s="33">
        <f>COUNTIF($P$17:$P$581,$U376)</f>
        <v>1</v>
      </c>
    </row>
    <row r="377" spans="15:22" x14ac:dyDescent="0.25">
      <c r="O377" s="25" t="s">
        <v>20</v>
      </c>
      <c r="P377" s="26">
        <v>129</v>
      </c>
      <c r="Q377" s="26"/>
      <c r="R377" s="26" t="s">
        <v>14</v>
      </c>
      <c r="S377" s="27">
        <v>64</v>
      </c>
      <c r="U377" s="50">
        <v>3388</v>
      </c>
      <c r="V377" s="33">
        <f>COUNTIF($P$17:$P$581,$U377)</f>
        <v>1</v>
      </c>
    </row>
    <row r="378" spans="15:22" x14ac:dyDescent="0.25">
      <c r="O378" s="25" t="s">
        <v>20</v>
      </c>
      <c r="P378" s="26">
        <v>375</v>
      </c>
      <c r="Q378" s="26"/>
      <c r="R378" s="26" t="s">
        <v>14</v>
      </c>
      <c r="S378" s="27">
        <v>842</v>
      </c>
      <c r="U378" s="50">
        <v>3533</v>
      </c>
      <c r="V378" s="33">
        <f>COUNTIF($P$17:$P$581,$U378)</f>
        <v>1</v>
      </c>
    </row>
    <row r="379" spans="15:22" x14ac:dyDescent="0.25">
      <c r="O379" s="25" t="s">
        <v>20</v>
      </c>
      <c r="P379" s="26">
        <v>409</v>
      </c>
      <c r="Q379" s="26"/>
      <c r="R379" s="26" t="s">
        <v>14</v>
      </c>
      <c r="S379" s="27">
        <v>112</v>
      </c>
      <c r="U379" s="50">
        <v>3537</v>
      </c>
      <c r="V379" s="33">
        <f>COUNTIF($P$17:$P$581,$U379)</f>
        <v>1</v>
      </c>
    </row>
    <row r="380" spans="15:22" x14ac:dyDescent="0.25">
      <c r="O380" s="25" t="s">
        <v>20</v>
      </c>
      <c r="P380" s="26">
        <v>234</v>
      </c>
      <c r="Q380" s="26"/>
      <c r="R380" s="26" t="s">
        <v>14</v>
      </c>
      <c r="S380" s="27">
        <v>374</v>
      </c>
      <c r="U380" s="50">
        <v>3594</v>
      </c>
      <c r="V380" s="33">
        <f>COUNTIF($P$17:$P$581,$U380)</f>
        <v>1</v>
      </c>
    </row>
    <row r="381" spans="15:22" x14ac:dyDescent="0.25">
      <c r="O381" s="25" t="s">
        <v>20</v>
      </c>
      <c r="P381" s="26">
        <v>3016</v>
      </c>
      <c r="Q381" s="26"/>
      <c r="R381" s="26"/>
      <c r="S381" s="27"/>
      <c r="U381" s="50">
        <v>3596</v>
      </c>
      <c r="V381" s="33">
        <f>COUNTIF($P$17:$P$581,$U381)</f>
        <v>1</v>
      </c>
    </row>
    <row r="382" spans="15:22" x14ac:dyDescent="0.25">
      <c r="O382" s="25" t="s">
        <v>20</v>
      </c>
      <c r="P382" s="26">
        <v>264</v>
      </c>
      <c r="Q382" s="26"/>
      <c r="R382" s="26"/>
      <c r="S382" s="27"/>
      <c r="U382" s="50">
        <v>3657</v>
      </c>
      <c r="V382" s="33">
        <f>COUNTIF($P$17:$P$581,$U382)</f>
        <v>1</v>
      </c>
    </row>
    <row r="383" spans="15:22" x14ac:dyDescent="0.25">
      <c r="O383" s="25" t="s">
        <v>20</v>
      </c>
      <c r="P383" s="26">
        <v>272</v>
      </c>
      <c r="Q383" s="26"/>
      <c r="R383" s="26"/>
      <c r="S383" s="27"/>
      <c r="U383" s="50">
        <v>3727</v>
      </c>
      <c r="V383" s="33">
        <f>COUNTIF($P$17:$P$581,$U383)</f>
        <v>1</v>
      </c>
    </row>
    <row r="384" spans="15:22" x14ac:dyDescent="0.25">
      <c r="O384" s="25" t="s">
        <v>20</v>
      </c>
      <c r="P384" s="26">
        <v>419</v>
      </c>
      <c r="Q384" s="26"/>
      <c r="R384" s="26"/>
      <c r="S384" s="27"/>
      <c r="U384" s="50">
        <v>3742</v>
      </c>
      <c r="V384" s="33">
        <f>COUNTIF($P$17:$P$581,$U384)</f>
        <v>1</v>
      </c>
    </row>
    <row r="385" spans="15:22" x14ac:dyDescent="0.25">
      <c r="O385" s="25" t="s">
        <v>20</v>
      </c>
      <c r="P385" s="26">
        <v>1621</v>
      </c>
      <c r="Q385" s="26"/>
      <c r="R385" s="26"/>
      <c r="S385" s="27"/>
      <c r="U385" s="50">
        <v>3777</v>
      </c>
      <c r="V385" s="33">
        <f>COUNTIF($P$17:$P$581,$U385)</f>
        <v>1</v>
      </c>
    </row>
    <row r="386" spans="15:22" x14ac:dyDescent="0.25">
      <c r="O386" s="25" t="s">
        <v>20</v>
      </c>
      <c r="P386" s="26">
        <v>1101</v>
      </c>
      <c r="Q386" s="26"/>
      <c r="R386" s="26"/>
      <c r="S386" s="27"/>
      <c r="U386" s="50">
        <v>3934</v>
      </c>
      <c r="V386" s="33">
        <f>COUNTIF($P$17:$P$581,$U386)</f>
        <v>1</v>
      </c>
    </row>
    <row r="387" spans="15:22" x14ac:dyDescent="0.25">
      <c r="O387" s="25" t="s">
        <v>20</v>
      </c>
      <c r="P387" s="26">
        <v>1073</v>
      </c>
      <c r="Q387" s="26"/>
      <c r="R387" s="26"/>
      <c r="S387" s="27"/>
      <c r="U387" s="50">
        <v>4006</v>
      </c>
      <c r="V387" s="33">
        <f>COUNTIF($P$17:$P$581,$U387)</f>
        <v>1</v>
      </c>
    </row>
    <row r="388" spans="15:22" x14ac:dyDescent="0.25">
      <c r="O388" s="25" t="s">
        <v>20</v>
      </c>
      <c r="P388" s="26">
        <v>331</v>
      </c>
      <c r="Q388" s="26"/>
      <c r="R388" s="26"/>
      <c r="S388" s="27"/>
      <c r="U388" s="50">
        <v>4065</v>
      </c>
      <c r="V388" s="33">
        <f>COUNTIF($P$17:$P$581,$U388)</f>
        <v>1</v>
      </c>
    </row>
    <row r="389" spans="15:22" x14ac:dyDescent="0.25">
      <c r="O389" s="25" t="s">
        <v>20</v>
      </c>
      <c r="P389" s="26">
        <v>1170</v>
      </c>
      <c r="Q389" s="26"/>
      <c r="R389" s="26"/>
      <c r="S389" s="27"/>
      <c r="U389" s="50">
        <v>4233</v>
      </c>
      <c r="V389" s="33">
        <f>COUNTIF($P$17:$P$581,$U389)</f>
        <v>1</v>
      </c>
    </row>
    <row r="390" spans="15:22" x14ac:dyDescent="0.25">
      <c r="O390" s="25" t="s">
        <v>20</v>
      </c>
      <c r="P390" s="26">
        <v>363</v>
      </c>
      <c r="Q390" s="26"/>
      <c r="R390" s="26"/>
      <c r="S390" s="27"/>
      <c r="U390" s="50">
        <v>4289</v>
      </c>
      <c r="V390" s="33">
        <f>COUNTIF($P$17:$P$581,$U390)</f>
        <v>1</v>
      </c>
    </row>
    <row r="391" spans="15:22" x14ac:dyDescent="0.25">
      <c r="O391" s="25" t="s">
        <v>20</v>
      </c>
      <c r="P391" s="26">
        <v>103</v>
      </c>
      <c r="Q391" s="26"/>
      <c r="R391" s="26"/>
      <c r="S391" s="27"/>
      <c r="U391" s="50">
        <v>4358</v>
      </c>
      <c r="V391" s="33">
        <f>COUNTIF($P$17:$P$581,$U391)</f>
        <v>1</v>
      </c>
    </row>
    <row r="392" spans="15:22" x14ac:dyDescent="0.25">
      <c r="O392" s="25" t="s">
        <v>20</v>
      </c>
      <c r="P392" s="26">
        <v>147</v>
      </c>
      <c r="Q392" s="26"/>
      <c r="R392" s="26"/>
      <c r="S392" s="27"/>
      <c r="U392" s="50">
        <v>4498</v>
      </c>
      <c r="V392" s="33">
        <f>COUNTIF($P$17:$P$581,$U392)</f>
        <v>1</v>
      </c>
    </row>
    <row r="393" spans="15:22" x14ac:dyDescent="0.25">
      <c r="O393" s="25" t="s">
        <v>20</v>
      </c>
      <c r="P393" s="26">
        <v>110</v>
      </c>
      <c r="Q393" s="26"/>
      <c r="R393" s="26"/>
      <c r="S393" s="27"/>
      <c r="U393" s="50">
        <v>4799</v>
      </c>
      <c r="V393" s="33">
        <f>COUNTIF($P$17:$P$581,$U393)</f>
        <v>1</v>
      </c>
    </row>
    <row r="394" spans="15:22" x14ac:dyDescent="0.25">
      <c r="O394" s="25" t="s">
        <v>20</v>
      </c>
      <c r="P394" s="26">
        <v>134</v>
      </c>
      <c r="Q394" s="26"/>
      <c r="R394" s="26"/>
      <c r="S394" s="27"/>
      <c r="U394" s="50">
        <v>5139</v>
      </c>
      <c r="V394" s="33">
        <f>COUNTIF($P$17:$P$581,$U394)</f>
        <v>1</v>
      </c>
    </row>
    <row r="395" spans="15:22" x14ac:dyDescent="0.25">
      <c r="O395" s="25" t="s">
        <v>20</v>
      </c>
      <c r="P395" s="26">
        <v>269</v>
      </c>
      <c r="Q395" s="26"/>
      <c r="R395" s="26"/>
      <c r="S395" s="27"/>
      <c r="U395" s="50">
        <v>5168</v>
      </c>
      <c r="V395" s="33">
        <f>COUNTIF($P$17:$P$581,$U395)</f>
        <v>1</v>
      </c>
    </row>
    <row r="396" spans="15:22" x14ac:dyDescent="0.25">
      <c r="O396" s="25" t="s">
        <v>20</v>
      </c>
      <c r="P396" s="26">
        <v>175</v>
      </c>
      <c r="Q396" s="26"/>
      <c r="R396" s="26"/>
      <c r="S396" s="27"/>
      <c r="U396" s="50">
        <v>5180</v>
      </c>
      <c r="V396" s="33">
        <f>COUNTIF($P$17:$P$581,$U396)</f>
        <v>1</v>
      </c>
    </row>
    <row r="397" spans="15:22" x14ac:dyDescent="0.25">
      <c r="O397" s="25" t="s">
        <v>20</v>
      </c>
      <c r="P397" s="26">
        <v>69</v>
      </c>
      <c r="Q397" s="26"/>
      <c r="R397" s="26"/>
      <c r="S397" s="27"/>
      <c r="U397" s="50">
        <v>5203</v>
      </c>
      <c r="V397" s="33">
        <f>COUNTIF($P$17:$P$581,$U397)</f>
        <v>1</v>
      </c>
    </row>
    <row r="398" spans="15:22" x14ac:dyDescent="0.25">
      <c r="O398" s="25" t="s">
        <v>20</v>
      </c>
      <c r="P398" s="26">
        <v>190</v>
      </c>
      <c r="Q398" s="26"/>
      <c r="R398" s="26"/>
      <c r="S398" s="27"/>
      <c r="U398" s="50">
        <v>5419</v>
      </c>
      <c r="V398" s="33">
        <f>COUNTIF($P$17:$P$581,$U398)</f>
        <v>1</v>
      </c>
    </row>
    <row r="399" spans="15:22" x14ac:dyDescent="0.25">
      <c r="O399" s="25" t="s">
        <v>20</v>
      </c>
      <c r="P399" s="26">
        <v>237</v>
      </c>
      <c r="Q399" s="26"/>
      <c r="R399" s="26"/>
      <c r="S399" s="27"/>
      <c r="U399" s="50">
        <v>5512</v>
      </c>
      <c r="V399" s="33">
        <f>COUNTIF($P$17:$P$581,$U399)</f>
        <v>1</v>
      </c>
    </row>
    <row r="400" spans="15:22" x14ac:dyDescent="0.25">
      <c r="O400" s="25" t="s">
        <v>20</v>
      </c>
      <c r="P400" s="26">
        <v>196</v>
      </c>
      <c r="Q400" s="26"/>
      <c r="R400" s="26"/>
      <c r="S400" s="27"/>
      <c r="U400" s="50">
        <v>5880</v>
      </c>
      <c r="V400" s="33">
        <f>COUNTIF($P$17:$P$581,$U400)</f>
        <v>1</v>
      </c>
    </row>
    <row r="401" spans="15:22" x14ac:dyDescent="0.25">
      <c r="O401" s="25" t="s">
        <v>20</v>
      </c>
      <c r="P401" s="26">
        <v>7295</v>
      </c>
      <c r="Q401" s="26"/>
      <c r="R401" s="26"/>
      <c r="S401" s="27"/>
      <c r="U401" s="50">
        <v>5966</v>
      </c>
      <c r="V401" s="33">
        <f>COUNTIF($P$17:$P$581,$U401)</f>
        <v>1</v>
      </c>
    </row>
    <row r="402" spans="15:22" x14ac:dyDescent="0.25">
      <c r="O402" s="25" t="s">
        <v>20</v>
      </c>
      <c r="P402" s="26">
        <v>2893</v>
      </c>
      <c r="Q402" s="26"/>
      <c r="R402" s="26"/>
      <c r="S402" s="27"/>
      <c r="U402" s="50">
        <v>6212</v>
      </c>
      <c r="V402" s="33">
        <f>COUNTIF($P$17:$P$581,$U402)</f>
        <v>1</v>
      </c>
    </row>
    <row r="403" spans="15:22" x14ac:dyDescent="0.25">
      <c r="O403" s="25" t="s">
        <v>20</v>
      </c>
      <c r="P403" s="26">
        <v>820</v>
      </c>
      <c r="Q403" s="26"/>
      <c r="R403" s="26"/>
      <c r="S403" s="27"/>
      <c r="U403" s="50">
        <v>6286</v>
      </c>
      <c r="V403" s="33">
        <f>COUNTIF($P$17:$P$581,$U403)</f>
        <v>1</v>
      </c>
    </row>
    <row r="404" spans="15:22" x14ac:dyDescent="0.25">
      <c r="O404" s="25" t="s">
        <v>20</v>
      </c>
      <c r="P404" s="26">
        <v>2038</v>
      </c>
      <c r="Q404" s="26"/>
      <c r="R404" s="26"/>
      <c r="S404" s="27"/>
      <c r="U404" s="50">
        <v>6406</v>
      </c>
      <c r="V404" s="33">
        <f>COUNTIF($P$17:$P$581,$U404)</f>
        <v>1</v>
      </c>
    </row>
    <row r="405" spans="15:22" x14ac:dyDescent="0.25">
      <c r="O405" s="25" t="s">
        <v>20</v>
      </c>
      <c r="P405" s="26">
        <v>116</v>
      </c>
      <c r="Q405" s="26"/>
      <c r="R405" s="26"/>
      <c r="S405" s="27"/>
      <c r="U405" s="50">
        <v>6465</v>
      </c>
      <c r="V405" s="33">
        <f>COUNTIF($P$17:$P$581,$U405)</f>
        <v>1</v>
      </c>
    </row>
    <row r="406" spans="15:22" x14ac:dyDescent="0.25">
      <c r="O406" s="25" t="s">
        <v>20</v>
      </c>
      <c r="P406" s="26">
        <v>1345</v>
      </c>
      <c r="Q406" s="26"/>
      <c r="R406" s="26"/>
      <c r="S406" s="27"/>
      <c r="U406" s="50">
        <v>7295</v>
      </c>
      <c r="V406" s="33">
        <f>COUNTIF($P$17:$P$581,$U406)</f>
        <v>1</v>
      </c>
    </row>
    <row r="407" spans="15:22" x14ac:dyDescent="0.25">
      <c r="O407" s="25" t="s">
        <v>20</v>
      </c>
      <c r="P407" s="26">
        <v>168</v>
      </c>
      <c r="Q407" s="26"/>
      <c r="R407" s="26"/>
      <c r="S407" s="27"/>
    </row>
    <row r="408" spans="15:22" x14ac:dyDescent="0.25">
      <c r="O408" s="25" t="s">
        <v>20</v>
      </c>
      <c r="P408" s="26">
        <v>137</v>
      </c>
      <c r="Q408" s="26"/>
      <c r="R408" s="26"/>
      <c r="S408" s="27"/>
    </row>
    <row r="409" spans="15:22" x14ac:dyDescent="0.25">
      <c r="O409" s="25" t="s">
        <v>20</v>
      </c>
      <c r="P409" s="26">
        <v>186</v>
      </c>
      <c r="Q409" s="26"/>
      <c r="R409" s="26"/>
      <c r="S409" s="27"/>
    </row>
    <row r="410" spans="15:22" x14ac:dyDescent="0.25">
      <c r="O410" s="25" t="s">
        <v>20</v>
      </c>
      <c r="P410" s="26">
        <v>125</v>
      </c>
      <c r="Q410" s="26"/>
      <c r="R410" s="26"/>
      <c r="S410" s="27"/>
    </row>
    <row r="411" spans="15:22" x14ac:dyDescent="0.25">
      <c r="O411" s="25" t="s">
        <v>20</v>
      </c>
      <c r="P411" s="26">
        <v>202</v>
      </c>
      <c r="Q411" s="26"/>
      <c r="R411" s="26"/>
      <c r="S411" s="27"/>
    </row>
    <row r="412" spans="15:22" x14ac:dyDescent="0.25">
      <c r="O412" s="25" t="s">
        <v>20</v>
      </c>
      <c r="P412" s="26">
        <v>103</v>
      </c>
      <c r="Q412" s="26"/>
      <c r="R412" s="26"/>
      <c r="S412" s="27"/>
    </row>
    <row r="413" spans="15:22" x14ac:dyDescent="0.25">
      <c r="O413" s="25" t="s">
        <v>20</v>
      </c>
      <c r="P413" s="26">
        <v>1785</v>
      </c>
      <c r="Q413" s="26"/>
      <c r="R413" s="26"/>
      <c r="S413" s="27"/>
    </row>
    <row r="414" spans="15:22" x14ac:dyDescent="0.25">
      <c r="O414" s="25" t="s">
        <v>20</v>
      </c>
      <c r="P414" s="26">
        <v>157</v>
      </c>
      <c r="Q414" s="26"/>
      <c r="R414" s="26"/>
      <c r="S414" s="27"/>
    </row>
    <row r="415" spans="15:22" x14ac:dyDescent="0.25">
      <c r="O415" s="25" t="s">
        <v>20</v>
      </c>
      <c r="P415" s="26">
        <v>555</v>
      </c>
      <c r="Q415" s="26"/>
      <c r="R415" s="26"/>
      <c r="S415" s="27"/>
    </row>
    <row r="416" spans="15:22" x14ac:dyDescent="0.25">
      <c r="O416" s="25" t="s">
        <v>20</v>
      </c>
      <c r="P416" s="26">
        <v>297</v>
      </c>
      <c r="Q416" s="26"/>
      <c r="R416" s="26"/>
      <c r="S416" s="27"/>
    </row>
    <row r="417" spans="15:19" x14ac:dyDescent="0.25">
      <c r="O417" s="25" t="s">
        <v>20</v>
      </c>
      <c r="P417" s="26">
        <v>123</v>
      </c>
      <c r="Q417" s="26"/>
      <c r="R417" s="26"/>
      <c r="S417" s="27"/>
    </row>
    <row r="418" spans="15:19" x14ac:dyDescent="0.25">
      <c r="O418" s="25" t="s">
        <v>20</v>
      </c>
      <c r="P418" s="26">
        <v>3036</v>
      </c>
      <c r="Q418" s="26"/>
      <c r="R418" s="26"/>
      <c r="S418" s="27"/>
    </row>
    <row r="419" spans="15:19" x14ac:dyDescent="0.25">
      <c r="O419" s="25" t="s">
        <v>20</v>
      </c>
      <c r="P419" s="26">
        <v>144</v>
      </c>
      <c r="Q419" s="26"/>
      <c r="R419" s="26"/>
      <c r="S419" s="27"/>
    </row>
    <row r="420" spans="15:19" x14ac:dyDescent="0.25">
      <c r="O420" s="25" t="s">
        <v>20</v>
      </c>
      <c r="P420" s="26">
        <v>121</v>
      </c>
      <c r="Q420" s="26"/>
      <c r="R420" s="26"/>
      <c r="S420" s="27"/>
    </row>
    <row r="421" spans="15:19" x14ac:dyDescent="0.25">
      <c r="O421" s="25" t="s">
        <v>20</v>
      </c>
      <c r="P421" s="26">
        <v>181</v>
      </c>
      <c r="Q421" s="26"/>
      <c r="R421" s="26"/>
      <c r="S421" s="27"/>
    </row>
    <row r="422" spans="15:19" x14ac:dyDescent="0.25">
      <c r="O422" s="25" t="s">
        <v>20</v>
      </c>
      <c r="P422" s="26">
        <v>122</v>
      </c>
      <c r="Q422" s="26"/>
      <c r="R422" s="26"/>
      <c r="S422" s="27"/>
    </row>
    <row r="423" spans="15:19" x14ac:dyDescent="0.25">
      <c r="O423" s="25" t="s">
        <v>20</v>
      </c>
      <c r="P423" s="26">
        <v>1071</v>
      </c>
      <c r="Q423" s="26"/>
      <c r="R423" s="26"/>
      <c r="S423" s="27"/>
    </row>
    <row r="424" spans="15:19" x14ac:dyDescent="0.25">
      <c r="O424" s="25" t="s">
        <v>20</v>
      </c>
      <c r="P424" s="26">
        <v>980</v>
      </c>
      <c r="Q424" s="26"/>
      <c r="R424" s="26"/>
      <c r="S424" s="27"/>
    </row>
    <row r="425" spans="15:19" x14ac:dyDescent="0.25">
      <c r="O425" s="25" t="s">
        <v>20</v>
      </c>
      <c r="P425" s="26">
        <v>536</v>
      </c>
      <c r="Q425" s="26"/>
      <c r="R425" s="26"/>
      <c r="S425" s="27"/>
    </row>
    <row r="426" spans="15:19" x14ac:dyDescent="0.25">
      <c r="O426" s="25" t="s">
        <v>20</v>
      </c>
      <c r="P426" s="26">
        <v>1991</v>
      </c>
      <c r="Q426" s="26"/>
      <c r="R426" s="26"/>
      <c r="S426" s="27"/>
    </row>
    <row r="427" spans="15:19" x14ac:dyDescent="0.25">
      <c r="O427" s="25" t="s">
        <v>20</v>
      </c>
      <c r="P427" s="26">
        <v>180</v>
      </c>
      <c r="Q427" s="26"/>
      <c r="R427" s="26"/>
      <c r="S427" s="27"/>
    </row>
    <row r="428" spans="15:19" x14ac:dyDescent="0.25">
      <c r="O428" s="25" t="s">
        <v>20</v>
      </c>
      <c r="P428" s="26">
        <v>130</v>
      </c>
      <c r="Q428" s="26"/>
      <c r="R428" s="26"/>
      <c r="S428" s="27"/>
    </row>
    <row r="429" spans="15:19" x14ac:dyDescent="0.25">
      <c r="O429" s="25" t="s">
        <v>20</v>
      </c>
      <c r="P429" s="26">
        <v>122</v>
      </c>
      <c r="Q429" s="26"/>
      <c r="R429" s="26"/>
      <c r="S429" s="27"/>
    </row>
    <row r="430" spans="15:19" x14ac:dyDescent="0.25">
      <c r="O430" s="25" t="s">
        <v>20</v>
      </c>
      <c r="P430" s="26">
        <v>140</v>
      </c>
      <c r="Q430" s="26"/>
      <c r="R430" s="26"/>
      <c r="S430" s="27"/>
    </row>
    <row r="431" spans="15:19" x14ac:dyDescent="0.25">
      <c r="O431" s="25" t="s">
        <v>20</v>
      </c>
      <c r="P431" s="26">
        <v>3388</v>
      </c>
      <c r="Q431" s="26"/>
      <c r="R431" s="26"/>
      <c r="S431" s="27"/>
    </row>
    <row r="432" spans="15:19" x14ac:dyDescent="0.25">
      <c r="O432" s="25" t="s">
        <v>20</v>
      </c>
      <c r="P432" s="26">
        <v>280</v>
      </c>
      <c r="Q432" s="26"/>
      <c r="R432" s="26"/>
      <c r="S432" s="27"/>
    </row>
    <row r="433" spans="15:19" x14ac:dyDescent="0.25">
      <c r="O433" s="25" t="s">
        <v>20</v>
      </c>
      <c r="P433" s="26">
        <v>366</v>
      </c>
      <c r="Q433" s="26"/>
      <c r="R433" s="26"/>
      <c r="S433" s="27"/>
    </row>
    <row r="434" spans="15:19" x14ac:dyDescent="0.25">
      <c r="O434" s="25" t="s">
        <v>20</v>
      </c>
      <c r="P434" s="26">
        <v>270</v>
      </c>
      <c r="Q434" s="26"/>
      <c r="R434" s="26"/>
      <c r="S434" s="27"/>
    </row>
    <row r="435" spans="15:19" x14ac:dyDescent="0.25">
      <c r="O435" s="25" t="s">
        <v>20</v>
      </c>
      <c r="P435" s="26">
        <v>137</v>
      </c>
      <c r="Q435" s="26"/>
      <c r="R435" s="26"/>
      <c r="S435" s="27"/>
    </row>
    <row r="436" spans="15:19" x14ac:dyDescent="0.25">
      <c r="O436" s="25" t="s">
        <v>20</v>
      </c>
      <c r="P436" s="26">
        <v>3205</v>
      </c>
      <c r="Q436" s="26"/>
      <c r="R436" s="26"/>
      <c r="S436" s="27"/>
    </row>
    <row r="437" spans="15:19" x14ac:dyDescent="0.25">
      <c r="O437" s="25" t="s">
        <v>20</v>
      </c>
      <c r="P437" s="26">
        <v>288</v>
      </c>
      <c r="Q437" s="26"/>
      <c r="R437" s="26"/>
      <c r="S437" s="27"/>
    </row>
    <row r="438" spans="15:19" x14ac:dyDescent="0.25">
      <c r="O438" s="25" t="s">
        <v>20</v>
      </c>
      <c r="P438" s="26">
        <v>148</v>
      </c>
      <c r="Q438" s="26"/>
      <c r="R438" s="26"/>
      <c r="S438" s="27"/>
    </row>
    <row r="439" spans="15:19" x14ac:dyDescent="0.25">
      <c r="O439" s="25" t="s">
        <v>20</v>
      </c>
      <c r="P439" s="26">
        <v>114</v>
      </c>
      <c r="Q439" s="26"/>
      <c r="R439" s="26"/>
      <c r="S439" s="27"/>
    </row>
    <row r="440" spans="15:19" x14ac:dyDescent="0.25">
      <c r="O440" s="25" t="s">
        <v>20</v>
      </c>
      <c r="P440" s="26">
        <v>1518</v>
      </c>
      <c r="Q440" s="26"/>
      <c r="R440" s="26"/>
      <c r="S440" s="27"/>
    </row>
    <row r="441" spans="15:19" x14ac:dyDescent="0.25">
      <c r="O441" s="25" t="s">
        <v>20</v>
      </c>
      <c r="P441" s="26">
        <v>166</v>
      </c>
      <c r="Q441" s="26"/>
      <c r="R441" s="26"/>
      <c r="S441" s="27"/>
    </row>
    <row r="442" spans="15:19" x14ac:dyDescent="0.25">
      <c r="O442" s="25" t="s">
        <v>20</v>
      </c>
      <c r="P442" s="26">
        <v>100</v>
      </c>
      <c r="Q442" s="26"/>
      <c r="R442" s="26"/>
      <c r="S442" s="27"/>
    </row>
    <row r="443" spans="15:19" x14ac:dyDescent="0.25">
      <c r="O443" s="25" t="s">
        <v>20</v>
      </c>
      <c r="P443" s="26">
        <v>235</v>
      </c>
      <c r="Q443" s="26"/>
      <c r="R443" s="26"/>
      <c r="S443" s="27"/>
    </row>
    <row r="444" spans="15:19" x14ac:dyDescent="0.25">
      <c r="O444" s="25" t="s">
        <v>20</v>
      </c>
      <c r="P444" s="26">
        <v>148</v>
      </c>
      <c r="Q444" s="26"/>
      <c r="R444" s="26"/>
      <c r="S444" s="27"/>
    </row>
    <row r="445" spans="15:19" x14ac:dyDescent="0.25">
      <c r="O445" s="25" t="s">
        <v>20</v>
      </c>
      <c r="P445" s="26">
        <v>198</v>
      </c>
      <c r="Q445" s="26"/>
      <c r="R445" s="26"/>
      <c r="S445" s="27"/>
    </row>
    <row r="446" spans="15:19" x14ac:dyDescent="0.25">
      <c r="O446" s="25" t="s">
        <v>20</v>
      </c>
      <c r="P446" s="26">
        <v>150</v>
      </c>
      <c r="Q446" s="26"/>
      <c r="R446" s="26"/>
      <c r="S446" s="27"/>
    </row>
    <row r="447" spans="15:19" x14ac:dyDescent="0.25">
      <c r="O447" s="25" t="s">
        <v>20</v>
      </c>
      <c r="P447" s="26">
        <v>216</v>
      </c>
      <c r="Q447" s="26"/>
      <c r="R447" s="26"/>
      <c r="S447" s="27"/>
    </row>
    <row r="448" spans="15:19" x14ac:dyDescent="0.25">
      <c r="O448" s="25" t="s">
        <v>20</v>
      </c>
      <c r="P448" s="26">
        <v>5139</v>
      </c>
      <c r="Q448" s="26"/>
      <c r="R448" s="26"/>
      <c r="S448" s="27"/>
    </row>
    <row r="449" spans="15:19" x14ac:dyDescent="0.25">
      <c r="O449" s="25" t="s">
        <v>20</v>
      </c>
      <c r="P449" s="26">
        <v>2353</v>
      </c>
      <c r="Q449" s="26"/>
      <c r="R449" s="26"/>
      <c r="S449" s="27"/>
    </row>
    <row r="450" spans="15:19" x14ac:dyDescent="0.25">
      <c r="O450" s="25" t="s">
        <v>20</v>
      </c>
      <c r="P450" s="26">
        <v>78</v>
      </c>
      <c r="Q450" s="26"/>
      <c r="R450" s="26"/>
      <c r="S450" s="27"/>
    </row>
    <row r="451" spans="15:19" x14ac:dyDescent="0.25">
      <c r="O451" s="25" t="s">
        <v>20</v>
      </c>
      <c r="P451" s="26">
        <v>174</v>
      </c>
      <c r="Q451" s="26"/>
      <c r="R451" s="26"/>
      <c r="S451" s="27"/>
    </row>
    <row r="452" spans="15:19" x14ac:dyDescent="0.25">
      <c r="O452" s="25" t="s">
        <v>20</v>
      </c>
      <c r="P452" s="26">
        <v>164</v>
      </c>
      <c r="Q452" s="26"/>
      <c r="R452" s="26"/>
      <c r="S452" s="27"/>
    </row>
    <row r="453" spans="15:19" x14ac:dyDescent="0.25">
      <c r="O453" s="25" t="s">
        <v>20</v>
      </c>
      <c r="P453" s="26">
        <v>161</v>
      </c>
      <c r="Q453" s="26"/>
      <c r="R453" s="26"/>
      <c r="S453" s="27"/>
    </row>
    <row r="454" spans="15:19" x14ac:dyDescent="0.25">
      <c r="O454" s="25" t="s">
        <v>20</v>
      </c>
      <c r="P454" s="26">
        <v>138</v>
      </c>
      <c r="Q454" s="26"/>
      <c r="R454" s="26"/>
      <c r="S454" s="27"/>
    </row>
    <row r="455" spans="15:19" x14ac:dyDescent="0.25">
      <c r="O455" s="25" t="s">
        <v>20</v>
      </c>
      <c r="P455" s="26">
        <v>3308</v>
      </c>
      <c r="Q455" s="26"/>
      <c r="R455" s="26"/>
      <c r="S455" s="27"/>
    </row>
    <row r="456" spans="15:19" x14ac:dyDescent="0.25">
      <c r="O456" s="25" t="s">
        <v>20</v>
      </c>
      <c r="P456" s="26">
        <v>127</v>
      </c>
      <c r="Q456" s="26"/>
      <c r="R456" s="26"/>
      <c r="S456" s="27"/>
    </row>
    <row r="457" spans="15:19" x14ac:dyDescent="0.25">
      <c r="O457" s="25" t="s">
        <v>20</v>
      </c>
      <c r="P457" s="26">
        <v>207</v>
      </c>
      <c r="Q457" s="26"/>
      <c r="R457" s="26"/>
      <c r="S457" s="27"/>
    </row>
    <row r="458" spans="15:19" x14ac:dyDescent="0.25">
      <c r="O458" s="25" t="s">
        <v>20</v>
      </c>
      <c r="P458" s="26">
        <v>181</v>
      </c>
      <c r="Q458" s="26"/>
      <c r="R458" s="26"/>
      <c r="S458" s="27"/>
    </row>
    <row r="459" spans="15:19" x14ac:dyDescent="0.25">
      <c r="O459" s="25" t="s">
        <v>20</v>
      </c>
      <c r="P459" s="26">
        <v>110</v>
      </c>
      <c r="Q459" s="26"/>
      <c r="R459" s="26"/>
      <c r="S459" s="27"/>
    </row>
    <row r="460" spans="15:19" x14ac:dyDescent="0.25">
      <c r="O460" s="25" t="s">
        <v>20</v>
      </c>
      <c r="P460" s="26">
        <v>185</v>
      </c>
      <c r="Q460" s="26"/>
      <c r="R460" s="26"/>
      <c r="S460" s="27"/>
    </row>
    <row r="461" spans="15:19" x14ac:dyDescent="0.25">
      <c r="O461" s="25" t="s">
        <v>20</v>
      </c>
      <c r="P461" s="26">
        <v>121</v>
      </c>
      <c r="Q461" s="26"/>
      <c r="R461" s="26"/>
      <c r="S461" s="27"/>
    </row>
    <row r="462" spans="15:19" x14ac:dyDescent="0.25">
      <c r="O462" s="25" t="s">
        <v>20</v>
      </c>
      <c r="P462" s="26">
        <v>106</v>
      </c>
      <c r="Q462" s="26"/>
      <c r="R462" s="26"/>
      <c r="S462" s="27"/>
    </row>
    <row r="463" spans="15:19" x14ac:dyDescent="0.25">
      <c r="O463" s="25" t="s">
        <v>20</v>
      </c>
      <c r="P463" s="26">
        <v>142</v>
      </c>
      <c r="Q463" s="26"/>
      <c r="R463" s="26"/>
      <c r="S463" s="27"/>
    </row>
    <row r="464" spans="15:19" x14ac:dyDescent="0.25">
      <c r="O464" s="25" t="s">
        <v>20</v>
      </c>
      <c r="P464" s="26">
        <v>233</v>
      </c>
      <c r="Q464" s="26"/>
      <c r="R464" s="26"/>
      <c r="S464" s="27"/>
    </row>
    <row r="465" spans="15:19" x14ac:dyDescent="0.25">
      <c r="O465" s="25" t="s">
        <v>20</v>
      </c>
      <c r="P465" s="26">
        <v>218</v>
      </c>
      <c r="Q465" s="26"/>
      <c r="R465" s="26"/>
      <c r="S465" s="27"/>
    </row>
    <row r="466" spans="15:19" x14ac:dyDescent="0.25">
      <c r="O466" s="25" t="s">
        <v>20</v>
      </c>
      <c r="P466" s="26">
        <v>76</v>
      </c>
      <c r="Q466" s="26"/>
      <c r="R466" s="26"/>
      <c r="S466" s="27"/>
    </row>
    <row r="467" spans="15:19" x14ac:dyDescent="0.25">
      <c r="O467" s="25" t="s">
        <v>20</v>
      </c>
      <c r="P467" s="26">
        <v>43</v>
      </c>
      <c r="Q467" s="26"/>
      <c r="R467" s="26"/>
      <c r="S467" s="27"/>
    </row>
    <row r="468" spans="15:19" x14ac:dyDescent="0.25">
      <c r="O468" s="25" t="s">
        <v>20</v>
      </c>
      <c r="P468" s="26">
        <v>221</v>
      </c>
      <c r="Q468" s="26"/>
      <c r="R468" s="26"/>
      <c r="S468" s="27"/>
    </row>
    <row r="469" spans="15:19" x14ac:dyDescent="0.25">
      <c r="O469" s="25" t="s">
        <v>20</v>
      </c>
      <c r="P469" s="26">
        <v>2805</v>
      </c>
      <c r="Q469" s="26"/>
      <c r="R469" s="26"/>
      <c r="S469" s="27"/>
    </row>
    <row r="470" spans="15:19" x14ac:dyDescent="0.25">
      <c r="O470" s="25" t="s">
        <v>20</v>
      </c>
      <c r="P470" s="26">
        <v>68</v>
      </c>
      <c r="Q470" s="26"/>
      <c r="R470" s="26"/>
      <c r="S470" s="27"/>
    </row>
    <row r="471" spans="15:19" x14ac:dyDescent="0.25">
      <c r="O471" s="25" t="s">
        <v>20</v>
      </c>
      <c r="P471" s="26">
        <v>183</v>
      </c>
      <c r="Q471" s="26"/>
      <c r="R471" s="26"/>
      <c r="S471" s="27"/>
    </row>
    <row r="472" spans="15:19" x14ac:dyDescent="0.25">
      <c r="O472" s="25" t="s">
        <v>20</v>
      </c>
      <c r="P472" s="26">
        <v>133</v>
      </c>
      <c r="Q472" s="26"/>
      <c r="R472" s="26"/>
      <c r="S472" s="27"/>
    </row>
    <row r="473" spans="15:19" x14ac:dyDescent="0.25">
      <c r="O473" s="25" t="s">
        <v>20</v>
      </c>
      <c r="P473" s="26">
        <v>2489</v>
      </c>
      <c r="Q473" s="26"/>
      <c r="R473" s="26"/>
      <c r="S473" s="27"/>
    </row>
    <row r="474" spans="15:19" x14ac:dyDescent="0.25">
      <c r="O474" s="25" t="s">
        <v>20</v>
      </c>
      <c r="P474" s="26">
        <v>69</v>
      </c>
      <c r="Q474" s="26"/>
      <c r="R474" s="26"/>
      <c r="S474" s="27"/>
    </row>
    <row r="475" spans="15:19" x14ac:dyDescent="0.25">
      <c r="O475" s="25" t="s">
        <v>20</v>
      </c>
      <c r="P475" s="26">
        <v>279</v>
      </c>
      <c r="Q475" s="26"/>
      <c r="R475" s="26"/>
      <c r="S475" s="27"/>
    </row>
    <row r="476" spans="15:19" x14ac:dyDescent="0.25">
      <c r="O476" s="25" t="s">
        <v>20</v>
      </c>
      <c r="P476" s="26">
        <v>210</v>
      </c>
      <c r="Q476" s="26"/>
      <c r="R476" s="26"/>
      <c r="S476" s="27"/>
    </row>
    <row r="477" spans="15:19" x14ac:dyDescent="0.25">
      <c r="O477" s="25" t="s">
        <v>20</v>
      </c>
      <c r="P477" s="26">
        <v>2100</v>
      </c>
      <c r="Q477" s="26"/>
      <c r="R477" s="26"/>
      <c r="S477" s="27"/>
    </row>
    <row r="478" spans="15:19" x14ac:dyDescent="0.25">
      <c r="O478" s="25" t="s">
        <v>20</v>
      </c>
      <c r="P478" s="26">
        <v>252</v>
      </c>
      <c r="Q478" s="26"/>
      <c r="R478" s="26"/>
      <c r="S478" s="27"/>
    </row>
    <row r="479" spans="15:19" x14ac:dyDescent="0.25">
      <c r="O479" s="25" t="s">
        <v>20</v>
      </c>
      <c r="P479" s="26">
        <v>1280</v>
      </c>
      <c r="Q479" s="26"/>
      <c r="R479" s="26"/>
      <c r="S479" s="27"/>
    </row>
    <row r="480" spans="15:19" x14ac:dyDescent="0.25">
      <c r="O480" s="25" t="s">
        <v>20</v>
      </c>
      <c r="P480" s="26">
        <v>157</v>
      </c>
      <c r="Q480" s="26"/>
      <c r="R480" s="26"/>
      <c r="S480" s="27"/>
    </row>
    <row r="481" spans="15:19" x14ac:dyDescent="0.25">
      <c r="O481" s="25" t="s">
        <v>20</v>
      </c>
      <c r="P481" s="26">
        <v>194</v>
      </c>
      <c r="Q481" s="26"/>
      <c r="R481" s="26"/>
      <c r="S481" s="27"/>
    </row>
    <row r="482" spans="15:19" x14ac:dyDescent="0.25">
      <c r="O482" s="25" t="s">
        <v>20</v>
      </c>
      <c r="P482" s="26">
        <v>82</v>
      </c>
      <c r="Q482" s="26"/>
      <c r="R482" s="26"/>
      <c r="S482" s="27"/>
    </row>
    <row r="483" spans="15:19" x14ac:dyDescent="0.25">
      <c r="O483" s="25" t="s">
        <v>20</v>
      </c>
      <c r="P483" s="26">
        <v>4233</v>
      </c>
      <c r="Q483" s="26"/>
      <c r="R483" s="26"/>
      <c r="S483" s="27"/>
    </row>
    <row r="484" spans="15:19" x14ac:dyDescent="0.25">
      <c r="O484" s="25" t="s">
        <v>20</v>
      </c>
      <c r="P484" s="26">
        <v>1297</v>
      </c>
      <c r="Q484" s="26"/>
      <c r="R484" s="26"/>
      <c r="S484" s="27"/>
    </row>
    <row r="485" spans="15:19" x14ac:dyDescent="0.25">
      <c r="O485" s="25" t="s">
        <v>20</v>
      </c>
      <c r="P485" s="26">
        <v>165</v>
      </c>
      <c r="Q485" s="26"/>
      <c r="R485" s="26"/>
      <c r="S485" s="27"/>
    </row>
    <row r="486" spans="15:19" x14ac:dyDescent="0.25">
      <c r="O486" s="25" t="s">
        <v>20</v>
      </c>
      <c r="P486" s="26">
        <v>119</v>
      </c>
      <c r="Q486" s="26"/>
      <c r="R486" s="26"/>
      <c r="S486" s="27"/>
    </row>
    <row r="487" spans="15:19" x14ac:dyDescent="0.25">
      <c r="O487" s="25" t="s">
        <v>20</v>
      </c>
      <c r="P487" s="26">
        <v>1797</v>
      </c>
      <c r="Q487" s="26"/>
      <c r="R487" s="26"/>
      <c r="S487" s="27"/>
    </row>
    <row r="488" spans="15:19" x14ac:dyDescent="0.25">
      <c r="O488" s="25" t="s">
        <v>20</v>
      </c>
      <c r="P488" s="26">
        <v>261</v>
      </c>
      <c r="Q488" s="26"/>
      <c r="R488" s="26"/>
      <c r="S488" s="27"/>
    </row>
    <row r="489" spans="15:19" x14ac:dyDescent="0.25">
      <c r="O489" s="25" t="s">
        <v>20</v>
      </c>
      <c r="P489" s="26">
        <v>157</v>
      </c>
      <c r="Q489" s="26"/>
      <c r="R489" s="26"/>
      <c r="S489" s="27"/>
    </row>
    <row r="490" spans="15:19" x14ac:dyDescent="0.25">
      <c r="O490" s="25" t="s">
        <v>20</v>
      </c>
      <c r="P490" s="26">
        <v>3533</v>
      </c>
      <c r="Q490" s="26"/>
      <c r="R490" s="26"/>
      <c r="S490" s="27"/>
    </row>
    <row r="491" spans="15:19" x14ac:dyDescent="0.25">
      <c r="O491" s="25" t="s">
        <v>20</v>
      </c>
      <c r="P491" s="26">
        <v>155</v>
      </c>
      <c r="Q491" s="26"/>
      <c r="R491" s="26"/>
      <c r="S491" s="27"/>
    </row>
    <row r="492" spans="15:19" x14ac:dyDescent="0.25">
      <c r="O492" s="25" t="s">
        <v>20</v>
      </c>
      <c r="P492" s="26">
        <v>132</v>
      </c>
      <c r="Q492" s="26"/>
      <c r="R492" s="26"/>
      <c r="S492" s="27"/>
    </row>
    <row r="493" spans="15:19" x14ac:dyDescent="0.25">
      <c r="O493" s="25" t="s">
        <v>20</v>
      </c>
      <c r="P493" s="26">
        <v>1354</v>
      </c>
      <c r="Q493" s="26"/>
      <c r="R493" s="26"/>
      <c r="S493" s="27"/>
    </row>
    <row r="494" spans="15:19" x14ac:dyDescent="0.25">
      <c r="O494" s="25" t="s">
        <v>20</v>
      </c>
      <c r="P494" s="26">
        <v>48</v>
      </c>
      <c r="Q494" s="26"/>
      <c r="R494" s="26"/>
      <c r="S494" s="27"/>
    </row>
    <row r="495" spans="15:19" x14ac:dyDescent="0.25">
      <c r="O495" s="25" t="s">
        <v>20</v>
      </c>
      <c r="P495" s="26">
        <v>110</v>
      </c>
      <c r="Q495" s="26"/>
      <c r="R495" s="26"/>
      <c r="S495" s="27"/>
    </row>
    <row r="496" spans="15:19" x14ac:dyDescent="0.25">
      <c r="O496" s="25" t="s">
        <v>20</v>
      </c>
      <c r="P496" s="26">
        <v>172</v>
      </c>
      <c r="Q496" s="26"/>
      <c r="R496" s="26"/>
      <c r="S496" s="27"/>
    </row>
    <row r="497" spans="15:19" x14ac:dyDescent="0.25">
      <c r="O497" s="25" t="s">
        <v>20</v>
      </c>
      <c r="P497" s="26">
        <v>307</v>
      </c>
      <c r="Q497" s="26"/>
      <c r="R497" s="26"/>
      <c r="S497" s="27"/>
    </row>
    <row r="498" spans="15:19" x14ac:dyDescent="0.25">
      <c r="O498" s="25" t="s">
        <v>20</v>
      </c>
      <c r="P498" s="26">
        <v>160</v>
      </c>
      <c r="Q498" s="26"/>
      <c r="R498" s="26"/>
      <c r="S498" s="27"/>
    </row>
    <row r="499" spans="15:19" x14ac:dyDescent="0.25">
      <c r="O499" s="25" t="s">
        <v>20</v>
      </c>
      <c r="P499" s="26">
        <v>1467</v>
      </c>
      <c r="Q499" s="26"/>
      <c r="R499" s="26"/>
      <c r="S499" s="27"/>
    </row>
    <row r="500" spans="15:19" x14ac:dyDescent="0.25">
      <c r="O500" s="25" t="s">
        <v>20</v>
      </c>
      <c r="P500" s="26">
        <v>2662</v>
      </c>
      <c r="Q500" s="26"/>
      <c r="R500" s="26"/>
      <c r="S500" s="27"/>
    </row>
    <row r="501" spans="15:19" x14ac:dyDescent="0.25">
      <c r="O501" s="25" t="s">
        <v>20</v>
      </c>
      <c r="P501" s="26">
        <v>452</v>
      </c>
      <c r="Q501" s="26"/>
      <c r="R501" s="26"/>
      <c r="S501" s="27"/>
    </row>
    <row r="502" spans="15:19" x14ac:dyDescent="0.25">
      <c r="O502" s="25" t="s">
        <v>20</v>
      </c>
      <c r="P502" s="26">
        <v>158</v>
      </c>
      <c r="Q502" s="26"/>
      <c r="R502" s="26"/>
      <c r="S502" s="27"/>
    </row>
    <row r="503" spans="15:19" x14ac:dyDescent="0.25">
      <c r="O503" s="25" t="s">
        <v>20</v>
      </c>
      <c r="P503" s="26">
        <v>225</v>
      </c>
      <c r="Q503" s="26"/>
      <c r="R503" s="26"/>
      <c r="S503" s="27"/>
    </row>
    <row r="504" spans="15:19" x14ac:dyDescent="0.25">
      <c r="O504" s="25" t="s">
        <v>20</v>
      </c>
      <c r="P504" s="26">
        <v>65</v>
      </c>
      <c r="Q504" s="26"/>
      <c r="R504" s="26"/>
      <c r="S504" s="27"/>
    </row>
    <row r="505" spans="15:19" x14ac:dyDescent="0.25">
      <c r="O505" s="25" t="s">
        <v>20</v>
      </c>
      <c r="P505" s="26">
        <v>163</v>
      </c>
      <c r="Q505" s="26"/>
      <c r="R505" s="26"/>
      <c r="S505" s="27"/>
    </row>
    <row r="506" spans="15:19" x14ac:dyDescent="0.25">
      <c r="O506" s="25" t="s">
        <v>20</v>
      </c>
      <c r="P506" s="26">
        <v>85</v>
      </c>
      <c r="Q506" s="26"/>
      <c r="R506" s="26"/>
      <c r="S506" s="27"/>
    </row>
    <row r="507" spans="15:19" x14ac:dyDescent="0.25">
      <c r="O507" s="25" t="s">
        <v>20</v>
      </c>
      <c r="P507" s="26">
        <v>217</v>
      </c>
      <c r="Q507" s="26"/>
      <c r="R507" s="26"/>
      <c r="S507" s="27"/>
    </row>
    <row r="508" spans="15:19" x14ac:dyDescent="0.25">
      <c r="O508" s="25" t="s">
        <v>20</v>
      </c>
      <c r="P508" s="26">
        <v>150</v>
      </c>
      <c r="Q508" s="26"/>
      <c r="R508" s="26"/>
      <c r="S508" s="27"/>
    </row>
    <row r="509" spans="15:19" x14ac:dyDescent="0.25">
      <c r="O509" s="25" t="s">
        <v>20</v>
      </c>
      <c r="P509" s="26">
        <v>3272</v>
      </c>
      <c r="Q509" s="26"/>
      <c r="R509" s="26"/>
      <c r="S509" s="27"/>
    </row>
    <row r="510" spans="15:19" x14ac:dyDescent="0.25">
      <c r="O510" s="25" t="s">
        <v>20</v>
      </c>
      <c r="P510" s="26">
        <v>300</v>
      </c>
      <c r="Q510" s="26"/>
      <c r="R510" s="26"/>
      <c r="S510" s="27"/>
    </row>
    <row r="511" spans="15:19" x14ac:dyDescent="0.25">
      <c r="O511" s="25" t="s">
        <v>20</v>
      </c>
      <c r="P511" s="26">
        <v>126</v>
      </c>
      <c r="Q511" s="26"/>
      <c r="R511" s="26"/>
      <c r="S511" s="27"/>
    </row>
    <row r="512" spans="15:19" x14ac:dyDescent="0.25">
      <c r="O512" s="25" t="s">
        <v>20</v>
      </c>
      <c r="P512" s="26">
        <v>2320</v>
      </c>
      <c r="Q512" s="26"/>
      <c r="R512" s="26"/>
      <c r="S512" s="27"/>
    </row>
    <row r="513" spans="15:19" x14ac:dyDescent="0.25">
      <c r="O513" s="25" t="s">
        <v>20</v>
      </c>
      <c r="P513" s="26">
        <v>81</v>
      </c>
      <c r="Q513" s="26"/>
      <c r="R513" s="26"/>
      <c r="S513" s="27"/>
    </row>
    <row r="514" spans="15:19" x14ac:dyDescent="0.25">
      <c r="O514" s="25" t="s">
        <v>20</v>
      </c>
      <c r="P514" s="26">
        <v>1887</v>
      </c>
      <c r="Q514" s="26"/>
      <c r="R514" s="26"/>
      <c r="S514" s="27"/>
    </row>
    <row r="515" spans="15:19" x14ac:dyDescent="0.25">
      <c r="O515" s="25" t="s">
        <v>20</v>
      </c>
      <c r="P515" s="26">
        <v>4358</v>
      </c>
      <c r="Q515" s="26"/>
      <c r="R515" s="26"/>
      <c r="S515" s="27"/>
    </row>
    <row r="516" spans="15:19" x14ac:dyDescent="0.25">
      <c r="O516" s="25" t="s">
        <v>20</v>
      </c>
      <c r="P516" s="26">
        <v>53</v>
      </c>
      <c r="Q516" s="26"/>
      <c r="R516" s="26"/>
      <c r="S516" s="27"/>
    </row>
    <row r="517" spans="15:19" x14ac:dyDescent="0.25">
      <c r="O517" s="25" t="s">
        <v>20</v>
      </c>
      <c r="P517" s="26">
        <v>2414</v>
      </c>
      <c r="Q517" s="26"/>
      <c r="R517" s="26"/>
      <c r="S517" s="27"/>
    </row>
    <row r="518" spans="15:19" x14ac:dyDescent="0.25">
      <c r="O518" s="25" t="s">
        <v>20</v>
      </c>
      <c r="P518" s="26">
        <v>80</v>
      </c>
      <c r="Q518" s="26"/>
      <c r="R518" s="26"/>
      <c r="S518" s="27"/>
    </row>
    <row r="519" spans="15:19" x14ac:dyDescent="0.25">
      <c r="O519" s="25" t="s">
        <v>20</v>
      </c>
      <c r="P519" s="26">
        <v>193</v>
      </c>
      <c r="Q519" s="26"/>
      <c r="R519" s="26"/>
      <c r="S519" s="27"/>
    </row>
    <row r="520" spans="15:19" x14ac:dyDescent="0.25">
      <c r="O520" s="25" t="s">
        <v>20</v>
      </c>
      <c r="P520" s="26">
        <v>52</v>
      </c>
      <c r="Q520" s="26"/>
      <c r="R520" s="26"/>
      <c r="S520" s="27"/>
    </row>
    <row r="521" spans="15:19" x14ac:dyDescent="0.25">
      <c r="O521" s="25" t="s">
        <v>20</v>
      </c>
      <c r="P521" s="26">
        <v>290</v>
      </c>
      <c r="Q521" s="26"/>
      <c r="R521" s="26"/>
      <c r="S521" s="27"/>
    </row>
    <row r="522" spans="15:19" x14ac:dyDescent="0.25">
      <c r="O522" s="25" t="s">
        <v>20</v>
      </c>
      <c r="P522" s="26">
        <v>122</v>
      </c>
      <c r="Q522" s="26"/>
      <c r="R522" s="26"/>
      <c r="S522" s="27"/>
    </row>
    <row r="523" spans="15:19" x14ac:dyDescent="0.25">
      <c r="O523" s="25" t="s">
        <v>20</v>
      </c>
      <c r="P523" s="26">
        <v>1470</v>
      </c>
      <c r="Q523" s="26"/>
      <c r="R523" s="26"/>
      <c r="S523" s="27"/>
    </row>
    <row r="524" spans="15:19" x14ac:dyDescent="0.25">
      <c r="O524" s="25" t="s">
        <v>20</v>
      </c>
      <c r="P524" s="26">
        <v>165</v>
      </c>
      <c r="Q524" s="26"/>
      <c r="R524" s="26"/>
      <c r="S524" s="27"/>
    </row>
    <row r="525" spans="15:19" x14ac:dyDescent="0.25">
      <c r="O525" s="25" t="s">
        <v>20</v>
      </c>
      <c r="P525" s="26">
        <v>182</v>
      </c>
      <c r="Q525" s="26"/>
      <c r="R525" s="26"/>
      <c r="S525" s="27"/>
    </row>
    <row r="526" spans="15:19" x14ac:dyDescent="0.25">
      <c r="O526" s="25" t="s">
        <v>20</v>
      </c>
      <c r="P526" s="26">
        <v>199</v>
      </c>
      <c r="Q526" s="26"/>
      <c r="R526" s="26"/>
      <c r="S526" s="27"/>
    </row>
    <row r="527" spans="15:19" x14ac:dyDescent="0.25">
      <c r="O527" s="25" t="s">
        <v>20</v>
      </c>
      <c r="P527" s="26">
        <v>56</v>
      </c>
      <c r="Q527" s="26"/>
      <c r="R527" s="26"/>
      <c r="S527" s="27"/>
    </row>
    <row r="528" spans="15:19" x14ac:dyDescent="0.25">
      <c r="O528" s="25" t="s">
        <v>20</v>
      </c>
      <c r="P528" s="26">
        <v>1460</v>
      </c>
      <c r="Q528" s="26"/>
      <c r="R528" s="26"/>
      <c r="S528" s="27"/>
    </row>
    <row r="529" spans="15:19" x14ac:dyDescent="0.25">
      <c r="O529" s="25" t="s">
        <v>20</v>
      </c>
      <c r="P529" s="26">
        <v>123</v>
      </c>
      <c r="Q529" s="26"/>
      <c r="R529" s="26"/>
      <c r="S529" s="27"/>
    </row>
    <row r="530" spans="15:19" x14ac:dyDescent="0.25">
      <c r="O530" s="25" t="s">
        <v>20</v>
      </c>
      <c r="P530" s="26">
        <v>159</v>
      </c>
      <c r="Q530" s="26"/>
      <c r="R530" s="26"/>
      <c r="S530" s="27"/>
    </row>
    <row r="531" spans="15:19" x14ac:dyDescent="0.25">
      <c r="O531" s="25" t="s">
        <v>20</v>
      </c>
      <c r="P531" s="26">
        <v>110</v>
      </c>
      <c r="Q531" s="26"/>
      <c r="R531" s="26"/>
      <c r="S531" s="27"/>
    </row>
    <row r="532" spans="15:19" x14ac:dyDescent="0.25">
      <c r="O532" s="25" t="s">
        <v>20</v>
      </c>
      <c r="P532" s="26">
        <v>236</v>
      </c>
      <c r="Q532" s="26"/>
      <c r="R532" s="26"/>
      <c r="S532" s="27"/>
    </row>
    <row r="533" spans="15:19" x14ac:dyDescent="0.25">
      <c r="O533" s="25" t="s">
        <v>20</v>
      </c>
      <c r="P533" s="26">
        <v>191</v>
      </c>
      <c r="Q533" s="26"/>
      <c r="R533" s="26"/>
      <c r="S533" s="27"/>
    </row>
    <row r="534" spans="15:19" x14ac:dyDescent="0.25">
      <c r="O534" s="25" t="s">
        <v>20</v>
      </c>
      <c r="P534" s="26">
        <v>3934</v>
      </c>
      <c r="Q534" s="26"/>
      <c r="R534" s="26"/>
      <c r="S534" s="27"/>
    </row>
    <row r="535" spans="15:19" x14ac:dyDescent="0.25">
      <c r="O535" s="25" t="s">
        <v>20</v>
      </c>
      <c r="P535" s="26">
        <v>80</v>
      </c>
      <c r="Q535" s="26"/>
      <c r="R535" s="26"/>
      <c r="S535" s="27"/>
    </row>
    <row r="536" spans="15:19" x14ac:dyDescent="0.25">
      <c r="O536" s="25" t="s">
        <v>20</v>
      </c>
      <c r="P536" s="26">
        <v>462</v>
      </c>
      <c r="Q536" s="26"/>
      <c r="R536" s="26"/>
      <c r="S536" s="27"/>
    </row>
    <row r="537" spans="15:19" x14ac:dyDescent="0.25">
      <c r="O537" s="25" t="s">
        <v>20</v>
      </c>
      <c r="P537" s="26">
        <v>179</v>
      </c>
      <c r="Q537" s="26"/>
      <c r="R537" s="26"/>
      <c r="S537" s="27"/>
    </row>
    <row r="538" spans="15:19" x14ac:dyDescent="0.25">
      <c r="O538" s="25" t="s">
        <v>20</v>
      </c>
      <c r="P538" s="26">
        <v>1866</v>
      </c>
      <c r="Q538" s="26"/>
      <c r="R538" s="26"/>
      <c r="S538" s="27"/>
    </row>
    <row r="539" spans="15:19" x14ac:dyDescent="0.25">
      <c r="O539" s="25" t="s">
        <v>20</v>
      </c>
      <c r="P539" s="26">
        <v>156</v>
      </c>
      <c r="Q539" s="26"/>
      <c r="R539" s="26"/>
      <c r="S539" s="27"/>
    </row>
    <row r="540" spans="15:19" x14ac:dyDescent="0.25">
      <c r="O540" s="25" t="s">
        <v>20</v>
      </c>
      <c r="P540" s="26">
        <v>255</v>
      </c>
      <c r="Q540" s="26"/>
      <c r="R540" s="26"/>
      <c r="S540" s="27"/>
    </row>
    <row r="541" spans="15:19" x14ac:dyDescent="0.25">
      <c r="O541" s="25" t="s">
        <v>20</v>
      </c>
      <c r="P541" s="26">
        <v>2261</v>
      </c>
      <c r="Q541" s="26"/>
      <c r="R541" s="26"/>
      <c r="S541" s="27"/>
    </row>
    <row r="542" spans="15:19" x14ac:dyDescent="0.25">
      <c r="O542" s="25" t="s">
        <v>20</v>
      </c>
      <c r="P542" s="26">
        <v>40</v>
      </c>
      <c r="Q542" s="26"/>
      <c r="R542" s="26"/>
      <c r="S542" s="27"/>
    </row>
    <row r="543" spans="15:19" x14ac:dyDescent="0.25">
      <c r="O543" s="25" t="s">
        <v>20</v>
      </c>
      <c r="P543" s="26">
        <v>2289</v>
      </c>
      <c r="Q543" s="26"/>
      <c r="R543" s="26"/>
      <c r="S543" s="27"/>
    </row>
    <row r="544" spans="15:19" x14ac:dyDescent="0.25">
      <c r="O544" s="25" t="s">
        <v>20</v>
      </c>
      <c r="P544" s="26">
        <v>65</v>
      </c>
      <c r="Q544" s="26"/>
      <c r="R544" s="26"/>
      <c r="S544" s="27"/>
    </row>
    <row r="545" spans="15:19" x14ac:dyDescent="0.25">
      <c r="O545" s="25" t="s">
        <v>20</v>
      </c>
      <c r="P545" s="26">
        <v>3777</v>
      </c>
      <c r="Q545" s="26"/>
      <c r="R545" s="26"/>
      <c r="S545" s="27"/>
    </row>
    <row r="546" spans="15:19" x14ac:dyDescent="0.25">
      <c r="O546" s="25" t="s">
        <v>20</v>
      </c>
      <c r="P546" s="26">
        <v>184</v>
      </c>
      <c r="Q546" s="26"/>
      <c r="R546" s="26"/>
      <c r="S546" s="27"/>
    </row>
    <row r="547" spans="15:19" x14ac:dyDescent="0.25">
      <c r="O547" s="25" t="s">
        <v>20</v>
      </c>
      <c r="P547" s="26">
        <v>85</v>
      </c>
      <c r="Q547" s="26"/>
      <c r="R547" s="26"/>
      <c r="S547" s="27"/>
    </row>
    <row r="548" spans="15:19" x14ac:dyDescent="0.25">
      <c r="O548" s="25" t="s">
        <v>20</v>
      </c>
      <c r="P548" s="26">
        <v>144</v>
      </c>
      <c r="Q548" s="26"/>
      <c r="R548" s="26"/>
      <c r="S548" s="27"/>
    </row>
    <row r="549" spans="15:19" x14ac:dyDescent="0.25">
      <c r="O549" s="25" t="s">
        <v>20</v>
      </c>
      <c r="P549" s="26">
        <v>1902</v>
      </c>
      <c r="Q549" s="26"/>
      <c r="R549" s="26"/>
      <c r="S549" s="27"/>
    </row>
    <row r="550" spans="15:19" x14ac:dyDescent="0.25">
      <c r="O550" s="25" t="s">
        <v>20</v>
      </c>
      <c r="P550" s="26">
        <v>105</v>
      </c>
      <c r="Q550" s="26"/>
      <c r="R550" s="26"/>
      <c r="S550" s="27"/>
    </row>
    <row r="551" spans="15:19" x14ac:dyDescent="0.25">
      <c r="O551" s="25" t="s">
        <v>20</v>
      </c>
      <c r="P551" s="26">
        <v>132</v>
      </c>
      <c r="Q551" s="26"/>
      <c r="R551" s="26"/>
      <c r="S551" s="27"/>
    </row>
    <row r="552" spans="15:19" x14ac:dyDescent="0.25">
      <c r="O552" s="25" t="s">
        <v>20</v>
      </c>
      <c r="P552" s="26">
        <v>96</v>
      </c>
      <c r="Q552" s="26"/>
      <c r="R552" s="26"/>
      <c r="S552" s="27"/>
    </row>
    <row r="553" spans="15:19" x14ac:dyDescent="0.25">
      <c r="O553" s="25" t="s">
        <v>20</v>
      </c>
      <c r="P553" s="26">
        <v>114</v>
      </c>
      <c r="Q553" s="26"/>
      <c r="R553" s="26"/>
      <c r="S553" s="27"/>
    </row>
    <row r="554" spans="15:19" x14ac:dyDescent="0.25">
      <c r="O554" s="25" t="s">
        <v>20</v>
      </c>
      <c r="P554" s="26">
        <v>203</v>
      </c>
      <c r="Q554" s="26"/>
      <c r="R554" s="26"/>
      <c r="S554" s="27"/>
    </row>
    <row r="555" spans="15:19" x14ac:dyDescent="0.25">
      <c r="O555" s="25" t="s">
        <v>20</v>
      </c>
      <c r="P555" s="26">
        <v>1559</v>
      </c>
      <c r="Q555" s="26"/>
      <c r="R555" s="26"/>
      <c r="S555" s="27"/>
    </row>
    <row r="556" spans="15:19" x14ac:dyDescent="0.25">
      <c r="O556" s="25" t="s">
        <v>20</v>
      </c>
      <c r="P556" s="26">
        <v>1548</v>
      </c>
      <c r="Q556" s="26"/>
      <c r="R556" s="26"/>
      <c r="S556" s="27"/>
    </row>
    <row r="557" spans="15:19" x14ac:dyDescent="0.25">
      <c r="O557" s="25" t="s">
        <v>20</v>
      </c>
      <c r="P557" s="26">
        <v>80</v>
      </c>
      <c r="Q557" s="26"/>
      <c r="R557" s="26"/>
      <c r="S557" s="27"/>
    </row>
    <row r="558" spans="15:19" x14ac:dyDescent="0.25">
      <c r="O558" s="25" t="s">
        <v>20</v>
      </c>
      <c r="P558" s="26">
        <v>131</v>
      </c>
      <c r="Q558" s="26"/>
      <c r="R558" s="26"/>
      <c r="S558" s="27"/>
    </row>
    <row r="559" spans="15:19" x14ac:dyDescent="0.25">
      <c r="O559" s="25" t="s">
        <v>20</v>
      </c>
      <c r="P559" s="26">
        <v>112</v>
      </c>
      <c r="Q559" s="26"/>
      <c r="R559" s="26"/>
      <c r="S559" s="27"/>
    </row>
    <row r="560" spans="15:19" x14ac:dyDescent="0.25">
      <c r="O560" s="25" t="s">
        <v>20</v>
      </c>
      <c r="P560" s="26">
        <v>155</v>
      </c>
      <c r="Q560" s="26"/>
      <c r="R560" s="26"/>
      <c r="S560" s="27"/>
    </row>
    <row r="561" spans="15:19" x14ac:dyDescent="0.25">
      <c r="O561" s="25" t="s">
        <v>20</v>
      </c>
      <c r="P561" s="26">
        <v>266</v>
      </c>
      <c r="Q561" s="26"/>
      <c r="R561" s="26"/>
      <c r="S561" s="27"/>
    </row>
    <row r="562" spans="15:19" x14ac:dyDescent="0.25">
      <c r="O562" s="25" t="s">
        <v>20</v>
      </c>
      <c r="P562" s="26">
        <v>155</v>
      </c>
      <c r="Q562" s="26"/>
      <c r="R562" s="26"/>
      <c r="S562" s="27"/>
    </row>
    <row r="563" spans="15:19" x14ac:dyDescent="0.25">
      <c r="O563" s="25" t="s">
        <v>20</v>
      </c>
      <c r="P563" s="26">
        <v>207</v>
      </c>
      <c r="Q563" s="26"/>
      <c r="R563" s="26"/>
      <c r="S563" s="27"/>
    </row>
    <row r="564" spans="15:19" x14ac:dyDescent="0.25">
      <c r="O564" s="25" t="s">
        <v>20</v>
      </c>
      <c r="P564" s="26">
        <v>245</v>
      </c>
      <c r="Q564" s="26"/>
      <c r="R564" s="26"/>
      <c r="S564" s="27"/>
    </row>
    <row r="565" spans="15:19" x14ac:dyDescent="0.25">
      <c r="O565" s="25" t="s">
        <v>20</v>
      </c>
      <c r="P565" s="26">
        <v>1573</v>
      </c>
      <c r="Q565" s="26"/>
      <c r="R565" s="26"/>
      <c r="S565" s="27"/>
    </row>
    <row r="566" spans="15:19" x14ac:dyDescent="0.25">
      <c r="O566" s="25" t="s">
        <v>20</v>
      </c>
      <c r="P566" s="26">
        <v>114</v>
      </c>
      <c r="Q566" s="26"/>
      <c r="R566" s="26"/>
      <c r="S566" s="27"/>
    </row>
    <row r="567" spans="15:19" x14ac:dyDescent="0.25">
      <c r="O567" s="25" t="s">
        <v>20</v>
      </c>
      <c r="P567" s="26">
        <v>93</v>
      </c>
      <c r="Q567" s="26"/>
      <c r="R567" s="26"/>
      <c r="S567" s="27"/>
    </row>
    <row r="568" spans="15:19" x14ac:dyDescent="0.25">
      <c r="O568" s="25" t="s">
        <v>20</v>
      </c>
      <c r="P568" s="26">
        <v>1681</v>
      </c>
      <c r="Q568" s="26"/>
      <c r="R568" s="26"/>
      <c r="S568" s="27"/>
    </row>
    <row r="569" spans="15:19" x14ac:dyDescent="0.25">
      <c r="O569" s="25" t="s">
        <v>20</v>
      </c>
      <c r="P569" s="26">
        <v>32</v>
      </c>
      <c r="Q569" s="26"/>
      <c r="R569" s="26"/>
      <c r="S569" s="27"/>
    </row>
    <row r="570" spans="15:19" x14ac:dyDescent="0.25">
      <c r="O570" s="25" t="s">
        <v>20</v>
      </c>
      <c r="P570" s="26">
        <v>135</v>
      </c>
      <c r="Q570" s="26"/>
      <c r="R570" s="26"/>
      <c r="S570" s="27"/>
    </row>
    <row r="571" spans="15:19" x14ac:dyDescent="0.25">
      <c r="O571" s="25" t="s">
        <v>20</v>
      </c>
      <c r="P571" s="26">
        <v>140</v>
      </c>
      <c r="Q571" s="26"/>
      <c r="R571" s="26"/>
      <c r="S571" s="27"/>
    </row>
    <row r="572" spans="15:19" x14ac:dyDescent="0.25">
      <c r="O572" s="25" t="s">
        <v>20</v>
      </c>
      <c r="P572" s="26">
        <v>92</v>
      </c>
      <c r="Q572" s="26"/>
      <c r="R572" s="26"/>
      <c r="S572" s="27"/>
    </row>
    <row r="573" spans="15:19" x14ac:dyDescent="0.25">
      <c r="O573" s="25" t="s">
        <v>20</v>
      </c>
      <c r="P573" s="26">
        <v>1015</v>
      </c>
      <c r="Q573" s="26"/>
      <c r="R573" s="26"/>
      <c r="S573" s="27"/>
    </row>
    <row r="574" spans="15:19" x14ac:dyDescent="0.25">
      <c r="O574" s="25" t="s">
        <v>20</v>
      </c>
      <c r="P574" s="26">
        <v>323</v>
      </c>
      <c r="Q574" s="26"/>
      <c r="R574" s="26"/>
      <c r="S574" s="27"/>
    </row>
    <row r="575" spans="15:19" x14ac:dyDescent="0.25">
      <c r="O575" s="25" t="s">
        <v>20</v>
      </c>
      <c r="P575" s="26">
        <v>2326</v>
      </c>
      <c r="Q575" s="26"/>
      <c r="R575" s="26"/>
      <c r="S575" s="27"/>
    </row>
    <row r="576" spans="15:19" x14ac:dyDescent="0.25">
      <c r="O576" s="25" t="s">
        <v>20</v>
      </c>
      <c r="P576" s="26">
        <v>381</v>
      </c>
      <c r="Q576" s="26"/>
      <c r="R576" s="26"/>
      <c r="S576" s="27"/>
    </row>
    <row r="577" spans="15:19" x14ac:dyDescent="0.25">
      <c r="O577" s="25" t="s">
        <v>20</v>
      </c>
      <c r="P577" s="26">
        <v>480</v>
      </c>
      <c r="Q577" s="26"/>
      <c r="R577" s="26"/>
      <c r="S577" s="27"/>
    </row>
    <row r="578" spans="15:19" x14ac:dyDescent="0.25">
      <c r="O578" s="25" t="s">
        <v>20</v>
      </c>
      <c r="P578" s="26">
        <v>226</v>
      </c>
      <c r="Q578" s="26"/>
      <c r="R578" s="26"/>
      <c r="S578" s="27"/>
    </row>
    <row r="579" spans="15:19" x14ac:dyDescent="0.25">
      <c r="O579" s="25" t="s">
        <v>20</v>
      </c>
      <c r="P579" s="26">
        <v>241</v>
      </c>
      <c r="Q579" s="26"/>
      <c r="R579" s="26"/>
      <c r="S579" s="27"/>
    </row>
    <row r="580" spans="15:19" x14ac:dyDescent="0.25">
      <c r="O580" s="25" t="s">
        <v>20</v>
      </c>
      <c r="P580" s="26">
        <v>132</v>
      </c>
      <c r="Q580" s="26"/>
      <c r="R580" s="26"/>
      <c r="S580" s="27"/>
    </row>
    <row r="581" spans="15:19" x14ac:dyDescent="0.25">
      <c r="O581" s="25" t="s">
        <v>20</v>
      </c>
      <c r="P581" s="26">
        <v>2043</v>
      </c>
      <c r="Q581" s="26"/>
      <c r="R581" s="26"/>
      <c r="S581" s="27"/>
    </row>
    <row r="582" spans="15:19" x14ac:dyDescent="0.25">
      <c r="O582" s="25"/>
      <c r="P582" s="26"/>
      <c r="Q582" s="26"/>
      <c r="R582" s="26"/>
      <c r="S582" s="27"/>
    </row>
    <row r="583" spans="15:19" x14ac:dyDescent="0.25">
      <c r="O583" s="28"/>
      <c r="P583" s="29"/>
      <c r="Q583" s="29"/>
      <c r="R583" s="29"/>
      <c r="S583" s="30"/>
    </row>
  </sheetData>
  <sortState xmlns:xlrd2="http://schemas.microsoft.com/office/spreadsheetml/2017/richdata2" ref="X18:Y381">
    <sortCondition descending="1" ref="Y18:Y381"/>
  </sortState>
  <mergeCells count="1">
    <mergeCell ref="P4:Q4"/>
  </mergeCells>
  <conditionalFormatting sqref="O16:O510">
    <cfRule type="containsText" dxfId="17" priority="17" operator="containsText" text="failed">
      <formula>NOT(ISERROR(SEARCH("failed",O16)))</formula>
    </cfRule>
  </conditionalFormatting>
  <conditionalFormatting sqref="Q3 P3:P11 O1151:O1048576 O14:O584 R978:R1048576 X382:X409 R14:R584 X17 U16:U17">
    <cfRule type="cellIs" dxfId="16" priority="14" operator="equal">
      <formula>"canceled"</formula>
    </cfRule>
    <cfRule type="cellIs" dxfId="15" priority="15" operator="equal">
      <formula>"live"</formula>
    </cfRule>
    <cfRule type="cellIs" dxfId="14" priority="16" operator="equal">
      <formula>"successful"</formula>
    </cfRule>
  </conditionalFormatting>
  <conditionalFormatting sqref="R16:R380">
    <cfRule type="containsText" dxfId="13" priority="13" operator="containsText" text="failed">
      <formula>NOT(ISERROR(SEARCH("failed",R16)))</formula>
    </cfRule>
  </conditionalFormatting>
  <conditionalFormatting sqref="Q8">
    <cfRule type="cellIs" dxfId="12" priority="7" operator="equal">
      <formula>"canceled"</formula>
    </cfRule>
    <cfRule type="cellIs" dxfId="11" priority="8" operator="equal">
      <formula>"live"</formula>
    </cfRule>
    <cfRule type="cellIs" dxfId="10" priority="9" operator="equal">
      <formula>"successful"</formula>
    </cfRule>
  </conditionalFormatting>
  <conditionalFormatting sqref="Q10">
    <cfRule type="cellIs" dxfId="9" priority="4" operator="equal">
      <formula>"canceled"</formula>
    </cfRule>
    <cfRule type="cellIs" dxfId="8" priority="5" operator="equal">
      <formula>"live"</formula>
    </cfRule>
    <cfRule type="cellIs" dxfId="7" priority="6" operator="equal">
      <formula>"successful"</formula>
    </cfRule>
  </conditionalFormatting>
  <conditionalFormatting sqref="Q11">
    <cfRule type="cellIs" dxfId="6" priority="1" operator="equal">
      <formula>"canceled"</formula>
    </cfRule>
    <cfRule type="cellIs" dxfId="5" priority="2" operator="equal">
      <formula>"live"</formula>
    </cfRule>
    <cfRule type="cellIs" dxfId="4" priority="3" operator="equal">
      <formula>"successful"</formula>
    </cfRule>
  </conditionalFormatting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Sheet1</vt:lpstr>
      <vt:lpstr>Sheet2</vt:lpstr>
      <vt:lpstr>Sheet3</vt:lpstr>
      <vt:lpstr>written reports</vt:lpstr>
      <vt:lpstr>bonus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Irena Duda</cp:lastModifiedBy>
  <dcterms:created xsi:type="dcterms:W3CDTF">2021-09-29T18:52:28Z</dcterms:created>
  <dcterms:modified xsi:type="dcterms:W3CDTF">2023-11-25T14:23:13Z</dcterms:modified>
</cp:coreProperties>
</file>