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egor\Desktop\RO-Gas\LittleEurope\data\"/>
    </mc:Choice>
  </mc:AlternateContent>
  <xr:revisionPtr revIDLastSave="0" documentId="13_ncr:1_{8D6B6775-F55F-42E2-8CC6-2DD464BB1239}" xr6:coauthVersionLast="47" xr6:coauthVersionMax="47" xr10:uidLastSave="{00000000-0000-0000-0000-000000000000}"/>
  <bookViews>
    <workbookView xWindow="-120" yWindow="-120" windowWidth="29040" windowHeight="15840" firstSheet="1" activeTab="5" xr2:uid="{00000000-000D-0000-FFFF-FFFF00000000}"/>
  </bookViews>
  <sheets>
    <sheet name="data_info" sheetId="13" r:id="rId1"/>
    <sheet name="sets" sheetId="9" r:id="rId2"/>
    <sheet name="network" sheetId="10" r:id="rId3"/>
    <sheet name="demand" sheetId="11" r:id="rId4"/>
    <sheet name="supply" sheetId="17" r:id="rId5"/>
    <sheet name="Storage" sheetId="14" r:id="rId6"/>
    <sheet name="Storage (old)" sheetId="22" r:id="rId7"/>
    <sheet name="sets(old)" sheetId="19" r:id="rId8"/>
    <sheet name="supply (old-adj)" sheetId="18" r:id="rId9"/>
    <sheet name="supply(old)" sheetId="12" r:id="rId10"/>
    <sheet name="supply(original)" sheetId="15" r:id="rId11"/>
    <sheet name="Sheet2" sheetId="21" r:id="rId12"/>
    <sheet name="Map(inactive)" sheetId="2" state="hidden" r:id="rId13"/>
    <sheet name="upload_nodes(inactive)" sheetId="1" state="hidden" r:id="rId14"/>
    <sheet name="LNG" sheetId="7" state="hidden" r:id="rId15"/>
    <sheet name="upload_stor(inactive)" sheetId="6" state="hidden" r:id="rId16"/>
    <sheet name="Overview" sheetId="8" state="hidden" r:id="rId1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23" i="10" l="1"/>
  <c r="P159" i="10"/>
  <c r="O161" i="10"/>
  <c r="P161" i="10"/>
  <c r="O162" i="10"/>
  <c r="P162" i="10"/>
  <c r="O163" i="10"/>
  <c r="P163" i="10"/>
  <c r="O164" i="10"/>
  <c r="P164" i="10"/>
  <c r="O165" i="10"/>
  <c r="P165" i="10"/>
  <c r="O166" i="10"/>
  <c r="P166" i="10"/>
  <c r="O167" i="10"/>
  <c r="P167" i="10"/>
  <c r="O168" i="10"/>
  <c r="P168" i="10"/>
  <c r="O169" i="10"/>
  <c r="P169" i="10"/>
  <c r="O170" i="10"/>
  <c r="P170" i="10"/>
  <c r="O171" i="10"/>
  <c r="P171" i="10"/>
  <c r="O172" i="10"/>
  <c r="P172" i="10"/>
  <c r="O173" i="10"/>
  <c r="P173" i="10"/>
  <c r="O174" i="10"/>
  <c r="P174" i="10"/>
  <c r="O175" i="10"/>
  <c r="P175" i="10"/>
  <c r="O176" i="10"/>
  <c r="P176" i="10"/>
  <c r="O177" i="10"/>
  <c r="P177" i="10"/>
  <c r="O178" i="10"/>
  <c r="P178" i="10"/>
  <c r="O179" i="10"/>
  <c r="P179" i="10"/>
  <c r="O180" i="10"/>
  <c r="P180" i="10"/>
  <c r="O181" i="10"/>
  <c r="P181" i="10"/>
  <c r="O182" i="10"/>
  <c r="P182" i="10"/>
  <c r="O183" i="10"/>
  <c r="P183" i="10"/>
  <c r="O184" i="10"/>
  <c r="P184" i="10"/>
  <c r="O185" i="10"/>
  <c r="P185" i="10"/>
  <c r="O186" i="10"/>
  <c r="P186" i="10"/>
  <c r="O187" i="10"/>
  <c r="P187" i="10"/>
  <c r="O188" i="10"/>
  <c r="P188" i="10"/>
  <c r="O189" i="10"/>
  <c r="P189" i="10"/>
  <c r="O190" i="10"/>
  <c r="P190" i="10"/>
  <c r="O191" i="10"/>
  <c r="P191" i="10"/>
  <c r="O192" i="10"/>
  <c r="P192" i="10"/>
  <c r="O193" i="10"/>
  <c r="P193" i="10"/>
  <c r="O194" i="10"/>
  <c r="P194" i="10"/>
  <c r="O195" i="10"/>
  <c r="P195" i="10"/>
  <c r="O196" i="10"/>
  <c r="P196" i="10"/>
  <c r="O197" i="10"/>
  <c r="P197" i="10"/>
  <c r="O198" i="10"/>
  <c r="P198" i="10"/>
  <c r="O199" i="10"/>
  <c r="P199" i="10"/>
  <c r="O200" i="10"/>
  <c r="P200" i="10"/>
  <c r="O201" i="10"/>
  <c r="P201" i="10"/>
  <c r="O202" i="10"/>
  <c r="P202" i="10"/>
  <c r="O203" i="10"/>
  <c r="P203" i="10"/>
  <c r="O204" i="10"/>
  <c r="P204" i="10"/>
  <c r="O205" i="10"/>
  <c r="P205" i="10"/>
  <c r="O206" i="10"/>
  <c r="P206" i="10"/>
  <c r="O207" i="10"/>
  <c r="P207" i="10"/>
  <c r="O208" i="10"/>
  <c r="P208" i="10"/>
  <c r="O209" i="10"/>
  <c r="P209" i="10"/>
  <c r="O210" i="10"/>
  <c r="P210" i="10"/>
  <c r="O211" i="10"/>
  <c r="P211" i="10"/>
  <c r="O212" i="10"/>
  <c r="P212" i="10"/>
  <c r="O213" i="10"/>
  <c r="P213" i="10"/>
  <c r="O214" i="10"/>
  <c r="P214" i="10"/>
  <c r="O215" i="10"/>
  <c r="P215" i="10"/>
  <c r="O216" i="10"/>
  <c r="P216" i="10"/>
  <c r="O217" i="10"/>
  <c r="P217" i="10"/>
  <c r="O218" i="10"/>
  <c r="P218" i="10"/>
  <c r="O219" i="10"/>
  <c r="P219" i="10"/>
  <c r="O220" i="10"/>
  <c r="P220" i="10"/>
  <c r="O221" i="10"/>
  <c r="P221" i="10"/>
  <c r="O222" i="10"/>
  <c r="P222" i="10"/>
  <c r="P223" i="10"/>
  <c r="O224" i="10"/>
  <c r="P224" i="10"/>
  <c r="O225" i="10"/>
  <c r="P225" i="10"/>
  <c r="O226" i="10"/>
  <c r="P226" i="10"/>
  <c r="O227" i="10"/>
  <c r="P227" i="10"/>
  <c r="O228" i="10"/>
  <c r="P228" i="10"/>
  <c r="O229" i="10"/>
  <c r="P229" i="10"/>
  <c r="O230" i="10"/>
  <c r="P230" i="10"/>
  <c r="O231" i="10"/>
  <c r="P231" i="10"/>
  <c r="O232" i="10"/>
  <c r="P232" i="10"/>
  <c r="T238" i="21" l="1"/>
  <c r="U110" i="10" l="1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U129" i="10"/>
  <c r="U130" i="10"/>
  <c r="U131" i="10"/>
  <c r="U132" i="10"/>
  <c r="U133" i="10"/>
  <c r="U134" i="10"/>
  <c r="U135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U136" i="10"/>
  <c r="V136" i="10"/>
  <c r="W136" i="10"/>
  <c r="U137" i="10"/>
  <c r="V137" i="10"/>
  <c r="W137" i="10"/>
  <c r="U138" i="10"/>
  <c r="V138" i="10"/>
  <c r="W138" i="10"/>
  <c r="U139" i="10"/>
  <c r="V139" i="10"/>
  <c r="W139" i="10"/>
  <c r="V110" i="10"/>
  <c r="W110" i="10"/>
  <c r="AA136" i="10" l="1"/>
  <c r="AA110" i="10"/>
  <c r="S159" i="10" s="1"/>
  <c r="Z110" i="10"/>
  <c r="R159" i="10" s="1"/>
  <c r="Z136" i="10"/>
  <c r="Y110" i="10"/>
  <c r="Q159" i="10" s="1"/>
  <c r="Y136" i="10"/>
  <c r="AB151" i="10"/>
  <c r="E30" i="13"/>
  <c r="E29" i="13"/>
  <c r="D29" i="13"/>
  <c r="R224" i="10" l="1"/>
  <c r="R181" i="10"/>
  <c r="R201" i="10"/>
  <c r="R218" i="10"/>
  <c r="R212" i="10"/>
  <c r="R227" i="10"/>
  <c r="R176" i="10"/>
  <c r="R162" i="10"/>
  <c r="R182" i="10"/>
  <c r="R186" i="10"/>
  <c r="R165" i="10"/>
  <c r="R200" i="10"/>
  <c r="R206" i="10"/>
  <c r="R198" i="10"/>
  <c r="R213" i="10"/>
  <c r="R191" i="10"/>
  <c r="R225" i="10"/>
  <c r="R179" i="10"/>
  <c r="R220" i="10"/>
  <c r="R217" i="10"/>
  <c r="R190" i="10"/>
  <c r="R161" i="10"/>
  <c r="R203" i="10"/>
  <c r="R163" i="10"/>
  <c r="R177" i="10"/>
  <c r="R208" i="10"/>
  <c r="R214" i="10"/>
  <c r="R219" i="10"/>
  <c r="R228" i="10"/>
  <c r="R194" i="10"/>
  <c r="R205" i="10"/>
  <c r="R207" i="10"/>
  <c r="R221" i="10"/>
  <c r="R204" i="10"/>
  <c r="R196" i="10"/>
  <c r="R195" i="10"/>
  <c r="R192" i="10"/>
  <c r="R172" i="10"/>
  <c r="R183" i="10"/>
  <c r="R180" i="10"/>
  <c r="R167" i="10"/>
  <c r="R187" i="10"/>
  <c r="R197" i="10"/>
  <c r="R216" i="10"/>
  <c r="R226" i="10"/>
  <c r="R188" i="10"/>
  <c r="R199" i="10"/>
  <c r="R184" i="10"/>
  <c r="R202" i="10"/>
  <c r="R174" i="10"/>
  <c r="R209" i="10"/>
  <c r="R222" i="10"/>
  <c r="R210" i="10"/>
  <c r="R189" i="10"/>
  <c r="R171" i="10"/>
  <c r="R168" i="10"/>
  <c r="R169" i="10"/>
  <c r="R223" i="10"/>
  <c r="R175" i="10"/>
  <c r="R173" i="10"/>
  <c r="R193" i="10"/>
  <c r="R166" i="10"/>
  <c r="R178" i="10"/>
  <c r="R170" i="10"/>
  <c r="R185" i="10"/>
  <c r="R215" i="10"/>
  <c r="R211" i="10"/>
  <c r="R164" i="10"/>
  <c r="S171" i="10"/>
  <c r="S177" i="10"/>
  <c r="S193" i="10"/>
  <c r="S202" i="10"/>
  <c r="S224" i="10"/>
  <c r="S176" i="10"/>
  <c r="S225" i="10"/>
  <c r="S166" i="10"/>
  <c r="S195" i="10"/>
  <c r="S162" i="10"/>
  <c r="S184" i="10"/>
  <c r="S198" i="10"/>
  <c r="S187" i="10"/>
  <c r="S181" i="10"/>
  <c r="S190" i="10"/>
  <c r="S212" i="10"/>
  <c r="S219" i="10"/>
  <c r="S165" i="10"/>
  <c r="S200" i="10"/>
  <c r="S163" i="10"/>
  <c r="S207" i="10"/>
  <c r="S213" i="10"/>
  <c r="S222" i="10"/>
  <c r="S205" i="10"/>
  <c r="S211" i="10"/>
  <c r="S223" i="10"/>
  <c r="S167" i="10"/>
  <c r="S161" i="10"/>
  <c r="S199" i="10"/>
  <c r="S228" i="10"/>
  <c r="S174" i="10"/>
  <c r="S189" i="10"/>
  <c r="S204" i="10"/>
  <c r="S172" i="10"/>
  <c r="S188" i="10"/>
  <c r="S216" i="10"/>
  <c r="S178" i="10"/>
  <c r="S182" i="10"/>
  <c r="S170" i="10"/>
  <c r="S164" i="10"/>
  <c r="S185" i="10"/>
  <c r="S208" i="10"/>
  <c r="S168" i="10"/>
  <c r="S201" i="10"/>
  <c r="S175" i="10"/>
  <c r="S194" i="10"/>
  <c r="S186" i="10"/>
  <c r="S169" i="10"/>
  <c r="S220" i="10"/>
  <c r="S173" i="10"/>
  <c r="S214" i="10"/>
  <c r="S183" i="10"/>
  <c r="S227" i="10"/>
  <c r="S221" i="10"/>
  <c r="S192" i="10"/>
  <c r="S196" i="10"/>
  <c r="S210" i="10"/>
  <c r="S226" i="10"/>
  <c r="S215" i="10"/>
  <c r="S209" i="10"/>
  <c r="S203" i="10"/>
  <c r="S180" i="10"/>
  <c r="S218" i="10"/>
  <c r="S179" i="10"/>
  <c r="S206" i="10"/>
  <c r="S197" i="10"/>
  <c r="S191" i="10"/>
  <c r="S217" i="10"/>
  <c r="S231" i="10"/>
  <c r="S229" i="10"/>
  <c r="S232" i="10"/>
  <c r="S230" i="10"/>
  <c r="Q232" i="10"/>
  <c r="Q229" i="10"/>
  <c r="Q230" i="10"/>
  <c r="Q231" i="10"/>
  <c r="Q212" i="10"/>
  <c r="Q206" i="10"/>
  <c r="Q184" i="10"/>
  <c r="Q165" i="10"/>
  <c r="Q190" i="10"/>
  <c r="Q223" i="10"/>
  <c r="Q181" i="10"/>
  <c r="Q218" i="10"/>
  <c r="Q162" i="10"/>
  <c r="Q200" i="10"/>
  <c r="Q186" i="10"/>
  <c r="Q220" i="10"/>
  <c r="Q225" i="10"/>
  <c r="Q182" i="10"/>
  <c r="Q213" i="10"/>
  <c r="Q217" i="10"/>
  <c r="Q163" i="10"/>
  <c r="Q198" i="10"/>
  <c r="Q166" i="10"/>
  <c r="Q201" i="10"/>
  <c r="Q214" i="10"/>
  <c r="Q216" i="10"/>
  <c r="Q185" i="10"/>
  <c r="Q178" i="10"/>
  <c r="Q205" i="10"/>
  <c r="Q204" i="10"/>
  <c r="Q210" i="10"/>
  <c r="Q226" i="10"/>
  <c r="Q187" i="10"/>
  <c r="Q207" i="10"/>
  <c r="Q211" i="10"/>
  <c r="Q199" i="10"/>
  <c r="Q227" i="10"/>
  <c r="Q173" i="10"/>
  <c r="Q192" i="10"/>
  <c r="Q172" i="10"/>
  <c r="Q194" i="10"/>
  <c r="Q169" i="10"/>
  <c r="Q191" i="10"/>
  <c r="Q168" i="10"/>
  <c r="Q193" i="10"/>
  <c r="Q222" i="10"/>
  <c r="Q161" i="10"/>
  <c r="Q180" i="10"/>
  <c r="Q189" i="10"/>
  <c r="Q202" i="10"/>
  <c r="Q175" i="10"/>
  <c r="Q176" i="10"/>
  <c r="Q215" i="10"/>
  <c r="Q171" i="10"/>
  <c r="Q170" i="10"/>
  <c r="Q197" i="10"/>
  <c r="Q167" i="10"/>
  <c r="Q177" i="10"/>
  <c r="Q174" i="10"/>
  <c r="Q203" i="10"/>
  <c r="Q208" i="10"/>
  <c r="Q196" i="10"/>
  <c r="Q183" i="10"/>
  <c r="Q209" i="10"/>
  <c r="Q221" i="10"/>
  <c r="Q228" i="10"/>
  <c r="Q188" i="10"/>
  <c r="Q224" i="10"/>
  <c r="Q195" i="10"/>
  <c r="Q179" i="10"/>
  <c r="Q164" i="10"/>
  <c r="Q219" i="10"/>
  <c r="R230" i="10"/>
  <c r="R229" i="10"/>
  <c r="R232" i="10"/>
  <c r="R231" i="10"/>
  <c r="Y35" i="11"/>
  <c r="Z35" i="11"/>
  <c r="AA35" i="11"/>
  <c r="AB35" i="11"/>
  <c r="AC35" i="11"/>
  <c r="AD35" i="11"/>
  <c r="AE35" i="11"/>
  <c r="AF35" i="11"/>
  <c r="Y36" i="11"/>
  <c r="Z36" i="11"/>
  <c r="AA36" i="11"/>
  <c r="AB36" i="11"/>
  <c r="AC36" i="11"/>
  <c r="AD36" i="11"/>
  <c r="AE36" i="11"/>
  <c r="AF36" i="11"/>
  <c r="Y37" i="11"/>
  <c r="Z37" i="11"/>
  <c r="AA37" i="11"/>
  <c r="AB37" i="11"/>
  <c r="AC37" i="11"/>
  <c r="AD37" i="11"/>
  <c r="AE37" i="11"/>
  <c r="AF37" i="11"/>
  <c r="Y38" i="11"/>
  <c r="Z38" i="11"/>
  <c r="AA38" i="11"/>
  <c r="AB38" i="11"/>
  <c r="AC38" i="11"/>
  <c r="AD38" i="11"/>
  <c r="AE38" i="11"/>
  <c r="AF38" i="11"/>
  <c r="Y39" i="11"/>
  <c r="Z39" i="11"/>
  <c r="AA39" i="11"/>
  <c r="AB39" i="11"/>
  <c r="AC39" i="11"/>
  <c r="AD39" i="11"/>
  <c r="AE39" i="11"/>
  <c r="AF39" i="11"/>
  <c r="Y40" i="11"/>
  <c r="Z40" i="11"/>
  <c r="AA40" i="11"/>
  <c r="AB40" i="11"/>
  <c r="AC40" i="11"/>
  <c r="AD40" i="11"/>
  <c r="AE40" i="11"/>
  <c r="AF40" i="11"/>
  <c r="Y41" i="11"/>
  <c r="Z41" i="11"/>
  <c r="AA41" i="11"/>
  <c r="AB41" i="11"/>
  <c r="AC41" i="11"/>
  <c r="AD41" i="11"/>
  <c r="AE41" i="11"/>
  <c r="AF41" i="11"/>
  <c r="Y42" i="11"/>
  <c r="Z42" i="11"/>
  <c r="AA42" i="11"/>
  <c r="AB42" i="11"/>
  <c r="AC42" i="11"/>
  <c r="AD42" i="11"/>
  <c r="AE42" i="11"/>
  <c r="AF42" i="11"/>
  <c r="Y43" i="11"/>
  <c r="Z43" i="11"/>
  <c r="AA43" i="11"/>
  <c r="AB43" i="11"/>
  <c r="AC43" i="11"/>
  <c r="AD43" i="11"/>
  <c r="AE43" i="11"/>
  <c r="AF43" i="11"/>
  <c r="Y44" i="11"/>
  <c r="Z44" i="11"/>
  <c r="AA44" i="11"/>
  <c r="AB44" i="11"/>
  <c r="AC44" i="11"/>
  <c r="AD44" i="11"/>
  <c r="AE44" i="11"/>
  <c r="AF44" i="11"/>
  <c r="Y45" i="11"/>
  <c r="Z45" i="11"/>
  <c r="AA45" i="11"/>
  <c r="AB45" i="11"/>
  <c r="AC45" i="11"/>
  <c r="AD45" i="11"/>
  <c r="AE45" i="11"/>
  <c r="AF45" i="11"/>
  <c r="Y46" i="11"/>
  <c r="Z46" i="11"/>
  <c r="AA46" i="11"/>
  <c r="AB46" i="11"/>
  <c r="AC46" i="11"/>
  <c r="AD46" i="11"/>
  <c r="AE46" i="11"/>
  <c r="AF46" i="11"/>
  <c r="Y47" i="11"/>
  <c r="Z47" i="11"/>
  <c r="AA47" i="11"/>
  <c r="AB47" i="11"/>
  <c r="AC47" i="11"/>
  <c r="AD47" i="11"/>
  <c r="AE47" i="11"/>
  <c r="AF47" i="11"/>
  <c r="Y48" i="11"/>
  <c r="Z48" i="11"/>
  <c r="AA48" i="11"/>
  <c r="AB48" i="11"/>
  <c r="AC48" i="11"/>
  <c r="AD48" i="11"/>
  <c r="AE48" i="11"/>
  <c r="AF48" i="11"/>
  <c r="Y49" i="11"/>
  <c r="Z49" i="11"/>
  <c r="AA49" i="11"/>
  <c r="AB49" i="11"/>
  <c r="AC49" i="11"/>
  <c r="AD49" i="11"/>
  <c r="AE49" i="11"/>
  <c r="AF49" i="11"/>
  <c r="Y50" i="11"/>
  <c r="Z50" i="11"/>
  <c r="AA50" i="11"/>
  <c r="AB50" i="11"/>
  <c r="AC50" i="11"/>
  <c r="AD50" i="11"/>
  <c r="AE50" i="11"/>
  <c r="AF50" i="11"/>
  <c r="Y51" i="11"/>
  <c r="Z51" i="11"/>
  <c r="AA51" i="11"/>
  <c r="AB51" i="11"/>
  <c r="AC51" i="11"/>
  <c r="AD51" i="11"/>
  <c r="AE51" i="11"/>
  <c r="AF51" i="11"/>
  <c r="Y52" i="11"/>
  <c r="Z52" i="11"/>
  <c r="AA52" i="11"/>
  <c r="AB52" i="11"/>
  <c r="AC52" i="11"/>
  <c r="AD52" i="11"/>
  <c r="AE52" i="11"/>
  <c r="AF52" i="11"/>
  <c r="Y53" i="11"/>
  <c r="Z53" i="11"/>
  <c r="AA53" i="11"/>
  <c r="AB53" i="11"/>
  <c r="AC53" i="11"/>
  <c r="AD53" i="11"/>
  <c r="AE53" i="11"/>
  <c r="AF53" i="11"/>
  <c r="Y54" i="11"/>
  <c r="Z54" i="11"/>
  <c r="AA54" i="11"/>
  <c r="AB54" i="11"/>
  <c r="AC54" i="11"/>
  <c r="AD54" i="11"/>
  <c r="AE54" i="11"/>
  <c r="AF54" i="11"/>
  <c r="Y55" i="11"/>
  <c r="Z55" i="11"/>
  <c r="AA55" i="11"/>
  <c r="AB55" i="11"/>
  <c r="AC55" i="11"/>
  <c r="AD55" i="11"/>
  <c r="AE55" i="11"/>
  <c r="AF55" i="11"/>
  <c r="Y56" i="11"/>
  <c r="Z56" i="11"/>
  <c r="AA56" i="11"/>
  <c r="AB56" i="11"/>
  <c r="AC56" i="11"/>
  <c r="AD56" i="11"/>
  <c r="AE56" i="11"/>
  <c r="AF56" i="11"/>
  <c r="Y57" i="11"/>
  <c r="Z57" i="11"/>
  <c r="AA57" i="11"/>
  <c r="AB57" i="11"/>
  <c r="AC57" i="11"/>
  <c r="AD57" i="11"/>
  <c r="AE57" i="11"/>
  <c r="AF57" i="11"/>
  <c r="Y58" i="11"/>
  <c r="Z58" i="11"/>
  <c r="AA58" i="11"/>
  <c r="AB58" i="11"/>
  <c r="AC58" i="11"/>
  <c r="AD58" i="11"/>
  <c r="AE58" i="11"/>
  <c r="AF58" i="11"/>
  <c r="Y59" i="11"/>
  <c r="Z59" i="11"/>
  <c r="AA59" i="11"/>
  <c r="AB59" i="11"/>
  <c r="AC59" i="11"/>
  <c r="AD59" i="11"/>
  <c r="AE59" i="11"/>
  <c r="AF59" i="11"/>
  <c r="Y60" i="11"/>
  <c r="Z60" i="11"/>
  <c r="AA60" i="11"/>
  <c r="AB60" i="11"/>
  <c r="AC60" i="11"/>
  <c r="AD60" i="11"/>
  <c r="AE60" i="11"/>
  <c r="AF60" i="11"/>
  <c r="Y61" i="11"/>
  <c r="Z61" i="11"/>
  <c r="AA61" i="11"/>
  <c r="AB61" i="11"/>
  <c r="AC61" i="11"/>
  <c r="AD61" i="11"/>
  <c r="AE61" i="11"/>
  <c r="AF61" i="11"/>
  <c r="Y62" i="11"/>
  <c r="Z62" i="11"/>
  <c r="AA62" i="11"/>
  <c r="AB62" i="11"/>
  <c r="AC62" i="11"/>
  <c r="AD62" i="11"/>
  <c r="AE62" i="11"/>
  <c r="AF62" i="11"/>
  <c r="Y63" i="11"/>
  <c r="Z63" i="11"/>
  <c r="AA63" i="11"/>
  <c r="AB63" i="11"/>
  <c r="AC63" i="11"/>
  <c r="AD63" i="11"/>
  <c r="AE63" i="11"/>
  <c r="AF63" i="11"/>
  <c r="Y64" i="11"/>
  <c r="Z64" i="11"/>
  <c r="AA64" i="11"/>
  <c r="AB64" i="11"/>
  <c r="AC64" i="11"/>
  <c r="AD64" i="11"/>
  <c r="AE64" i="11"/>
  <c r="AF64" i="11"/>
  <c r="Y149" i="10"/>
  <c r="Y151" i="10" s="1"/>
  <c r="Z151" i="10" s="1"/>
  <c r="O141" i="10" l="1"/>
  <c r="O142" i="10"/>
  <c r="O143" i="10"/>
  <c r="O144" i="10"/>
  <c r="O145" i="10"/>
  <c r="O146" i="10"/>
  <c r="O147" i="10"/>
  <c r="O148" i="10"/>
  <c r="O149" i="10"/>
  <c r="O150" i="10"/>
  <c r="O151" i="10"/>
  <c r="O152" i="10"/>
  <c r="O153" i="10"/>
  <c r="O154" i="10"/>
  <c r="O155" i="10"/>
  <c r="O156" i="10"/>
  <c r="O157" i="10"/>
  <c r="O158" i="10"/>
  <c r="O160" i="10"/>
  <c r="O140" i="10"/>
  <c r="P141" i="10"/>
  <c r="P142" i="10"/>
  <c r="P143" i="10"/>
  <c r="P144" i="10"/>
  <c r="P145" i="10"/>
  <c r="P146" i="10"/>
  <c r="P147" i="10"/>
  <c r="P148" i="10"/>
  <c r="P149" i="10"/>
  <c r="P150" i="10"/>
  <c r="P151" i="10"/>
  <c r="P152" i="10"/>
  <c r="P153" i="10"/>
  <c r="P154" i="10"/>
  <c r="P155" i="10"/>
  <c r="P156" i="10"/>
  <c r="P157" i="10"/>
  <c r="P158" i="10"/>
  <c r="P160" i="10"/>
  <c r="P140" i="10"/>
  <c r="R151" i="10" l="1"/>
  <c r="S151" i="10"/>
  <c r="R150" i="10"/>
  <c r="S150" i="10"/>
  <c r="R149" i="10"/>
  <c r="S149" i="10"/>
  <c r="R160" i="10"/>
  <c r="S160" i="10"/>
  <c r="R148" i="10"/>
  <c r="S148" i="10"/>
  <c r="R147" i="10"/>
  <c r="S147" i="10"/>
  <c r="R146" i="10"/>
  <c r="S146" i="10"/>
  <c r="R152" i="10"/>
  <c r="S152" i="10"/>
  <c r="R158" i="10"/>
  <c r="S158" i="10"/>
  <c r="R157" i="10"/>
  <c r="S157" i="10"/>
  <c r="R145" i="10"/>
  <c r="S145" i="10"/>
  <c r="R140" i="10"/>
  <c r="S140" i="10"/>
  <c r="R156" i="10"/>
  <c r="S156" i="10"/>
  <c r="R144" i="10"/>
  <c r="S144" i="10"/>
  <c r="R155" i="10"/>
  <c r="S155" i="10"/>
  <c r="R143" i="10"/>
  <c r="S143" i="10"/>
  <c r="R154" i="10"/>
  <c r="S154" i="10"/>
  <c r="R142" i="10"/>
  <c r="S142" i="10"/>
  <c r="R153" i="10"/>
  <c r="S153" i="10"/>
  <c r="R141" i="10"/>
  <c r="S141" i="10"/>
  <c r="Q148" i="10"/>
  <c r="Q145" i="10"/>
  <c r="Q143" i="10"/>
  <c r="Q141" i="10"/>
  <c r="Q158" i="10"/>
  <c r="Q152" i="10"/>
  <c r="Q140" i="10"/>
  <c r="Q160" i="10"/>
  <c r="Q157" i="10"/>
  <c r="Q155" i="10"/>
  <c r="Q153" i="10"/>
  <c r="Q151" i="10"/>
  <c r="Q147" i="10"/>
  <c r="Q150" i="10"/>
  <c r="Q146" i="10"/>
  <c r="Q149" i="10"/>
  <c r="Q144" i="10"/>
  <c r="Q156" i="10"/>
  <c r="Q154" i="10"/>
  <c r="Q142" i="10"/>
  <c r="C48" i="17"/>
  <c r="C47" i="17"/>
  <c r="C46" i="17"/>
  <c r="C45" i="17"/>
  <c r="C44" i="17"/>
  <c r="C42" i="17"/>
  <c r="C41" i="17"/>
  <c r="C40" i="17"/>
  <c r="C39" i="17"/>
  <c r="C38" i="17"/>
  <c r="C35" i="17"/>
  <c r="C34" i="17"/>
  <c r="C33" i="17"/>
  <c r="C32" i="17"/>
  <c r="C31" i="17"/>
  <c r="C28" i="17"/>
  <c r="C27" i="17"/>
  <c r="C26" i="17"/>
  <c r="C25" i="17"/>
  <c r="C24" i="17"/>
  <c r="C17" i="17"/>
  <c r="C16" i="17"/>
  <c r="C15" i="17"/>
  <c r="C14" i="17"/>
  <c r="C13" i="17"/>
  <c r="C7" i="17"/>
  <c r="C6" i="17"/>
  <c r="C5" i="17"/>
  <c r="C4" i="17"/>
  <c r="C3" i="17"/>
  <c r="W4" i="14" l="1"/>
  <c r="W5" i="14"/>
  <c r="W6" i="14"/>
  <c r="W7" i="14"/>
  <c r="W8" i="14"/>
  <c r="W9" i="14"/>
  <c r="W10" i="14"/>
  <c r="W11" i="14"/>
  <c r="W12" i="14"/>
  <c r="W13" i="14"/>
  <c r="W14" i="14"/>
  <c r="W15" i="14"/>
  <c r="W16" i="14"/>
  <c r="W17" i="14"/>
  <c r="W18" i="14"/>
  <c r="W19" i="14"/>
  <c r="W20" i="14"/>
  <c r="W21" i="14"/>
  <c r="W22" i="14"/>
  <c r="W23" i="14"/>
  <c r="W24" i="14"/>
  <c r="W25" i="14"/>
  <c r="W26" i="14"/>
  <c r="W27" i="14"/>
  <c r="W28" i="14"/>
  <c r="W29" i="14"/>
  <c r="W30" i="14"/>
  <c r="W31" i="14"/>
  <c r="W32" i="14"/>
  <c r="W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" i="14"/>
  <c r="E48" i="17" l="1"/>
  <c r="K24" i="17"/>
  <c r="K19" i="17"/>
  <c r="K16" i="17"/>
  <c r="K9" i="17"/>
  <c r="K22" i="17"/>
  <c r="K3" i="17"/>
  <c r="K14" i="17"/>
  <c r="K23" i="17"/>
  <c r="K12" i="17"/>
  <c r="K4" i="17"/>
  <c r="K5" i="17"/>
  <c r="K6" i="17"/>
  <c r="K7" i="17"/>
  <c r="K8" i="17"/>
  <c r="J3" i="17"/>
  <c r="J4" i="17"/>
  <c r="J5" i="17"/>
  <c r="J6" i="17"/>
  <c r="J7" i="17"/>
  <c r="J8" i="17"/>
  <c r="J9" i="17"/>
  <c r="J10" i="17"/>
  <c r="J11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" i="17"/>
  <c r="I3" i="17"/>
  <c r="I4" i="17"/>
  <c r="I5" i="17"/>
  <c r="I6" i="17"/>
  <c r="I7" i="17"/>
  <c r="I8" i="17"/>
  <c r="I9" i="17"/>
  <c r="I10" i="17"/>
  <c r="I11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" i="17"/>
  <c r="H78" i="11" l="1"/>
  <c r="I78" i="11"/>
  <c r="J78" i="11"/>
  <c r="K78" i="11"/>
  <c r="L78" i="11"/>
  <c r="M78" i="11"/>
  <c r="N78" i="11"/>
  <c r="O78" i="11"/>
  <c r="P78" i="11"/>
  <c r="Q78" i="11"/>
  <c r="R78" i="11"/>
  <c r="G78" i="11"/>
  <c r="F78" i="11"/>
  <c r="D2" i="15" l="1"/>
  <c r="D3" i="15"/>
  <c r="D4" i="15"/>
  <c r="D5" i="15"/>
  <c r="D7" i="15"/>
  <c r="D9" i="15"/>
  <c r="D11" i="15"/>
  <c r="D12" i="15"/>
  <c r="D13" i="15"/>
  <c r="D14" i="15"/>
  <c r="D15" i="15"/>
  <c r="D16" i="15"/>
  <c r="D17" i="15"/>
  <c r="D19" i="15"/>
  <c r="D21" i="15"/>
  <c r="D23" i="15"/>
  <c r="D24" i="15"/>
  <c r="D6" i="15"/>
  <c r="D8" i="15"/>
  <c r="D10" i="15"/>
  <c r="D18" i="15"/>
  <c r="D20" i="15"/>
  <c r="D22" i="15"/>
  <c r="L2" i="17"/>
  <c r="M2" i="17" s="1"/>
  <c r="M13" i="17"/>
  <c r="M14" i="17"/>
  <c r="M15" i="17"/>
  <c r="M16" i="17"/>
  <c r="M20" i="17"/>
  <c r="K21" i="17"/>
  <c r="K20" i="17"/>
  <c r="K18" i="17"/>
  <c r="K17" i="17"/>
  <c r="K15" i="17"/>
  <c r="K13" i="17"/>
  <c r="K11" i="17"/>
  <c r="K10" i="17"/>
  <c r="K2" i="17"/>
  <c r="L3" i="17"/>
  <c r="M3" i="17" s="1"/>
  <c r="L4" i="17"/>
  <c r="M4" i="17" s="1"/>
  <c r="L5" i="17"/>
  <c r="M5" i="17" s="1"/>
  <c r="L6" i="17"/>
  <c r="M6" i="17" s="1"/>
  <c r="L7" i="17"/>
  <c r="M7" i="17" s="1"/>
  <c r="L8" i="17"/>
  <c r="M8" i="17" s="1"/>
  <c r="L9" i="17"/>
  <c r="M9" i="17" s="1"/>
  <c r="L10" i="17"/>
  <c r="M10" i="17" s="1"/>
  <c r="L11" i="17"/>
  <c r="M11" i="17" s="1"/>
  <c r="L12" i="17"/>
  <c r="M12" i="17" s="1"/>
  <c r="L13" i="17"/>
  <c r="L14" i="17"/>
  <c r="L15" i="17"/>
  <c r="L16" i="17"/>
  <c r="L17" i="17"/>
  <c r="M17" i="17" s="1"/>
  <c r="L18" i="17"/>
  <c r="M18" i="17" s="1"/>
  <c r="L19" i="17"/>
  <c r="M19" i="17" s="1"/>
  <c r="L20" i="17"/>
  <c r="L21" i="17"/>
  <c r="M21" i="17" s="1"/>
  <c r="L22" i="17"/>
  <c r="M22" i="17" s="1"/>
  <c r="L23" i="17"/>
  <c r="M23" i="17" s="1"/>
  <c r="L24" i="17"/>
  <c r="M24" i="17" s="1"/>
  <c r="W32" i="22"/>
  <c r="E32" i="22"/>
  <c r="W31" i="22"/>
  <c r="E31" i="22"/>
  <c r="W30" i="22"/>
  <c r="E30" i="22"/>
  <c r="W29" i="22"/>
  <c r="E29" i="22"/>
  <c r="W28" i="22"/>
  <c r="E28" i="22"/>
  <c r="W27" i="22"/>
  <c r="E27" i="22"/>
  <c r="W26" i="22"/>
  <c r="E26" i="22"/>
  <c r="W25" i="22"/>
  <c r="E25" i="22"/>
  <c r="W24" i="22"/>
  <c r="E24" i="22"/>
  <c r="W23" i="22"/>
  <c r="E23" i="22"/>
  <c r="W22" i="22"/>
  <c r="E22" i="22"/>
  <c r="W21" i="22"/>
  <c r="E21" i="22"/>
  <c r="W20" i="22"/>
  <c r="E20" i="22"/>
  <c r="W19" i="22"/>
  <c r="E19" i="22"/>
  <c r="W18" i="22"/>
  <c r="E18" i="22"/>
  <c r="W17" i="22"/>
  <c r="E17" i="22"/>
  <c r="W16" i="22"/>
  <c r="E16" i="22"/>
  <c r="W15" i="22"/>
  <c r="E15" i="22"/>
  <c r="W14" i="22"/>
  <c r="E14" i="22"/>
  <c r="W13" i="22"/>
  <c r="E13" i="22"/>
  <c r="W12" i="22"/>
  <c r="E12" i="22"/>
  <c r="W11" i="22"/>
  <c r="E11" i="22"/>
  <c r="W10" i="22"/>
  <c r="E10" i="22"/>
  <c r="W9" i="22"/>
  <c r="E9" i="22"/>
  <c r="W8" i="22"/>
  <c r="E8" i="22"/>
  <c r="W7" i="22"/>
  <c r="E7" i="22"/>
  <c r="W6" i="22"/>
  <c r="E6" i="22"/>
  <c r="W5" i="22"/>
  <c r="E5" i="22"/>
  <c r="W4" i="22"/>
  <c r="E4" i="22"/>
  <c r="W3" i="22"/>
  <c r="E3" i="22"/>
  <c r="AI31" i="11" l="1"/>
  <c r="AG33" i="11"/>
  <c r="AH3" i="11"/>
  <c r="AH4" i="11"/>
  <c r="AH5" i="11"/>
  <c r="AH6" i="11"/>
  <c r="AH7" i="11"/>
  <c r="AH8" i="11"/>
  <c r="AH9" i="11"/>
  <c r="AH10" i="11"/>
  <c r="AH11" i="11"/>
  <c r="AH12" i="11"/>
  <c r="AH13" i="11"/>
  <c r="AH14" i="11"/>
  <c r="AH15" i="11"/>
  <c r="AH16" i="11"/>
  <c r="AH17" i="11"/>
  <c r="AH18" i="11"/>
  <c r="AH19" i="11"/>
  <c r="AH20" i="11"/>
  <c r="AH21" i="11"/>
  <c r="AH22" i="11"/>
  <c r="AH23" i="11"/>
  <c r="AH24" i="11"/>
  <c r="AH25" i="11"/>
  <c r="AH26" i="11"/>
  <c r="AH27" i="11"/>
  <c r="AH28" i="11"/>
  <c r="AH29" i="11"/>
  <c r="AH30" i="11"/>
  <c r="AH31" i="11"/>
  <c r="AH2" i="11"/>
  <c r="W32" i="11"/>
  <c r="X32" i="11"/>
  <c r="Y32" i="11"/>
  <c r="Z32" i="11"/>
  <c r="AA32" i="11"/>
  <c r="AB32" i="11"/>
  <c r="AC32" i="11"/>
  <c r="AD32" i="11"/>
  <c r="AE32" i="11"/>
  <c r="AF32" i="11"/>
  <c r="AG32" i="11"/>
  <c r="V32" i="11"/>
  <c r="W2" i="11"/>
  <c r="X2" i="11"/>
  <c r="Y2" i="11"/>
  <c r="Z2" i="11"/>
  <c r="AA2" i="11"/>
  <c r="AB2" i="11"/>
  <c r="AC2" i="11"/>
  <c r="AD2" i="11"/>
  <c r="AE2" i="11"/>
  <c r="AF2" i="11"/>
  <c r="AG2" i="11"/>
  <c r="W3" i="11"/>
  <c r="X3" i="11"/>
  <c r="Y3" i="11"/>
  <c r="Z3" i="11"/>
  <c r="AA3" i="11"/>
  <c r="AB3" i="11"/>
  <c r="AC3" i="11"/>
  <c r="AD3" i="11"/>
  <c r="AE3" i="11"/>
  <c r="AF3" i="11"/>
  <c r="AG3" i="11"/>
  <c r="W4" i="11"/>
  <c r="X4" i="11"/>
  <c r="Y4" i="11"/>
  <c r="Z4" i="11"/>
  <c r="AA4" i="11"/>
  <c r="AB4" i="11"/>
  <c r="AC4" i="11"/>
  <c r="AD4" i="11"/>
  <c r="AE4" i="11"/>
  <c r="AF4" i="11"/>
  <c r="AG4" i="11"/>
  <c r="W5" i="11"/>
  <c r="X5" i="11"/>
  <c r="Y5" i="11"/>
  <c r="Z5" i="11"/>
  <c r="AA5" i="11"/>
  <c r="AB5" i="11"/>
  <c r="AC5" i="11"/>
  <c r="AD5" i="11"/>
  <c r="AE5" i="11"/>
  <c r="AF5" i="11"/>
  <c r="AG5" i="11"/>
  <c r="W6" i="11"/>
  <c r="X6" i="11"/>
  <c r="Y6" i="11"/>
  <c r="Z6" i="11"/>
  <c r="AA6" i="11"/>
  <c r="AB6" i="11"/>
  <c r="AC6" i="11"/>
  <c r="AD6" i="11"/>
  <c r="AE6" i="11"/>
  <c r="AF6" i="11"/>
  <c r="AG6" i="11"/>
  <c r="W7" i="11"/>
  <c r="X7" i="11"/>
  <c r="Y7" i="11"/>
  <c r="Z7" i="11"/>
  <c r="AA7" i="11"/>
  <c r="AB7" i="11"/>
  <c r="AC7" i="11"/>
  <c r="AD7" i="11"/>
  <c r="AE7" i="11"/>
  <c r="AF7" i="11"/>
  <c r="AG7" i="11"/>
  <c r="W8" i="11"/>
  <c r="X8" i="11"/>
  <c r="Y8" i="11"/>
  <c r="Z8" i="11"/>
  <c r="AA8" i="11"/>
  <c r="AB8" i="11"/>
  <c r="AC8" i="11"/>
  <c r="AD8" i="11"/>
  <c r="AE8" i="11"/>
  <c r="AF8" i="11"/>
  <c r="AG8" i="11"/>
  <c r="W9" i="11"/>
  <c r="X9" i="11"/>
  <c r="Y9" i="11"/>
  <c r="Z9" i="11"/>
  <c r="AA9" i="11"/>
  <c r="AB9" i="11"/>
  <c r="AC9" i="11"/>
  <c r="AD9" i="11"/>
  <c r="AE9" i="11"/>
  <c r="AF9" i="11"/>
  <c r="AG9" i="11"/>
  <c r="W10" i="11"/>
  <c r="X10" i="11"/>
  <c r="Y10" i="11"/>
  <c r="Z10" i="11"/>
  <c r="AA10" i="11"/>
  <c r="AB10" i="11"/>
  <c r="AC10" i="11"/>
  <c r="AD10" i="11"/>
  <c r="AE10" i="11"/>
  <c r="AF10" i="11"/>
  <c r="AG10" i="11"/>
  <c r="W11" i="11"/>
  <c r="X11" i="11"/>
  <c r="Y11" i="11"/>
  <c r="Z11" i="11"/>
  <c r="AA11" i="11"/>
  <c r="AB11" i="11"/>
  <c r="AC11" i="11"/>
  <c r="AD11" i="11"/>
  <c r="AE11" i="11"/>
  <c r="AF11" i="11"/>
  <c r="AG11" i="11"/>
  <c r="W12" i="11"/>
  <c r="X12" i="11"/>
  <c r="Y12" i="11"/>
  <c r="Z12" i="11"/>
  <c r="AA12" i="11"/>
  <c r="AB12" i="11"/>
  <c r="AC12" i="11"/>
  <c r="AD12" i="11"/>
  <c r="AE12" i="11"/>
  <c r="AF12" i="11"/>
  <c r="AG12" i="11"/>
  <c r="W13" i="11"/>
  <c r="X13" i="11"/>
  <c r="Y13" i="11"/>
  <c r="Z13" i="11"/>
  <c r="AA13" i="11"/>
  <c r="AB13" i="11"/>
  <c r="AC13" i="11"/>
  <c r="AD13" i="11"/>
  <c r="AE13" i="11"/>
  <c r="AF13" i="11"/>
  <c r="AG13" i="11"/>
  <c r="W14" i="11"/>
  <c r="X14" i="11"/>
  <c r="Y14" i="11"/>
  <c r="Z14" i="11"/>
  <c r="AA14" i="11"/>
  <c r="AB14" i="11"/>
  <c r="AC14" i="11"/>
  <c r="AD14" i="11"/>
  <c r="AE14" i="11"/>
  <c r="AF14" i="11"/>
  <c r="AG14" i="11"/>
  <c r="W15" i="11"/>
  <c r="X15" i="11"/>
  <c r="Y15" i="11"/>
  <c r="Z15" i="11"/>
  <c r="AA15" i="11"/>
  <c r="AB15" i="11"/>
  <c r="AC15" i="11"/>
  <c r="AD15" i="11"/>
  <c r="AE15" i="11"/>
  <c r="AF15" i="11"/>
  <c r="AG15" i="11"/>
  <c r="W16" i="11"/>
  <c r="X16" i="11"/>
  <c r="Y16" i="11"/>
  <c r="Z16" i="11"/>
  <c r="AA16" i="11"/>
  <c r="AB16" i="11"/>
  <c r="AC16" i="11"/>
  <c r="AD16" i="11"/>
  <c r="AE16" i="11"/>
  <c r="AF16" i="11"/>
  <c r="AG16" i="11"/>
  <c r="W17" i="11"/>
  <c r="X17" i="11"/>
  <c r="Y17" i="11"/>
  <c r="Z17" i="11"/>
  <c r="AA17" i="11"/>
  <c r="AB17" i="11"/>
  <c r="AC17" i="11"/>
  <c r="AD17" i="11"/>
  <c r="AE17" i="11"/>
  <c r="AF17" i="11"/>
  <c r="AG17" i="11"/>
  <c r="W18" i="11"/>
  <c r="X18" i="11"/>
  <c r="Y18" i="11"/>
  <c r="Z18" i="11"/>
  <c r="AA18" i="11"/>
  <c r="AB18" i="11"/>
  <c r="AC18" i="11"/>
  <c r="AD18" i="11"/>
  <c r="AE18" i="11"/>
  <c r="AF18" i="11"/>
  <c r="AG18" i="11"/>
  <c r="W19" i="11"/>
  <c r="X19" i="11"/>
  <c r="Y19" i="11"/>
  <c r="Z19" i="11"/>
  <c r="AA19" i="11"/>
  <c r="AB19" i="11"/>
  <c r="AC19" i="11"/>
  <c r="AD19" i="11"/>
  <c r="AE19" i="11"/>
  <c r="AF19" i="11"/>
  <c r="AG19" i="11"/>
  <c r="W20" i="11"/>
  <c r="X20" i="11"/>
  <c r="Y20" i="11"/>
  <c r="Z20" i="11"/>
  <c r="AA20" i="11"/>
  <c r="AB20" i="11"/>
  <c r="AC20" i="11"/>
  <c r="AD20" i="11"/>
  <c r="AE20" i="11"/>
  <c r="AF20" i="11"/>
  <c r="AG20" i="11"/>
  <c r="W21" i="11"/>
  <c r="X21" i="11"/>
  <c r="Y21" i="11"/>
  <c r="Z21" i="11"/>
  <c r="AA21" i="11"/>
  <c r="AB21" i="11"/>
  <c r="AC21" i="11"/>
  <c r="AD21" i="11"/>
  <c r="AE21" i="11"/>
  <c r="AF21" i="11"/>
  <c r="AG21" i="11"/>
  <c r="W22" i="11"/>
  <c r="X22" i="11"/>
  <c r="Y22" i="11"/>
  <c r="Z22" i="11"/>
  <c r="AA22" i="11"/>
  <c r="AB22" i="11"/>
  <c r="AC22" i="11"/>
  <c r="AD22" i="11"/>
  <c r="AE22" i="11"/>
  <c r="AF22" i="11"/>
  <c r="AG22" i="11"/>
  <c r="W23" i="11"/>
  <c r="X23" i="11"/>
  <c r="Y23" i="11"/>
  <c r="Z23" i="11"/>
  <c r="AA23" i="11"/>
  <c r="AB23" i="11"/>
  <c r="AC23" i="11"/>
  <c r="AD23" i="11"/>
  <c r="AE23" i="11"/>
  <c r="AF23" i="11"/>
  <c r="AG23" i="11"/>
  <c r="W24" i="11"/>
  <c r="X24" i="11"/>
  <c r="Y24" i="11"/>
  <c r="Z24" i="11"/>
  <c r="AA24" i="11"/>
  <c r="AB24" i="11"/>
  <c r="AC24" i="11"/>
  <c r="AD24" i="11"/>
  <c r="AE24" i="11"/>
  <c r="AF24" i="11"/>
  <c r="AG24" i="11"/>
  <c r="W25" i="11"/>
  <c r="X25" i="11"/>
  <c r="Y25" i="11"/>
  <c r="Z25" i="11"/>
  <c r="AA25" i="11"/>
  <c r="AB25" i="11"/>
  <c r="AC25" i="11"/>
  <c r="AD25" i="11"/>
  <c r="AE25" i="11"/>
  <c r="AF25" i="11"/>
  <c r="AG25" i="11"/>
  <c r="W26" i="11"/>
  <c r="X26" i="11"/>
  <c r="Y26" i="11"/>
  <c r="Z26" i="11"/>
  <c r="AA26" i="11"/>
  <c r="AB26" i="11"/>
  <c r="AC26" i="11"/>
  <c r="AD26" i="11"/>
  <c r="AE26" i="11"/>
  <c r="AF26" i="11"/>
  <c r="AG26" i="11"/>
  <c r="W27" i="11"/>
  <c r="X27" i="11"/>
  <c r="Y27" i="11"/>
  <c r="Z27" i="11"/>
  <c r="AA27" i="11"/>
  <c r="AB27" i="11"/>
  <c r="AC27" i="11"/>
  <c r="AD27" i="11"/>
  <c r="AE27" i="11"/>
  <c r="AF27" i="11"/>
  <c r="AG27" i="11"/>
  <c r="W28" i="11"/>
  <c r="X28" i="11"/>
  <c r="Y28" i="11"/>
  <c r="Z28" i="11"/>
  <c r="AA28" i="11"/>
  <c r="AB28" i="11"/>
  <c r="AC28" i="11"/>
  <c r="AD28" i="11"/>
  <c r="AE28" i="11"/>
  <c r="AF28" i="11"/>
  <c r="AG28" i="11"/>
  <c r="W29" i="11"/>
  <c r="X29" i="11"/>
  <c r="Y29" i="11"/>
  <c r="Z29" i="11"/>
  <c r="AA29" i="11"/>
  <c r="AB29" i="11"/>
  <c r="AC29" i="11"/>
  <c r="AD29" i="11"/>
  <c r="AE29" i="11"/>
  <c r="AF29" i="11"/>
  <c r="AG29" i="11"/>
  <c r="W30" i="11"/>
  <c r="X30" i="11"/>
  <c r="Y30" i="11"/>
  <c r="Z30" i="11"/>
  <c r="AA30" i="11"/>
  <c r="AB30" i="11"/>
  <c r="AC30" i="11"/>
  <c r="AD30" i="11"/>
  <c r="AE30" i="11"/>
  <c r="AF30" i="11"/>
  <c r="AG30" i="11"/>
  <c r="W31" i="11"/>
  <c r="X31" i="11"/>
  <c r="Y31" i="11"/>
  <c r="Z31" i="11"/>
  <c r="AA31" i="11"/>
  <c r="AB31" i="11"/>
  <c r="AC31" i="11"/>
  <c r="AD31" i="11"/>
  <c r="AE31" i="11"/>
  <c r="AF31" i="11"/>
  <c r="AG31" i="11"/>
  <c r="V3" i="11"/>
  <c r="V4" i="11"/>
  <c r="V5" i="11"/>
  <c r="V6" i="11"/>
  <c r="V7" i="11"/>
  <c r="V8" i="11"/>
  <c r="V9" i="11"/>
  <c r="V10" i="11"/>
  <c r="V11" i="11"/>
  <c r="V12" i="11"/>
  <c r="V13" i="11"/>
  <c r="V14" i="11"/>
  <c r="V15" i="11"/>
  <c r="V16" i="11"/>
  <c r="V17" i="11"/>
  <c r="V18" i="11"/>
  <c r="V19" i="11"/>
  <c r="V20" i="11"/>
  <c r="V21" i="11"/>
  <c r="V22" i="11"/>
  <c r="V23" i="11"/>
  <c r="V24" i="11"/>
  <c r="V25" i="11"/>
  <c r="V26" i="11"/>
  <c r="V27" i="11"/>
  <c r="V28" i="11"/>
  <c r="V29" i="11"/>
  <c r="V30" i="11"/>
  <c r="V31" i="11"/>
  <c r="V2" i="11"/>
  <c r="G75" i="11" l="1"/>
  <c r="D2" i="12"/>
  <c r="D3" i="12"/>
  <c r="D4" i="12"/>
  <c r="D5" i="12"/>
  <c r="D6" i="12"/>
  <c r="D7" i="12"/>
  <c r="D8" i="12"/>
  <c r="D9" i="12"/>
  <c r="D10" i="12"/>
  <c r="D11" i="12"/>
  <c r="D12" i="12"/>
  <c r="D13" i="12"/>
  <c r="D14" i="12"/>
  <c r="D15" i="12"/>
  <c r="D16" i="12"/>
  <c r="D17" i="12"/>
  <c r="D18" i="12"/>
  <c r="D19" i="12"/>
  <c r="D20" i="12"/>
  <c r="D21" i="12"/>
  <c r="D22" i="12"/>
  <c r="D23" i="12"/>
  <c r="D24" i="12"/>
  <c r="K24" i="12"/>
  <c r="K23" i="12"/>
  <c r="K22" i="12"/>
  <c r="K21" i="12"/>
  <c r="K20" i="12"/>
  <c r="K19" i="12"/>
  <c r="K18" i="12"/>
  <c r="K17" i="12"/>
  <c r="K16" i="12"/>
  <c r="K15" i="12"/>
  <c r="K14" i="12"/>
  <c r="K13" i="12"/>
  <c r="K12" i="12"/>
  <c r="K11" i="12"/>
  <c r="K10" i="12"/>
  <c r="K9" i="12"/>
  <c r="K8" i="12"/>
  <c r="K7" i="12"/>
  <c r="K6" i="12"/>
  <c r="K5" i="12"/>
  <c r="K4" i="12"/>
  <c r="K3" i="12"/>
  <c r="K2" i="12"/>
  <c r="N59" i="18"/>
  <c r="M59" i="18"/>
  <c r="J3" i="18" s="1"/>
  <c r="N57" i="18"/>
  <c r="M57" i="18"/>
  <c r="N56" i="18"/>
  <c r="M56" i="18"/>
  <c r="E56" i="18"/>
  <c r="Y55" i="18"/>
  <c r="AC55" i="18" s="1"/>
  <c r="X55" i="18"/>
  <c r="AA55" i="18" s="1"/>
  <c r="N55" i="18"/>
  <c r="M55" i="18"/>
  <c r="AA54" i="18"/>
  <c r="X54" i="18"/>
  <c r="Z54" i="18" s="1"/>
  <c r="N54" i="18"/>
  <c r="M54" i="18"/>
  <c r="J18" i="18" s="1"/>
  <c r="Z53" i="18"/>
  <c r="X53" i="18"/>
  <c r="AA53" i="18" s="1"/>
  <c r="N53" i="18"/>
  <c r="M53" i="18"/>
  <c r="J11" i="18" s="1"/>
  <c r="M11" i="18" s="1"/>
  <c r="E15" i="18" s="1"/>
  <c r="AA52" i="18"/>
  <c r="Z52" i="18"/>
  <c r="X52" i="18"/>
  <c r="Y52" i="18" s="1"/>
  <c r="AC52" i="18" s="1"/>
  <c r="N52" i="18"/>
  <c r="M52" i="18"/>
  <c r="Y51" i="18"/>
  <c r="AC51" i="18" s="1"/>
  <c r="X51" i="18"/>
  <c r="AA51" i="18" s="1"/>
  <c r="N51" i="18"/>
  <c r="K12" i="18" s="1"/>
  <c r="M51" i="18"/>
  <c r="AA50" i="18"/>
  <c r="X50" i="18"/>
  <c r="Z50" i="18" s="1"/>
  <c r="N50" i="18"/>
  <c r="M50" i="18"/>
  <c r="AA49" i="18"/>
  <c r="Z49" i="18"/>
  <c r="X49" i="18"/>
  <c r="Y49" i="18" s="1"/>
  <c r="N49" i="18"/>
  <c r="M49" i="18"/>
  <c r="AA48" i="18"/>
  <c r="Z48" i="18"/>
  <c r="X48" i="18"/>
  <c r="Y48" i="18" s="1"/>
  <c r="AC48" i="18" s="1"/>
  <c r="N48" i="18"/>
  <c r="M48" i="18"/>
  <c r="Y47" i="18"/>
  <c r="AC47" i="18" s="1"/>
  <c r="X47" i="18"/>
  <c r="AA47" i="18" s="1"/>
  <c r="N47" i="18"/>
  <c r="M47" i="18"/>
  <c r="AA46" i="18"/>
  <c r="X46" i="18"/>
  <c r="Z46" i="18" s="1"/>
  <c r="N46" i="18"/>
  <c r="M46" i="18"/>
  <c r="AA45" i="18"/>
  <c r="Z45" i="18"/>
  <c r="AD45" i="18" s="1"/>
  <c r="X45" i="18"/>
  <c r="Y45" i="18" s="1"/>
  <c r="N45" i="18"/>
  <c r="M45" i="18"/>
  <c r="AA44" i="18"/>
  <c r="Z44" i="18"/>
  <c r="X44" i="18"/>
  <c r="Y44" i="18" s="1"/>
  <c r="AC44" i="18" s="1"/>
  <c r="N44" i="18"/>
  <c r="M44" i="18"/>
  <c r="Y43" i="18"/>
  <c r="AC43" i="18" s="1"/>
  <c r="X43" i="18"/>
  <c r="AA43" i="18" s="1"/>
  <c r="N43" i="18"/>
  <c r="M43" i="18"/>
  <c r="AA42" i="18"/>
  <c r="X42" i="18"/>
  <c r="Z42" i="18" s="1"/>
  <c r="N42" i="18"/>
  <c r="M42" i="18"/>
  <c r="AA41" i="18"/>
  <c r="Z41" i="18"/>
  <c r="X41" i="18"/>
  <c r="Y41" i="18" s="1"/>
  <c r="N41" i="18"/>
  <c r="M41" i="18"/>
  <c r="AA40" i="18"/>
  <c r="Z40" i="18"/>
  <c r="X40" i="18"/>
  <c r="Y40" i="18" s="1"/>
  <c r="AC40" i="18" s="1"/>
  <c r="N40" i="18"/>
  <c r="M40" i="18"/>
  <c r="Y39" i="18"/>
  <c r="AC39" i="18" s="1"/>
  <c r="X39" i="18"/>
  <c r="AA39" i="18" s="1"/>
  <c r="N39" i="18"/>
  <c r="K24" i="18" s="1"/>
  <c r="AA16" i="18" s="1"/>
  <c r="M39" i="18"/>
  <c r="AA38" i="18"/>
  <c r="X38" i="18"/>
  <c r="Z38" i="18" s="1"/>
  <c r="N38" i="18"/>
  <c r="M38" i="18"/>
  <c r="AA37" i="18"/>
  <c r="Z37" i="18"/>
  <c r="AD37" i="18" s="1"/>
  <c r="X37" i="18"/>
  <c r="Y37" i="18" s="1"/>
  <c r="N37" i="18"/>
  <c r="M37" i="18"/>
  <c r="AA36" i="18"/>
  <c r="Z36" i="18"/>
  <c r="X36" i="18"/>
  <c r="Y36" i="18" s="1"/>
  <c r="AC36" i="18" s="1"/>
  <c r="N36" i="18"/>
  <c r="M36" i="18"/>
  <c r="X35" i="18"/>
  <c r="AA35" i="18" s="1"/>
  <c r="N35" i="18"/>
  <c r="M35" i="18"/>
  <c r="J14" i="18" s="1"/>
  <c r="AE34" i="18"/>
  <c r="AD34" i="18"/>
  <c r="AA34" i="18"/>
  <c r="Z34" i="18"/>
  <c r="Y34" i="18"/>
  <c r="AC34" i="18" s="1"/>
  <c r="X34" i="18"/>
  <c r="N34" i="18"/>
  <c r="M34" i="18"/>
  <c r="J21" i="18" s="1"/>
  <c r="AA33" i="18"/>
  <c r="Z33" i="18"/>
  <c r="X33" i="18"/>
  <c r="Y33" i="18" s="1"/>
  <c r="N33" i="18"/>
  <c r="M33" i="18"/>
  <c r="D33" i="18"/>
  <c r="N32" i="18"/>
  <c r="K19" i="18" s="1"/>
  <c r="Q4" i="18" s="1"/>
  <c r="M32" i="18"/>
  <c r="D29" i="18"/>
  <c r="D28" i="18"/>
  <c r="L24" i="18"/>
  <c r="M24" i="18" s="1"/>
  <c r="J24" i="18"/>
  <c r="D24" i="18"/>
  <c r="L23" i="18"/>
  <c r="M23" i="18" s="1"/>
  <c r="E33" i="18" s="1"/>
  <c r="K23" i="18"/>
  <c r="J23" i="18"/>
  <c r="D23" i="18"/>
  <c r="L22" i="18"/>
  <c r="AB4" i="18" s="1"/>
  <c r="J22" i="18"/>
  <c r="L21" i="18"/>
  <c r="L20" i="18"/>
  <c r="J20" i="18"/>
  <c r="M20" i="18" s="1"/>
  <c r="E28" i="18" s="1"/>
  <c r="Q19" i="18"/>
  <c r="L19" i="18"/>
  <c r="R4" i="18" s="1"/>
  <c r="P9" i="18" s="1"/>
  <c r="J19" i="18"/>
  <c r="P4" i="18" s="1"/>
  <c r="D19" i="18"/>
  <c r="L18" i="18"/>
  <c r="D18" i="18"/>
  <c r="L17" i="18"/>
  <c r="M17" i="18" s="1"/>
  <c r="E23" i="18" s="1"/>
  <c r="J17" i="18"/>
  <c r="D17" i="18"/>
  <c r="Z16" i="18"/>
  <c r="Y16" i="18"/>
  <c r="U16" i="18"/>
  <c r="T16" i="18"/>
  <c r="Q16" i="18"/>
  <c r="O16" i="18"/>
  <c r="L16" i="18"/>
  <c r="R16" i="18" s="1"/>
  <c r="K16" i="18"/>
  <c r="J16" i="18"/>
  <c r="D16" i="18"/>
  <c r="L15" i="18"/>
  <c r="J15" i="18"/>
  <c r="D15" i="18"/>
  <c r="L14" i="18"/>
  <c r="K14" i="18"/>
  <c r="D14" i="18"/>
  <c r="L13" i="18"/>
  <c r="J13" i="18"/>
  <c r="M13" i="18" s="1"/>
  <c r="E17" i="18" s="1"/>
  <c r="L12" i="18"/>
  <c r="J12" i="18"/>
  <c r="L11" i="18"/>
  <c r="L10" i="18"/>
  <c r="M10" i="18" s="1"/>
  <c r="E14" i="18" s="1"/>
  <c r="J10" i="18"/>
  <c r="D10" i="18"/>
  <c r="L9" i="18"/>
  <c r="M9" i="18" s="1"/>
  <c r="K9" i="18"/>
  <c r="V16" i="18" s="1"/>
  <c r="J9" i="18"/>
  <c r="D9" i="18"/>
  <c r="L8" i="18"/>
  <c r="J8" i="18"/>
  <c r="M8" i="18" s="1"/>
  <c r="E10" i="18" s="1"/>
  <c r="D8" i="18"/>
  <c r="Q7" i="18"/>
  <c r="L7" i="18"/>
  <c r="J7" i="18"/>
  <c r="M7" i="18" s="1"/>
  <c r="E9" i="18" s="1"/>
  <c r="D7" i="18"/>
  <c r="L6" i="18"/>
  <c r="M6" i="18" s="1"/>
  <c r="E8" i="18" s="1"/>
  <c r="J6" i="18"/>
  <c r="D6" i="18"/>
  <c r="L5" i="18"/>
  <c r="J5" i="18"/>
  <c r="AA4" i="18"/>
  <c r="Z4" i="18"/>
  <c r="Y4" i="18"/>
  <c r="T4" i="18"/>
  <c r="V7" i="18" s="1"/>
  <c r="O4" i="18"/>
  <c r="L4" i="18"/>
  <c r="M4" i="18" s="1"/>
  <c r="E6" i="18" s="1"/>
  <c r="J4" i="18"/>
  <c r="L3" i="18"/>
  <c r="W4" i="18" s="1"/>
  <c r="K3" i="18"/>
  <c r="V4" i="18" s="1"/>
  <c r="L2" i="18"/>
  <c r="M2" i="18" s="1"/>
  <c r="E2" i="18" s="1"/>
  <c r="J2" i="18"/>
  <c r="D2" i="18"/>
  <c r="L1" i="18"/>
  <c r="M15" i="18" l="1"/>
  <c r="E19" i="18" s="1"/>
  <c r="M22" i="18"/>
  <c r="M5" i="18"/>
  <c r="E7" i="18" s="1"/>
  <c r="M16" i="18"/>
  <c r="M14" i="18"/>
  <c r="E18" i="18" s="1"/>
  <c r="M18" i="18"/>
  <c r="E24" i="18" s="1"/>
  <c r="P8" i="18"/>
  <c r="O8" i="18" s="1"/>
  <c r="B25" i="18" s="1"/>
  <c r="M21" i="18"/>
  <c r="E29" i="18" s="1"/>
  <c r="AA9" i="18"/>
  <c r="E31" i="18" s="1"/>
  <c r="AA8" i="18"/>
  <c r="E30" i="18" s="1"/>
  <c r="AE33" i="18"/>
  <c r="AC33" i="18"/>
  <c r="AE48" i="18"/>
  <c r="M3" i="18"/>
  <c r="U4" i="18"/>
  <c r="P21" i="18"/>
  <c r="P20" i="18"/>
  <c r="O20" i="18" s="1"/>
  <c r="B20" i="18" s="1"/>
  <c r="P22" i="18"/>
  <c r="O22" i="18" s="1"/>
  <c r="B22" i="18" s="1"/>
  <c r="AD33" i="18"/>
  <c r="AE54" i="18"/>
  <c r="C25" i="18"/>
  <c r="D25" i="18" s="1"/>
  <c r="AE41" i="18"/>
  <c r="AC41" i="18"/>
  <c r="AD49" i="18"/>
  <c r="AD44" i="18"/>
  <c r="AD52" i="18"/>
  <c r="AD48" i="18"/>
  <c r="M12" i="18"/>
  <c r="E16" i="18" s="1"/>
  <c r="Q9" i="18"/>
  <c r="E26" i="18" s="1"/>
  <c r="AD36" i="18"/>
  <c r="AE36" i="18"/>
  <c r="AE39" i="18"/>
  <c r="AE44" i="18"/>
  <c r="AE52" i="18"/>
  <c r="AD40" i="18"/>
  <c r="AE40" i="18"/>
  <c r="AE51" i="18"/>
  <c r="AD54" i="18"/>
  <c r="AE46" i="18"/>
  <c r="AE49" i="18"/>
  <c r="AC49" i="18"/>
  <c r="U8" i="18"/>
  <c r="U10" i="18"/>
  <c r="U9" i="18"/>
  <c r="AD41" i="18"/>
  <c r="AE43" i="18"/>
  <c r="AE50" i="18"/>
  <c r="AD50" i="18"/>
  <c r="Z10" i="18"/>
  <c r="Z9" i="18"/>
  <c r="Z8" i="18"/>
  <c r="AE37" i="18"/>
  <c r="AC37" i="18"/>
  <c r="AE45" i="18"/>
  <c r="AC45" i="18"/>
  <c r="AE53" i="18"/>
  <c r="AB16" i="18"/>
  <c r="AA7" i="18"/>
  <c r="P10" i="18"/>
  <c r="O10" i="18" s="1"/>
  <c r="B27" i="18" s="1"/>
  <c r="P16" i="18"/>
  <c r="Z39" i="18"/>
  <c r="AD39" i="18" s="1"/>
  <c r="Z43" i="18"/>
  <c r="AD43" i="18" s="1"/>
  <c r="Z47" i="18"/>
  <c r="AD47" i="18" s="1"/>
  <c r="Z51" i="18"/>
  <c r="AD51" i="18" s="1"/>
  <c r="Z55" i="18"/>
  <c r="AD55" i="18" s="1"/>
  <c r="M19" i="18"/>
  <c r="Y38" i="18"/>
  <c r="AC38" i="18" s="1"/>
  <c r="Y42" i="18"/>
  <c r="AC42" i="18" s="1"/>
  <c r="Y46" i="18"/>
  <c r="AC46" i="18" s="1"/>
  <c r="Y50" i="18"/>
  <c r="AC50" i="18" s="1"/>
  <c r="Y54" i="18"/>
  <c r="AC54" i="18" s="1"/>
  <c r="V19" i="18"/>
  <c r="AA19" i="18"/>
  <c r="Y53" i="18"/>
  <c r="AC53" i="18" s="1"/>
  <c r="W16" i="18"/>
  <c r="Y35" i="18"/>
  <c r="AC35" i="18" s="1"/>
  <c r="Z35" i="18"/>
  <c r="AD35" i="18" s="1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AA19" i="12"/>
  <c r="V19" i="12"/>
  <c r="Q19" i="12"/>
  <c r="AA7" i="12"/>
  <c r="V7" i="12"/>
  <c r="N59" i="17"/>
  <c r="V4" i="17" s="1"/>
  <c r="M59" i="17"/>
  <c r="N57" i="17"/>
  <c r="M57" i="17"/>
  <c r="N56" i="17"/>
  <c r="M56" i="17"/>
  <c r="AD55" i="17"/>
  <c r="AA55" i="17"/>
  <c r="Z55" i="17"/>
  <c r="Y55" i="17"/>
  <c r="AE55" i="17" s="1"/>
  <c r="X55" i="17"/>
  <c r="N55" i="17"/>
  <c r="M55" i="17"/>
  <c r="Z54" i="17"/>
  <c r="X54" i="17"/>
  <c r="AA54" i="17" s="1"/>
  <c r="N54" i="17"/>
  <c r="M54" i="17"/>
  <c r="E30" i="17" s="1"/>
  <c r="X53" i="17"/>
  <c r="AA53" i="17" s="1"/>
  <c r="N53" i="17"/>
  <c r="M53" i="17"/>
  <c r="AC52" i="17"/>
  <c r="Y52" i="17"/>
  <c r="X52" i="17"/>
  <c r="AA52" i="17" s="1"/>
  <c r="N52" i="17"/>
  <c r="M52" i="17"/>
  <c r="AD51" i="17"/>
  <c r="AA51" i="17"/>
  <c r="AE51" i="17" s="1"/>
  <c r="Z51" i="17"/>
  <c r="Y51" i="17"/>
  <c r="AC51" i="17" s="1"/>
  <c r="X51" i="17"/>
  <c r="N51" i="17"/>
  <c r="M51" i="17"/>
  <c r="AA50" i="17"/>
  <c r="Z50" i="17"/>
  <c r="AD50" i="17" s="1"/>
  <c r="X50" i="17"/>
  <c r="Y50" i="17" s="1"/>
  <c r="AC50" i="17" s="1"/>
  <c r="N50" i="17"/>
  <c r="M50" i="17"/>
  <c r="X49" i="17"/>
  <c r="AA49" i="17" s="1"/>
  <c r="N49" i="17"/>
  <c r="M49" i="17"/>
  <c r="AC48" i="17"/>
  <c r="Y48" i="17"/>
  <c r="X48" i="17"/>
  <c r="AA48" i="17" s="1"/>
  <c r="N48" i="17"/>
  <c r="M48" i="17"/>
  <c r="X47" i="17"/>
  <c r="AA47" i="17" s="1"/>
  <c r="N47" i="17"/>
  <c r="M47" i="17"/>
  <c r="X46" i="17"/>
  <c r="AA46" i="17" s="1"/>
  <c r="N46" i="17"/>
  <c r="M46" i="17"/>
  <c r="X45" i="17"/>
  <c r="AA45" i="17" s="1"/>
  <c r="N45" i="17"/>
  <c r="M45" i="17"/>
  <c r="X44" i="17"/>
  <c r="AA44" i="17" s="1"/>
  <c r="N44" i="17"/>
  <c r="M44" i="17"/>
  <c r="E10" i="17" s="1"/>
  <c r="Z43" i="17"/>
  <c r="AD43" i="17" s="1"/>
  <c r="Y43" i="17"/>
  <c r="AC43" i="17" s="1"/>
  <c r="X43" i="17"/>
  <c r="AA43" i="17" s="1"/>
  <c r="AE43" i="17" s="1"/>
  <c r="N43" i="17"/>
  <c r="M43" i="17"/>
  <c r="D43" i="17"/>
  <c r="X42" i="17"/>
  <c r="Y42" i="17" s="1"/>
  <c r="AC42" i="17" s="1"/>
  <c r="N42" i="17"/>
  <c r="M42" i="17"/>
  <c r="E21" i="17" s="1"/>
  <c r="Z41" i="17"/>
  <c r="AD41" i="17" s="1"/>
  <c r="Y41" i="17"/>
  <c r="AC41" i="17" s="1"/>
  <c r="X41" i="17"/>
  <c r="AA41" i="17" s="1"/>
  <c r="AE41" i="17" s="1"/>
  <c r="N41" i="17"/>
  <c r="M41" i="17"/>
  <c r="Z40" i="17"/>
  <c r="X40" i="17"/>
  <c r="AA40" i="17" s="1"/>
  <c r="N40" i="17"/>
  <c r="M40" i="17"/>
  <c r="E11" i="17" s="1"/>
  <c r="AA39" i="17"/>
  <c r="AE39" i="17" s="1"/>
  <c r="Z39" i="17"/>
  <c r="AD39" i="17" s="1"/>
  <c r="Y39" i="17"/>
  <c r="AC39" i="17" s="1"/>
  <c r="X39" i="17"/>
  <c r="N39" i="17"/>
  <c r="M39" i="17"/>
  <c r="X38" i="17"/>
  <c r="AA38" i="17" s="1"/>
  <c r="N38" i="17"/>
  <c r="M38" i="17"/>
  <c r="AD37" i="17"/>
  <c r="AA37" i="17"/>
  <c r="AE37" i="17" s="1"/>
  <c r="Z37" i="17"/>
  <c r="Y37" i="17"/>
  <c r="AC37" i="17" s="1"/>
  <c r="X37" i="17"/>
  <c r="N37" i="17"/>
  <c r="M37" i="17"/>
  <c r="D37" i="17"/>
  <c r="Z36" i="17"/>
  <c r="X36" i="17"/>
  <c r="AA36" i="17" s="1"/>
  <c r="N36" i="17"/>
  <c r="M36" i="17"/>
  <c r="D36" i="17"/>
  <c r="AA35" i="17"/>
  <c r="AE35" i="17" s="1"/>
  <c r="Z35" i="17"/>
  <c r="AD35" i="17" s="1"/>
  <c r="Y35" i="17"/>
  <c r="AC35" i="17" s="1"/>
  <c r="X35" i="17"/>
  <c r="N35" i="17"/>
  <c r="M35" i="17"/>
  <c r="D35" i="17"/>
  <c r="AA34" i="17"/>
  <c r="AE34" i="17" s="1"/>
  <c r="Z34" i="17"/>
  <c r="AD34" i="17" s="1"/>
  <c r="Y34" i="17"/>
  <c r="AC34" i="17" s="1"/>
  <c r="X34" i="17"/>
  <c r="N34" i="17"/>
  <c r="M34" i="17"/>
  <c r="D34" i="17"/>
  <c r="AA33" i="17"/>
  <c r="AE33" i="17" s="1"/>
  <c r="Z33" i="17"/>
  <c r="AD33" i="17" s="1"/>
  <c r="Y33" i="17"/>
  <c r="AC33" i="17" s="1"/>
  <c r="X33" i="17"/>
  <c r="N33" i="17"/>
  <c r="Q16" i="17" s="1"/>
  <c r="M33" i="17"/>
  <c r="D33" i="17"/>
  <c r="N32" i="17"/>
  <c r="M32" i="17"/>
  <c r="D32" i="17"/>
  <c r="D31" i="17"/>
  <c r="D30" i="17"/>
  <c r="D29" i="17"/>
  <c r="AB16" i="17"/>
  <c r="AA16" i="17"/>
  <c r="E43" i="17"/>
  <c r="D23" i="17"/>
  <c r="D22" i="17"/>
  <c r="E37" i="17"/>
  <c r="D21" i="17"/>
  <c r="E36" i="17"/>
  <c r="D20" i="17"/>
  <c r="P4" i="17"/>
  <c r="D19" i="17"/>
  <c r="D18" i="17"/>
  <c r="E29" i="17"/>
  <c r="Z16" i="17"/>
  <c r="Y16" i="17"/>
  <c r="U16" i="17"/>
  <c r="T16" i="17"/>
  <c r="R16" i="17"/>
  <c r="P21" i="17" s="1"/>
  <c r="O16" i="17"/>
  <c r="E23" i="17"/>
  <c r="E22" i="17"/>
  <c r="E20" i="17"/>
  <c r="D12" i="17"/>
  <c r="E19" i="17"/>
  <c r="D11" i="17"/>
  <c r="E18" i="17"/>
  <c r="D10" i="17"/>
  <c r="W16" i="17"/>
  <c r="D9" i="17"/>
  <c r="E12" i="17"/>
  <c r="D8" i="17"/>
  <c r="AA7" i="17"/>
  <c r="E9" i="17"/>
  <c r="AB4" i="17"/>
  <c r="Z11" i="17" s="1"/>
  <c r="AA4" i="17"/>
  <c r="Z4" i="17"/>
  <c r="Y4" i="17"/>
  <c r="T4" i="17"/>
  <c r="R4" i="17"/>
  <c r="P9" i="17" s="1"/>
  <c r="Q4" i="17"/>
  <c r="O4" i="17"/>
  <c r="Q7" i="17" s="1"/>
  <c r="E8" i="17"/>
  <c r="W4" i="17"/>
  <c r="U4" i="17"/>
  <c r="E2" i="17"/>
  <c r="D2" i="17"/>
  <c r="L1" i="17"/>
  <c r="Q10" i="18" l="1"/>
  <c r="E27" i="18" s="1"/>
  <c r="Y8" i="18"/>
  <c r="B30" i="18" s="1"/>
  <c r="V9" i="18"/>
  <c r="E4" i="18" s="1"/>
  <c r="Q22" i="18"/>
  <c r="E22" i="18" s="1"/>
  <c r="Q8" i="18"/>
  <c r="E25" i="18" s="1"/>
  <c r="T9" i="18"/>
  <c r="B4" i="18" s="1"/>
  <c r="C4" i="18" s="1"/>
  <c r="D4" i="18" s="1"/>
  <c r="P22" i="17"/>
  <c r="Z8" i="17"/>
  <c r="Z12" i="17"/>
  <c r="Y12" i="17" s="1"/>
  <c r="B42" i="17" s="1"/>
  <c r="Z9" i="17"/>
  <c r="AA9" i="17" s="1"/>
  <c r="E39" i="17" s="1"/>
  <c r="P10" i="17"/>
  <c r="Q10" i="17" s="1"/>
  <c r="E33" i="17" s="1"/>
  <c r="P11" i="17"/>
  <c r="AE42" i="18"/>
  <c r="AD38" i="18"/>
  <c r="AE38" i="18"/>
  <c r="C30" i="18"/>
  <c r="D30" i="18"/>
  <c r="T8" i="18"/>
  <c r="B3" i="18" s="1"/>
  <c r="AE47" i="18"/>
  <c r="AE55" i="18"/>
  <c r="Y9" i="18"/>
  <c r="B31" i="18" s="1"/>
  <c r="C22" i="18"/>
  <c r="D22" i="18" s="1"/>
  <c r="Z20" i="18"/>
  <c r="Z22" i="18"/>
  <c r="Z21" i="18"/>
  <c r="AD42" i="18"/>
  <c r="U21" i="18"/>
  <c r="U20" i="18"/>
  <c r="U22" i="18"/>
  <c r="V10" i="18"/>
  <c r="E5" i="18" s="1"/>
  <c r="AE35" i="18"/>
  <c r="AD53" i="18"/>
  <c r="T10" i="18"/>
  <c r="B5" i="18" s="1"/>
  <c r="Q20" i="18"/>
  <c r="E20" i="18" s="1"/>
  <c r="Q21" i="18"/>
  <c r="E21" i="18" s="1"/>
  <c r="Y10" i="18"/>
  <c r="B32" i="18" s="1"/>
  <c r="AA10" i="18"/>
  <c r="E32" i="18" s="1"/>
  <c r="C20" i="18"/>
  <c r="D20" i="18" s="1"/>
  <c r="C27" i="18"/>
  <c r="D27" i="18" s="1"/>
  <c r="O9" i="18"/>
  <c r="B26" i="18" s="1"/>
  <c r="AD46" i="18"/>
  <c r="O21" i="18"/>
  <c r="B21" i="18" s="1"/>
  <c r="V8" i="18"/>
  <c r="E3" i="18" s="1"/>
  <c r="U24" i="17"/>
  <c r="U20" i="17"/>
  <c r="U23" i="17"/>
  <c r="U22" i="17"/>
  <c r="U21" i="17"/>
  <c r="AD36" i="17"/>
  <c r="AE50" i="17"/>
  <c r="V16" i="17"/>
  <c r="Z23" i="17"/>
  <c r="AA23" i="17" s="1"/>
  <c r="E47" i="17" s="1"/>
  <c r="Z22" i="17"/>
  <c r="AA22" i="17" s="1"/>
  <c r="E46" i="17" s="1"/>
  <c r="Z21" i="17"/>
  <c r="Z24" i="17"/>
  <c r="Z20" i="17"/>
  <c r="AE53" i="17"/>
  <c r="AE44" i="17"/>
  <c r="Q9" i="17"/>
  <c r="E32" i="17" s="1"/>
  <c r="AE40" i="17"/>
  <c r="AE54" i="17"/>
  <c r="U12" i="17"/>
  <c r="U8" i="17"/>
  <c r="U11" i="17"/>
  <c r="V11" i="17" s="1"/>
  <c r="E6" i="17" s="1"/>
  <c r="U10" i="17"/>
  <c r="V10" i="17" s="1"/>
  <c r="E5" i="17" s="1"/>
  <c r="U9" i="17"/>
  <c r="V9" i="17" s="1"/>
  <c r="E4" i="17" s="1"/>
  <c r="AA11" i="17"/>
  <c r="E41" i="17" s="1"/>
  <c r="AE49" i="17"/>
  <c r="AD54" i="17"/>
  <c r="P16" i="17"/>
  <c r="Q22" i="17"/>
  <c r="E26" i="17" s="1"/>
  <c r="Y36" i="17"/>
  <c r="AC36" i="17" s="1"/>
  <c r="Y38" i="17"/>
  <c r="AC38" i="17" s="1"/>
  <c r="Z38" i="17"/>
  <c r="AD38" i="17" s="1"/>
  <c r="P23" i="17"/>
  <c r="Y40" i="17"/>
  <c r="AC40" i="17" s="1"/>
  <c r="Y54" i="17"/>
  <c r="AC54" i="17" s="1"/>
  <c r="AC55" i="17"/>
  <c r="Y44" i="17"/>
  <c r="AC44" i="17" s="1"/>
  <c r="P20" i="17"/>
  <c r="O20" i="17" s="1"/>
  <c r="B24" i="17" s="1"/>
  <c r="Z42" i="17"/>
  <c r="AD42" i="17" s="1"/>
  <c r="Z44" i="17"/>
  <c r="Y45" i="17"/>
  <c r="AC45" i="17" s="1"/>
  <c r="Y49" i="17"/>
  <c r="AC49" i="17" s="1"/>
  <c r="Y53" i="17"/>
  <c r="AC53" i="17" s="1"/>
  <c r="AA42" i="17"/>
  <c r="Z45" i="17"/>
  <c r="AD45" i="17" s="1"/>
  <c r="Y46" i="17"/>
  <c r="AC46" i="17" s="1"/>
  <c r="Z49" i="17"/>
  <c r="Z53" i="17"/>
  <c r="P8" i="17"/>
  <c r="O8" i="17" s="1"/>
  <c r="Z10" i="17"/>
  <c r="P12" i="17"/>
  <c r="Q12" i="17" s="1"/>
  <c r="E35" i="17" s="1"/>
  <c r="Q19" i="17"/>
  <c r="P24" i="17"/>
  <c r="Z46" i="17"/>
  <c r="Y47" i="17"/>
  <c r="AC47" i="17" s="1"/>
  <c r="V19" i="17"/>
  <c r="Z47" i="17"/>
  <c r="AE47" i="17" s="1"/>
  <c r="AA19" i="17"/>
  <c r="Z48" i="17"/>
  <c r="AD48" i="17" s="1"/>
  <c r="Z52" i="17"/>
  <c r="AD52" i="17" s="1"/>
  <c r="V7" i="17"/>
  <c r="AC33" i="12"/>
  <c r="AC34" i="12"/>
  <c r="AC35" i="12"/>
  <c r="AC36" i="12"/>
  <c r="AC37" i="12"/>
  <c r="AC38" i="12"/>
  <c r="AC39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D33" i="12"/>
  <c r="AD34" i="12"/>
  <c r="AD35" i="12"/>
  <c r="AD36" i="12"/>
  <c r="AD37" i="12"/>
  <c r="AD38" i="12"/>
  <c r="AD39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Z33" i="12"/>
  <c r="AA33" i="12"/>
  <c r="Z34" i="12"/>
  <c r="AA34" i="12"/>
  <c r="Z35" i="12"/>
  <c r="AE35" i="12" s="1"/>
  <c r="AA35" i="12"/>
  <c r="Z36" i="12"/>
  <c r="AA36" i="12"/>
  <c r="Z37" i="12"/>
  <c r="AA37" i="12"/>
  <c r="AE37" i="12" s="1"/>
  <c r="Z38" i="12"/>
  <c r="AA38" i="12"/>
  <c r="Z39" i="12"/>
  <c r="AA39" i="12"/>
  <c r="Z40" i="12"/>
  <c r="AA40" i="12"/>
  <c r="Z41" i="12"/>
  <c r="AA41" i="12"/>
  <c r="Z42" i="12"/>
  <c r="AA42" i="12"/>
  <c r="Z43" i="12"/>
  <c r="AA43" i="12"/>
  <c r="Z44" i="12"/>
  <c r="AA44" i="12"/>
  <c r="Z45" i="12"/>
  <c r="AA45" i="12"/>
  <c r="Z46" i="12"/>
  <c r="AA46" i="12"/>
  <c r="Z47" i="12"/>
  <c r="AA47" i="12"/>
  <c r="Z48" i="12"/>
  <c r="AA48" i="12"/>
  <c r="Z49" i="12"/>
  <c r="AA49" i="12"/>
  <c r="Z50" i="12"/>
  <c r="AA50" i="12"/>
  <c r="Z51" i="12"/>
  <c r="AA51" i="12"/>
  <c r="AE51" i="12" s="1"/>
  <c r="Z52" i="12"/>
  <c r="AA52" i="12"/>
  <c r="Z53" i="12"/>
  <c r="AA53" i="12"/>
  <c r="Z54" i="12"/>
  <c r="AA54" i="12"/>
  <c r="Z55" i="12"/>
  <c r="AA55" i="12"/>
  <c r="Y34" i="12"/>
  <c r="Y35" i="12"/>
  <c r="Y36" i="12"/>
  <c r="Y37" i="12"/>
  <c r="Y38" i="12"/>
  <c r="Y39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33" i="12"/>
  <c r="AE36" i="12"/>
  <c r="AE39" i="12"/>
  <c r="X55" i="12"/>
  <c r="X54" i="12"/>
  <c r="X53" i="12"/>
  <c r="X52" i="12"/>
  <c r="X51" i="12"/>
  <c r="X50" i="12"/>
  <c r="X49" i="12"/>
  <c r="X48" i="12"/>
  <c r="X47" i="12"/>
  <c r="X46" i="12"/>
  <c r="X45" i="12"/>
  <c r="X44" i="12"/>
  <c r="X43" i="12"/>
  <c r="X42" i="12"/>
  <c r="X41" i="12"/>
  <c r="X40" i="12"/>
  <c r="X39" i="12"/>
  <c r="X38" i="12"/>
  <c r="X37" i="12"/>
  <c r="X36" i="12"/>
  <c r="X35" i="12"/>
  <c r="X34" i="12"/>
  <c r="X33" i="12"/>
  <c r="AE42" i="12"/>
  <c r="AE54" i="12"/>
  <c r="Y10" i="17" l="1"/>
  <c r="B40" i="17" s="1"/>
  <c r="O22" i="17"/>
  <c r="B26" i="17" s="1"/>
  <c r="D26" i="17" s="1"/>
  <c r="V20" i="17"/>
  <c r="E13" i="17" s="1"/>
  <c r="V23" i="17"/>
  <c r="E16" i="17" s="1"/>
  <c r="V24" i="17"/>
  <c r="E17" i="17" s="1"/>
  <c r="Y8" i="17"/>
  <c r="B38" i="17" s="1"/>
  <c r="D38" i="17" s="1"/>
  <c r="AA8" i="17"/>
  <c r="E38" i="17" s="1"/>
  <c r="O24" i="17"/>
  <c r="B28" i="17" s="1"/>
  <c r="Q23" i="17"/>
  <c r="E27" i="17" s="1"/>
  <c r="O11" i="17"/>
  <c r="Y20" i="17"/>
  <c r="B44" i="17" s="1"/>
  <c r="D44" i="17" s="1"/>
  <c r="Y24" i="17"/>
  <c r="B48" i="17" s="1"/>
  <c r="D48" i="17" s="1"/>
  <c r="Q11" i="17"/>
  <c r="E34" i="17" s="1"/>
  <c r="Q8" i="17"/>
  <c r="E31" i="17" s="1"/>
  <c r="D42" i="17"/>
  <c r="AA12" i="17"/>
  <c r="E42" i="17" s="1"/>
  <c r="AA10" i="17"/>
  <c r="E40" i="17" s="1"/>
  <c r="T21" i="17"/>
  <c r="B14" i="17" s="1"/>
  <c r="D14" i="17" s="1"/>
  <c r="O10" i="17"/>
  <c r="T8" i="17"/>
  <c r="B3" i="17" s="1"/>
  <c r="Y9" i="17"/>
  <c r="B39" i="17" s="1"/>
  <c r="D39" i="17" s="1"/>
  <c r="T12" i="17"/>
  <c r="B7" i="17" s="1"/>
  <c r="O12" i="17"/>
  <c r="V22" i="17"/>
  <c r="E15" i="17" s="1"/>
  <c r="C32" i="18"/>
  <c r="D32" i="18" s="1"/>
  <c r="C5" i="18"/>
  <c r="D5" i="18" s="1"/>
  <c r="C21" i="18"/>
  <c r="D21" i="18" s="1"/>
  <c r="C31" i="18"/>
  <c r="D31" i="18" s="1"/>
  <c r="Y21" i="18"/>
  <c r="B35" i="18" s="1"/>
  <c r="AA21" i="18"/>
  <c r="E35" i="18" s="1"/>
  <c r="Y22" i="18"/>
  <c r="B36" i="18" s="1"/>
  <c r="AA22" i="18"/>
  <c r="E36" i="18" s="1"/>
  <c r="Y20" i="18"/>
  <c r="B34" i="18" s="1"/>
  <c r="AA20" i="18"/>
  <c r="E34" i="18" s="1"/>
  <c r="C26" i="18"/>
  <c r="D26" i="18" s="1"/>
  <c r="T22" i="18"/>
  <c r="B13" i="18" s="1"/>
  <c r="V22" i="18"/>
  <c r="E13" i="18" s="1"/>
  <c r="C3" i="18"/>
  <c r="D3" i="18" s="1"/>
  <c r="T20" i="18"/>
  <c r="B11" i="18" s="1"/>
  <c r="V20" i="18"/>
  <c r="E11" i="18" s="1"/>
  <c r="V21" i="18"/>
  <c r="E12" i="18" s="1"/>
  <c r="T21" i="18"/>
  <c r="B12" i="18" s="1"/>
  <c r="T24" i="17"/>
  <c r="B17" i="17" s="1"/>
  <c r="V21" i="17"/>
  <c r="E14" i="17" s="1"/>
  <c r="Y11" i="17"/>
  <c r="B41" i="17" s="1"/>
  <c r="Y22" i="17"/>
  <c r="B46" i="17" s="1"/>
  <c r="V8" i="17"/>
  <c r="E3" i="17" s="1"/>
  <c r="T23" i="17"/>
  <c r="B16" i="17" s="1"/>
  <c r="Q20" i="17"/>
  <c r="E24" i="17" s="1"/>
  <c r="AA20" i="17"/>
  <c r="E44" i="17" s="1"/>
  <c r="AE48" i="17"/>
  <c r="Y23" i="17"/>
  <c r="B47" i="17" s="1"/>
  <c r="AE38" i="17"/>
  <c r="AE42" i="17"/>
  <c r="AD46" i="17"/>
  <c r="AA21" i="17"/>
  <c r="E45" i="17" s="1"/>
  <c r="Y21" i="17"/>
  <c r="B45" i="17" s="1"/>
  <c r="AD47" i="17"/>
  <c r="AA24" i="17"/>
  <c r="T9" i="17"/>
  <c r="B4" i="17" s="1"/>
  <c r="O9" i="17"/>
  <c r="Q21" i="17"/>
  <c r="E25" i="17" s="1"/>
  <c r="AE36" i="17"/>
  <c r="D24" i="17"/>
  <c r="AE46" i="17"/>
  <c r="V12" i="17"/>
  <c r="E7" i="17" s="1"/>
  <c r="AE45" i="17"/>
  <c r="Q24" i="17"/>
  <c r="E28" i="17" s="1"/>
  <c r="AD53" i="17"/>
  <c r="O23" i="17"/>
  <c r="B27" i="17" s="1"/>
  <c r="T10" i="17"/>
  <c r="B5" i="17" s="1"/>
  <c r="AE52" i="17"/>
  <c r="T22" i="17"/>
  <c r="B15" i="17" s="1"/>
  <c r="T20" i="17"/>
  <c r="B13" i="17" s="1"/>
  <c r="D40" i="17"/>
  <c r="AD49" i="17"/>
  <c r="AD44" i="17"/>
  <c r="T11" i="17"/>
  <c r="B6" i="17" s="1"/>
  <c r="O21" i="17"/>
  <c r="B25" i="17" s="1"/>
  <c r="AD40" i="17"/>
  <c r="AE48" i="12"/>
  <c r="AE46" i="12"/>
  <c r="AE34" i="12"/>
  <c r="AE50" i="12"/>
  <c r="AE49" i="12"/>
  <c r="AE44" i="12"/>
  <c r="AE55" i="12"/>
  <c r="AE43" i="12"/>
  <c r="AE45" i="12"/>
  <c r="AE53" i="12"/>
  <c r="AE41" i="12"/>
  <c r="AE52" i="12"/>
  <c r="AE40" i="12"/>
  <c r="D3" i="17" l="1"/>
  <c r="D28" i="17"/>
  <c r="D7" i="17"/>
  <c r="C13" i="18"/>
  <c r="D13" i="18" s="1"/>
  <c r="C36" i="18"/>
  <c r="D36" i="18" s="1"/>
  <c r="C12" i="18"/>
  <c r="D12" i="18" s="1"/>
  <c r="C35" i="18"/>
  <c r="D35" i="18" s="1"/>
  <c r="C34" i="18"/>
  <c r="D34" i="18" s="1"/>
  <c r="C11" i="18"/>
  <c r="D11" i="18" s="1"/>
  <c r="D27" i="17"/>
  <c r="D41" i="17"/>
  <c r="D4" i="17"/>
  <c r="D47" i="17"/>
  <c r="D17" i="17"/>
  <c r="D6" i="17"/>
  <c r="D5" i="17"/>
  <c r="D46" i="17"/>
  <c r="D13" i="17"/>
  <c r="D45" i="17"/>
  <c r="D15" i="17"/>
  <c r="D16" i="17"/>
  <c r="D25" i="17"/>
  <c r="AE38" i="12"/>
  <c r="AE47" i="12"/>
  <c r="AE33" i="12"/>
  <c r="J4" i="12" l="1"/>
  <c r="J6" i="12"/>
  <c r="J7" i="12"/>
  <c r="J12" i="12"/>
  <c r="J15" i="12"/>
  <c r="J19" i="12"/>
  <c r="M57" i="12"/>
  <c r="M56" i="12"/>
  <c r="J8" i="12" s="1"/>
  <c r="M55" i="12"/>
  <c r="J20" i="12" s="1"/>
  <c r="M54" i="12"/>
  <c r="J18" i="12" s="1"/>
  <c r="M53" i="12"/>
  <c r="J11" i="12" s="1"/>
  <c r="M52" i="12"/>
  <c r="M51" i="12"/>
  <c r="J23" i="12" s="1"/>
  <c r="M50" i="12"/>
  <c r="M49" i="12"/>
  <c r="M48" i="12"/>
  <c r="J22" i="12" s="1"/>
  <c r="M47" i="12"/>
  <c r="J5" i="12" s="1"/>
  <c r="M46" i="12"/>
  <c r="J17" i="12" s="1"/>
  <c r="M45" i="12"/>
  <c r="M44" i="12"/>
  <c r="M43" i="12"/>
  <c r="J2" i="12" s="1"/>
  <c r="M42" i="12"/>
  <c r="J13" i="12" s="1"/>
  <c r="M41" i="12"/>
  <c r="M40" i="12"/>
  <c r="M39" i="12"/>
  <c r="M38" i="12"/>
  <c r="M37" i="12"/>
  <c r="J24" i="12" s="1"/>
  <c r="M36" i="12"/>
  <c r="M35" i="12"/>
  <c r="J14" i="12" s="1"/>
  <c r="M34" i="12"/>
  <c r="J9" i="12" s="1"/>
  <c r="M33" i="12"/>
  <c r="J16" i="12" s="1"/>
  <c r="M32" i="12"/>
  <c r="J10" i="12" l="1"/>
  <c r="J21" i="12"/>
  <c r="G73" i="11"/>
  <c r="G72" i="11"/>
  <c r="G70" i="11"/>
  <c r="O4" i="12" l="1"/>
  <c r="H75" i="11"/>
  <c r="I75" i="11"/>
  <c r="J75" i="11"/>
  <c r="K75" i="11"/>
  <c r="L75" i="11"/>
  <c r="M75" i="11"/>
  <c r="N75" i="11"/>
  <c r="O75" i="11"/>
  <c r="P75" i="11"/>
  <c r="Q75" i="11"/>
  <c r="R75" i="11"/>
  <c r="H74" i="11"/>
  <c r="I74" i="11"/>
  <c r="J74" i="11"/>
  <c r="K74" i="11"/>
  <c r="L74" i="11"/>
  <c r="M74" i="11"/>
  <c r="N74" i="11"/>
  <c r="O74" i="11"/>
  <c r="P74" i="11"/>
  <c r="Q74" i="11"/>
  <c r="R74" i="11"/>
  <c r="G74" i="11"/>
  <c r="H73" i="11"/>
  <c r="I73" i="11"/>
  <c r="J73" i="11"/>
  <c r="K73" i="11"/>
  <c r="L73" i="11"/>
  <c r="M73" i="11"/>
  <c r="N73" i="11"/>
  <c r="O73" i="11"/>
  <c r="P73" i="11"/>
  <c r="Q73" i="11"/>
  <c r="R73" i="11"/>
  <c r="H72" i="11"/>
  <c r="I72" i="11"/>
  <c r="J72" i="11"/>
  <c r="K72" i="11"/>
  <c r="L72" i="11"/>
  <c r="M72" i="11"/>
  <c r="N72" i="11"/>
  <c r="O72" i="11"/>
  <c r="P72" i="11"/>
  <c r="Q72" i="11"/>
  <c r="R72" i="11"/>
  <c r="H71" i="11"/>
  <c r="I71" i="11"/>
  <c r="J71" i="11"/>
  <c r="K71" i="11"/>
  <c r="L71" i="11"/>
  <c r="M71" i="11"/>
  <c r="N71" i="11"/>
  <c r="O71" i="11"/>
  <c r="P71" i="11"/>
  <c r="Q71" i="11"/>
  <c r="R71" i="11"/>
  <c r="G71" i="11"/>
  <c r="H70" i="11"/>
  <c r="I70" i="11"/>
  <c r="J70" i="11"/>
  <c r="K70" i="11"/>
  <c r="L70" i="11"/>
  <c r="M70" i="11"/>
  <c r="N70" i="11"/>
  <c r="O70" i="11"/>
  <c r="P70" i="11"/>
  <c r="Q70" i="11"/>
  <c r="R70" i="11"/>
  <c r="D38" i="11"/>
  <c r="C3" i="11" l="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2" i="11"/>
  <c r="D39" i="11" l="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AA16" i="12"/>
  <c r="Y16" i="12"/>
  <c r="AB4" i="12"/>
  <c r="Y4" i="12"/>
  <c r="T16" i="12"/>
  <c r="M59" i="12"/>
  <c r="J3" i="12" s="1"/>
  <c r="U4" i="12" s="1"/>
  <c r="N59" i="12"/>
  <c r="V4" i="12" s="1"/>
  <c r="T4" i="12"/>
  <c r="L2" i="12"/>
  <c r="M2" i="12" s="1"/>
  <c r="E2" i="12" s="1"/>
  <c r="L1" i="12"/>
  <c r="L3" i="12"/>
  <c r="M3" i="12" s="1"/>
  <c r="E3" i="12" s="1"/>
  <c r="L4" i="12"/>
  <c r="M4" i="12" s="1"/>
  <c r="E4" i="12" s="1"/>
  <c r="L5" i="12"/>
  <c r="M5" i="12" s="1"/>
  <c r="E5" i="12" s="1"/>
  <c r="L6" i="12"/>
  <c r="M6" i="12" s="1"/>
  <c r="E6" i="12" s="1"/>
  <c r="L7" i="12"/>
  <c r="M7" i="12" s="1"/>
  <c r="E7" i="12" s="1"/>
  <c r="L8" i="12"/>
  <c r="M8" i="12" s="1"/>
  <c r="E8" i="12" s="1"/>
  <c r="L9" i="12"/>
  <c r="M9" i="12" s="1"/>
  <c r="E9" i="12" s="1"/>
  <c r="L10" i="12"/>
  <c r="M10" i="12" s="1"/>
  <c r="E10" i="12" s="1"/>
  <c r="L11" i="12"/>
  <c r="M11" i="12" s="1"/>
  <c r="E11" i="12" s="1"/>
  <c r="L12" i="12"/>
  <c r="M12" i="12" s="1"/>
  <c r="E12" i="12" s="1"/>
  <c r="L13" i="12"/>
  <c r="M13" i="12" s="1"/>
  <c r="E13" i="12" s="1"/>
  <c r="L14" i="12"/>
  <c r="M14" i="12" s="1"/>
  <c r="E14" i="12" s="1"/>
  <c r="L15" i="12"/>
  <c r="M15" i="12" s="1"/>
  <c r="E15" i="12" s="1"/>
  <c r="L16" i="12"/>
  <c r="M16" i="12" s="1"/>
  <c r="E16" i="12" s="1"/>
  <c r="L17" i="12"/>
  <c r="M17" i="12" s="1"/>
  <c r="E17" i="12" s="1"/>
  <c r="L18" i="12"/>
  <c r="M18" i="12" s="1"/>
  <c r="E18" i="12" s="1"/>
  <c r="L19" i="12"/>
  <c r="M19" i="12" s="1"/>
  <c r="E19" i="12" s="1"/>
  <c r="L20" i="12"/>
  <c r="M20" i="12" s="1"/>
  <c r="E20" i="12" s="1"/>
  <c r="L21" i="12"/>
  <c r="M21" i="12" s="1"/>
  <c r="E21" i="12" s="1"/>
  <c r="L22" i="12"/>
  <c r="M22" i="12" s="1"/>
  <c r="E22" i="12" s="1"/>
  <c r="L23" i="12"/>
  <c r="M23" i="12" s="1"/>
  <c r="E23" i="12" s="1"/>
  <c r="L24" i="12"/>
  <c r="M24" i="12" s="1"/>
  <c r="E24" i="12" s="1"/>
  <c r="O16" i="12"/>
  <c r="W16" i="12" l="1"/>
  <c r="R4" i="12"/>
  <c r="Z10" i="12"/>
  <c r="Z9" i="12"/>
  <c r="Z8" i="12"/>
  <c r="Y8" i="12" s="1"/>
  <c r="AB16" i="12"/>
  <c r="P10" i="12"/>
  <c r="P9" i="12"/>
  <c r="O9" i="12" s="1"/>
  <c r="P8" i="12"/>
  <c r="R16" i="12"/>
  <c r="U22" i="12"/>
  <c r="U21" i="12"/>
  <c r="U20" i="12"/>
  <c r="W4" i="12"/>
  <c r="Q7" i="12"/>
  <c r="Q16" i="12"/>
  <c r="AA4" i="12"/>
  <c r="T20" i="12" l="1"/>
  <c r="U8" i="12"/>
  <c r="U10" i="12"/>
  <c r="U9" i="12"/>
  <c r="O8" i="12"/>
  <c r="T21" i="12"/>
  <c r="P22" i="12"/>
  <c r="P21" i="12"/>
  <c r="P20" i="12"/>
  <c r="O20" i="12" s="1"/>
  <c r="Y9" i="12"/>
  <c r="T22" i="12"/>
  <c r="O10" i="12"/>
  <c r="Z22" i="12"/>
  <c r="Z21" i="12"/>
  <c r="Z20" i="12"/>
  <c r="Y10" i="12"/>
  <c r="AA9" i="12"/>
  <c r="AA10" i="12"/>
  <c r="AA8" i="12"/>
  <c r="Q22" i="12"/>
  <c r="Q20" i="12"/>
  <c r="Q21" i="12"/>
  <c r="Q4" i="12"/>
  <c r="V16" i="12"/>
  <c r="Z4" i="12"/>
  <c r="Z16" i="12"/>
  <c r="P16" i="12"/>
  <c r="U16" i="12"/>
  <c r="P4" i="12"/>
  <c r="E56" i="12"/>
  <c r="O21" i="12" l="1"/>
  <c r="Y22" i="12"/>
  <c r="AA22" i="12"/>
  <c r="O22" i="12"/>
  <c r="Y20" i="12"/>
  <c r="AA20" i="12"/>
  <c r="T9" i="12"/>
  <c r="V9" i="12"/>
  <c r="T10" i="12"/>
  <c r="V10" i="12"/>
  <c r="Y21" i="12"/>
  <c r="AA21" i="12"/>
  <c r="T8" i="12"/>
  <c r="V8" i="12"/>
  <c r="V22" i="12"/>
  <c r="V20" i="12"/>
  <c r="V21" i="12"/>
  <c r="Q8" i="12"/>
  <c r="Q10" i="12"/>
  <c r="Q9" i="12"/>
  <c r="D26" i="13" l="1"/>
  <c r="D30" i="13" s="1"/>
  <c r="C26" i="13"/>
  <c r="D17" i="13" l="1"/>
  <c r="F31" i="11" l="1"/>
  <c r="F30" i="11"/>
  <c r="F29" i="11"/>
  <c r="F28" i="11"/>
  <c r="F27" i="11"/>
  <c r="F26" i="11"/>
  <c r="F25" i="11"/>
  <c r="F24" i="11"/>
  <c r="F23" i="11"/>
  <c r="F22" i="11"/>
  <c r="F21" i="11"/>
  <c r="F20" i="11"/>
  <c r="F19" i="11"/>
  <c r="F18" i="11"/>
  <c r="F17" i="11"/>
  <c r="F16" i="11"/>
  <c r="F15" i="11"/>
  <c r="F14" i="11"/>
  <c r="F13" i="11"/>
  <c r="F12" i="11"/>
  <c r="F11" i="11"/>
  <c r="F10" i="11"/>
  <c r="F9" i="11"/>
  <c r="F8" i="11"/>
  <c r="F7" i="11"/>
  <c r="F6" i="11"/>
  <c r="F5" i="11"/>
  <c r="F4" i="11"/>
  <c r="F3" i="11"/>
  <c r="F2" i="11"/>
  <c r="C16" i="1" l="1"/>
  <c r="F6" i="1" l="1"/>
  <c r="F7" i="1"/>
  <c r="F8" i="1"/>
  <c r="F9" i="1"/>
  <c r="F10" i="1"/>
  <c r="F5" i="1"/>
  <c r="N31" i="2" l="1"/>
  <c r="L24" i="2"/>
  <c r="U16" i="2"/>
  <c r="AC30" i="2"/>
  <c r="Y5" i="2"/>
  <c r="N30" i="2"/>
  <c r="N29" i="2"/>
  <c r="H17" i="2"/>
  <c r="H16" i="2"/>
  <c r="L23" i="2"/>
  <c r="L22" i="2"/>
  <c r="U15" i="2"/>
  <c r="U14" i="2"/>
  <c r="P36" i="2"/>
  <c r="P35" i="2"/>
  <c r="J11" i="2"/>
  <c r="J10" i="2"/>
  <c r="AC29" i="2"/>
  <c r="AC28" i="2"/>
  <c r="AH20" i="2"/>
  <c r="AH19" i="2"/>
  <c r="AB9" i="2"/>
  <c r="AB8" i="2"/>
  <c r="Y4" i="2"/>
  <c r="Y3" i="2"/>
  <c r="K6" i="1"/>
  <c r="K5" i="1"/>
  <c r="U26" i="2"/>
  <c r="U27" i="2"/>
  <c r="U25" i="2"/>
  <c r="G3" i="7"/>
  <c r="E4" i="7"/>
  <c r="AF37" i="2" l="1"/>
  <c r="N19" i="2"/>
  <c r="P42" i="2"/>
  <c r="F28" i="2"/>
  <c r="J5" i="2"/>
  <c r="N17" i="2"/>
  <c r="AF35" i="2"/>
  <c r="AI7" i="2"/>
  <c r="F29" i="2"/>
  <c r="P43" i="2"/>
  <c r="J6" i="2"/>
  <c r="AI8" i="2"/>
  <c r="N18" i="2"/>
  <c r="AF36" i="2"/>
  <c r="B16" i="1" l="1"/>
  <c r="B17" i="1" s="1"/>
  <c r="C17" i="1"/>
  <c r="H29" i="7" l="1"/>
  <c r="P6" i="6" l="1"/>
  <c r="P4" i="6"/>
  <c r="P5" i="6"/>
  <c r="P3" i="6"/>
  <c r="O6" i="6"/>
  <c r="O4" i="6"/>
  <c r="O5" i="6"/>
  <c r="O3" i="6"/>
  <c r="X16" i="6" l="1"/>
  <c r="Z16" i="6"/>
  <c r="AB16" i="6"/>
  <c r="AA15" i="6"/>
  <c r="AA14" i="6"/>
  <c r="AA13" i="6"/>
  <c r="AA12" i="6"/>
  <c r="Y15" i="6"/>
  <c r="Y14" i="6"/>
  <c r="Y13" i="6"/>
  <c r="Y12" i="6"/>
  <c r="W13" i="6"/>
  <c r="W14" i="6"/>
  <c r="W15" i="6"/>
  <c r="W12" i="6"/>
  <c r="Y16" i="6" l="1"/>
  <c r="AA16" i="6"/>
  <c r="W16" i="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tc={9CEC8FC2-AB70-4516-95B1-BA3C8BC22F0B}</author>
  </authors>
  <commentList>
    <comment ref="H24" authorId="0" shapeId="0" xr:uid="{9CEC8FC2-AB70-4516-95B1-BA3C8BC22F0B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QATAR as LNG cost term - test for US case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tc={53FE59F1-0442-4A89-8250-9C984D5AC3B2}</author>
  </authors>
  <commentList>
    <comment ref="H24" authorId="0" shapeId="0" xr:uid="{53FE59F1-0442-4A89-8250-9C984D5AC3B2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QATAR as LNG cost term - test for US case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tc={1D2BF00A-5AB6-4344-BC03-8A1FC7A71AFE}</author>
  </authors>
  <commentList>
    <comment ref="H24" authorId="0" shapeId="0" xr:uid="{1D2BF00A-5AB6-4344-BC03-8A1FC7A71AFE}">
      <text>
        <t>[Threaded comment]
Your version of Excel allows you to read this threaded comment; however, any edits to it will get removed if the file is opened in a newer version of Excel. Learn more: https://go.microsoft.com/fwlink/?linkid=870924
Comment:
    I used QATAR as LNG cost term - test for US case</t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tc={8C52732F-E5EE-4A53-8691-8A14DEF2F3AD}</author>
    <author>tc={4F42F0E4-DD59-4486-AF5F-EED9C7CEEBE2}</author>
    <author>tc={7D85A8B9-93F2-4201-A158-170FEAFEE9B7}</author>
  </authors>
  <commentList>
    <comment ref="L4" authorId="0" shapeId="0" xr:uid="{00000000-0006-0000-06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Do we plan to toucn investments on supply side?
I removed them for now</t>
      </text>
    </comment>
    <comment ref="D11" authorId="1" shapeId="0" xr:uid="{00000000-0006-0000-0600-000002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+inf due to conflict with disjoint constraints :(</t>
      </text>
    </comment>
    <comment ref="F11" authorId="2" shapeId="0" xr:uid="{00000000-0006-0000-0600-000003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cannot be +inf due to conflict with disjoint constraints :(</t>
      </text>
    </comment>
  </commentList>
</comments>
</file>

<file path=xl/sharedStrings.xml><?xml version="1.0" encoding="utf-8"?>
<sst xmlns="http://schemas.openxmlformats.org/spreadsheetml/2006/main" count="3949" uniqueCount="660">
  <si>
    <t>EU</t>
  </si>
  <si>
    <t>RU</t>
  </si>
  <si>
    <t>TR</t>
  </si>
  <si>
    <t>demand</t>
  </si>
  <si>
    <t>p_c</t>
  </si>
  <si>
    <t>Russland</t>
  </si>
  <si>
    <t>Türkei</t>
  </si>
  <si>
    <t>expansion_limit</t>
  </si>
  <si>
    <t>expansion_costs</t>
  </si>
  <si>
    <t>m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</si>
  <si>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</si>
  <si>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</si>
  <si>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</si>
  <si>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</si>
  <si>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</si>
  <si>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</si>
  <si>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</si>
  <si>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</si>
  <si>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</si>
  <si>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</si>
  <si>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</si>
  <si>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</si>
  <si>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y1</t>
  </si>
  <si>
    <t>y2</t>
  </si>
  <si>
    <t>y3</t>
  </si>
  <si>
    <t>y4</t>
  </si>
  <si>
    <t>s</t>
  </si>
  <si>
    <t>max</t>
  </si>
  <si>
    <t>s1</t>
  </si>
  <si>
    <t>s2</t>
  </si>
  <si>
    <t>Technology Storages</t>
  </si>
  <si>
    <t>Storage capacity in the model</t>
  </si>
  <si>
    <t>sinj_c</t>
  </si>
  <si>
    <t>swith_c</t>
  </si>
  <si>
    <t>S_loose</t>
  </si>
  <si>
    <t>sinj_max</t>
  </si>
  <si>
    <t>swith_max</t>
  </si>
  <si>
    <t>Norwegen</t>
  </si>
  <si>
    <t>LNG</t>
  </si>
  <si>
    <t>NO</t>
  </si>
  <si>
    <t>regasification</t>
  </si>
  <si>
    <t>liquification</t>
  </si>
  <si>
    <t>exp_regas_limit</t>
  </si>
  <si>
    <t>exp_regas_costs</t>
  </si>
  <si>
    <t>exp_liqui_limit</t>
  </si>
  <si>
    <t>exp_liqui_costs</t>
  </si>
  <si>
    <t>EPS</t>
  </si>
  <si>
    <t>Data Typ</t>
  </si>
  <si>
    <t>Source</t>
  </si>
  <si>
    <t>Comment</t>
  </si>
  <si>
    <t>File</t>
  </si>
  <si>
    <t>Demand Pattern Europe</t>
  </si>
  <si>
    <t>Eurostat</t>
  </si>
  <si>
    <t>Average EU 28 (2013-2015)</t>
  </si>
  <si>
    <t>Demand (2015)</t>
  </si>
  <si>
    <t>y5</t>
  </si>
  <si>
    <t>y6</t>
  </si>
  <si>
    <t>Storage</t>
  </si>
  <si>
    <t>GSE(2015)</t>
  </si>
  <si>
    <t>in TJ - Conversion 277,28 --&gt; TWh: ca. 4600 TWh</t>
  </si>
  <si>
    <t xml:space="preserve">EU-28, in Mrd. m³ - Conversion 10 --&gt; </t>
  </si>
  <si>
    <t>EU-28</t>
  </si>
  <si>
    <t>Depleted field</t>
  </si>
  <si>
    <t>Salt cavern</t>
  </si>
  <si>
    <t>Aquifer</t>
  </si>
  <si>
    <t>Other</t>
  </si>
  <si>
    <t>Total</t>
  </si>
  <si>
    <t>s3</t>
  </si>
  <si>
    <t>s4</t>
  </si>
  <si>
    <t>[in Mrd. m³]</t>
  </si>
  <si>
    <t>[in TWh]</t>
  </si>
  <si>
    <t>no.</t>
  </si>
  <si>
    <t>Source: GSE (2015)</t>
  </si>
  <si>
    <t>kWh/m³</t>
  </si>
  <si>
    <t>operation</t>
  </si>
  <si>
    <t>under construction</t>
  </si>
  <si>
    <t>planned</t>
  </si>
  <si>
    <t>sinj_share</t>
  </si>
  <si>
    <t>swith_share</t>
  </si>
  <si>
    <t>Name</t>
  </si>
  <si>
    <r>
      <t>billion m</t>
    </r>
    <r>
      <rPr>
        <b/>
        <vertAlign val="superscript"/>
        <sz val="8"/>
        <rFont val="Arial"/>
        <family val="2"/>
      </rPr>
      <t>3</t>
    </r>
    <r>
      <rPr>
        <b/>
        <sz val="8"/>
        <rFont val="Arial"/>
        <family val="2"/>
      </rPr>
      <t>(N) / year</t>
    </r>
  </si>
  <si>
    <t>Operational</t>
  </si>
  <si>
    <t>Europe</t>
  </si>
  <si>
    <t>GLE Members</t>
  </si>
  <si>
    <t>Under</t>
  </si>
  <si>
    <t>Europe, EU-28</t>
  </si>
  <si>
    <t>Construction</t>
  </si>
  <si>
    <t>Planned</t>
  </si>
  <si>
    <t>Table not to be published on the GLE LNG Map</t>
  </si>
  <si>
    <t>Source: GLE LNG Map (2015,05)</t>
  </si>
  <si>
    <t>AL</t>
  </si>
  <si>
    <t>INF</t>
  </si>
  <si>
    <t>GLE</t>
  </si>
  <si>
    <t>Pipeline</t>
  </si>
  <si>
    <t>DIW Berlin</t>
  </si>
  <si>
    <t>Extension</t>
  </si>
  <si>
    <t>Nordstream II, Turkish Stream</t>
  </si>
  <si>
    <t>Production flexibility</t>
  </si>
  <si>
    <t>Lochner</t>
  </si>
  <si>
    <t>p. 72</t>
  </si>
  <si>
    <t>Production costs</t>
  </si>
  <si>
    <t>p. 73</t>
  </si>
  <si>
    <t>wird in countryup eingelesen</t>
  </si>
  <si>
    <t>inj_Parameter</t>
  </si>
  <si>
    <t>inj_Factor</t>
  </si>
  <si>
    <t>with_Parameter</t>
  </si>
  <si>
    <t>with_factor</t>
  </si>
  <si>
    <t>Algeria</t>
  </si>
  <si>
    <t>quantities</t>
  </si>
  <si>
    <t>costs</t>
  </si>
  <si>
    <t>GWh</t>
  </si>
  <si>
    <t>Euro/MWh</t>
  </si>
  <si>
    <t>scale factor</t>
  </si>
  <si>
    <t>(annual) balance</t>
  </si>
  <si>
    <t>(m1) balance wo lng</t>
  </si>
  <si>
    <t>c</t>
  </si>
  <si>
    <t>exp_liq_options</t>
  </si>
  <si>
    <t>exp_reg_options</t>
  </si>
  <si>
    <t>exp_reg_costs</t>
  </si>
  <si>
    <t>exp_liq_costs</t>
  </si>
  <si>
    <t>only produce</t>
  </si>
  <si>
    <t>produce and consume</t>
  </si>
  <si>
    <t>dem</t>
  </si>
  <si>
    <t>nodes</t>
  </si>
  <si>
    <t>EU-NW</t>
  </si>
  <si>
    <t>info nodes</t>
  </si>
  <si>
    <t>prod cost</t>
  </si>
  <si>
    <t>prod cap</t>
  </si>
  <si>
    <t>arc cost</t>
  </si>
  <si>
    <t>info existing arcs</t>
  </si>
  <si>
    <t>info potential arcs</t>
  </si>
  <si>
    <t>EU-SE</t>
  </si>
  <si>
    <t>arc_cost</t>
  </si>
  <si>
    <t>arc_cap</t>
  </si>
  <si>
    <t>planned cap</t>
  </si>
  <si>
    <t>inv cost</t>
  </si>
  <si>
    <t>plan</t>
  </si>
  <si>
    <t>foerd_min(%)</t>
  </si>
  <si>
    <t>foerd_up</t>
  </si>
  <si>
    <t>foerd_lo</t>
  </si>
  <si>
    <t>demand_up</t>
  </si>
  <si>
    <t>demand_lo</t>
  </si>
  <si>
    <t>n</t>
  </si>
  <si>
    <t>g</t>
  </si>
  <si>
    <t>d</t>
  </si>
  <si>
    <t>mapG(g,n)</t>
  </si>
  <si>
    <t xml:space="preserve">mapD(d,n) </t>
  </si>
  <si>
    <t>arcs</t>
  </si>
  <si>
    <t>l1</t>
  </si>
  <si>
    <t>l2</t>
  </si>
  <si>
    <t>l3</t>
  </si>
  <si>
    <t>l4</t>
  </si>
  <si>
    <t>l5</t>
  </si>
  <si>
    <t>l6</t>
  </si>
  <si>
    <t>l</t>
  </si>
  <si>
    <t>mapSL</t>
  </si>
  <si>
    <t>mapRL</t>
  </si>
  <si>
    <t>tr_limit</t>
  </si>
  <si>
    <t>tr_cost</t>
  </si>
  <si>
    <t xml:space="preserve">dem_y_lo </t>
  </si>
  <si>
    <t>LS_cost</t>
  </si>
  <si>
    <t>P_cost</t>
  </si>
  <si>
    <t>DZ</t>
  </si>
  <si>
    <t>LY</t>
  </si>
  <si>
    <t>NL</t>
  </si>
  <si>
    <t>DE</t>
  </si>
  <si>
    <t>FR</t>
  </si>
  <si>
    <t>IT</t>
  </si>
  <si>
    <t>AT</t>
  </si>
  <si>
    <t>CZ</t>
  </si>
  <si>
    <t>SK</t>
  </si>
  <si>
    <t>PL</t>
  </si>
  <si>
    <t>BY</t>
  </si>
  <si>
    <t>UA</t>
  </si>
  <si>
    <t>BE</t>
  </si>
  <si>
    <t>CH</t>
  </si>
  <si>
    <t>UK</t>
  </si>
  <si>
    <t>HU</t>
  </si>
  <si>
    <t>RO</t>
  </si>
  <si>
    <t>DK</t>
  </si>
  <si>
    <t>d_DE</t>
  </si>
  <si>
    <t>d_FR</t>
  </si>
  <si>
    <t>d_IT</t>
  </si>
  <si>
    <t>d_AT</t>
  </si>
  <si>
    <t>d_CZ</t>
  </si>
  <si>
    <t>d_SK</t>
  </si>
  <si>
    <t>d_PL</t>
  </si>
  <si>
    <t>d_BY</t>
  </si>
  <si>
    <t>d_UA</t>
  </si>
  <si>
    <t>d_BE</t>
  </si>
  <si>
    <t>d_CH</t>
  </si>
  <si>
    <t>d_UK</t>
  </si>
  <si>
    <t>d_HU</t>
  </si>
  <si>
    <t>d_RO</t>
  </si>
  <si>
    <t>d_DK</t>
  </si>
  <si>
    <t>SE</t>
  </si>
  <si>
    <t>d_NL</t>
  </si>
  <si>
    <t>d_SE</t>
  </si>
  <si>
    <t>g_LY</t>
  </si>
  <si>
    <t>g_NL</t>
  </si>
  <si>
    <t>g_DE</t>
  </si>
  <si>
    <t>g_IT</t>
  </si>
  <si>
    <t>g_AT</t>
  </si>
  <si>
    <t>g_CZ</t>
  </si>
  <si>
    <t>g_PL</t>
  </si>
  <si>
    <t>g_BY</t>
  </si>
  <si>
    <t>g_UK</t>
  </si>
  <si>
    <t>g_HU</t>
  </si>
  <si>
    <t>g_RO</t>
  </si>
  <si>
    <t>g_DK</t>
  </si>
  <si>
    <t>l7</t>
  </si>
  <si>
    <t>l8</t>
  </si>
  <si>
    <t>l9</t>
  </si>
  <si>
    <t>l10</t>
  </si>
  <si>
    <t>l11</t>
  </si>
  <si>
    <t>l12</t>
  </si>
  <si>
    <t>l13</t>
  </si>
  <si>
    <t>l14</t>
  </si>
  <si>
    <t>Network data</t>
  </si>
  <si>
    <t>ex(l)</t>
  </si>
  <si>
    <t>pros(l)</t>
  </si>
  <si>
    <t>-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</si>
  <si>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</si>
  <si>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</si>
  <si>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</si>
  <si>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</si>
  <si>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</si>
  <si>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</si>
  <si>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</si>
  <si>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</si>
  <si>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</si>
  <si>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</si>
  <si>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</si>
  <si>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</si>
  <si>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</si>
  <si>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</si>
  <si>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</si>
  <si>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</si>
  <si>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l31</t>
  </si>
  <si>
    <t>l32</t>
  </si>
  <si>
    <t>l33</t>
  </si>
  <si>
    <t>l34</t>
  </si>
  <si>
    <t>l35</t>
  </si>
  <si>
    <t>l36</t>
  </si>
  <si>
    <t>l37</t>
  </si>
  <si>
    <t>l38</t>
  </si>
  <si>
    <t>l39</t>
  </si>
  <si>
    <t>l40</t>
  </si>
  <si>
    <t>l41</t>
  </si>
  <si>
    <t>l42</t>
  </si>
  <si>
    <t>l43</t>
  </si>
  <si>
    <t>l44</t>
  </si>
  <si>
    <t>l45</t>
  </si>
  <si>
    <t>l46</t>
  </si>
  <si>
    <t>l47</t>
  </si>
  <si>
    <t>l48</t>
  </si>
  <si>
    <t>l49</t>
  </si>
  <si>
    <t>l50</t>
  </si>
  <si>
    <t>l51</t>
  </si>
  <si>
    <t>l52</t>
  </si>
  <si>
    <t>l53</t>
  </si>
  <si>
    <t>l54</t>
  </si>
  <si>
    <t>l55</t>
  </si>
  <si>
    <t>l56</t>
  </si>
  <si>
    <t>l57</t>
  </si>
  <si>
    <t>l58</t>
  </si>
  <si>
    <t>l59</t>
  </si>
  <si>
    <t>l60</t>
  </si>
  <si>
    <t>AB</t>
  </si>
  <si>
    <t>BG</t>
  </si>
  <si>
    <t>CS</t>
  </si>
  <si>
    <t>EE</t>
  </si>
  <si>
    <t>ES</t>
  </si>
  <si>
    <t>FI</t>
  </si>
  <si>
    <t>GR</t>
  </si>
  <si>
    <t>HR</t>
  </si>
  <si>
    <t>IE</t>
  </si>
  <si>
    <t>LT</t>
  </si>
  <si>
    <t>LV</t>
  </si>
  <si>
    <t>PT</t>
  </si>
  <si>
    <t>SB</t>
  </si>
  <si>
    <t>SI</t>
  </si>
  <si>
    <t>TN</t>
  </si>
  <si>
    <t>g_BG</t>
  </si>
  <si>
    <t>g_HR</t>
  </si>
  <si>
    <t>g_IE</t>
  </si>
  <si>
    <t>g_TR</t>
  </si>
  <si>
    <t>g_SB</t>
  </si>
  <si>
    <t>d_BG</t>
  </si>
  <si>
    <t>d_EE</t>
  </si>
  <si>
    <t>d_ES</t>
  </si>
  <si>
    <t>d_FI</t>
  </si>
  <si>
    <t>d_GR</t>
  </si>
  <si>
    <t>d_HR</t>
  </si>
  <si>
    <t>d_IE</t>
  </si>
  <si>
    <t>d_LT</t>
  </si>
  <si>
    <t>d_LV</t>
  </si>
  <si>
    <t>d_PT</t>
  </si>
  <si>
    <t>d_SB</t>
  </si>
  <si>
    <t>d_SI</t>
  </si>
  <si>
    <t>d_TR</t>
  </si>
  <si>
    <t>l61</t>
  </si>
  <si>
    <t>l62</t>
  </si>
  <si>
    <t>l63</t>
  </si>
  <si>
    <t>l64</t>
  </si>
  <si>
    <t>l65</t>
  </si>
  <si>
    <t>l66</t>
  </si>
  <si>
    <t>l67</t>
  </si>
  <si>
    <t>l68</t>
  </si>
  <si>
    <t>l69</t>
  </si>
  <si>
    <t>l70</t>
  </si>
  <si>
    <t>l71</t>
  </si>
  <si>
    <t>l72</t>
  </si>
  <si>
    <t>l73</t>
  </si>
  <si>
    <t>l74</t>
  </si>
  <si>
    <t>l75</t>
  </si>
  <si>
    <t>l76</t>
  </si>
  <si>
    <t>l77</t>
  </si>
  <si>
    <t>l78</t>
  </si>
  <si>
    <t>l79</t>
  </si>
  <si>
    <t>l80</t>
  </si>
  <si>
    <t>l81</t>
  </si>
  <si>
    <t>l82</t>
  </si>
  <si>
    <t>l83</t>
  </si>
  <si>
    <t>l84</t>
  </si>
  <si>
    <t>l85</t>
  </si>
  <si>
    <t>l86</t>
  </si>
  <si>
    <t>l87</t>
  </si>
  <si>
    <t>l88</t>
  </si>
  <si>
    <t>l89</t>
  </si>
  <si>
    <t>l90</t>
  </si>
  <si>
    <t>l91</t>
  </si>
  <si>
    <t>l92</t>
  </si>
  <si>
    <t>l93</t>
  </si>
  <si>
    <t>l94</t>
  </si>
  <si>
    <t>l95</t>
  </si>
  <si>
    <t>l96</t>
  </si>
  <si>
    <t>l97</t>
  </si>
  <si>
    <t>l98</t>
  </si>
  <si>
    <t>l99</t>
  </si>
  <si>
    <t>l100</t>
  </si>
  <si>
    <t>l101</t>
  </si>
  <si>
    <t>l102</t>
  </si>
  <si>
    <t>l103</t>
  </si>
  <si>
    <t>l104</t>
  </si>
  <si>
    <t>l105</t>
  </si>
  <si>
    <t>l106</t>
  </si>
  <si>
    <t>l107</t>
  </si>
  <si>
    <t>l108</t>
  </si>
  <si>
    <t>l109</t>
  </si>
  <si>
    <t>l110</t>
  </si>
  <si>
    <t>l111</t>
  </si>
  <si>
    <t>l112</t>
  </si>
  <si>
    <t>l113</t>
  </si>
  <si>
    <t>l114</t>
  </si>
  <si>
    <t>l115</t>
  </si>
  <si>
    <t>l116</t>
  </si>
  <si>
    <t>l117</t>
  </si>
  <si>
    <t>l118</t>
  </si>
  <si>
    <t>l119</t>
  </si>
  <si>
    <t>l120</t>
  </si>
  <si>
    <t>l121</t>
  </si>
  <si>
    <t>l122</t>
  </si>
  <si>
    <t>l123</t>
  </si>
  <si>
    <t>l124</t>
  </si>
  <si>
    <t>l125</t>
  </si>
  <si>
    <t>l126</t>
  </si>
  <si>
    <t>l127</t>
  </si>
  <si>
    <t>l129</t>
  </si>
  <si>
    <t>l130</t>
  </si>
  <si>
    <t>l131</t>
  </si>
  <si>
    <t>l132</t>
  </si>
  <si>
    <t>l133</t>
  </si>
  <si>
    <t>l134</t>
  </si>
  <si>
    <t>l135</t>
  </si>
  <si>
    <t>l136</t>
  </si>
  <si>
    <t>l137</t>
  </si>
  <si>
    <t>l138</t>
  </si>
  <si>
    <t>BaseFeeLiq  EUR/kcm</t>
  </si>
  <si>
    <t>EUR/kcm per 1000 km</t>
  </si>
  <si>
    <t>BaseFeeReg  /* EUR/kcm */</t>
  </si>
  <si>
    <t>BaseFeeShip  /* EUR/kcm per 1000 sea miles*/</t>
  </si>
  <si>
    <t>BaseLossLiq /* fraction lost */</t>
  </si>
  <si>
    <t>Fraction lost per 1000 km</t>
  </si>
  <si>
    <t>BaseLossReg /* fraction lost */</t>
  </si>
  <si>
    <t>BaseLossShip /* fraction lost per 1000 sea miles*/</t>
  </si>
  <si>
    <t>pipe_tr_cost</t>
  </si>
  <si>
    <t>lng_tr_cost</t>
  </si>
  <si>
    <t>Invest</t>
  </si>
  <si>
    <t>Discount rate</t>
  </si>
  <si>
    <t>Regas</t>
  </si>
  <si>
    <t xml:space="preserve">technical lifetime </t>
  </si>
  <si>
    <t>discount rate</t>
  </si>
  <si>
    <t>annuity factor</t>
  </si>
  <si>
    <t>Arcs (l)</t>
  </si>
  <si>
    <t>Discount rate for NPV calculations</t>
  </si>
  <si>
    <t>Arcs_lng(l)</t>
  </si>
  <si>
    <t>Arcs _pipe(l)</t>
  </si>
  <si>
    <t>technoeconomic lifetime</t>
  </si>
  <si>
    <t>Arcs _lng(l)</t>
  </si>
  <si>
    <t>Data sources: Egging&amp;Holz(2019), own assumptions</t>
  </si>
  <si>
    <t>DATA ASSUMPTIONS</t>
  </si>
  <si>
    <t>not included</t>
  </si>
  <si>
    <t>bcm/a</t>
  </si>
  <si>
    <t>dem_delta</t>
  </si>
  <si>
    <t>p_y_up</t>
  </si>
  <si>
    <t>p_delta</t>
  </si>
  <si>
    <t>p_y_lo</t>
  </si>
  <si>
    <t>delta-winter-share</t>
  </si>
  <si>
    <t>t1</t>
  </si>
  <si>
    <t>t2</t>
  </si>
  <si>
    <t>t3</t>
  </si>
  <si>
    <t>t4</t>
  </si>
  <si>
    <t>t5</t>
  </si>
  <si>
    <t>t6</t>
  </si>
  <si>
    <t>t7</t>
  </si>
  <si>
    <t>t8</t>
  </si>
  <si>
    <t>t9</t>
  </si>
  <si>
    <t>t10</t>
  </si>
  <si>
    <t>t11</t>
  </si>
  <si>
    <t>t12</t>
  </si>
  <si>
    <t>PCmax</t>
  </si>
  <si>
    <t>EMAX</t>
  </si>
  <si>
    <t>E0</t>
  </si>
  <si>
    <t>EFFC</t>
  </si>
  <si>
    <t>EFFD</t>
  </si>
  <si>
    <t>PDmax</t>
  </si>
  <si>
    <t>StorageData</t>
  </si>
  <si>
    <t>EminS</t>
  </si>
  <si>
    <t>Source: historical shares (Nov. - Mar.) 2014 -2020 --&gt; yellow no data (assumption)</t>
  </si>
  <si>
    <t>bcm/m</t>
  </si>
  <si>
    <t>bcm</t>
  </si>
  <si>
    <t>Source: GIS Storage Database (2018)</t>
  </si>
  <si>
    <t>E0: Avg. Historical Shares in Jan (2011 - 2020)</t>
  </si>
  <si>
    <t>EminS: ?</t>
  </si>
  <si>
    <t>g_RU1</t>
  </si>
  <si>
    <t>g_RU2</t>
  </si>
  <si>
    <t>g_CS1</t>
  </si>
  <si>
    <t>g_CS2</t>
  </si>
  <si>
    <t>g_CS3</t>
  </si>
  <si>
    <t>g_CS4</t>
  </si>
  <si>
    <t>g_CS5</t>
  </si>
  <si>
    <t>g_DZ1</t>
  </si>
  <si>
    <t>g_DZ2</t>
  </si>
  <si>
    <t>g_DZ3</t>
  </si>
  <si>
    <t>g_DZ4</t>
  </si>
  <si>
    <t>g_DZ5</t>
  </si>
  <si>
    <t>g_NO1</t>
  </si>
  <si>
    <t>g_NO2</t>
  </si>
  <si>
    <t>g_NO3</t>
  </si>
  <si>
    <t>g_NO4</t>
  </si>
  <si>
    <t>g_NO5</t>
  </si>
  <si>
    <t>g_RU3</t>
  </si>
  <si>
    <t>g_RU4</t>
  </si>
  <si>
    <t>g_RU5</t>
  </si>
  <si>
    <t>g_UA1</t>
  </si>
  <si>
    <t>g_UA2</t>
  </si>
  <si>
    <t>g_UA3</t>
  </si>
  <si>
    <t>g_UA4</t>
  </si>
  <si>
    <t>g_UA5</t>
  </si>
  <si>
    <t>g_LNG1</t>
  </si>
  <si>
    <t>g_LNG2</t>
  </si>
  <si>
    <t>g_LNG3</t>
  </si>
  <si>
    <t>g_LNG4</t>
  </si>
  <si>
    <t>g_LNG5</t>
  </si>
  <si>
    <t>EUR/kcm per arc</t>
  </si>
  <si>
    <t>EUR million per project (annuity)</t>
  </si>
  <si>
    <t>Euro/kcm</t>
  </si>
  <si>
    <t>so e.g. line 140: 31.2*10^6 EUR/BCM</t>
  </si>
  <si>
    <t>so e.g. line 44: 15*10^6 EUR/BCM</t>
  </si>
  <si>
    <t xml:space="preserve">60 10^9 EURO </t>
  </si>
  <si>
    <t>400 BCM</t>
  </si>
  <si>
    <t>a</t>
  </si>
  <si>
    <t>b</t>
  </si>
  <si>
    <t>Pn_Rus</t>
  </si>
  <si>
    <t xml:space="preserve">pn_Nor </t>
  </si>
  <si>
    <t xml:space="preserve">pn_Alg </t>
  </si>
  <si>
    <t>pn_Lib</t>
  </si>
  <si>
    <t>pn_Neth</t>
  </si>
  <si>
    <t>pn_Qat</t>
  </si>
  <si>
    <t xml:space="preserve"> pn_Nig </t>
  </si>
  <si>
    <t>pn_US</t>
  </si>
  <si>
    <t>pn_DE</t>
  </si>
  <si>
    <t>pn_FR</t>
  </si>
  <si>
    <t>pn_IT</t>
  </si>
  <si>
    <t>pn_AT</t>
  </si>
  <si>
    <t>pn_CZ</t>
  </si>
  <si>
    <t>pn_SK</t>
  </si>
  <si>
    <t>pn_PL</t>
  </si>
  <si>
    <t>pn_BY</t>
  </si>
  <si>
    <t>pn_UA</t>
  </si>
  <si>
    <t>pn_BE</t>
  </si>
  <si>
    <t>pn_CH</t>
  </si>
  <si>
    <t>pn_UK</t>
  </si>
  <si>
    <t>pn_Baltic</t>
  </si>
  <si>
    <t>pn_HU</t>
  </si>
  <si>
    <t>pn_RO</t>
  </si>
  <si>
    <t>pn_Balkan</t>
  </si>
  <si>
    <t>pn_DK</t>
  </si>
  <si>
    <t>pn_Iberia</t>
  </si>
  <si>
    <t>Seasonality Paper calibration</t>
  </si>
  <si>
    <t>cap</t>
  </si>
  <si>
    <t>units</t>
  </si>
  <si>
    <t>capacity</t>
  </si>
  <si>
    <t>g_CS</t>
  </si>
  <si>
    <t>g_DZ</t>
  </si>
  <si>
    <t>g_NO</t>
  </si>
  <si>
    <t>g_RU</t>
  </si>
  <si>
    <t>g_UA</t>
  </si>
  <si>
    <t>g_LNG</t>
  </si>
  <si>
    <t>CentralAsia</t>
  </si>
  <si>
    <t>adjusted delta</t>
  </si>
  <si>
    <t>DE cold adj</t>
  </si>
  <si>
    <t>DE lower ENTSOG</t>
  </si>
  <si>
    <t>DE delta ENTSOG</t>
  </si>
  <si>
    <t>DE lower + delta</t>
  </si>
  <si>
    <t>DE scenario delta</t>
  </si>
  <si>
    <t>DE scenario adj</t>
  </si>
  <si>
    <t>Three ways  to set up demand UB (two have decent interpretation)</t>
  </si>
  <si>
    <t>cost_pl</t>
  </si>
  <si>
    <t>cost_pq</t>
  </si>
  <si>
    <t>R1</t>
  </si>
  <si>
    <t>R2</t>
  </si>
  <si>
    <t>R3</t>
  </si>
  <si>
    <t>WGM calibration</t>
  </si>
  <si>
    <t>mcm/m</t>
  </si>
  <si>
    <t>c_90%</t>
  </si>
  <si>
    <t>c_95%</t>
  </si>
  <si>
    <t>stock level start m1</t>
  </si>
  <si>
    <t>stock level end m12</t>
  </si>
  <si>
    <t>l139</t>
  </si>
  <si>
    <t>l140</t>
  </si>
  <si>
    <t>l141</t>
  </si>
  <si>
    <t>l142</t>
  </si>
  <si>
    <t>l143</t>
  </si>
  <si>
    <t>l144</t>
  </si>
  <si>
    <t>l145</t>
  </si>
  <si>
    <t>l146</t>
  </si>
  <si>
    <t>l147</t>
  </si>
  <si>
    <t>l148</t>
  </si>
  <si>
    <t>l149</t>
  </si>
  <si>
    <t>l150</t>
  </si>
  <si>
    <t>l151</t>
  </si>
  <si>
    <t>l152</t>
  </si>
  <si>
    <t>l153</t>
  </si>
  <si>
    <t>l154</t>
  </si>
  <si>
    <t>l155</t>
  </si>
  <si>
    <t>l156</t>
  </si>
  <si>
    <t>l157</t>
  </si>
  <si>
    <t>l158</t>
  </si>
  <si>
    <t>l159</t>
  </si>
  <si>
    <t>l160</t>
  </si>
  <si>
    <t>l161</t>
  </si>
  <si>
    <t>l162</t>
  </si>
  <si>
    <t>l163</t>
  </si>
  <si>
    <t>l164</t>
  </si>
  <si>
    <t>l165</t>
  </si>
  <si>
    <t>l166</t>
  </si>
  <si>
    <t>l167</t>
  </si>
  <si>
    <t>l168</t>
  </si>
  <si>
    <t>l169</t>
  </si>
  <si>
    <t>l170</t>
  </si>
  <si>
    <t>l171</t>
  </si>
  <si>
    <t>l172</t>
  </si>
  <si>
    <t>l173</t>
  </si>
  <si>
    <t>l174</t>
  </si>
  <si>
    <t>l175</t>
  </si>
  <si>
    <t>l176</t>
  </si>
  <si>
    <t>l177</t>
  </si>
  <si>
    <t>l178</t>
  </si>
  <si>
    <t>l179</t>
  </si>
  <si>
    <t>l180</t>
  </si>
  <si>
    <t>l181</t>
  </si>
  <si>
    <t>l182</t>
  </si>
  <si>
    <t>l183</t>
  </si>
  <si>
    <t>l184</t>
  </si>
  <si>
    <t>l185</t>
  </si>
  <si>
    <t>l186</t>
  </si>
  <si>
    <t>l187</t>
  </si>
  <si>
    <t>l188</t>
  </si>
  <si>
    <t>l189</t>
  </si>
  <si>
    <t>l190</t>
  </si>
  <si>
    <t>l191</t>
  </si>
  <si>
    <t>l192</t>
  </si>
  <si>
    <t>l193</t>
  </si>
  <si>
    <t>l194</t>
  </si>
  <si>
    <t>l195</t>
  </si>
  <si>
    <t>l196</t>
  </si>
  <si>
    <t>l197</t>
  </si>
  <si>
    <t>l198</t>
  </si>
  <si>
    <t>l199</t>
  </si>
  <si>
    <t>l200</t>
  </si>
  <si>
    <t>l201</t>
  </si>
  <si>
    <t>l202</t>
  </si>
  <si>
    <t>l203</t>
  </si>
  <si>
    <t>l204</t>
  </si>
  <si>
    <t>l205</t>
  </si>
  <si>
    <t>l206</t>
  </si>
  <si>
    <t>l207</t>
  </si>
  <si>
    <t>l208</t>
  </si>
  <si>
    <t>l209</t>
  </si>
  <si>
    <t>l210</t>
  </si>
  <si>
    <t>l211</t>
  </si>
  <si>
    <t>l212</t>
  </si>
  <si>
    <t>l213</t>
  </si>
  <si>
    <t>l214</t>
  </si>
  <si>
    <t>l215</t>
  </si>
  <si>
    <t>l216</t>
  </si>
  <si>
    <t>l217</t>
  </si>
  <si>
    <t>l218</t>
  </si>
  <si>
    <t>l219</t>
  </si>
  <si>
    <t>l220</t>
  </si>
  <si>
    <t>l221</t>
  </si>
  <si>
    <t>l222</t>
  </si>
  <si>
    <t>l223</t>
  </si>
  <si>
    <t>l224</t>
  </si>
  <si>
    <t>l225</t>
  </si>
  <si>
    <t>l226</t>
  </si>
  <si>
    <t>l227</t>
  </si>
  <si>
    <t>l228</t>
  </si>
  <si>
    <t>l229</t>
  </si>
  <si>
    <t>l230</t>
  </si>
  <si>
    <t>l231</t>
  </si>
  <si>
    <t>l232</t>
  </si>
  <si>
    <t>l233</t>
  </si>
  <si>
    <t>l234</t>
  </si>
  <si>
    <t>l235</t>
  </si>
  <si>
    <t>l236</t>
  </si>
  <si>
    <t>l237</t>
  </si>
  <si>
    <t>l238</t>
  </si>
  <si>
    <t>EUR^6 per bcm ann</t>
  </si>
  <si>
    <t>Expantion option for non-PCI</t>
  </si>
  <si>
    <t>% of existing arc</t>
  </si>
  <si>
    <t>WGM IC</t>
  </si>
  <si>
    <t>per bcm/1000 km</t>
  </si>
  <si>
    <t>M EURO</t>
  </si>
  <si>
    <t>Ger-FR</t>
  </si>
  <si>
    <t>Cost per BCM G-F</t>
  </si>
  <si>
    <t>Cost per pipe G-F</t>
  </si>
  <si>
    <t>pipe</t>
  </si>
  <si>
    <t>lng</t>
  </si>
  <si>
    <t>1 At cost of PCI - one story</t>
  </si>
  <si>
    <t>2 At cost of actual pipelines - another</t>
  </si>
  <si>
    <t>at 5%</t>
  </si>
  <si>
    <t>at 6%</t>
  </si>
  <si>
    <t>scaling F</t>
  </si>
  <si>
    <t>60years</t>
  </si>
  <si>
    <t>25year</t>
  </si>
  <si>
    <t>What cost for non-PCI exp options?</t>
  </si>
  <si>
    <t>exp_costs_1</t>
  </si>
  <si>
    <t>exp_costs_2</t>
  </si>
  <si>
    <t>exp_costs_3</t>
  </si>
  <si>
    <t>S1 75PR</t>
  </si>
  <si>
    <t>S2 75PR</t>
  </si>
  <si>
    <t>S3 75PR</t>
  </si>
  <si>
    <t>i4</t>
  </si>
  <si>
    <t>i2</t>
  </si>
  <si>
    <t>i3</t>
  </si>
  <si>
    <t>j3</t>
  </si>
  <si>
    <t>PR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</si>
</sst>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_-* #,##0.00\ _€_-;\-* #,##0.00\ _€_-;_-* &quot;-&quot;??\ _€_-;_-@_-"/>
    <numFmt numFmtId="165" formatCode="0.0"/>
    <numFmt numFmtId="166" formatCode="_-* #,##0\ _€_-;\-* #,##0\ _€_-;_-* &quot;-&quot;??\ _€_-;_-@_-"/>
    <numFmt numFmtId="167" formatCode="0.0%"/>
    <numFmt numFmtId="168" formatCode="0.000"/>
    <numFmt numFmtId="169" formatCode="0.0000"/>
    <numFmt numFmtId="170" formatCode="_(* #,##0.0000_);_(* \(#,##0.0000\);_(* &quot;-&quot;??_);_(@_)"/>
    <numFmt numFmtId="171" formatCode="_([$€-2]\ * #,##0.00_);_([$€-2]\ * \(#,##0.00\);_([$€-2]\ * &quot;-&quot;??_);_(@_)"/>
    <numFmt numFmtId="172" formatCode="_([$€-2]\ * #,##0_);_([$€-2]\ * \(#,##0\);_([$€-2]\ * &quot;-&quot;??_);_(@_)"/>
  </numFmts>
  <fonts count="2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1"/>
      <color theme="1"/>
      <name val="Calibri"/>
      <family val="2"/>
    </font>
    <font>
      <b/>
      <sz val="8"/>
      <name val="Arial"/>
      <family val="2"/>
    </font>
    <font>
      <b/>
      <vertAlign val="superscript"/>
      <sz val="8"/>
      <name val="Arial"/>
      <family val="2"/>
    </font>
    <font>
      <sz val="8"/>
      <name val="Arial"/>
      <family val="2"/>
    </font>
    <font>
      <sz val="10"/>
      <color rgb="FFFFFFFF"/>
      <name val="Arial"/>
      <family val="2"/>
    </font>
    <font>
      <sz val="11"/>
      <color theme="5" tint="0.59999389629810485"/>
      <name val="Calibri"/>
      <family val="2"/>
      <scheme val="minor"/>
    </font>
    <font>
      <sz val="11"/>
      <color theme="5" tint="0.39997558519241921"/>
      <name val="Calibri"/>
      <family val="2"/>
      <scheme val="minor"/>
    </font>
    <font>
      <sz val="11"/>
      <color theme="7" tint="0.59999389629810485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  <charset val="204"/>
    </font>
    <font>
      <sz val="11"/>
      <color theme="1"/>
      <name val="Calibri"/>
      <family val="2"/>
      <charset val="238"/>
    </font>
    <font>
      <sz val="11"/>
      <color rgb="FFC0000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b/>
      <sz val="11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538DD5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</fills>
  <borders count="2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rgb="FF595959"/>
      </left>
      <right/>
      <top style="thin">
        <color rgb="FF595959"/>
      </top>
      <bottom/>
      <diagonal/>
    </border>
    <border>
      <left/>
      <right/>
      <top style="thin">
        <color rgb="FF595959"/>
      </top>
      <bottom/>
      <diagonal/>
    </border>
    <border>
      <left/>
      <right style="thin">
        <color rgb="FF595959"/>
      </right>
      <top style="thin">
        <color rgb="FF595959"/>
      </top>
      <bottom/>
      <diagonal/>
    </border>
    <border>
      <left style="thin">
        <color rgb="FF595959"/>
      </left>
      <right/>
      <top/>
      <bottom style="thin">
        <color rgb="FF595959"/>
      </bottom>
      <diagonal/>
    </border>
    <border>
      <left/>
      <right/>
      <top/>
      <bottom style="thin">
        <color rgb="FF595959"/>
      </bottom>
      <diagonal/>
    </border>
    <border>
      <left/>
      <right style="thin">
        <color rgb="FF595959"/>
      </right>
      <top/>
      <bottom style="thin">
        <color rgb="FF595959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17" fillId="0" borderId="0"/>
    <xf numFmtId="0" fontId="2" fillId="16" borderId="0" applyNumberFormat="0" applyBorder="0" applyAlignment="0" applyProtection="0"/>
  </cellStyleXfs>
  <cellXfs count="348">
    <xf numFmtId="0" fontId="0" fillId="0" borderId="0" xfId="0"/>
    <xf numFmtId="0" fontId="0" fillId="0" borderId="0" xfId="0" applyFill="1"/>
    <xf numFmtId="0" fontId="0" fillId="3" borderId="0" xfId="0" applyFill="1"/>
    <xf numFmtId="0" fontId="1" fillId="0" borderId="0" xfId="0" applyFont="1"/>
    <xf numFmtId="0" fontId="1" fillId="0" borderId="0" xfId="0" applyFont="1" applyFill="1"/>
    <xf numFmtId="0" fontId="4" fillId="4" borderId="1" xfId="0" applyFont="1" applyFill="1" applyBorder="1"/>
    <xf numFmtId="165" fontId="5" fillId="4" borderId="1" xfId="0" applyNumberFormat="1" applyFont="1" applyFill="1" applyBorder="1" applyAlignment="1">
      <alignment horizontal="center"/>
    </xf>
    <xf numFmtId="1" fontId="5" fillId="4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left"/>
    </xf>
    <xf numFmtId="165" fontId="4" fillId="0" borderId="1" xfId="0" applyNumberFormat="1" applyFont="1" applyFill="1" applyBorder="1" applyAlignment="1">
      <alignment horizontal="center"/>
    </xf>
    <xf numFmtId="1" fontId="4" fillId="0" borderId="1" xfId="0" applyNumberFormat="1" applyFont="1" applyFill="1" applyBorder="1" applyAlignment="1">
      <alignment horizontal="center"/>
    </xf>
    <xf numFmtId="0" fontId="3" fillId="4" borderId="1" xfId="0" applyFont="1" applyFill="1" applyBorder="1"/>
    <xf numFmtId="165" fontId="3" fillId="4" borderId="1" xfId="0" applyNumberFormat="1" applyFont="1" applyFill="1" applyBorder="1" applyAlignment="1">
      <alignment horizontal="center"/>
    </xf>
    <xf numFmtId="1" fontId="3" fillId="4" borderId="1" xfId="0" applyNumberFormat="1" applyFont="1" applyFill="1" applyBorder="1" applyAlignment="1">
      <alignment horizontal="center"/>
    </xf>
    <xf numFmtId="0" fontId="0" fillId="5" borderId="0" xfId="0" applyFill="1"/>
    <xf numFmtId="166" fontId="0" fillId="0" borderId="0" xfId="1" applyNumberFormat="1" applyFont="1"/>
    <xf numFmtId="0" fontId="0" fillId="0" borderId="0" xfId="0" applyAlignment="1">
      <alignment vertical="center"/>
    </xf>
    <xf numFmtId="0" fontId="6" fillId="0" borderId="0" xfId="0" applyFont="1" applyFill="1" applyBorder="1" applyAlignment="1">
      <alignment horizontal="right"/>
    </xf>
    <xf numFmtId="0" fontId="8" fillId="0" borderId="0" xfId="0" applyFont="1" applyAlignment="1">
      <alignment vertical="center"/>
    </xf>
    <xf numFmtId="0" fontId="4" fillId="0" borderId="2" xfId="0" applyFont="1" applyFill="1" applyBorder="1"/>
    <xf numFmtId="1" fontId="4" fillId="0" borderId="3" xfId="0" applyNumberFormat="1" applyFont="1" applyFill="1" applyBorder="1" applyAlignment="1">
      <alignment horizontal="center"/>
    </xf>
    <xf numFmtId="0" fontId="4" fillId="0" borderId="4" xfId="0" applyFont="1" applyFill="1" applyBorder="1"/>
    <xf numFmtId="0" fontId="4" fillId="0" borderId="5" xfId="0" applyFont="1" applyFill="1" applyBorder="1"/>
    <xf numFmtId="1" fontId="4" fillId="0" borderId="6" xfId="2" applyNumberFormat="1" applyFont="1" applyFill="1" applyBorder="1" applyAlignment="1">
      <alignment horizontal="center"/>
    </xf>
    <xf numFmtId="9" fontId="4" fillId="0" borderId="7" xfId="2" applyFont="1" applyFill="1" applyBorder="1"/>
    <xf numFmtId="1" fontId="4" fillId="0" borderId="6" xfId="0" applyNumberFormat="1" applyFont="1" applyFill="1" applyBorder="1" applyAlignment="1">
      <alignment horizontal="center"/>
    </xf>
    <xf numFmtId="0" fontId="9" fillId="7" borderId="0" xfId="0" applyFont="1" applyFill="1" applyBorder="1" applyAlignment="1">
      <alignment horizontal="center" vertical="center"/>
    </xf>
    <xf numFmtId="0" fontId="4" fillId="0" borderId="5" xfId="0" applyFont="1" applyFill="1" applyBorder="1" applyAlignment="1"/>
    <xf numFmtId="0" fontId="4" fillId="0" borderId="7" xfId="0" applyFont="1" applyFill="1" applyBorder="1"/>
    <xf numFmtId="166" fontId="0" fillId="0" borderId="0" xfId="1" applyNumberFormat="1" applyFont="1" applyAlignment="1">
      <alignment horizontal="center"/>
    </xf>
    <xf numFmtId="0" fontId="0" fillId="9" borderId="0" xfId="0" applyFill="1"/>
    <xf numFmtId="164" fontId="0" fillId="0" borderId="0" xfId="1" applyFont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1" applyNumberFormat="1" applyFont="1" applyAlignment="1">
      <alignment horizontal="center"/>
    </xf>
    <xf numFmtId="166" fontId="0" fillId="0" borderId="0" xfId="0" applyNumberFormat="1" applyAlignment="1">
      <alignment horizontal="center"/>
    </xf>
    <xf numFmtId="0" fontId="0" fillId="2" borderId="0" xfId="0" applyFill="1" applyAlignment="1">
      <alignment horizontal="center" wrapText="1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5" fontId="0" fillId="0" borderId="0" xfId="1" applyNumberFormat="1" applyFont="1" applyAlignment="1">
      <alignment horizontal="center"/>
    </xf>
    <xf numFmtId="165" fontId="0" fillId="0" borderId="0" xfId="0" applyNumberFormat="1" applyAlignment="1">
      <alignment horizontal="center"/>
    </xf>
    <xf numFmtId="1" fontId="0" fillId="0" borderId="0" xfId="1" applyNumberFormat="1" applyFont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/>
    </xf>
    <xf numFmtId="164" fontId="0" fillId="0" borderId="0" xfId="1" applyFont="1" applyFill="1" applyAlignment="1">
      <alignment horizontal="center"/>
    </xf>
    <xf numFmtId="0" fontId="0" fillId="10" borderId="0" xfId="0" applyFill="1"/>
    <xf numFmtId="0" fontId="0" fillId="10" borderId="0" xfId="0" applyFill="1" applyAlignment="1">
      <alignment horizontal="center"/>
    </xf>
    <xf numFmtId="166" fontId="0" fillId="10" borderId="0" xfId="1" applyNumberFormat="1" applyFont="1" applyFill="1" applyAlignment="1">
      <alignment horizontal="center"/>
    </xf>
    <xf numFmtId="2" fontId="0" fillId="0" borderId="0" xfId="0" applyNumberFormat="1"/>
    <xf numFmtId="2" fontId="0" fillId="0" borderId="0" xfId="0" applyNumberFormat="1" applyFill="1"/>
    <xf numFmtId="0" fontId="0" fillId="12" borderId="0" xfId="0" applyFill="1"/>
    <xf numFmtId="2" fontId="0" fillId="0" borderId="8" xfId="0" applyNumberFormat="1" applyBorder="1"/>
    <xf numFmtId="0" fontId="0" fillId="0" borderId="9" xfId="0" applyBorder="1"/>
    <xf numFmtId="0" fontId="0" fillId="0" borderId="0" xfId="0" applyBorder="1"/>
    <xf numFmtId="0" fontId="0" fillId="0" borderId="13" xfId="0" applyBorder="1"/>
    <xf numFmtId="0" fontId="0" fillId="0" borderId="14" xfId="0" applyBorder="1"/>
    <xf numFmtId="1" fontId="0" fillId="12" borderId="10" xfId="0" applyNumberFormat="1" applyFill="1" applyBorder="1" applyAlignment="1">
      <alignment horizontal="center" vertical="center"/>
    </xf>
    <xf numFmtId="0" fontId="10" fillId="11" borderId="0" xfId="0" applyFont="1" applyFill="1"/>
    <xf numFmtId="0" fontId="0" fillId="13" borderId="0" xfId="0" applyFill="1"/>
    <xf numFmtId="1" fontId="11" fillId="11" borderId="0" xfId="0" applyNumberFormat="1" applyFont="1" applyFill="1" applyAlignment="1">
      <alignment horizontal="center" vertical="center"/>
    </xf>
    <xf numFmtId="1" fontId="11" fillId="11" borderId="0" xfId="0" applyNumberFormat="1" applyFont="1" applyFill="1" applyAlignment="1">
      <alignment horizontal="center"/>
    </xf>
    <xf numFmtId="0" fontId="0" fillId="9" borderId="10" xfId="0" applyFill="1" applyBorder="1" applyAlignment="1">
      <alignment horizontal="center"/>
    </xf>
    <xf numFmtId="1" fontId="0" fillId="9" borderId="15" xfId="0" applyNumberFormat="1" applyFill="1" applyBorder="1" applyAlignment="1">
      <alignment horizontal="center"/>
    </xf>
    <xf numFmtId="1" fontId="0" fillId="13" borderId="0" xfId="0" applyNumberFormat="1" applyFill="1"/>
    <xf numFmtId="1" fontId="0" fillId="13" borderId="0" xfId="0" applyNumberFormat="1" applyFill="1" applyAlignment="1">
      <alignment horizontal="center"/>
    </xf>
    <xf numFmtId="0" fontId="1" fillId="10" borderId="0" xfId="0" applyFont="1" applyFill="1" applyAlignment="1">
      <alignment horizontal="center" vertical="center" wrapText="1"/>
    </xf>
    <xf numFmtId="165" fontId="0" fillId="10" borderId="0" xfId="0" applyNumberFormat="1" applyFill="1" applyAlignment="1">
      <alignment horizontal="center"/>
    </xf>
    <xf numFmtId="0" fontId="12" fillId="12" borderId="0" xfId="0" applyFont="1" applyFill="1"/>
    <xf numFmtId="0" fontId="0" fillId="0" borderId="8" xfId="0" applyBorder="1"/>
    <xf numFmtId="0" fontId="0" fillId="14" borderId="0" xfId="0" applyFill="1"/>
    <xf numFmtId="0" fontId="0" fillId="0" borderId="0" xfId="0" applyAlignment="1"/>
    <xf numFmtId="0" fontId="0" fillId="0" borderId="11" xfId="0" applyBorder="1"/>
    <xf numFmtId="0" fontId="0" fillId="12" borderId="12" xfId="0" applyFill="1" applyBorder="1" applyAlignment="1">
      <alignment horizontal="center"/>
    </xf>
    <xf numFmtId="0" fontId="0" fillId="0" borderId="14" xfId="0" applyFill="1" applyBorder="1"/>
    <xf numFmtId="0" fontId="0" fillId="0" borderId="15" xfId="0" applyFill="1" applyBorder="1" applyAlignment="1">
      <alignment horizontal="center"/>
    </xf>
    <xf numFmtId="0" fontId="0" fillId="0" borderId="15" xfId="0" applyBorder="1" applyAlignment="1">
      <alignment horizontal="center"/>
    </xf>
    <xf numFmtId="9" fontId="0" fillId="0" borderId="0" xfId="2" applyFont="1" applyAlignment="1">
      <alignment horizontal="center"/>
    </xf>
    <xf numFmtId="0" fontId="0" fillId="0" borderId="0" xfId="0" applyAlignment="1">
      <alignment horizontal="center"/>
    </xf>
    <xf numFmtId="0" fontId="13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15" borderId="0" xfId="0" applyFill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11" fontId="0" fillId="0" borderId="0" xfId="0" applyNumberFormat="1" applyAlignment="1">
      <alignment horizontal="center"/>
    </xf>
    <xf numFmtId="0" fontId="0" fillId="2" borderId="0" xfId="0" applyFill="1"/>
    <xf numFmtId="0" fontId="1" fillId="0" borderId="0" xfId="0" applyFont="1" applyFill="1" applyAlignment="1">
      <alignment horizontal="center" vertical="center" wrapText="1"/>
    </xf>
    <xf numFmtId="0" fontId="0" fillId="15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14" fillId="0" borderId="0" xfId="0" applyFont="1" applyAlignment="1">
      <alignment horizontal="center"/>
    </xf>
    <xf numFmtId="0" fontId="14" fillId="0" borderId="0" xfId="0" applyFont="1"/>
    <xf numFmtId="167" fontId="0" fillId="0" borderId="0" xfId="2" applyNumberFormat="1" applyFont="1" applyAlignment="1">
      <alignment horizontal="center"/>
    </xf>
    <xf numFmtId="9" fontId="0" fillId="2" borderId="0" xfId="0" applyNumberFormat="1" applyFill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165" fontId="0" fillId="0" borderId="0" xfId="0" applyNumberFormat="1" applyFill="1" applyBorder="1" applyAlignment="1">
      <alignment horizontal="center"/>
    </xf>
    <xf numFmtId="0" fontId="14" fillId="2" borderId="0" xfId="0" applyFont="1" applyFill="1" applyAlignment="1"/>
    <xf numFmtId="0" fontId="16" fillId="0" borderId="0" xfId="0" applyFont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4" fillId="0" borderId="0" xfId="0" applyFont="1" applyAlignment="1">
      <alignment horizontal="center" vertical="center"/>
    </xf>
    <xf numFmtId="165" fontId="16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2" fontId="16" fillId="0" borderId="0" xfId="0" applyNumberFormat="1" applyFont="1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Fill="1" applyBorder="1" applyAlignment="1">
      <alignment horizontal="center" vertical="center"/>
    </xf>
    <xf numFmtId="0" fontId="2" fillId="0" borderId="0" xfId="4" applyFill="1" applyBorder="1" applyAlignment="1">
      <alignment horizontal="center" vertical="center"/>
    </xf>
    <xf numFmtId="0" fontId="0" fillId="0" borderId="0" xfId="4" applyFont="1" applyFill="1" applyBorder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14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15" borderId="16" xfId="0" applyFont="1" applyFill="1" applyBorder="1" applyAlignment="1">
      <alignment horizontal="center" vertical="center"/>
    </xf>
    <xf numFmtId="0" fontId="1" fillId="15" borderId="0" xfId="0" applyFont="1" applyFill="1" applyBorder="1" applyAlignment="1">
      <alignment horizontal="center" vertical="center" wrapText="1"/>
    </xf>
    <xf numFmtId="0" fontId="1" fillId="15" borderId="16" xfId="0" applyFont="1" applyFill="1" applyBorder="1" applyAlignment="1">
      <alignment horizontal="center" vertical="center" wrapText="1"/>
    </xf>
    <xf numFmtId="2" fontId="0" fillId="0" borderId="0" xfId="0" applyNumberFormat="1" applyFill="1" applyBorder="1" applyAlignment="1">
      <alignment horizontal="center"/>
    </xf>
    <xf numFmtId="165" fontId="2" fillId="0" borderId="0" xfId="4" applyNumberFormat="1" applyFill="1" applyBorder="1" applyAlignment="1">
      <alignment horizontal="center"/>
    </xf>
    <xf numFmtId="2" fontId="18" fillId="0" borderId="0" xfId="0" applyNumberFormat="1" applyFont="1" applyAlignment="1">
      <alignment horizontal="center" vertical="center"/>
    </xf>
    <xf numFmtId="9" fontId="0" fillId="0" borderId="0" xfId="2" applyFont="1"/>
    <xf numFmtId="0" fontId="19" fillId="0" borderId="0" xfId="0" applyFont="1" applyBorder="1"/>
    <xf numFmtId="0" fontId="19" fillId="0" borderId="0" xfId="0" applyFont="1" applyFill="1" applyBorder="1"/>
    <xf numFmtId="168" fontId="19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17" xfId="0" applyFont="1" applyBorder="1"/>
    <xf numFmtId="0" fontId="19" fillId="0" borderId="18" xfId="0" applyFont="1" applyFill="1" applyBorder="1"/>
    <xf numFmtId="0" fontId="19" fillId="0" borderId="18" xfId="0" applyFont="1" applyFill="1" applyBorder="1" applyAlignment="1">
      <alignment horizontal="center"/>
    </xf>
    <xf numFmtId="0" fontId="19" fillId="0" borderId="18" xfId="0" applyFon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19" fillId="0" borderId="20" xfId="0" applyFont="1" applyBorder="1"/>
    <xf numFmtId="0" fontId="19" fillId="0" borderId="21" xfId="0" applyFont="1" applyBorder="1"/>
    <xf numFmtId="169" fontId="0" fillId="0" borderId="0" xfId="0" applyNumberFormat="1" applyBorder="1" applyAlignment="1">
      <alignment horizontal="center"/>
    </xf>
    <xf numFmtId="0" fontId="0" fillId="0" borderId="22" xfId="0" applyBorder="1"/>
    <xf numFmtId="0" fontId="0" fillId="0" borderId="16" xfId="0" applyFill="1" applyBorder="1"/>
    <xf numFmtId="169" fontId="0" fillId="0" borderId="16" xfId="0" applyNumberFormat="1" applyBorder="1" applyAlignment="1">
      <alignment horizontal="center"/>
    </xf>
    <xf numFmtId="0" fontId="0" fillId="0" borderId="16" xfId="0" applyBorder="1"/>
    <xf numFmtId="0" fontId="0" fillId="0" borderId="23" xfId="0" applyBorder="1"/>
    <xf numFmtId="165" fontId="0" fillId="0" borderId="0" xfId="0" applyNumberFormat="1" applyFont="1" applyAlignment="1">
      <alignment horizontal="center" vertical="center"/>
    </xf>
    <xf numFmtId="0" fontId="14" fillId="0" borderId="0" xfId="0" applyFont="1" applyBorder="1" applyAlignment="1">
      <alignment horizontal="center"/>
    </xf>
    <xf numFmtId="2" fontId="0" fillId="0" borderId="0" xfId="0" applyNumberFormat="1" applyBorder="1"/>
    <xf numFmtId="165" fontId="0" fillId="0" borderId="0" xfId="0" applyNumberFormat="1"/>
    <xf numFmtId="0" fontId="0" fillId="15" borderId="0" xfId="0" applyFill="1" applyAlignment="1">
      <alignment horizontal="center"/>
    </xf>
    <xf numFmtId="0" fontId="0" fillId="15" borderId="0" xfId="0" applyFill="1" applyAlignment="1">
      <alignment horizontal="center"/>
    </xf>
    <xf numFmtId="167" fontId="2" fillId="0" borderId="0" xfId="3" applyNumberFormat="1" applyFont="1" applyAlignment="1">
      <alignment horizontal="center" vertical="center"/>
    </xf>
    <xf numFmtId="0" fontId="0" fillId="0" borderId="23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9" fontId="0" fillId="0" borderId="0" xfId="2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170" fontId="0" fillId="0" borderId="0" xfId="0" applyNumberForma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0" fillId="0" borderId="21" xfId="0" applyBorder="1" applyAlignment="1">
      <alignment horizontal="center"/>
    </xf>
    <xf numFmtId="9" fontId="0" fillId="17" borderId="0" xfId="2" applyFont="1" applyFill="1" applyBorder="1" applyAlignment="1">
      <alignment horizontal="center"/>
    </xf>
    <xf numFmtId="2" fontId="2" fillId="0" borderId="0" xfId="2" applyNumberFormat="1" applyFont="1" applyAlignment="1">
      <alignment horizontal="center"/>
    </xf>
    <xf numFmtId="2" fontId="0" fillId="0" borderId="0" xfId="0" quotePrefix="1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Border="1" applyAlignment="1">
      <alignment horizontal="center" vertical="center"/>
    </xf>
    <xf numFmtId="0" fontId="0" fillId="2" borderId="0" xfId="0" applyFont="1" applyFill="1" applyBorder="1" applyAlignment="1">
      <alignment horizontal="center"/>
    </xf>
    <xf numFmtId="0" fontId="0" fillId="2" borderId="0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0" fontId="1" fillId="15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/>
    <xf numFmtId="0" fontId="0" fillId="0" borderId="0" xfId="0" applyBorder="1" applyAlignment="1">
      <alignment horizontal="center"/>
    </xf>
    <xf numFmtId="0" fontId="14" fillId="0" borderId="0" xfId="0" applyFont="1" applyAlignment="1">
      <alignment horizontal="center"/>
    </xf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165" fontId="0" fillId="0" borderId="0" xfId="0" applyNumberFormat="1" applyAlignment="1">
      <alignment horizontal="center" vertical="center"/>
    </xf>
    <xf numFmtId="165" fontId="18" fillId="0" borderId="0" xfId="0" applyNumberFormat="1" applyFont="1" applyAlignment="1">
      <alignment horizontal="center"/>
    </xf>
    <xf numFmtId="165" fontId="0" fillId="0" borderId="0" xfId="0" applyNumberFormat="1"/>
    <xf numFmtId="2" fontId="0" fillId="0" borderId="0" xfId="0" applyNumberFormat="1" applyAlignment="1">
      <alignment horizontal="center"/>
    </xf>
    <xf numFmtId="0" fontId="0" fillId="2" borderId="16" xfId="0" applyFont="1" applyFill="1" applyBorder="1" applyAlignment="1">
      <alignment horizontal="center"/>
    </xf>
    <xf numFmtId="165" fontId="0" fillId="0" borderId="16" xfId="0" applyNumberFormat="1" applyBorder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6" fillId="0" borderId="12" xfId="0" applyFont="1" applyBorder="1" applyAlignment="1">
      <alignment horizontal="center"/>
    </xf>
    <xf numFmtId="2" fontId="16" fillId="0" borderId="11" xfId="0" applyNumberFormat="1" applyFont="1" applyBorder="1" applyAlignment="1">
      <alignment horizontal="center"/>
    </xf>
    <xf numFmtId="2" fontId="16" fillId="0" borderId="0" xfId="0" applyNumberFormat="1" applyFont="1" applyBorder="1" applyAlignment="1">
      <alignment horizontal="center"/>
    </xf>
    <xf numFmtId="2" fontId="16" fillId="0" borderId="12" xfId="0" applyNumberFormat="1" applyFont="1" applyBorder="1" applyAlignment="1">
      <alignment horizontal="center"/>
    </xf>
    <xf numFmtId="2" fontId="16" fillId="0" borderId="13" xfId="0" applyNumberFormat="1" applyFont="1" applyBorder="1" applyAlignment="1">
      <alignment horizontal="center"/>
    </xf>
    <xf numFmtId="2" fontId="16" fillId="0" borderId="14" xfId="0" applyNumberFormat="1" applyFont="1" applyBorder="1" applyAlignment="1">
      <alignment horizontal="center"/>
    </xf>
    <xf numFmtId="2" fontId="16" fillId="0" borderId="15" xfId="0" applyNumberFormat="1" applyFont="1" applyBorder="1" applyAlignment="1">
      <alignment horizontal="center"/>
    </xf>
    <xf numFmtId="168" fontId="0" fillId="0" borderId="0" xfId="0" applyNumberFormat="1" applyAlignment="1">
      <alignment horizontal="center"/>
    </xf>
    <xf numFmtId="0" fontId="14" fillId="2" borderId="0" xfId="0" applyFont="1" applyFill="1"/>
    <xf numFmtId="0" fontId="0" fillId="2" borderId="8" xfId="0" applyFill="1" applyBorder="1" applyAlignment="1">
      <alignment horizontal="center" vertical="center"/>
    </xf>
    <xf numFmtId="165" fontId="0" fillId="2" borderId="0" xfId="0" applyNumberFormat="1" applyFill="1" applyBorder="1" applyAlignment="1">
      <alignment horizontal="center"/>
    </xf>
    <xf numFmtId="165" fontId="0" fillId="2" borderId="0" xfId="0" applyNumberFormat="1" applyFill="1" applyAlignment="1">
      <alignment horizontal="center" vertical="center"/>
    </xf>
    <xf numFmtId="0" fontId="0" fillId="2" borderId="8" xfId="0" applyFill="1" applyBorder="1" applyAlignment="1">
      <alignment horizontal="center"/>
    </xf>
    <xf numFmtId="165" fontId="0" fillId="2" borderId="16" xfId="0" applyNumberFormat="1" applyFill="1" applyBorder="1" applyAlignment="1">
      <alignment horizontal="center" vertical="center"/>
    </xf>
    <xf numFmtId="2" fontId="1" fillId="15" borderId="0" xfId="0" applyNumberFormat="1" applyFont="1" applyFill="1" applyAlignment="1">
      <alignment horizontal="center"/>
    </xf>
    <xf numFmtId="0" fontId="1" fillId="15" borderId="0" xfId="0" applyFont="1" applyFill="1" applyAlignment="1">
      <alignment horizontal="center"/>
    </xf>
    <xf numFmtId="43" fontId="0" fillId="0" borderId="0" xfId="0" applyNumberFormat="1"/>
    <xf numFmtId="165" fontId="0" fillId="15" borderId="0" xfId="0" applyNumberFormat="1" applyFill="1" applyBorder="1" applyAlignment="1">
      <alignment horizontal="center"/>
    </xf>
    <xf numFmtId="164" fontId="0" fillId="0" borderId="0" xfId="1" applyFont="1" applyFill="1" applyAlignment="1">
      <alignment horizontal="center" vertical="center"/>
    </xf>
    <xf numFmtId="0" fontId="0" fillId="18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8" fontId="0" fillId="0" borderId="0" xfId="0" applyNumberFormat="1"/>
    <xf numFmtId="165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165" fontId="0" fillId="5" borderId="0" xfId="0" applyNumberFormat="1" applyFont="1" applyFill="1" applyAlignment="1">
      <alignment horizontal="center" vertical="center"/>
    </xf>
    <xf numFmtId="165" fontId="0" fillId="5" borderId="0" xfId="0" applyNumberFormat="1" applyFill="1" applyAlignment="1">
      <alignment horizontal="center" vertical="center"/>
    </xf>
    <xf numFmtId="165" fontId="0" fillId="5" borderId="0" xfId="0" applyNumberFormat="1" applyFill="1" applyBorder="1" applyAlignment="1">
      <alignment horizontal="center"/>
    </xf>
    <xf numFmtId="165" fontId="0" fillId="17" borderId="0" xfId="0" applyNumberFormat="1" applyFill="1"/>
    <xf numFmtId="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5" fontId="0" fillId="0" borderId="0" xfId="0" applyNumberFormat="1" applyFont="1" applyFill="1" applyAlignment="1">
      <alignment horizontal="center" vertical="center"/>
    </xf>
    <xf numFmtId="165" fontId="18" fillId="0" borderId="0" xfId="0" applyNumberFormat="1" applyFont="1" applyFill="1" applyAlignment="1">
      <alignment horizontal="center"/>
    </xf>
    <xf numFmtId="0" fontId="0" fillId="0" borderId="0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/>
    </xf>
    <xf numFmtId="165" fontId="0" fillId="0" borderId="16" xfId="0" applyNumberFormat="1" applyFill="1" applyBorder="1" applyAlignment="1">
      <alignment horizontal="center" vertic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65" fontId="0" fillId="0" borderId="21" xfId="0" applyNumberFormat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165" fontId="0" fillId="0" borderId="23" xfId="0" applyNumberFormat="1" applyBorder="1" applyAlignment="1">
      <alignment horizontal="center"/>
    </xf>
    <xf numFmtId="0" fontId="0" fillId="15" borderId="0" xfId="0" applyFill="1" applyAlignment="1">
      <alignment horizontal="center"/>
    </xf>
    <xf numFmtId="0" fontId="0" fillId="0" borderId="0" xfId="0" applyAlignment="1">
      <alignment horizontal="center"/>
    </xf>
    <xf numFmtId="165" fontId="0" fillId="17" borderId="0" xfId="0" applyNumberFormat="1" applyFill="1" applyAlignment="1">
      <alignment horizontal="center"/>
    </xf>
    <xf numFmtId="165" fontId="0" fillId="0" borderId="0" xfId="0" applyNumberFormat="1" applyFill="1"/>
    <xf numFmtId="0" fontId="0" fillId="5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Fill="1" applyBorder="1" applyAlignment="1">
      <alignment horizontal="center"/>
    </xf>
    <xf numFmtId="9" fontId="0" fillId="19" borderId="0" xfId="0" applyNumberFormat="1" applyFill="1" applyAlignment="1">
      <alignment horizontal="center"/>
    </xf>
    <xf numFmtId="165" fontId="0" fillId="0" borderId="9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11" xfId="0" applyFill="1" applyBorder="1" applyAlignment="1">
      <alignment horizontal="center"/>
    </xf>
    <xf numFmtId="165" fontId="0" fillId="0" borderId="0" xfId="1" applyNumberFormat="1" applyFont="1" applyFill="1" applyBorder="1" applyAlignment="1">
      <alignment horizontal="center" vertical="center"/>
    </xf>
    <xf numFmtId="165" fontId="16" fillId="0" borderId="0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172" fontId="0" fillId="0" borderId="0" xfId="0" applyNumberFormat="1"/>
    <xf numFmtId="9" fontId="0" fillId="0" borderId="0" xfId="0" applyNumberFormat="1"/>
    <xf numFmtId="171" fontId="0" fillId="17" borderId="0" xfId="0" applyNumberFormat="1" applyFill="1"/>
    <xf numFmtId="0" fontId="0" fillId="15" borderId="0" xfId="0" applyFill="1" applyAlignment="1">
      <alignment horizontal="center"/>
    </xf>
    <xf numFmtId="165" fontId="0" fillId="21" borderId="0" xfId="0" applyNumberFormat="1" applyFill="1" applyBorder="1" applyAlignment="1">
      <alignment horizontal="center" vertical="center"/>
    </xf>
    <xf numFmtId="0" fontId="0" fillId="0" borderId="16" xfId="0" applyBorder="1" applyAlignment="1">
      <alignment horizontal="center"/>
    </xf>
    <xf numFmtId="0" fontId="0" fillId="2" borderId="16" xfId="0" applyFill="1" applyBorder="1" applyAlignment="1">
      <alignment horizontal="center" vertical="center"/>
    </xf>
    <xf numFmtId="0" fontId="0" fillId="5" borderId="16" xfId="0" applyFill="1" applyBorder="1" applyAlignment="1">
      <alignment horizontal="center"/>
    </xf>
    <xf numFmtId="0" fontId="0" fillId="0" borderId="16" xfId="0" applyBorder="1" applyAlignment="1">
      <alignment horizontal="center" vertical="center"/>
    </xf>
    <xf numFmtId="2" fontId="20" fillId="22" borderId="0" xfId="0" applyNumberFormat="1" applyFont="1" applyFill="1" applyAlignment="1">
      <alignment horizontal="center" vertical="center"/>
    </xf>
    <xf numFmtId="2" fontId="20" fillId="23" borderId="0" xfId="0" applyNumberFormat="1" applyFont="1" applyFill="1" applyAlignment="1">
      <alignment horizontal="center" vertical="center"/>
    </xf>
    <xf numFmtId="2" fontId="20" fillId="20" borderId="0" xfId="0" applyNumberFormat="1" applyFont="1" applyFill="1" applyAlignment="1">
      <alignment horizontal="center" vertical="center"/>
    </xf>
    <xf numFmtId="0" fontId="1" fillId="0" borderId="0" xfId="0" quotePrefix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16" fillId="0" borderId="9" xfId="0" applyFont="1" applyFill="1" applyBorder="1" applyAlignment="1">
      <alignment horizontal="center"/>
    </xf>
    <xf numFmtId="0" fontId="0" fillId="2" borderId="14" xfId="0" applyFill="1" applyBorder="1" applyAlignment="1">
      <alignment horizontal="center" vertical="center"/>
    </xf>
    <xf numFmtId="2" fontId="16" fillId="0" borderId="14" xfId="0" applyNumberFormat="1" applyFont="1" applyFill="1" applyBorder="1" applyAlignment="1">
      <alignment horizontal="center"/>
    </xf>
    <xf numFmtId="165" fontId="21" fillId="0" borderId="0" xfId="0" applyNumberFormat="1" applyFont="1" applyBorder="1" applyAlignment="1">
      <alignment horizontal="center" vertical="center"/>
    </xf>
    <xf numFmtId="2" fontId="0" fillId="22" borderId="0" xfId="0" applyNumberFormat="1" applyFill="1" applyBorder="1" applyAlignment="1">
      <alignment horizontal="center"/>
    </xf>
    <xf numFmtId="2" fontId="0" fillId="23" borderId="0" xfId="0" applyNumberFormat="1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2" fontId="0" fillId="22" borderId="0" xfId="0" applyNumberFormat="1" applyFill="1" applyBorder="1" applyAlignment="1">
      <alignment horizontal="center" vertical="center"/>
    </xf>
    <xf numFmtId="2" fontId="0" fillId="24" borderId="0" xfId="0" applyNumberFormat="1" applyFill="1" applyBorder="1" applyAlignment="1">
      <alignment horizontal="center" vertical="center"/>
    </xf>
    <xf numFmtId="2" fontId="0" fillId="23" borderId="0" xfId="0" applyNumberFormat="1" applyFill="1" applyBorder="1" applyAlignment="1">
      <alignment horizontal="center" vertical="center"/>
    </xf>
    <xf numFmtId="2" fontId="0" fillId="26" borderId="0" xfId="0" applyNumberFormat="1" applyFill="1" applyBorder="1" applyAlignment="1">
      <alignment horizontal="center" vertical="center"/>
    </xf>
    <xf numFmtId="0" fontId="0" fillId="15" borderId="16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14" fillId="5" borderId="0" xfId="0" applyFont="1" applyFill="1" applyBorder="1" applyAlignment="1">
      <alignment horizontal="center"/>
    </xf>
    <xf numFmtId="0" fontId="0" fillId="15" borderId="8" xfId="0" applyFill="1" applyBorder="1" applyAlignment="1">
      <alignment horizontal="center"/>
    </xf>
    <xf numFmtId="0" fontId="0" fillId="15" borderId="9" xfId="0" applyFill="1" applyBorder="1" applyAlignment="1">
      <alignment horizontal="center"/>
    </xf>
    <xf numFmtId="2" fontId="16" fillId="15" borderId="11" xfId="0" applyNumberFormat="1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2" fontId="16" fillId="15" borderId="13" xfId="0" applyNumberFormat="1" applyFont="1" applyFill="1" applyBorder="1" applyAlignment="1">
      <alignment horizontal="center"/>
    </xf>
    <xf numFmtId="0" fontId="0" fillId="15" borderId="14" xfId="0" applyFill="1" applyBorder="1" applyAlignment="1">
      <alignment horizontal="center"/>
    </xf>
    <xf numFmtId="2" fontId="16" fillId="15" borderId="8" xfId="0" applyNumberFormat="1" applyFont="1" applyFill="1" applyBorder="1" applyAlignment="1">
      <alignment horizontal="center"/>
    </xf>
    <xf numFmtId="2" fontId="0" fillId="22" borderId="9" xfId="0" applyNumberFormat="1" applyFill="1" applyBorder="1" applyAlignment="1">
      <alignment horizontal="center" vertical="center"/>
    </xf>
    <xf numFmtId="2" fontId="0" fillId="23" borderId="9" xfId="0" applyNumberFormat="1" applyFill="1" applyBorder="1" applyAlignment="1">
      <alignment horizontal="center" vertical="center"/>
    </xf>
    <xf numFmtId="2" fontId="0" fillId="20" borderId="10" xfId="0" applyNumberFormat="1" applyFill="1" applyBorder="1" applyAlignment="1">
      <alignment horizontal="center" vertical="center"/>
    </xf>
    <xf numFmtId="2" fontId="0" fillId="20" borderId="12" xfId="0" applyNumberFormat="1" applyFill="1" applyBorder="1" applyAlignment="1">
      <alignment horizontal="center" vertical="center"/>
    </xf>
    <xf numFmtId="2" fontId="0" fillId="22" borderId="14" xfId="0" applyNumberFormat="1" applyFill="1" applyBorder="1" applyAlignment="1">
      <alignment horizontal="center" vertical="center"/>
    </xf>
    <xf numFmtId="2" fontId="0" fillId="23" borderId="14" xfId="0" applyNumberFormat="1" applyFill="1" applyBorder="1" applyAlignment="1">
      <alignment horizontal="center" vertical="center"/>
    </xf>
    <xf numFmtId="2" fontId="0" fillId="20" borderId="15" xfId="0" applyNumberFormat="1" applyFill="1" applyBorder="1" applyAlignment="1">
      <alignment horizontal="center" vertical="center"/>
    </xf>
    <xf numFmtId="2" fontId="0" fillId="24" borderId="9" xfId="0" applyNumberFormat="1" applyFill="1" applyBorder="1" applyAlignment="1">
      <alignment horizontal="center" vertical="center"/>
    </xf>
    <xf numFmtId="2" fontId="0" fillId="26" borderId="9" xfId="0" applyNumberFormat="1" applyFill="1" applyBorder="1" applyAlignment="1">
      <alignment horizontal="center" vertical="center"/>
    </xf>
    <xf numFmtId="2" fontId="0" fillId="13" borderId="10" xfId="0" applyNumberFormat="1" applyFill="1" applyBorder="1" applyAlignment="1">
      <alignment horizontal="center" vertical="center"/>
    </xf>
    <xf numFmtId="2" fontId="0" fillId="13" borderId="12" xfId="0" applyNumberFormat="1" applyFill="1" applyBorder="1" applyAlignment="1">
      <alignment horizontal="center" vertical="center"/>
    </xf>
    <xf numFmtId="2" fontId="0" fillId="24" borderId="14" xfId="0" applyNumberFormat="1" applyFill="1" applyBorder="1" applyAlignment="1">
      <alignment horizontal="center" vertical="center"/>
    </xf>
    <xf numFmtId="2" fontId="0" fillId="26" borderId="14" xfId="0" applyNumberFormat="1" applyFill="1" applyBorder="1" applyAlignment="1">
      <alignment horizontal="center" vertical="center"/>
    </xf>
    <xf numFmtId="2" fontId="0" fillId="13" borderId="15" xfId="0" applyNumberFormat="1" applyFill="1" applyBorder="1" applyAlignment="1">
      <alignment horizontal="center" vertical="center"/>
    </xf>
    <xf numFmtId="2" fontId="16" fillId="0" borderId="8" xfId="0" applyNumberFormat="1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2" fontId="16" fillId="0" borderId="9" xfId="0" applyNumberFormat="1" applyFont="1" applyFill="1" applyBorder="1" applyAlignment="1">
      <alignment horizontal="center"/>
    </xf>
    <xf numFmtId="165" fontId="21" fillId="0" borderId="9" xfId="0" applyNumberFormat="1" applyFont="1" applyBorder="1" applyAlignment="1">
      <alignment horizontal="center" vertical="center"/>
    </xf>
    <xf numFmtId="2" fontId="0" fillId="22" borderId="9" xfId="0" applyNumberFormat="1" applyFill="1" applyBorder="1" applyAlignment="1">
      <alignment horizontal="center"/>
    </xf>
    <xf numFmtId="2" fontId="0" fillId="23" borderId="9" xfId="0" applyNumberFormat="1" applyFill="1" applyBorder="1" applyAlignment="1">
      <alignment horizontal="center"/>
    </xf>
    <xf numFmtId="2" fontId="0" fillId="20" borderId="10" xfId="0" applyNumberFormat="1" applyFill="1" applyBorder="1" applyAlignment="1">
      <alignment horizontal="center"/>
    </xf>
    <xf numFmtId="2" fontId="16" fillId="0" borderId="11" xfId="0" applyNumberFormat="1" applyFont="1" applyFill="1" applyBorder="1" applyAlignment="1">
      <alignment horizontal="center"/>
    </xf>
    <xf numFmtId="2" fontId="0" fillId="20" borderId="12" xfId="0" applyNumberFormat="1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4" xfId="0" applyFill="1" applyBorder="1" applyAlignment="1">
      <alignment horizontal="center"/>
    </xf>
    <xf numFmtId="165" fontId="21" fillId="0" borderId="14" xfId="0" applyNumberFormat="1" applyFont="1" applyBorder="1" applyAlignment="1">
      <alignment horizontal="center" vertical="center"/>
    </xf>
    <xf numFmtId="2" fontId="0" fillId="22" borderId="14" xfId="0" applyNumberFormat="1" applyFill="1" applyBorder="1" applyAlignment="1">
      <alignment horizontal="center"/>
    </xf>
    <xf numFmtId="2" fontId="0" fillId="23" borderId="14" xfId="0" applyNumberFormat="1" applyFill="1" applyBorder="1" applyAlignment="1">
      <alignment horizontal="center"/>
    </xf>
    <xf numFmtId="2" fontId="0" fillId="20" borderId="1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20" borderId="0" xfId="0" applyFill="1" applyAlignment="1">
      <alignment horizontal="center"/>
    </xf>
    <xf numFmtId="11" fontId="0" fillId="20" borderId="0" xfId="0" applyNumberFormat="1" applyFill="1" applyAlignment="1">
      <alignment horizontal="center"/>
    </xf>
    <xf numFmtId="165" fontId="0" fillId="20" borderId="0" xfId="0" applyNumberFormat="1" applyFill="1" applyBorder="1" applyAlignment="1">
      <alignment horizontal="center" vertical="center"/>
    </xf>
    <xf numFmtId="165" fontId="0" fillId="20" borderId="0" xfId="0" applyNumberFormat="1" applyFill="1" applyAlignment="1">
      <alignment horizontal="center" vertical="center"/>
    </xf>
    <xf numFmtId="165" fontId="21" fillId="0" borderId="0" xfId="0" applyNumberFormat="1" applyFont="1" applyAlignment="1">
      <alignment horizontal="center" vertical="center"/>
    </xf>
    <xf numFmtId="0" fontId="0" fillId="15" borderId="0" xfId="0" applyFill="1" applyAlignment="1">
      <alignment horizontal="center"/>
    </xf>
    <xf numFmtId="2" fontId="0" fillId="23" borderId="0" xfId="0" applyNumberFormat="1" applyFill="1" applyAlignment="1">
      <alignment horizontal="center" vertical="center"/>
    </xf>
    <xf numFmtId="2" fontId="0" fillId="25" borderId="0" xfId="0" applyNumberFormat="1" applyFill="1" applyAlignment="1">
      <alignment horizontal="center" vertical="center"/>
    </xf>
    <xf numFmtId="2" fontId="0" fillId="20" borderId="0" xfId="0" applyNumberFormat="1" applyFill="1" applyAlignment="1">
      <alignment horizontal="center" vertical="center"/>
    </xf>
    <xf numFmtId="2" fontId="0" fillId="21" borderId="0" xfId="0" applyNumberFormat="1" applyFill="1" applyAlignment="1">
      <alignment horizontal="center" vertical="center"/>
    </xf>
    <xf numFmtId="2" fontId="1" fillId="24" borderId="0" xfId="0" applyNumberFormat="1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0" borderId="0" xfId="0" applyAlignment="1">
      <alignment horizontal="center"/>
    </xf>
    <xf numFmtId="2" fontId="1" fillId="22" borderId="0" xfId="0" applyNumberFormat="1" applyFont="1" applyFill="1" applyAlignment="1">
      <alignment horizontal="center" vertical="center"/>
    </xf>
    <xf numFmtId="0" fontId="16" fillId="0" borderId="0" xfId="0" applyFont="1" applyAlignment="1">
      <alignment horizontal="center"/>
    </xf>
    <xf numFmtId="0" fontId="9" fillId="6" borderId="0" xfId="0" applyFont="1" applyFill="1" applyBorder="1" applyAlignment="1">
      <alignment horizontal="center" vertical="center"/>
    </xf>
    <xf numFmtId="0" fontId="4" fillId="8" borderId="0" xfId="0" applyFont="1" applyFill="1" applyBorder="1" applyAlignment="1">
      <alignment horizontal="center" vertical="center"/>
    </xf>
  </cellXfs>
  <cellStyles count="5">
    <cellStyle name="20% - Accent1" xfId="4" builtinId="30"/>
    <cellStyle name="Comma" xfId="1" builtinId="3"/>
    <cellStyle name="Normal" xfId="0" builtinId="0"/>
    <cellStyle name="Percent" xfId="2" builtinId="5"/>
    <cellStyle name="Standard 4" xfId="3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microsoft.com/office/2017/10/relationships/person" Target="persons/perso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3 demand profile types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demand!$F$78</c:f>
              <c:strCache>
                <c:ptCount val="1"/>
                <c:pt idx="0">
                  <c:v>DE lower ENTSOG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demand!$G$78:$R$78</c:f>
              <c:numCache>
                <c:formatCode>0.00</c:formatCode>
                <c:ptCount val="12"/>
                <c:pt idx="0">
                  <c:v>11.703232648133072</c:v>
                </c:pt>
                <c:pt idx="1">
                  <c:v>9.9654093864989903</c:v>
                </c:pt>
                <c:pt idx="2">
                  <c:v>9.0284165868433153</c:v>
                </c:pt>
                <c:pt idx="3">
                  <c:v>6.3531656644501</c:v>
                </c:pt>
                <c:pt idx="4">
                  <c:v>5.7096019910776583</c:v>
                </c:pt>
                <c:pt idx="5">
                  <c:v>4.447498443621158</c:v>
                </c:pt>
                <c:pt idx="6">
                  <c:v>4.9038524245491324</c:v>
                </c:pt>
                <c:pt idx="7">
                  <c:v>4.29547438900667</c:v>
                </c:pt>
                <c:pt idx="8">
                  <c:v>5.0233854662246218</c:v>
                </c:pt>
                <c:pt idx="9">
                  <c:v>7.0953782381076698</c:v>
                </c:pt>
                <c:pt idx="10">
                  <c:v>9.7717853204813032</c:v>
                </c:pt>
                <c:pt idx="11">
                  <c:v>10.037371914054619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17-4AFA-9709-CD64D245A8F9}"/>
            </c:ext>
          </c:extLst>
        </c:ser>
        <c:ser>
          <c:idx val="1"/>
          <c:order val="1"/>
          <c:tx>
            <c:strRef>
              <c:f>demand!$F$79</c:f>
              <c:strCache>
                <c:ptCount val="1"/>
                <c:pt idx="0">
                  <c:v>DE scenario adj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demand!$G$79:$R$79</c:f>
              <c:numCache>
                <c:formatCode>0.00</c:formatCode>
                <c:ptCount val="12"/>
                <c:pt idx="0">
                  <c:v>12.51044670730697</c:v>
                </c:pt>
                <c:pt idx="1">
                  <c:v>10.652759523342485</c:v>
                </c:pt>
                <c:pt idx="2">
                  <c:v>9.6511389593786774</c:v>
                </c:pt>
                <c:pt idx="3">
                  <c:v>6.79136635641217</c:v>
                </c:pt>
                <c:pt idx="4">
                  <c:v>6.103413781209027</c:v>
                </c:pt>
                <c:pt idx="5">
                  <c:v>4.7542584115534137</c:v>
                </c:pt>
                <c:pt idx="6">
                  <c:v>5.2420887683204862</c:v>
                </c:pt>
                <c:pt idx="7">
                  <c:v>4.5917487109719533</c:v>
                </c:pt>
                <c:pt idx="8">
                  <c:v>5.3698664339112039</c:v>
                </c:pt>
                <c:pt idx="9">
                  <c:v>7.5847720014513982</c:v>
                </c:pt>
                <c:pt idx="10">
                  <c:v>10.445780508911565</c:v>
                </c:pt>
                <c:pt idx="11">
                  <c:v>10.729685565315291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17-4AFA-9709-CD64D245A8F9}"/>
            </c:ext>
          </c:extLst>
        </c:ser>
        <c:ser>
          <c:idx val="2"/>
          <c:order val="2"/>
          <c:tx>
            <c:strRef>
              <c:f>demand!$F$80</c:f>
              <c:strCache>
                <c:ptCount val="1"/>
                <c:pt idx="0">
                  <c:v>DE cold adj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demand!$G$80:$R$80</c:f>
              <c:numCache>
                <c:formatCode>0.00</c:formatCode>
                <c:ptCount val="12"/>
                <c:pt idx="0">
                  <c:v>14.1173805189809</c:v>
                </c:pt>
                <c:pt idx="1">
                  <c:v>12.043087787516875</c:v>
                </c:pt>
                <c:pt idx="2">
                  <c:v>10.883957667930648</c:v>
                </c:pt>
                <c:pt idx="3">
                  <c:v>6.3531656644501</c:v>
                </c:pt>
                <c:pt idx="4">
                  <c:v>5.7096019910776583</c:v>
                </c:pt>
                <c:pt idx="5">
                  <c:v>4.447498443621158</c:v>
                </c:pt>
                <c:pt idx="6">
                  <c:v>4.9038524245491324</c:v>
                </c:pt>
                <c:pt idx="7">
                  <c:v>4.29547438900667</c:v>
                </c:pt>
                <c:pt idx="8">
                  <c:v>5.0233854662246218</c:v>
                </c:pt>
                <c:pt idx="9">
                  <c:v>7.0953782381076698</c:v>
                </c:pt>
                <c:pt idx="10">
                  <c:v>11.608058407956207</c:v>
                </c:pt>
                <c:pt idx="11">
                  <c:v>12.04768456533724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717-4AFA-9709-CD64D245A8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8350511"/>
        <c:axId val="1064603311"/>
      </c:lineChart>
      <c:catAx>
        <c:axId val="11383505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064603311"/>
        <c:crosses val="autoZero"/>
        <c:auto val="1"/>
        <c:lblAlgn val="ctr"/>
        <c:lblOffset val="100"/>
        <c:noMultiLvlLbl val="0"/>
      </c:catAx>
      <c:valAx>
        <c:axId val="1064603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LID4096"/>
          </a:p>
        </c:txPr>
        <c:crossAx val="1138350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LID4096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LID4096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352425</xdr:colOff>
      <xdr:row>80</xdr:row>
      <xdr:rowOff>95249</xdr:rowOff>
    </xdr:from>
    <xdr:to>
      <xdr:col>16</xdr:col>
      <xdr:colOff>691515</xdr:colOff>
      <xdr:row>96</xdr:row>
      <xdr:rowOff>91439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D9F80F-7BBA-4593-B670-2D0E11D183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257735</xdr:colOff>
      <xdr:row>9</xdr:row>
      <xdr:rowOff>137832</xdr:rowOff>
    </xdr:from>
    <xdr:to>
      <xdr:col>30</xdr:col>
      <xdr:colOff>193866</xdr:colOff>
      <xdr:row>21</xdr:row>
      <xdr:rowOff>134471</xdr:rowOff>
    </xdr:to>
    <xdr:cxnSp macro="">
      <xdr:nvCxnSpPr>
        <xdr:cNvPr id="3" name="Gerade Verbindung mit Pfeil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rot="5400000">
          <a:off x="6048937" y="2022660"/>
          <a:ext cx="2338668" cy="2087660"/>
        </a:xfrm>
        <a:prstGeom prst="bentConnector3">
          <a:avLst>
            <a:gd name="adj1" fmla="val -311"/>
          </a:avLst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34</xdr:col>
      <xdr:colOff>67235</xdr:colOff>
      <xdr:row>11</xdr:row>
      <xdr:rowOff>112059</xdr:rowOff>
    </xdr:from>
    <xdr:to>
      <xdr:col>34</xdr:col>
      <xdr:colOff>89647</xdr:colOff>
      <xdr:row>31</xdr:row>
      <xdr:rowOff>145677</xdr:rowOff>
    </xdr:to>
    <xdr:cxnSp macro="">
      <xdr:nvCxnSpPr>
        <xdr:cNvPr id="6" name="Gerade Verbindung mit Pfeil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CxnSpPr/>
      </xdr:nvCxnSpPr>
      <xdr:spPr>
        <a:xfrm>
          <a:off x="9211235" y="2263588"/>
          <a:ext cx="22412" cy="3978089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24</xdr:col>
      <xdr:colOff>89650</xdr:colOff>
      <xdr:row>25</xdr:row>
      <xdr:rowOff>44823</xdr:rowOff>
    </xdr:from>
    <xdr:to>
      <xdr:col>29</xdr:col>
      <xdr:colOff>134472</xdr:colOff>
      <xdr:row>31</xdr:row>
      <xdr:rowOff>168089</xdr:rowOff>
    </xdr:to>
    <xdr:cxnSp macro="">
      <xdr:nvCxnSpPr>
        <xdr:cNvPr id="9" name="Gerade Verbindung mit Pfeil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CxnSpPr/>
      </xdr:nvCxnSpPr>
      <xdr:spPr>
        <a:xfrm rot="10800000">
          <a:off x="7620003" y="4146176"/>
          <a:ext cx="1389528" cy="1288678"/>
        </a:xfrm>
        <a:prstGeom prst="bentConnector3">
          <a:avLst>
            <a:gd name="adj1" fmla="val 0"/>
          </a:avLst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224118</xdr:colOff>
      <xdr:row>8</xdr:row>
      <xdr:rowOff>67235</xdr:rowOff>
    </xdr:from>
    <xdr:to>
      <xdr:col>10</xdr:col>
      <xdr:colOff>224118</xdr:colOff>
      <xdr:row>13</xdr:row>
      <xdr:rowOff>168088</xdr:rowOff>
    </xdr:to>
    <xdr:cxnSp macro="">
      <xdr:nvCxnSpPr>
        <xdr:cNvPr id="5" name="Gerade Verbindung mit Pfeil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CxnSpPr/>
      </xdr:nvCxnSpPr>
      <xdr:spPr>
        <a:xfrm>
          <a:off x="2689412" y="1591235"/>
          <a:ext cx="0" cy="1053353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</xdr:col>
      <xdr:colOff>190500</xdr:colOff>
      <xdr:row>17</xdr:row>
      <xdr:rowOff>102348</xdr:rowOff>
    </xdr:from>
    <xdr:to>
      <xdr:col>8</xdr:col>
      <xdr:colOff>224119</xdr:colOff>
      <xdr:row>24</xdr:row>
      <xdr:rowOff>123266</xdr:rowOff>
    </xdr:to>
    <xdr:cxnSp macro="">
      <xdr:nvCxnSpPr>
        <xdr:cNvPr id="7" name="Gerade Verbindung mit Pfeil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CxnSpPr/>
      </xdr:nvCxnSpPr>
      <xdr:spPr>
        <a:xfrm rot="5400000" flipH="1" flipV="1">
          <a:off x="1121336" y="3586630"/>
          <a:ext cx="1399241" cy="1109383"/>
        </a:xfrm>
        <a:prstGeom prst="bentConnector3">
          <a:avLst>
            <a:gd name="adj1" fmla="val 98852"/>
          </a:avLst>
        </a:prstGeom>
        <a:ln w="57150">
          <a:solidFill>
            <a:schemeClr val="accent1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224117</xdr:colOff>
      <xdr:row>28</xdr:row>
      <xdr:rowOff>56029</xdr:rowOff>
    </xdr:from>
    <xdr:to>
      <xdr:col>16</xdr:col>
      <xdr:colOff>224118</xdr:colOff>
      <xdr:row>38</xdr:row>
      <xdr:rowOff>134472</xdr:rowOff>
    </xdr:to>
    <xdr:cxnSp macro="">
      <xdr:nvCxnSpPr>
        <xdr:cNvPr id="8" name="Gerade Verbindung mit Pfeil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CxnSpPr/>
      </xdr:nvCxnSpPr>
      <xdr:spPr>
        <a:xfrm flipH="1" flipV="1">
          <a:off x="4527176" y="5490882"/>
          <a:ext cx="1" cy="2017061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257737</xdr:colOff>
      <xdr:row>6</xdr:row>
      <xdr:rowOff>100853</xdr:rowOff>
    </xdr:from>
    <xdr:to>
      <xdr:col>30</xdr:col>
      <xdr:colOff>257736</xdr:colOff>
      <xdr:row>14</xdr:row>
      <xdr:rowOff>11204</xdr:rowOff>
    </xdr:to>
    <xdr:cxnSp macro="">
      <xdr:nvCxnSpPr>
        <xdr:cNvPr id="12" name="Gerade Verbindung mit Pfeil 2">
          <a:extLst>
            <a:ext uri="{FF2B5EF4-FFF2-40B4-BE49-F238E27FC236}">
              <a16:creationId xmlns:a16="http://schemas.microsoft.com/office/drawing/2014/main" id="{C10770E6-FC9D-41E0-A2D5-E553B21D3904}"/>
            </a:ext>
          </a:extLst>
        </xdr:cNvPr>
        <xdr:cNvCxnSpPr/>
      </xdr:nvCxnSpPr>
      <xdr:spPr>
        <a:xfrm rot="10800000" flipV="1">
          <a:off x="4291855" y="1266265"/>
          <a:ext cx="4034116" cy="1479174"/>
        </a:xfrm>
        <a:prstGeom prst="bentConnector3">
          <a:avLst>
            <a:gd name="adj1" fmla="val 99722"/>
          </a:avLst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44825</xdr:colOff>
      <xdr:row>27</xdr:row>
      <xdr:rowOff>33618</xdr:rowOff>
    </xdr:from>
    <xdr:to>
      <xdr:col>15</xdr:col>
      <xdr:colOff>201706</xdr:colOff>
      <xdr:row>27</xdr:row>
      <xdr:rowOff>33619</xdr:rowOff>
    </xdr:to>
    <xdr:cxnSp macro="">
      <xdr:nvCxnSpPr>
        <xdr:cNvPr id="40" name="Gerade Verbindung mit Pfeil 6">
          <a:extLst>
            <a:ext uri="{FF2B5EF4-FFF2-40B4-BE49-F238E27FC236}">
              <a16:creationId xmlns:a16="http://schemas.microsoft.com/office/drawing/2014/main" id="{F2F91A42-0CD6-4D87-9FF7-0040B532F0E4}"/>
            </a:ext>
          </a:extLst>
        </xdr:cNvPr>
        <xdr:cNvCxnSpPr/>
      </xdr:nvCxnSpPr>
      <xdr:spPr>
        <a:xfrm flipV="1">
          <a:off x="1927413" y="5277971"/>
          <a:ext cx="2308411" cy="1"/>
        </a:xfrm>
        <a:prstGeom prst="bentConnector3">
          <a:avLst>
            <a:gd name="adj1" fmla="val 50000"/>
          </a:avLst>
        </a:prstGeom>
        <a:ln w="57150">
          <a:solidFill>
            <a:schemeClr val="accent1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16</xdr:col>
      <xdr:colOff>257735</xdr:colOff>
      <xdr:row>16</xdr:row>
      <xdr:rowOff>89647</xdr:rowOff>
    </xdr:from>
    <xdr:to>
      <xdr:col>21</xdr:col>
      <xdr:colOff>3</xdr:colOff>
      <xdr:row>22</xdr:row>
      <xdr:rowOff>11214</xdr:rowOff>
    </xdr:to>
    <xdr:cxnSp macro="">
      <xdr:nvCxnSpPr>
        <xdr:cNvPr id="44" name="Gerade Verbindung mit Pfeil 6">
          <a:extLst>
            <a:ext uri="{FF2B5EF4-FFF2-40B4-BE49-F238E27FC236}">
              <a16:creationId xmlns:a16="http://schemas.microsoft.com/office/drawing/2014/main" id="{A7E814B1-E9FE-4252-A05E-DF0F907FF574}"/>
            </a:ext>
          </a:extLst>
        </xdr:cNvPr>
        <xdr:cNvCxnSpPr/>
      </xdr:nvCxnSpPr>
      <xdr:spPr>
        <a:xfrm rot="16200000" flipV="1">
          <a:off x="4549585" y="3238503"/>
          <a:ext cx="1109391" cy="1086974"/>
        </a:xfrm>
        <a:prstGeom prst="bentConnector3">
          <a:avLst>
            <a:gd name="adj1" fmla="val 99495"/>
          </a:avLst>
        </a:prstGeom>
        <a:ln w="57150">
          <a:solidFill>
            <a:sysClr val="windowText" lastClr="000000"/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89646</xdr:colOff>
      <xdr:row>20</xdr:row>
      <xdr:rowOff>22411</xdr:rowOff>
    </xdr:from>
    <xdr:to>
      <xdr:col>15</xdr:col>
      <xdr:colOff>235323</xdr:colOff>
      <xdr:row>25</xdr:row>
      <xdr:rowOff>78440</xdr:rowOff>
    </xdr:to>
    <xdr:cxnSp macro="">
      <xdr:nvCxnSpPr>
        <xdr:cNvPr id="47" name="Gerade Verbindung mit Pfeil 6">
          <a:extLst>
            <a:ext uri="{FF2B5EF4-FFF2-40B4-BE49-F238E27FC236}">
              <a16:creationId xmlns:a16="http://schemas.microsoft.com/office/drawing/2014/main" id="{0A534575-B29D-49DE-B2F9-CFA6AB422F1E}"/>
            </a:ext>
          </a:extLst>
        </xdr:cNvPr>
        <xdr:cNvCxnSpPr/>
      </xdr:nvCxnSpPr>
      <xdr:spPr>
        <a:xfrm rot="16200000" flipH="1">
          <a:off x="3277721" y="4006101"/>
          <a:ext cx="1030940" cy="952501"/>
        </a:xfrm>
        <a:prstGeom prst="bentConnector3">
          <a:avLst>
            <a:gd name="adj1" fmla="val 97826"/>
          </a:avLst>
        </a:prstGeom>
        <a:ln w="57150">
          <a:solidFill>
            <a:schemeClr val="accent1">
              <a:lumMod val="75000"/>
            </a:schemeClr>
          </a:solidFill>
          <a:prstDash val="solid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145676</xdr:colOff>
      <xdr:row>24</xdr:row>
      <xdr:rowOff>123264</xdr:rowOff>
    </xdr:from>
    <xdr:to>
      <xdr:col>51</xdr:col>
      <xdr:colOff>212912</xdr:colOff>
      <xdr:row>24</xdr:row>
      <xdr:rowOff>123264</xdr:rowOff>
    </xdr:to>
    <xdr:cxnSp macro="">
      <xdr:nvCxnSpPr>
        <xdr:cNvPr id="83" name="Gerade Verbindung mit Pfeil 5">
          <a:extLst>
            <a:ext uri="{FF2B5EF4-FFF2-40B4-BE49-F238E27FC236}">
              <a16:creationId xmlns:a16="http://schemas.microsoft.com/office/drawing/2014/main" id="{5A1921E5-C3BC-4401-A02C-22D388ABE2FF}"/>
            </a:ext>
          </a:extLst>
        </xdr:cNvPr>
        <xdr:cNvCxnSpPr/>
      </xdr:nvCxnSpPr>
      <xdr:spPr>
        <a:xfrm>
          <a:off x="13323794" y="4807323"/>
          <a:ext cx="605118" cy="0"/>
        </a:xfrm>
        <a:prstGeom prst="straightConnector1">
          <a:avLst/>
        </a:prstGeom>
        <a:ln w="57150">
          <a:solidFill>
            <a:schemeClr val="tx1">
              <a:lumMod val="85000"/>
              <a:lumOff val="1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49</xdr:col>
      <xdr:colOff>174811</xdr:colOff>
      <xdr:row>28</xdr:row>
      <xdr:rowOff>85164</xdr:rowOff>
    </xdr:from>
    <xdr:to>
      <xdr:col>51</xdr:col>
      <xdr:colOff>242047</xdr:colOff>
      <xdr:row>28</xdr:row>
      <xdr:rowOff>85164</xdr:rowOff>
    </xdr:to>
    <xdr:cxnSp macro="">
      <xdr:nvCxnSpPr>
        <xdr:cNvPr id="92" name="Gerade Verbindung mit Pfeil 5">
          <a:extLst>
            <a:ext uri="{FF2B5EF4-FFF2-40B4-BE49-F238E27FC236}">
              <a16:creationId xmlns:a16="http://schemas.microsoft.com/office/drawing/2014/main" id="{C75C4B99-EA31-41A9-993C-69EAD6831517}"/>
            </a:ext>
          </a:extLst>
        </xdr:cNvPr>
        <xdr:cNvCxnSpPr/>
      </xdr:nvCxnSpPr>
      <xdr:spPr>
        <a:xfrm>
          <a:off x="13352929" y="5542429"/>
          <a:ext cx="605118" cy="0"/>
        </a:xfrm>
        <a:prstGeom prst="straightConnector1">
          <a:avLst/>
        </a:prstGeom>
        <a:ln w="57150">
          <a:solidFill>
            <a:schemeClr val="accent1">
              <a:lumMod val="75000"/>
            </a:schemeClr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Iegor Riepin" id="{D4BDB9D2-7667-4480-AC91-A31992A53796}" userId="66cfd50bdf66106c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4" dT="2021-01-04T13:55:36.16" personId="{D4BDB9D2-7667-4480-AC91-A31992A53796}" id="{9CEC8FC2-AB70-4516-95B1-BA3C8BC22F0B}">
    <text>I used QATAR as LNG cost term - test for US case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4" dT="2021-01-04T13:55:36.16" personId="{D4BDB9D2-7667-4480-AC91-A31992A53796}" id="{53FE59F1-0442-4A89-8250-9C984D5AC3B2}">
    <text>I used QATAR as LNG cost term - test for US case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H24" dT="2021-01-04T13:55:36.16" personId="{D4BDB9D2-7667-4480-AC91-A31992A53796}" id="{1D2BF00A-5AB6-4344-BC03-8A1FC7A71AFE}">
    <text>I used QATAR as LNG cost term - test for US case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L4" dT="2020-04-09T15:10:28.91" personId="{D4BDB9D2-7667-4480-AC91-A31992A53796}" id="{8C52732F-E5EE-4A53-8691-8A14DEF2F3AD}">
    <text>Do we plan to toucn investments on supply side?
I removed them for now</text>
  </threadedComment>
  <threadedComment ref="D11" dT="2020-04-25T19:54:49.07" personId="{D4BDB9D2-7667-4480-AC91-A31992A53796}" id="{4F42F0E4-DD59-4486-AF5F-EED9C7CEEBE2}">
    <text>cannot be +inf due to conflict with disjoint constraints :(</text>
  </threadedComment>
  <threadedComment ref="F11" dT="2020-04-25T19:54:49.07" personId="{D4BDB9D2-7667-4480-AC91-A31992A53796}" id="{7D85A8B9-93F2-4201-A158-170FEAFEE9B7}">
    <text>cannot be +inf due to conflict with disjoint constraints :(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Relationship Id="rId4" Type="http://schemas.microsoft.com/office/2017/10/relationships/threadedComment" Target="../threadedComments/threadedComment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1.bin"/><Relationship Id="rId4" Type="http://schemas.microsoft.com/office/2017/10/relationships/threadedComment" Target="../threadedComments/threadedComment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Relationship Id="rId4" Type="http://schemas.microsoft.com/office/2017/10/relationships/threadedComment" Target="../threadedComments/threadedComment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7.bin"/><Relationship Id="rId4" Type="http://schemas.microsoft.com/office/2017/10/relationships/threadedComment" Target="../threadedComments/threadedComment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3"/>
  </sheetPr>
  <dimension ref="A4:N34"/>
  <sheetViews>
    <sheetView topLeftCell="A7" workbookViewId="0">
      <selection activeCell="C34" sqref="C34"/>
    </sheetView>
  </sheetViews>
  <sheetFormatPr defaultColWidth="11.42578125" defaultRowHeight="15" x14ac:dyDescent="0.25"/>
  <cols>
    <col min="2" max="2" width="14.7109375" customWidth="1"/>
    <col min="3" max="3" width="17.42578125" customWidth="1"/>
    <col min="4" max="4" width="13.28515625" bestFit="1" customWidth="1"/>
    <col min="10" max="10" width="15.85546875" customWidth="1"/>
  </cols>
  <sheetData>
    <row r="4" spans="1:14" x14ac:dyDescent="0.25">
      <c r="A4" s="54"/>
      <c r="B4" s="54" t="s">
        <v>401</v>
      </c>
      <c r="C4" s="54"/>
      <c r="D4" s="54"/>
      <c r="E4" s="54"/>
      <c r="F4" s="54"/>
      <c r="G4" s="54"/>
      <c r="H4" s="54"/>
      <c r="I4" s="54"/>
      <c r="J4" s="54"/>
      <c r="K4" s="54"/>
      <c r="L4" s="54"/>
      <c r="M4" s="54"/>
    </row>
    <row r="5" spans="1:14" x14ac:dyDescent="0.25">
      <c r="A5" s="54"/>
      <c r="B5" s="129" t="s">
        <v>396</v>
      </c>
      <c r="C5" s="130" t="s">
        <v>387</v>
      </c>
      <c r="D5" s="131">
        <v>20</v>
      </c>
      <c r="E5" s="132" t="s">
        <v>378</v>
      </c>
      <c r="F5" s="132"/>
      <c r="G5" s="132"/>
      <c r="H5" s="133"/>
      <c r="I5" s="94"/>
      <c r="J5" s="128" t="s">
        <v>402</v>
      </c>
      <c r="K5" s="54"/>
      <c r="L5" s="54"/>
      <c r="M5" s="54"/>
      <c r="N5" s="54"/>
    </row>
    <row r="6" spans="1:14" x14ac:dyDescent="0.25">
      <c r="A6" s="54"/>
      <c r="B6" s="134" t="s">
        <v>397</v>
      </c>
      <c r="C6" s="110" t="s">
        <v>386</v>
      </c>
      <c r="D6" s="108">
        <v>7</v>
      </c>
      <c r="E6" s="54" t="s">
        <v>379</v>
      </c>
      <c r="F6" s="54"/>
      <c r="G6" s="54"/>
      <c r="H6" s="135"/>
      <c r="I6" s="94"/>
      <c r="J6" s="94"/>
      <c r="K6" s="54"/>
      <c r="L6" s="54"/>
      <c r="M6" s="54"/>
      <c r="N6" s="54"/>
    </row>
    <row r="7" spans="1:14" x14ac:dyDescent="0.25">
      <c r="A7" s="54"/>
      <c r="B7" s="136" t="s">
        <v>396</v>
      </c>
      <c r="C7" s="125" t="s">
        <v>387</v>
      </c>
      <c r="D7" s="127">
        <v>10</v>
      </c>
      <c r="E7" s="124" t="s">
        <v>380</v>
      </c>
      <c r="F7" s="124"/>
      <c r="G7" s="54"/>
      <c r="H7" s="135"/>
      <c r="I7" s="94"/>
      <c r="J7" s="94"/>
      <c r="K7" s="54"/>
      <c r="L7" s="54"/>
      <c r="M7" s="54"/>
      <c r="N7" s="54"/>
    </row>
    <row r="8" spans="1:14" x14ac:dyDescent="0.25">
      <c r="A8" s="54"/>
      <c r="B8" s="134" t="s">
        <v>396</v>
      </c>
      <c r="C8" s="110" t="s">
        <v>387</v>
      </c>
      <c r="D8" s="108">
        <v>8</v>
      </c>
      <c r="E8" s="54" t="s">
        <v>381</v>
      </c>
      <c r="F8" s="54"/>
      <c r="G8" s="54"/>
      <c r="H8" s="135"/>
      <c r="I8" s="94"/>
      <c r="J8" s="94"/>
      <c r="K8" s="54"/>
      <c r="L8" s="54"/>
      <c r="M8" s="54"/>
      <c r="N8" s="54"/>
    </row>
    <row r="9" spans="1:14" x14ac:dyDescent="0.25">
      <c r="A9" s="54"/>
      <c r="B9" s="136" t="s">
        <v>396</v>
      </c>
      <c r="C9" s="125" t="s">
        <v>387</v>
      </c>
      <c r="D9" s="126">
        <v>0.1</v>
      </c>
      <c r="E9" s="124" t="s">
        <v>382</v>
      </c>
      <c r="F9" s="124"/>
      <c r="G9" s="124"/>
      <c r="H9" s="137"/>
      <c r="I9" s="94"/>
      <c r="J9" s="94"/>
      <c r="K9" s="54"/>
      <c r="L9" s="54"/>
      <c r="M9" s="54"/>
      <c r="N9" s="54"/>
    </row>
    <row r="10" spans="1:14" x14ac:dyDescent="0.25">
      <c r="A10" s="54"/>
      <c r="B10" s="136" t="s">
        <v>394</v>
      </c>
      <c r="C10" s="125" t="s">
        <v>386</v>
      </c>
      <c r="D10" s="126">
        <v>0.02</v>
      </c>
      <c r="E10" s="124" t="s">
        <v>383</v>
      </c>
      <c r="F10" s="124"/>
      <c r="G10" s="124"/>
      <c r="H10" s="137"/>
      <c r="I10" s="128"/>
      <c r="J10" s="94"/>
      <c r="K10" s="54"/>
      <c r="L10" s="54"/>
      <c r="M10" s="54"/>
      <c r="N10" s="54"/>
    </row>
    <row r="11" spans="1:14" x14ac:dyDescent="0.25">
      <c r="A11" s="54"/>
      <c r="B11" s="136" t="s">
        <v>396</v>
      </c>
      <c r="C11" s="125" t="s">
        <v>387</v>
      </c>
      <c r="D11" s="127">
        <v>1.4999999999999999E-2</v>
      </c>
      <c r="E11" s="124" t="s">
        <v>384</v>
      </c>
      <c r="F11" s="124"/>
      <c r="G11" s="124"/>
      <c r="H11" s="137"/>
      <c r="I11" s="94"/>
      <c r="J11" s="94"/>
    </row>
    <row r="12" spans="1:14" x14ac:dyDescent="0.25">
      <c r="A12" s="54"/>
      <c r="B12" s="136" t="s">
        <v>396</v>
      </c>
      <c r="C12" s="125" t="s">
        <v>387</v>
      </c>
      <c r="D12" s="127">
        <v>3.0000000000000001E-3</v>
      </c>
      <c r="E12" s="124" t="s">
        <v>385</v>
      </c>
      <c r="F12" s="124"/>
      <c r="G12" s="124"/>
      <c r="H12" s="137"/>
      <c r="I12" s="94"/>
      <c r="J12" s="94"/>
    </row>
    <row r="13" spans="1:14" x14ac:dyDescent="0.25">
      <c r="A13" s="54"/>
      <c r="B13" s="134" t="s">
        <v>388</v>
      </c>
      <c r="C13" s="110" t="s">
        <v>389</v>
      </c>
      <c r="D13" s="120">
        <v>0.05</v>
      </c>
      <c r="E13" s="54" t="s">
        <v>395</v>
      </c>
      <c r="F13" s="54"/>
      <c r="G13" s="54"/>
      <c r="H13" s="135"/>
      <c r="I13" s="94"/>
      <c r="J13" s="94"/>
      <c r="L13" s="54"/>
      <c r="M13" s="54"/>
      <c r="N13" s="54"/>
    </row>
    <row r="14" spans="1:14" x14ac:dyDescent="0.25">
      <c r="A14" s="54"/>
      <c r="B14" s="134" t="s">
        <v>397</v>
      </c>
      <c r="C14" s="110" t="s">
        <v>398</v>
      </c>
      <c r="D14" s="94">
        <v>60</v>
      </c>
      <c r="E14" s="54"/>
      <c r="F14" s="54"/>
      <c r="G14" s="54"/>
      <c r="H14" s="135"/>
    </row>
    <row r="15" spans="1:14" x14ac:dyDescent="0.25">
      <c r="A15" s="54"/>
      <c r="B15" s="134" t="s">
        <v>399</v>
      </c>
      <c r="C15" s="110" t="s">
        <v>398</v>
      </c>
      <c r="D15" s="94">
        <v>25</v>
      </c>
      <c r="E15" s="54"/>
      <c r="F15" s="54"/>
      <c r="G15" s="54"/>
      <c r="H15" s="135"/>
      <c r="I15" s="54"/>
      <c r="J15" s="54"/>
      <c r="K15" s="54"/>
      <c r="L15" s="54"/>
      <c r="M15" s="54"/>
    </row>
    <row r="16" spans="1:14" x14ac:dyDescent="0.25">
      <c r="A16" s="54"/>
      <c r="B16" s="134" t="s">
        <v>397</v>
      </c>
      <c r="C16" s="110" t="s">
        <v>393</v>
      </c>
      <c r="D16" s="138">
        <v>5.2828184527242361E-2</v>
      </c>
      <c r="E16" s="54"/>
      <c r="F16" s="54"/>
      <c r="G16" s="54"/>
      <c r="H16" s="135"/>
      <c r="I16" s="54"/>
      <c r="J16" s="54"/>
      <c r="K16" s="54"/>
      <c r="L16" s="54"/>
      <c r="M16" s="54"/>
    </row>
    <row r="17" spans="1:14" x14ac:dyDescent="0.25">
      <c r="A17" s="54"/>
      <c r="B17" s="139" t="s">
        <v>399</v>
      </c>
      <c r="C17" s="140" t="s">
        <v>393</v>
      </c>
      <c r="D17" s="141">
        <f>D16*((1+D16)^D15/((1+D16)^D15-1))</f>
        <v>7.2976930850690999E-2</v>
      </c>
      <c r="E17" s="142"/>
      <c r="F17" s="142"/>
      <c r="G17" s="142"/>
      <c r="H17" s="143"/>
      <c r="I17" s="54"/>
      <c r="J17" s="54"/>
      <c r="K17" s="54"/>
      <c r="L17" s="54"/>
      <c r="M17" s="54"/>
      <c r="N17" s="54"/>
    </row>
    <row r="18" spans="1:14" x14ac:dyDescent="0.25">
      <c r="A18" s="54"/>
      <c r="B18" t="s">
        <v>400</v>
      </c>
    </row>
    <row r="19" spans="1:14" x14ac:dyDescent="0.25">
      <c r="A19" s="54"/>
    </row>
    <row r="20" spans="1:14" x14ac:dyDescent="0.25">
      <c r="A20" s="54"/>
    </row>
    <row r="21" spans="1:14" x14ac:dyDescent="0.25">
      <c r="A21" s="54"/>
    </row>
    <row r="22" spans="1:14" x14ac:dyDescent="0.25">
      <c r="A22" s="54"/>
    </row>
    <row r="23" spans="1:14" x14ac:dyDescent="0.25">
      <c r="A23" s="54"/>
      <c r="C23" t="s">
        <v>93</v>
      </c>
      <c r="D23" t="s">
        <v>390</v>
      </c>
    </row>
    <row r="24" spans="1:14" x14ac:dyDescent="0.25">
      <c r="A24" s="54"/>
      <c r="B24" t="s">
        <v>391</v>
      </c>
      <c r="C24">
        <v>60</v>
      </c>
      <c r="D24">
        <v>25</v>
      </c>
    </row>
    <row r="25" spans="1:14" x14ac:dyDescent="0.25">
      <c r="A25" s="54"/>
      <c r="B25" t="s">
        <v>392</v>
      </c>
      <c r="C25" s="123">
        <v>0.06</v>
      </c>
      <c r="D25" s="123">
        <v>0.06</v>
      </c>
    </row>
    <row r="26" spans="1:14" x14ac:dyDescent="0.25">
      <c r="A26" s="54"/>
      <c r="B26" t="s">
        <v>393</v>
      </c>
      <c r="C26">
        <f>C25*((1+C25)^C24/((1+C25)^C24-1))</f>
        <v>6.1875721516601714E-2</v>
      </c>
      <c r="D26">
        <f>D25*((1+D25)^D24/((1+D25)^D24-1))</f>
        <v>7.8226718212273949E-2</v>
      </c>
    </row>
    <row r="27" spans="1:14" x14ac:dyDescent="0.25">
      <c r="A27" s="54"/>
    </row>
    <row r="28" spans="1:14" x14ac:dyDescent="0.25">
      <c r="A28" s="54"/>
      <c r="C28" s="262" t="s">
        <v>643</v>
      </c>
      <c r="D28" s="262" t="s">
        <v>644</v>
      </c>
      <c r="E28" s="262" t="s">
        <v>645</v>
      </c>
    </row>
    <row r="29" spans="1:14" x14ac:dyDescent="0.25">
      <c r="A29" s="54" t="s">
        <v>639</v>
      </c>
      <c r="B29" t="s">
        <v>646</v>
      </c>
      <c r="C29">
        <v>5.2828184527242361E-2</v>
      </c>
      <c r="D29">
        <f>C26</f>
        <v>6.1875721516601714E-2</v>
      </c>
      <c r="E29">
        <f>D29/C29</f>
        <v>1.1712634471603645</v>
      </c>
    </row>
    <row r="30" spans="1:14" x14ac:dyDescent="0.25">
      <c r="A30" s="54" t="s">
        <v>640</v>
      </c>
      <c r="B30" t="s">
        <v>647</v>
      </c>
      <c r="C30" s="176">
        <v>7.0952457299229624E-2</v>
      </c>
      <c r="D30" s="176">
        <f>D26</f>
        <v>7.8226718212273949E-2</v>
      </c>
      <c r="E30" s="176">
        <f>D30/C30</f>
        <v>1.1025230300673929</v>
      </c>
    </row>
    <row r="31" spans="1:14" x14ac:dyDescent="0.25">
      <c r="A31" s="54"/>
    </row>
    <row r="32" spans="1:14" x14ac:dyDescent="0.25">
      <c r="A32" s="54"/>
    </row>
    <row r="33" spans="1:1" x14ac:dyDescent="0.25">
      <c r="A33" s="54"/>
    </row>
    <row r="34" spans="1:1" x14ac:dyDescent="0.25">
      <c r="A34" s="54"/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9">
    <tabColor theme="5" tint="0.79998168889431442"/>
  </sheetPr>
  <dimension ref="A1:AE61"/>
  <sheetViews>
    <sheetView workbookViewId="0">
      <selection activeCell="K27" sqref="K27"/>
    </sheetView>
  </sheetViews>
  <sheetFormatPr defaultColWidth="9.140625" defaultRowHeight="15" x14ac:dyDescent="0.25"/>
  <cols>
    <col min="1" max="5" width="18.5703125" customWidth="1"/>
    <col min="6" max="6" width="2.7109375" style="90" customWidth="1"/>
    <col min="9" max="10" width="10.7109375" customWidth="1"/>
    <col min="12" max="12" width="9.28515625" customWidth="1"/>
    <col min="24" max="24" width="11.140625" bestFit="1" customWidth="1"/>
    <col min="25" max="25" width="9.85546875" bestFit="1" customWidth="1"/>
    <col min="26" max="26" width="9.28515625" bestFit="1" customWidth="1"/>
    <col min="31" max="31" width="9.140625" customWidth="1"/>
  </cols>
  <sheetData>
    <row r="1" spans="1:28" ht="15" customHeight="1" thickBot="1" x14ac:dyDescent="0.3">
      <c r="A1" s="83" t="s">
        <v>143</v>
      </c>
      <c r="B1" s="84" t="s">
        <v>405</v>
      </c>
      <c r="C1" s="84" t="s">
        <v>406</v>
      </c>
      <c r="D1" s="84" t="s">
        <v>407</v>
      </c>
      <c r="E1" s="84" t="s">
        <v>161</v>
      </c>
      <c r="I1" s="172" t="s">
        <v>472</v>
      </c>
      <c r="J1" s="172" t="s">
        <v>473</v>
      </c>
      <c r="K1" s="172" t="s">
        <v>115</v>
      </c>
      <c r="L1" s="172" t="str">
        <f>'supply(original)'!B1</f>
        <v>p_y_up</v>
      </c>
      <c r="M1" s="221" t="s">
        <v>526</v>
      </c>
    </row>
    <row r="2" spans="1:28" x14ac:dyDescent="0.25">
      <c r="A2" s="168" t="s">
        <v>202</v>
      </c>
      <c r="B2" s="178">
        <v>0.55054951394052043</v>
      </c>
      <c r="C2" s="178">
        <v>0</v>
      </c>
      <c r="D2" s="178">
        <f>B2-C2</f>
        <v>0.55054951394052043</v>
      </c>
      <c r="E2" s="235">
        <f>M2</f>
        <v>147.75087193372289</v>
      </c>
      <c r="H2" s="94" t="s">
        <v>168</v>
      </c>
      <c r="I2" s="144">
        <v>27</v>
      </c>
      <c r="J2" s="187">
        <f>M43</f>
        <v>9.7694440000000007E-2</v>
      </c>
      <c r="K2" s="218">
        <f>-75</f>
        <v>-75</v>
      </c>
      <c r="L2" s="178">
        <f>'supply(original)'!B2</f>
        <v>0.55054951394052043</v>
      </c>
      <c r="M2" s="227">
        <f>I2+J2*0.8*L2+K2*LN(1-0.8*L2/L2)</f>
        <v>147.75087193372289</v>
      </c>
      <c r="O2" s="210" t="s">
        <v>1</v>
      </c>
      <c r="P2" s="198"/>
      <c r="Q2" s="198"/>
      <c r="R2" s="199"/>
      <c r="T2" s="210" t="s">
        <v>270</v>
      </c>
      <c r="U2" s="198"/>
      <c r="V2" s="198"/>
      <c r="W2" s="199"/>
      <c r="Y2" s="213" t="s">
        <v>173</v>
      </c>
      <c r="Z2" s="198"/>
      <c r="AA2" s="198"/>
      <c r="AB2" s="199"/>
    </row>
    <row r="3" spans="1:28" x14ac:dyDescent="0.25">
      <c r="A3" s="168" t="s">
        <v>504</v>
      </c>
      <c r="B3" s="178">
        <v>44.8</v>
      </c>
      <c r="C3" s="178">
        <v>34.71635687732342</v>
      </c>
      <c r="D3" s="178">
        <f t="shared" ref="D3:D24" si="0">B3-C3</f>
        <v>10.083643122676577</v>
      </c>
      <c r="E3" s="235">
        <f t="shared" ref="E3:E24" si="1">M3</f>
        <v>120.74873357077861</v>
      </c>
      <c r="H3" s="173" t="s">
        <v>270</v>
      </c>
      <c r="I3" s="114">
        <v>11</v>
      </c>
      <c r="J3" s="187">
        <f>M59</f>
        <v>0</v>
      </c>
      <c r="K3" s="187">
        <f>N59</f>
        <v>-68.19072219120001</v>
      </c>
      <c r="L3" s="178">
        <f>'supply(original)'!B3</f>
        <v>44.8</v>
      </c>
      <c r="M3" s="227">
        <f t="shared" ref="M3:M24" si="2">I3+J3*0.8*L3+K3*LN(1-0.8*L3/L3)</f>
        <v>120.74873357077861</v>
      </c>
      <c r="O3" s="200" t="s">
        <v>472</v>
      </c>
      <c r="P3" s="188" t="s">
        <v>473</v>
      </c>
      <c r="Q3" s="188" t="s">
        <v>115</v>
      </c>
      <c r="R3" s="201" t="s">
        <v>501</v>
      </c>
      <c r="T3" s="200" t="s">
        <v>472</v>
      </c>
      <c r="U3" s="188" t="s">
        <v>473</v>
      </c>
      <c r="V3" s="188" t="s">
        <v>115</v>
      </c>
      <c r="W3" s="201" t="s">
        <v>501</v>
      </c>
      <c r="Y3" s="200" t="s">
        <v>472</v>
      </c>
      <c r="Z3" s="188" t="s">
        <v>473</v>
      </c>
      <c r="AA3" s="188" t="s">
        <v>115</v>
      </c>
      <c r="AB3" s="201" t="s">
        <v>501</v>
      </c>
    </row>
    <row r="4" spans="1:28" x14ac:dyDescent="0.25">
      <c r="A4" s="168" t="s">
        <v>283</v>
      </c>
      <c r="B4" s="178">
        <v>9.158921933085501E-2</v>
      </c>
      <c r="C4" s="178">
        <v>0</v>
      </c>
      <c r="D4" s="178">
        <f t="shared" si="0"/>
        <v>9.158921933085501E-2</v>
      </c>
      <c r="E4" s="235">
        <f t="shared" si="1"/>
        <v>148.7150016385516</v>
      </c>
      <c r="H4" s="108" t="s">
        <v>269</v>
      </c>
      <c r="I4" s="114">
        <v>28</v>
      </c>
      <c r="J4" s="187">
        <f>M49</f>
        <v>9.7694440000000007E-2</v>
      </c>
      <c r="K4" s="218">
        <f>-75</f>
        <v>-75</v>
      </c>
      <c r="L4" s="178">
        <f>'supply(original)'!B4</f>
        <v>9.158921933085501E-2</v>
      </c>
      <c r="M4" s="227">
        <f t="shared" si="2"/>
        <v>148.7150016385516</v>
      </c>
      <c r="O4" s="202">
        <f>I19</f>
        <v>12</v>
      </c>
      <c r="P4" s="203">
        <f>J19</f>
        <v>0</v>
      </c>
      <c r="Q4" s="203">
        <f>K19</f>
        <v>-29.308332</v>
      </c>
      <c r="R4" s="204">
        <f>L19</f>
        <v>201.3351920693928</v>
      </c>
      <c r="T4" s="202">
        <f>I3</f>
        <v>11</v>
      </c>
      <c r="U4" s="203">
        <f t="shared" ref="U4:W4" si="3">J3</f>
        <v>0</v>
      </c>
      <c r="V4" s="203">
        <f t="shared" si="3"/>
        <v>-68.19072219120001</v>
      </c>
      <c r="W4" s="204">
        <f t="shared" si="3"/>
        <v>44.8</v>
      </c>
      <c r="Y4" s="202">
        <f>I22</f>
        <v>20</v>
      </c>
      <c r="Z4" s="203">
        <f t="shared" ref="Z4:AB4" si="4">J22</f>
        <v>0</v>
      </c>
      <c r="AA4" s="203">
        <f t="shared" si="4"/>
        <v>-75</v>
      </c>
      <c r="AB4" s="204">
        <f t="shared" si="4"/>
        <v>48.909073075036751</v>
      </c>
    </row>
    <row r="5" spans="1:28" x14ac:dyDescent="0.25">
      <c r="A5" s="168" t="s">
        <v>205</v>
      </c>
      <c r="B5" s="191">
        <v>0.57381069151544839</v>
      </c>
      <c r="C5" s="191">
        <v>0</v>
      </c>
      <c r="D5" s="178">
        <f t="shared" si="0"/>
        <v>0.57381069151544839</v>
      </c>
      <c r="E5" s="235">
        <f t="shared" si="1"/>
        <v>133.75268992389644</v>
      </c>
      <c r="H5" s="94" t="s">
        <v>172</v>
      </c>
      <c r="I5" s="101">
        <v>13</v>
      </c>
      <c r="J5" s="187">
        <f>M47</f>
        <v>9.7694440000000007E-2</v>
      </c>
      <c r="K5" s="218">
        <f>-75</f>
        <v>-75</v>
      </c>
      <c r="L5" s="178">
        <f>'supply(original)'!B5</f>
        <v>0.57381069151544839</v>
      </c>
      <c r="M5" s="227">
        <f t="shared" si="2"/>
        <v>133.75268992389644</v>
      </c>
      <c r="O5" s="202"/>
      <c r="P5" s="203"/>
      <c r="Q5" s="203"/>
      <c r="R5" s="204"/>
      <c r="T5" s="202"/>
      <c r="U5" s="203"/>
      <c r="V5" s="203"/>
      <c r="W5" s="204"/>
      <c r="Y5" s="202"/>
      <c r="Z5" s="203"/>
      <c r="AA5" s="203"/>
      <c r="AB5" s="204"/>
    </row>
    <row r="6" spans="1:28" x14ac:dyDescent="0.25">
      <c r="A6" s="168" t="s">
        <v>203</v>
      </c>
      <c r="B6" s="178">
        <v>0.22761617100371748</v>
      </c>
      <c r="C6" s="178">
        <v>0</v>
      </c>
      <c r="D6" s="178">
        <f t="shared" si="0"/>
        <v>0.22761617100371748</v>
      </c>
      <c r="E6" s="235">
        <f t="shared" si="1"/>
        <v>146.72563290004646</v>
      </c>
      <c r="H6" s="94" t="s">
        <v>169</v>
      </c>
      <c r="I6" s="114">
        <v>26</v>
      </c>
      <c r="J6" s="187">
        <f>M44</f>
        <v>9.7694440000000007E-2</v>
      </c>
      <c r="K6" s="218">
        <f>-75</f>
        <v>-75</v>
      </c>
      <c r="L6" s="178">
        <f>'supply(original)'!B6</f>
        <v>0.22761617100371748</v>
      </c>
      <c r="M6" s="227">
        <f t="shared" si="2"/>
        <v>146.72563290004646</v>
      </c>
      <c r="O6" s="202" t="s">
        <v>503</v>
      </c>
      <c r="P6" s="203" t="s">
        <v>502</v>
      </c>
      <c r="Q6" s="223" t="s">
        <v>467</v>
      </c>
      <c r="R6" s="204"/>
      <c r="T6" s="202" t="s">
        <v>503</v>
      </c>
      <c r="U6" s="203" t="s">
        <v>502</v>
      </c>
      <c r="V6" s="223" t="s">
        <v>467</v>
      </c>
      <c r="W6" s="204"/>
      <c r="Y6" s="202" t="s">
        <v>503</v>
      </c>
      <c r="Z6" s="203" t="s">
        <v>502</v>
      </c>
      <c r="AA6" s="223" t="s">
        <v>467</v>
      </c>
      <c r="AB6" s="204"/>
    </row>
    <row r="7" spans="1:28" x14ac:dyDescent="0.25">
      <c r="A7" s="168" t="s">
        <v>200</v>
      </c>
      <c r="B7" s="178">
        <v>1.5800836431226766</v>
      </c>
      <c r="C7" s="178">
        <v>1.1343494423791822</v>
      </c>
      <c r="D7" s="178">
        <f t="shared" si="0"/>
        <v>0.44573420074349435</v>
      </c>
      <c r="E7" s="235">
        <f t="shared" si="1"/>
        <v>146.83133574189196</v>
      </c>
      <c r="H7" s="94" t="s">
        <v>165</v>
      </c>
      <c r="I7" s="114">
        <v>26</v>
      </c>
      <c r="J7" s="187">
        <f>M40</f>
        <v>9.7694440000000007E-2</v>
      </c>
      <c r="K7" s="218">
        <f>-75</f>
        <v>-75</v>
      </c>
      <c r="L7" s="178">
        <f>'supply(original)'!B7</f>
        <v>1.5800836431226766</v>
      </c>
      <c r="M7" s="227">
        <f t="shared" si="2"/>
        <v>146.83133574189196</v>
      </c>
      <c r="O7" s="202"/>
      <c r="P7" s="203">
        <v>0</v>
      </c>
      <c r="Q7" s="203">
        <f>O4</f>
        <v>12</v>
      </c>
      <c r="R7" s="204"/>
      <c r="T7" s="202"/>
      <c r="U7" s="203">
        <v>0</v>
      </c>
      <c r="V7" s="203">
        <f>T4</f>
        <v>11</v>
      </c>
      <c r="W7" s="204"/>
      <c r="Y7" s="202"/>
      <c r="Z7" s="203">
        <v>0</v>
      </c>
      <c r="AA7" s="203">
        <f>Y4</f>
        <v>20</v>
      </c>
      <c r="AB7" s="204"/>
    </row>
    <row r="8" spans="1:28" x14ac:dyDescent="0.25">
      <c r="A8" s="168" t="s">
        <v>209</v>
      </c>
      <c r="B8" s="178">
        <v>2.799270279739777</v>
      </c>
      <c r="C8" s="178">
        <v>0</v>
      </c>
      <c r="D8" s="178">
        <f t="shared" si="0"/>
        <v>2.799270279739777</v>
      </c>
      <c r="E8" s="235">
        <f t="shared" si="1"/>
        <v>149.14540046037806</v>
      </c>
      <c r="H8" s="94" t="s">
        <v>179</v>
      </c>
      <c r="I8" s="144">
        <v>28</v>
      </c>
      <c r="J8" s="187">
        <f>M56</f>
        <v>0.19538888000000001</v>
      </c>
      <c r="K8" s="218">
        <f>-75</f>
        <v>-75</v>
      </c>
      <c r="L8" s="178">
        <f>'supply(original)'!B8</f>
        <v>2.799270279739777</v>
      </c>
      <c r="M8" s="227">
        <f t="shared" si="2"/>
        <v>149.14540046037806</v>
      </c>
      <c r="O8" s="202">
        <f>(P8-P7)+(P9-P8)/2</f>
        <v>140.93463444857497</v>
      </c>
      <c r="P8" s="203">
        <f>R4*0.5</f>
        <v>100.6675960346964</v>
      </c>
      <c r="Q8" s="203">
        <f>O4+P4*P8+Q4*LN(1-P8/R4)</f>
        <v>32.314987692714823</v>
      </c>
      <c r="R8" s="204"/>
      <c r="T8" s="202">
        <f>(U8-U7)+(U9-U8)/2</f>
        <v>31.36</v>
      </c>
      <c r="U8" s="203">
        <f>W4*0.5</f>
        <v>22.4</v>
      </c>
      <c r="V8" s="203">
        <f>T4+U4*U8+V4*LN(1-U8/W4)</f>
        <v>58.266206827176781</v>
      </c>
      <c r="W8" s="204"/>
      <c r="Y8" s="202">
        <f>(Z8-Z7)+(Z9-Z8)/2</f>
        <v>34.236351152525728</v>
      </c>
      <c r="Z8" s="203">
        <f>AB4*0.5</f>
        <v>24.454536537518376</v>
      </c>
      <c r="AA8" s="203">
        <f>Y4+Z4*Z8+AA4*LN(1-Z8/AB4)</f>
        <v>71.986038541995896</v>
      </c>
      <c r="AB8" s="204"/>
    </row>
    <row r="9" spans="1:28" x14ac:dyDescent="0.25">
      <c r="A9" s="237" t="s">
        <v>505</v>
      </c>
      <c r="B9" s="178">
        <v>27.617680600229964</v>
      </c>
      <c r="C9" s="178">
        <v>14.817398325686375</v>
      </c>
      <c r="D9" s="178">
        <f t="shared" si="0"/>
        <v>12.800282274543589</v>
      </c>
      <c r="E9" s="235">
        <f t="shared" si="1"/>
        <v>61.966758964775281</v>
      </c>
      <c r="H9" s="174" t="s">
        <v>162</v>
      </c>
      <c r="I9" s="114">
        <v>20.5</v>
      </c>
      <c r="J9" s="193">
        <f>M34</f>
        <v>9.7694440000000007E-2</v>
      </c>
      <c r="K9" s="227">
        <f>N34</f>
        <v>-24.42361</v>
      </c>
      <c r="L9" s="178">
        <f>'supply(original)'!B9</f>
        <v>27.617680600229964</v>
      </c>
      <c r="M9" s="227">
        <f t="shared" si="2"/>
        <v>61.966758964775281</v>
      </c>
      <c r="O9" s="202">
        <f>(P9-P8)/2+(P10-P9)/2</f>
        <v>49.327122057001233</v>
      </c>
      <c r="P9" s="203">
        <f>R4*0.9</f>
        <v>181.20167286245353</v>
      </c>
      <c r="Q9" s="203">
        <f>O4+P4*P9+Q4*LN(1-P9/R4)</f>
        <v>79.484928363720371</v>
      </c>
      <c r="R9" s="204"/>
      <c r="T9" s="202">
        <f>(U9-U8)/2+(U10-U9)/2</f>
        <v>10.975999999999999</v>
      </c>
      <c r="U9" s="203">
        <f>W4*0.9</f>
        <v>40.32</v>
      </c>
      <c r="V9" s="203">
        <f>T4+U4*U9+V4*LN(1-U9/W4)</f>
        <v>168.01494039795543</v>
      </c>
      <c r="W9" s="204"/>
      <c r="Y9" s="202">
        <f>(Z9-Z8)/2+(Z10-Z9)/2</f>
        <v>11.982722903384003</v>
      </c>
      <c r="Z9" s="203">
        <f>AB4*0.9</f>
        <v>44.018165767533077</v>
      </c>
      <c r="AA9" s="203">
        <f>Y4+Z4*Z9+AA4*LN(1-Z9/AB4)</f>
        <v>192.69388197455345</v>
      </c>
      <c r="AB9" s="204"/>
    </row>
    <row r="10" spans="1:28" x14ac:dyDescent="0.25">
      <c r="A10" s="168" t="s">
        <v>284</v>
      </c>
      <c r="B10" s="178">
        <v>0.2392512244423792</v>
      </c>
      <c r="C10" s="178">
        <v>0</v>
      </c>
      <c r="D10" s="178">
        <f t="shared" si="0"/>
        <v>0.2392512244423792</v>
      </c>
      <c r="E10" s="235">
        <f t="shared" si="1"/>
        <v>148.72654224407052</v>
      </c>
      <c r="H10" s="108" t="s">
        <v>275</v>
      </c>
      <c r="I10" s="114">
        <v>28</v>
      </c>
      <c r="J10" s="187">
        <f>M55</f>
        <v>9.7694440000000007E-2</v>
      </c>
      <c r="K10" s="218">
        <f>-75</f>
        <v>-75</v>
      </c>
      <c r="L10" s="178">
        <f>'supply(original)'!B10</f>
        <v>0.2392512244423792</v>
      </c>
      <c r="M10" s="227">
        <f t="shared" si="2"/>
        <v>148.72654224407052</v>
      </c>
      <c r="O10" s="202">
        <f>(P10-P9)/2+(P10-P10)/2</f>
        <v>9.0600836431226668</v>
      </c>
      <c r="P10" s="203">
        <f>R4*0.99</f>
        <v>199.32184014869887</v>
      </c>
      <c r="Q10" s="203">
        <f>O4+P4*P10+Q4*LN(1-P10/R4)</f>
        <v>146.96985672744071</v>
      </c>
      <c r="R10" s="204"/>
      <c r="T10" s="202">
        <f>(U10-U9)/2+(U10-U10)/2</f>
        <v>2.0159999999999982</v>
      </c>
      <c r="U10" s="203">
        <f>W4*0.99</f>
        <v>44.351999999999997</v>
      </c>
      <c r="V10" s="203">
        <f>T4+U4*U10+V4*LN(1-U10/W4)</f>
        <v>325.0298807959108</v>
      </c>
      <c r="W10" s="204"/>
      <c r="Y10" s="202">
        <f>(Z10-Z9)/2+(Z10-Z10)/2</f>
        <v>2.2009082883766524</v>
      </c>
      <c r="Z10" s="203">
        <f>AB4*0.99</f>
        <v>48.419982344286382</v>
      </c>
      <c r="AA10" s="203">
        <f>Y4+Z4*Z10+AA4*LN(1-Z10/AB4)</f>
        <v>365.38776394910684</v>
      </c>
      <c r="AB10" s="204"/>
    </row>
    <row r="11" spans="1:28" x14ac:dyDescent="0.25">
      <c r="A11" s="168" t="s">
        <v>207</v>
      </c>
      <c r="B11" s="178">
        <v>2.37114312267658</v>
      </c>
      <c r="C11" s="178">
        <v>0</v>
      </c>
      <c r="D11" s="178">
        <f t="shared" si="0"/>
        <v>2.37114312267658</v>
      </c>
      <c r="E11" s="235">
        <f t="shared" si="1"/>
        <v>149.56102342879547</v>
      </c>
      <c r="H11" s="94" t="s">
        <v>177</v>
      </c>
      <c r="I11" s="144">
        <v>27</v>
      </c>
      <c r="J11" s="187">
        <f>M53</f>
        <v>0.97694440000000005</v>
      </c>
      <c r="K11" s="218">
        <f>-75</f>
        <v>-75</v>
      </c>
      <c r="L11" s="178">
        <f>'supply(original)'!B11</f>
        <v>2.37114312267658</v>
      </c>
      <c r="M11" s="227">
        <f t="shared" si="2"/>
        <v>149.56102342879547</v>
      </c>
      <c r="O11" s="202"/>
      <c r="P11" s="203"/>
      <c r="Q11" s="203"/>
      <c r="R11" s="204"/>
      <c r="T11" s="202"/>
      <c r="U11" s="203"/>
      <c r="V11" s="203"/>
      <c r="W11" s="204"/>
      <c r="Y11" s="202"/>
      <c r="Z11" s="203"/>
      <c r="AA11" s="203"/>
      <c r="AB11" s="204"/>
    </row>
    <row r="12" spans="1:28" ht="15.75" thickBot="1" x14ac:dyDescent="0.3">
      <c r="A12" s="168" t="s">
        <v>285</v>
      </c>
      <c r="B12" s="178">
        <v>0.61047545817843873</v>
      </c>
      <c r="C12" s="178">
        <v>0</v>
      </c>
      <c r="D12" s="178">
        <f t="shared" si="0"/>
        <v>0.61047545817843873</v>
      </c>
      <c r="E12" s="235">
        <f t="shared" si="1"/>
        <v>100.2320314706722</v>
      </c>
      <c r="H12" s="108" t="s">
        <v>276</v>
      </c>
      <c r="I12" s="114">
        <v>29</v>
      </c>
      <c r="J12" s="187">
        <f>M51</f>
        <v>0.97694440000000005</v>
      </c>
      <c r="K12" s="187">
        <f>N51</f>
        <v>-43.962497999999997</v>
      </c>
      <c r="L12" s="178">
        <f>'supply(original)'!B12</f>
        <v>0.61047545817843873</v>
      </c>
      <c r="M12" s="227">
        <f t="shared" si="2"/>
        <v>100.2320314706722</v>
      </c>
      <c r="O12" s="205"/>
      <c r="P12" s="206"/>
      <c r="Q12" s="206"/>
      <c r="R12" s="207"/>
      <c r="T12" s="205"/>
      <c r="U12" s="206"/>
      <c r="V12" s="206"/>
      <c r="W12" s="207"/>
      <c r="Y12" s="205"/>
      <c r="Z12" s="206"/>
      <c r="AA12" s="206"/>
      <c r="AB12" s="207"/>
    </row>
    <row r="13" spans="1:28" ht="15.75" thickBot="1" x14ac:dyDescent="0.3">
      <c r="A13" s="168" t="s">
        <v>201</v>
      </c>
      <c r="B13" s="178">
        <v>2.6428167272304837</v>
      </c>
      <c r="C13" s="178">
        <v>0</v>
      </c>
      <c r="D13" s="178">
        <f t="shared" si="0"/>
        <v>2.6428167272304837</v>
      </c>
      <c r="E13" s="235">
        <f t="shared" si="1"/>
        <v>147.12094503286062</v>
      </c>
      <c r="H13" s="94" t="s">
        <v>167</v>
      </c>
      <c r="I13" s="144">
        <v>26</v>
      </c>
      <c r="J13" s="187">
        <f>M42</f>
        <v>0.19538888000000001</v>
      </c>
      <c r="K13" s="218">
        <f>-75</f>
        <v>-75</v>
      </c>
      <c r="L13" s="178">
        <f>'supply(original)'!B13</f>
        <v>2.6428167272304837</v>
      </c>
      <c r="M13" s="227">
        <f t="shared" si="2"/>
        <v>147.12094503286062</v>
      </c>
      <c r="O13" s="176"/>
      <c r="P13" s="176"/>
      <c r="Q13" s="176"/>
      <c r="R13" s="176"/>
    </row>
    <row r="14" spans="1:28" x14ac:dyDescent="0.25">
      <c r="A14" s="237" t="s">
        <v>198</v>
      </c>
      <c r="B14" s="178">
        <v>5.4607986038670377</v>
      </c>
      <c r="C14" s="178">
        <v>2.9298198230729118</v>
      </c>
      <c r="D14" s="178">
        <f t="shared" si="0"/>
        <v>2.530978780794126</v>
      </c>
      <c r="E14" s="235">
        <f t="shared" si="1"/>
        <v>76.811972637244637</v>
      </c>
      <c r="H14" s="99" t="s">
        <v>163</v>
      </c>
      <c r="I14" s="144">
        <v>20.5</v>
      </c>
      <c r="J14" s="187">
        <f>M35</f>
        <v>0.29308331999999998</v>
      </c>
      <c r="K14" s="187">
        <f>N35</f>
        <v>-34.193054000000004</v>
      </c>
      <c r="L14" s="178">
        <f>'supply(original)'!B14</f>
        <v>5.4607986038670377</v>
      </c>
      <c r="M14" s="227">
        <f t="shared" si="2"/>
        <v>76.811972637244637</v>
      </c>
      <c r="N14" s="176"/>
      <c r="O14" s="210" t="s">
        <v>39</v>
      </c>
      <c r="P14" s="198"/>
      <c r="Q14" s="198"/>
      <c r="R14" s="199"/>
      <c r="S14" s="176"/>
      <c r="T14" s="210" t="s">
        <v>162</v>
      </c>
      <c r="U14" s="198"/>
      <c r="V14" s="198"/>
      <c r="W14" s="199"/>
      <c r="Y14" s="213" t="s">
        <v>38</v>
      </c>
      <c r="Z14" s="198"/>
      <c r="AA14" s="198"/>
      <c r="AB14" s="199"/>
    </row>
    <row r="15" spans="1:28" x14ac:dyDescent="0.25">
      <c r="A15" s="168" t="s">
        <v>199</v>
      </c>
      <c r="B15" s="178">
        <v>3.7225577936802976</v>
      </c>
      <c r="C15" s="178">
        <v>0</v>
      </c>
      <c r="D15" s="178">
        <f t="shared" si="0"/>
        <v>3.7225577936802976</v>
      </c>
      <c r="E15" s="235">
        <f t="shared" si="1"/>
        <v>146.99878199177454</v>
      </c>
      <c r="H15" s="94" t="s">
        <v>164</v>
      </c>
      <c r="I15" s="114">
        <v>26</v>
      </c>
      <c r="J15" s="187">
        <f>M36</f>
        <v>9.7694440000000007E-2</v>
      </c>
      <c r="K15" s="218">
        <f>-75</f>
        <v>-75</v>
      </c>
      <c r="L15" s="178">
        <f>'supply(original)'!B15</f>
        <v>3.7225577936802976</v>
      </c>
      <c r="M15" s="227">
        <f t="shared" si="2"/>
        <v>146.99878199177454</v>
      </c>
      <c r="N15" s="176"/>
      <c r="O15" s="200" t="s">
        <v>472</v>
      </c>
      <c r="P15" s="188" t="s">
        <v>473</v>
      </c>
      <c r="Q15" s="188" t="s">
        <v>115</v>
      </c>
      <c r="R15" s="201" t="s">
        <v>501</v>
      </c>
      <c r="S15" s="176"/>
      <c r="T15" s="200" t="s">
        <v>472</v>
      </c>
      <c r="U15" s="188" t="s">
        <v>473</v>
      </c>
      <c r="V15" s="188" t="s">
        <v>115</v>
      </c>
      <c r="W15" s="201" t="s">
        <v>501</v>
      </c>
      <c r="Y15" s="200" t="s">
        <v>472</v>
      </c>
      <c r="Z15" s="188" t="s">
        <v>473</v>
      </c>
      <c r="AA15" s="188" t="s">
        <v>115</v>
      </c>
      <c r="AB15" s="201" t="s">
        <v>501</v>
      </c>
    </row>
    <row r="16" spans="1:28" x14ac:dyDescent="0.25">
      <c r="A16" s="237" t="s">
        <v>506</v>
      </c>
      <c r="B16" s="178">
        <v>91.904171829822374</v>
      </c>
      <c r="C16" s="178">
        <v>43.370508054522915</v>
      </c>
      <c r="D16" s="178">
        <f t="shared" si="0"/>
        <v>48.533663775299459</v>
      </c>
      <c r="E16" s="235">
        <f t="shared" si="1"/>
        <v>73.031597449506478</v>
      </c>
      <c r="H16" s="174" t="s">
        <v>39</v>
      </c>
      <c r="I16" s="101">
        <v>18</v>
      </c>
      <c r="J16" s="193">
        <f>M33</f>
        <v>0</v>
      </c>
      <c r="K16" s="227">
        <f>N33</f>
        <v>-34.193054000000004</v>
      </c>
      <c r="L16" s="178">
        <f>'supply(original)'!B16</f>
        <v>91.904171829822374</v>
      </c>
      <c r="M16" s="227">
        <f t="shared" si="2"/>
        <v>73.031597449506478</v>
      </c>
      <c r="N16" s="176"/>
      <c r="O16" s="202">
        <f>I16</f>
        <v>18</v>
      </c>
      <c r="P16" s="203">
        <f>J16</f>
        <v>0</v>
      </c>
      <c r="Q16" s="203">
        <f>K16</f>
        <v>-34.193054000000004</v>
      </c>
      <c r="R16" s="204">
        <f>L16</f>
        <v>91.904171829822374</v>
      </c>
      <c r="S16" s="176"/>
      <c r="T16" s="202">
        <f>I9</f>
        <v>20.5</v>
      </c>
      <c r="U16" s="203">
        <f t="shared" ref="U16:W16" si="5">J9</f>
        <v>9.7694440000000007E-2</v>
      </c>
      <c r="V16" s="203">
        <f t="shared" si="5"/>
        <v>-24.42361</v>
      </c>
      <c r="W16" s="204">
        <f t="shared" si="5"/>
        <v>27.617680600229964</v>
      </c>
      <c r="Y16" s="202">
        <f>I24</f>
        <v>15</v>
      </c>
      <c r="Z16" s="203">
        <f t="shared" ref="Z16:AB16" si="6">J24</f>
        <v>9.7694440000000007E-2</v>
      </c>
      <c r="AA16" s="203">
        <f t="shared" si="6"/>
        <v>-73.270830000000004</v>
      </c>
      <c r="AB16" s="204">
        <f t="shared" si="6"/>
        <v>156.94423791821555</v>
      </c>
    </row>
    <row r="17" spans="1:31" x14ac:dyDescent="0.25">
      <c r="A17" s="168" t="s">
        <v>204</v>
      </c>
      <c r="B17" s="178">
        <v>3.9483633815055765</v>
      </c>
      <c r="C17" s="178">
        <v>0</v>
      </c>
      <c r="D17" s="178">
        <f t="shared" si="0"/>
        <v>3.9483633815055765</v>
      </c>
      <c r="E17" s="235">
        <f t="shared" si="1"/>
        <v>148.25077603044832</v>
      </c>
      <c r="H17" s="94" t="s">
        <v>171</v>
      </c>
      <c r="I17" s="114">
        <v>26</v>
      </c>
      <c r="J17" s="187">
        <f>M46</f>
        <v>0.48847220000000002</v>
      </c>
      <c r="K17" s="218">
        <f>-75</f>
        <v>-75</v>
      </c>
      <c r="L17" s="178">
        <f>'supply(original)'!B17</f>
        <v>3.9483633815055765</v>
      </c>
      <c r="M17" s="227">
        <f t="shared" si="2"/>
        <v>148.25077603044832</v>
      </c>
      <c r="N17" s="176"/>
      <c r="O17" s="202"/>
      <c r="P17" s="203"/>
      <c r="Q17" s="203"/>
      <c r="R17" s="204"/>
      <c r="S17" s="176"/>
      <c r="T17" s="202"/>
      <c r="U17" s="203"/>
      <c r="V17" s="203"/>
      <c r="W17" s="204"/>
      <c r="Y17" s="202"/>
      <c r="Z17" s="203"/>
      <c r="AA17" s="203"/>
      <c r="AB17" s="204"/>
    </row>
    <row r="18" spans="1:31" x14ac:dyDescent="0.25">
      <c r="A18" s="168" t="s">
        <v>208</v>
      </c>
      <c r="B18" s="178">
        <v>9.540355413568772</v>
      </c>
      <c r="C18" s="178">
        <v>0</v>
      </c>
      <c r="D18" s="178">
        <f t="shared" si="0"/>
        <v>9.540355413568772</v>
      </c>
      <c r="E18" s="235">
        <f t="shared" si="1"/>
        <v>148.19910691980485</v>
      </c>
      <c r="H18" s="94" t="s">
        <v>178</v>
      </c>
      <c r="I18" s="114">
        <v>26</v>
      </c>
      <c r="J18" s="187">
        <f>M54</f>
        <v>0.19538888000000001</v>
      </c>
      <c r="K18" s="218">
        <f>-75</f>
        <v>-75</v>
      </c>
      <c r="L18" s="178">
        <f>'supply(original)'!B18</f>
        <v>9.540355413568772</v>
      </c>
      <c r="M18" s="227">
        <f t="shared" si="2"/>
        <v>148.19910691980485</v>
      </c>
      <c r="N18" s="176"/>
      <c r="O18" s="202" t="s">
        <v>503</v>
      </c>
      <c r="P18" s="203" t="s">
        <v>502</v>
      </c>
      <c r="Q18" s="223" t="s">
        <v>467</v>
      </c>
      <c r="R18" s="204"/>
      <c r="S18" s="176"/>
      <c r="T18" s="202" t="s">
        <v>503</v>
      </c>
      <c r="U18" s="203" t="s">
        <v>502</v>
      </c>
      <c r="V18" s="223" t="s">
        <v>467</v>
      </c>
      <c r="W18" s="204"/>
      <c r="Y18" s="202" t="s">
        <v>503</v>
      </c>
      <c r="Z18" s="203" t="s">
        <v>502</v>
      </c>
      <c r="AA18" s="223" t="s">
        <v>467</v>
      </c>
      <c r="AB18" s="204"/>
    </row>
    <row r="19" spans="1:31" x14ac:dyDescent="0.25">
      <c r="A19" s="237" t="s">
        <v>507</v>
      </c>
      <c r="B19" s="178">
        <v>201.3351920693928</v>
      </c>
      <c r="C19" s="178">
        <v>111.52390541098718</v>
      </c>
      <c r="D19" s="178">
        <f t="shared" si="0"/>
        <v>89.811286658405621</v>
      </c>
      <c r="E19" s="235">
        <f t="shared" si="1"/>
        <v>59.169940671005563</v>
      </c>
      <c r="H19" s="174" t="s">
        <v>1</v>
      </c>
      <c r="I19" s="114">
        <v>12</v>
      </c>
      <c r="J19" s="193">
        <f>M32</f>
        <v>0</v>
      </c>
      <c r="K19" s="227">
        <f>N32</f>
        <v>-29.308332</v>
      </c>
      <c r="L19" s="178">
        <f>'supply(original)'!B19</f>
        <v>201.3351920693928</v>
      </c>
      <c r="M19" s="227">
        <f t="shared" si="2"/>
        <v>59.169940671005563</v>
      </c>
      <c r="N19" s="176"/>
      <c r="O19" s="202"/>
      <c r="P19" s="203">
        <v>0</v>
      </c>
      <c r="Q19" s="203">
        <f>O16</f>
        <v>18</v>
      </c>
      <c r="R19" s="204"/>
      <c r="S19" s="176"/>
      <c r="T19" s="202"/>
      <c r="U19" s="203">
        <v>0</v>
      </c>
      <c r="V19" s="203">
        <f>T16</f>
        <v>20.5</v>
      </c>
      <c r="W19" s="204"/>
      <c r="Y19" s="202"/>
      <c r="Z19" s="203">
        <v>0</v>
      </c>
      <c r="AA19" s="203">
        <f>Y16</f>
        <v>15</v>
      </c>
      <c r="AB19" s="204"/>
    </row>
    <row r="20" spans="1:31" x14ac:dyDescent="0.25">
      <c r="A20" s="168" t="s">
        <v>287</v>
      </c>
      <c r="B20" s="178">
        <v>0.26022301858736058</v>
      </c>
      <c r="C20" s="178">
        <v>0</v>
      </c>
      <c r="D20" s="178">
        <f t="shared" si="0"/>
        <v>0.26022301858736058</v>
      </c>
      <c r="E20" s="235">
        <f t="shared" si="1"/>
        <v>140.72818130621835</v>
      </c>
      <c r="H20" s="108" t="s">
        <v>280</v>
      </c>
      <c r="I20" s="101">
        <v>20</v>
      </c>
      <c r="J20" s="187">
        <f>M55</f>
        <v>9.7694440000000007E-2</v>
      </c>
      <c r="K20" s="218">
        <f>-75</f>
        <v>-75</v>
      </c>
      <c r="L20" s="178">
        <f>'supply(original)'!B20</f>
        <v>0.26022301858736058</v>
      </c>
      <c r="M20" s="227">
        <f t="shared" si="2"/>
        <v>140.72818130621835</v>
      </c>
      <c r="N20" s="176"/>
      <c r="O20" s="202">
        <f>(P20-P19)+(P21-P20)/2</f>
        <v>64.332920280875669</v>
      </c>
      <c r="P20" s="203">
        <f>R16*0.5</f>
        <v>45.952085914911187</v>
      </c>
      <c r="Q20" s="203">
        <f>O16+P16*P20+Q16*LN(1-P20/R16)</f>
        <v>41.700818974833965</v>
      </c>
      <c r="R20" s="204"/>
      <c r="S20" s="176"/>
      <c r="T20" s="202">
        <f>(U20-U19)+(U21-U20)/2</f>
        <v>19.332376420160976</v>
      </c>
      <c r="U20" s="203">
        <f>W16*0.5</f>
        <v>13.808840300114982</v>
      </c>
      <c r="V20" s="203">
        <f>T16+U16*U20+V16*LN(1-U20/W16)</f>
        <v>38.778203330764853</v>
      </c>
      <c r="W20" s="204"/>
      <c r="Y20" s="202">
        <f>(Z20-Z19)+(Z21-Z20)/2</f>
        <v>109.86096654275089</v>
      </c>
      <c r="Z20" s="203">
        <f>AB16*0.5</f>
        <v>78.472118959107775</v>
      </c>
      <c r="AA20" s="203">
        <f>Y16+Z16*Z20+AA16*LN(1-Z20/AB16)</f>
        <v>73.453758949110465</v>
      </c>
      <c r="AB20" s="204"/>
    </row>
    <row r="21" spans="1:31" x14ac:dyDescent="0.25">
      <c r="A21" s="168" t="s">
        <v>286</v>
      </c>
      <c r="B21" s="178">
        <v>6.6552044609665426</v>
      </c>
      <c r="C21" s="178">
        <v>6.0501858736059475</v>
      </c>
      <c r="D21" s="178">
        <f t="shared" si="0"/>
        <v>0.60501858736059511</v>
      </c>
      <c r="E21" s="235">
        <f t="shared" si="1"/>
        <v>145.22798461087723</v>
      </c>
      <c r="H21" s="108" t="s">
        <v>2</v>
      </c>
      <c r="I21" s="101">
        <v>24</v>
      </c>
      <c r="J21" s="187">
        <f>M34</f>
        <v>9.7694440000000007E-2</v>
      </c>
      <c r="K21" s="218">
        <f>-75</f>
        <v>-75</v>
      </c>
      <c r="L21" s="178">
        <f>'supply(original)'!B21</f>
        <v>6.6552044609665426</v>
      </c>
      <c r="M21" s="227">
        <f t="shared" si="2"/>
        <v>145.22798461087723</v>
      </c>
      <c r="O21" s="202">
        <f>(P21-P20)/2+(P22-P21)/2</f>
        <v>22.516522098306478</v>
      </c>
      <c r="P21" s="203">
        <f>R16*0.9</f>
        <v>82.713754646840144</v>
      </c>
      <c r="Q21" s="203">
        <f>O16+P16*P21+Q16*LN(1-P21/R16)</f>
        <v>96.732416424340443</v>
      </c>
      <c r="R21" s="204"/>
      <c r="T21" s="202">
        <f>(U21-U20)/2+(U22-U21)/2</f>
        <v>6.7663317470563404</v>
      </c>
      <c r="U21" s="203">
        <f>W16*0.9</f>
        <v>24.855912540206969</v>
      </c>
      <c r="V21" s="203">
        <f>T16+U16*U21+V16*LN(1-U21/W16)</f>
        <v>79.16572475940481</v>
      </c>
      <c r="W21" s="204"/>
      <c r="Y21" s="202">
        <f>(Z21-Z20)/2+(Z22-Z21)/2</f>
        <v>38.451338289962806</v>
      </c>
      <c r="Z21" s="203">
        <f>AB16*0.9</f>
        <v>141.249814126394</v>
      </c>
      <c r="AA21" s="203">
        <f>Y16+Z16*Z21+AA16*LN(1-Z21/AB16)</f>
        <v>197.51164240048308</v>
      </c>
      <c r="AB21" s="204"/>
    </row>
    <row r="22" spans="1:31" x14ac:dyDescent="0.25">
      <c r="A22" s="168" t="s">
        <v>508</v>
      </c>
      <c r="B22" s="178">
        <v>48.909073075036751</v>
      </c>
      <c r="C22" s="178">
        <v>0</v>
      </c>
      <c r="D22" s="178">
        <f t="shared" si="0"/>
        <v>48.909073075036751</v>
      </c>
      <c r="E22" s="235">
        <f t="shared" si="1"/>
        <v>140.70784343255752</v>
      </c>
      <c r="H22" s="173" t="s">
        <v>173</v>
      </c>
      <c r="I22" s="101">
        <v>20</v>
      </c>
      <c r="J22" s="187">
        <f>M48</f>
        <v>0</v>
      </c>
      <c r="K22" s="218">
        <f>-75</f>
        <v>-75</v>
      </c>
      <c r="L22" s="178">
        <f>'supply(original)'!B22</f>
        <v>48.909073075036751</v>
      </c>
      <c r="M22" s="227">
        <f t="shared" si="2"/>
        <v>140.70784343255752</v>
      </c>
      <c r="O22" s="202">
        <f>(P22-P21)/2+(P22-P22)/2</f>
        <v>4.1356877323419994</v>
      </c>
      <c r="P22" s="203">
        <f>R16*0.99</f>
        <v>90.985130111524143</v>
      </c>
      <c r="Q22" s="203">
        <f>O16+P16*P22+Q16*LN(1-P22/R16)</f>
        <v>175.46483284868046</v>
      </c>
      <c r="R22" s="204"/>
      <c r="T22" s="202">
        <f>(U22-U21)/2+(U22-U22)/2</f>
        <v>1.2427956270103468</v>
      </c>
      <c r="U22" s="203">
        <f>W16*0.99</f>
        <v>27.341503794227663</v>
      </c>
      <c r="V22" s="203">
        <f>T16+U16*U22+V16*LN(1-U22/W16)</f>
        <v>135.64599350813555</v>
      </c>
      <c r="W22" s="204"/>
      <c r="Y22" s="202">
        <f>(Z22-Z21)/2+(Z22-Z22)/2</f>
        <v>7.0624907063196929</v>
      </c>
      <c r="Z22" s="203">
        <f>AB16*0.99</f>
        <v>155.37479553903339</v>
      </c>
      <c r="AA22" s="203">
        <f>Y16+Z16*Z22+AA16*LN(1-Z22/AB16)</f>
        <v>367.60389545890217</v>
      </c>
      <c r="AB22" s="204"/>
    </row>
    <row r="23" spans="1:31" x14ac:dyDescent="0.25">
      <c r="A23" s="168" t="s">
        <v>206</v>
      </c>
      <c r="B23" s="178">
        <v>17.089225371747212</v>
      </c>
      <c r="C23" s="178">
        <v>0</v>
      </c>
      <c r="D23" s="178">
        <f t="shared" si="0"/>
        <v>17.089225371747212</v>
      </c>
      <c r="E23" s="235">
        <f t="shared" si="1"/>
        <v>110.11108942832139</v>
      </c>
      <c r="H23" s="94" t="s">
        <v>176</v>
      </c>
      <c r="I23" s="114">
        <v>26</v>
      </c>
      <c r="J23" s="187">
        <f>M51</f>
        <v>0.97694440000000005</v>
      </c>
      <c r="K23" s="187">
        <f>N51</f>
        <v>-43.962497999999997</v>
      </c>
      <c r="L23" s="178">
        <f>'supply(original)'!B23</f>
        <v>17.089225371747212</v>
      </c>
      <c r="M23" s="227">
        <f t="shared" si="2"/>
        <v>110.11108942832139</v>
      </c>
      <c r="O23" s="202"/>
      <c r="P23" s="203"/>
      <c r="Q23" s="203"/>
      <c r="R23" s="204"/>
      <c r="T23" s="202"/>
      <c r="U23" s="203"/>
      <c r="V23" s="203"/>
      <c r="W23" s="204"/>
      <c r="Y23" s="202"/>
      <c r="Z23" s="203"/>
      <c r="AA23" s="203"/>
      <c r="AB23" s="204"/>
    </row>
    <row r="24" spans="1:31" ht="15.75" thickBot="1" x14ac:dyDescent="0.3">
      <c r="A24" s="168" t="s">
        <v>509</v>
      </c>
      <c r="B24" s="178">
        <v>156.94423791821555</v>
      </c>
      <c r="C24" s="178">
        <v>98.09014869888469</v>
      </c>
      <c r="D24" s="178">
        <f t="shared" si="0"/>
        <v>58.854089219330859</v>
      </c>
      <c r="E24" s="235">
        <f t="shared" si="1"/>
        <v>145.19091522523135</v>
      </c>
      <c r="H24" s="189" t="s">
        <v>38</v>
      </c>
      <c r="I24" s="225">
        <v>15</v>
      </c>
      <c r="J24" s="187">
        <f>M37</f>
        <v>9.7694440000000007E-2</v>
      </c>
      <c r="K24" s="187">
        <f>N39</f>
        <v>-73.270830000000004</v>
      </c>
      <c r="L24" s="226">
        <f>'supply(original)'!B24</f>
        <v>156.94423791821555</v>
      </c>
      <c r="M24" s="227">
        <f t="shared" si="2"/>
        <v>145.19091522523135</v>
      </c>
      <c r="O24" s="205"/>
      <c r="P24" s="206"/>
      <c r="Q24" s="206"/>
      <c r="R24" s="207"/>
      <c r="T24" s="205"/>
      <c r="U24" s="206"/>
      <c r="V24" s="206"/>
      <c r="W24" s="207"/>
      <c r="Y24" s="205"/>
      <c r="Z24" s="206"/>
      <c r="AA24" s="206"/>
      <c r="AB24" s="207"/>
    </row>
    <row r="25" spans="1:31" x14ac:dyDescent="0.25">
      <c r="H25" s="99"/>
      <c r="I25" s="196" t="s">
        <v>467</v>
      </c>
      <c r="J25" s="196" t="s">
        <v>467</v>
      </c>
      <c r="K25" s="196" t="s">
        <v>467</v>
      </c>
      <c r="L25" s="196" t="s">
        <v>431</v>
      </c>
      <c r="M25" s="227"/>
    </row>
    <row r="26" spans="1:31" x14ac:dyDescent="0.25">
      <c r="H26" s="99"/>
      <c r="Y26" s="49"/>
      <c r="AA26" s="109"/>
    </row>
    <row r="27" spans="1:31" x14ac:dyDescent="0.25">
      <c r="H27" s="185"/>
      <c r="O27" s="196"/>
      <c r="Y27" s="49"/>
      <c r="Z27" s="49"/>
      <c r="AA27" s="109"/>
    </row>
    <row r="28" spans="1:31" x14ac:dyDescent="0.25">
      <c r="H28" s="185"/>
      <c r="O28" s="196"/>
      <c r="Y28" s="49"/>
      <c r="Z28" s="49"/>
      <c r="AA28" s="109"/>
    </row>
    <row r="29" spans="1:31" x14ac:dyDescent="0.25">
      <c r="H29" s="177"/>
      <c r="I29" s="345" t="s">
        <v>500</v>
      </c>
      <c r="J29" s="345"/>
      <c r="K29" s="345"/>
      <c r="L29" s="345"/>
      <c r="M29" s="345"/>
      <c r="N29" s="345"/>
      <c r="O29" s="196"/>
      <c r="P29" s="345" t="s">
        <v>524</v>
      </c>
      <c r="Q29" s="345"/>
      <c r="R29" s="345"/>
      <c r="S29" s="345"/>
      <c r="T29" s="345"/>
      <c r="U29" s="345"/>
      <c r="Y29" s="49"/>
      <c r="Z29" s="49"/>
      <c r="AA29" s="109"/>
    </row>
    <row r="30" spans="1:31" x14ac:dyDescent="0.25">
      <c r="F30" s="102"/>
      <c r="H30" s="177"/>
      <c r="I30" s="196"/>
      <c r="J30" s="196" t="s">
        <v>111</v>
      </c>
      <c r="K30" s="196" t="s">
        <v>111</v>
      </c>
      <c r="L30" s="196"/>
      <c r="M30" s="196" t="s">
        <v>467</v>
      </c>
      <c r="N30" s="196" t="s">
        <v>467</v>
      </c>
      <c r="O30" s="177"/>
      <c r="Q30" s="176" t="s">
        <v>519</v>
      </c>
      <c r="R30" s="176" t="s">
        <v>519</v>
      </c>
      <c r="S30" s="176" t="s">
        <v>519</v>
      </c>
      <c r="T30" s="176" t="s">
        <v>520</v>
      </c>
      <c r="U30" s="176" t="s">
        <v>520</v>
      </c>
      <c r="V30" s="176" t="s">
        <v>520</v>
      </c>
      <c r="Y30" s="232">
        <v>0.5</v>
      </c>
      <c r="Z30" s="193">
        <v>0.46</v>
      </c>
      <c r="AA30" s="193">
        <v>0.04</v>
      </c>
      <c r="AB30" s="109"/>
    </row>
    <row r="31" spans="1:31" x14ac:dyDescent="0.25">
      <c r="H31" s="177"/>
      <c r="I31" s="196"/>
      <c r="J31" s="197" t="s">
        <v>473</v>
      </c>
      <c r="K31" s="197" t="s">
        <v>115</v>
      </c>
      <c r="L31" s="196"/>
      <c r="M31" s="197" t="s">
        <v>473</v>
      </c>
      <c r="N31" s="197" t="s">
        <v>115</v>
      </c>
      <c r="O31" s="177"/>
      <c r="Q31" s="180" t="s">
        <v>521</v>
      </c>
      <c r="R31" s="180" t="s">
        <v>522</v>
      </c>
      <c r="S31" s="180" t="s">
        <v>523</v>
      </c>
      <c r="T31" s="180" t="s">
        <v>521</v>
      </c>
      <c r="U31" s="180" t="s">
        <v>522</v>
      </c>
      <c r="V31" s="180" t="s">
        <v>523</v>
      </c>
      <c r="W31" t="s">
        <v>405</v>
      </c>
      <c r="X31" s="180" t="s">
        <v>525</v>
      </c>
      <c r="Y31" s="180" t="s">
        <v>521</v>
      </c>
      <c r="Z31" s="180" t="s">
        <v>522</v>
      </c>
      <c r="AA31" s="180" t="s">
        <v>523</v>
      </c>
      <c r="AC31" s="180" t="s">
        <v>521</v>
      </c>
      <c r="AD31" s="180" t="s">
        <v>522</v>
      </c>
      <c r="AE31" s="180" t="s">
        <v>523</v>
      </c>
    </row>
    <row r="32" spans="1:31" x14ac:dyDescent="0.25">
      <c r="H32" s="185"/>
      <c r="I32" s="181" t="s">
        <v>474</v>
      </c>
      <c r="J32" s="193">
        <v>0</v>
      </c>
      <c r="K32" s="190">
        <v>-3</v>
      </c>
      <c r="L32" s="181" t="s">
        <v>474</v>
      </c>
      <c r="M32" s="193">
        <f>J32*9.769444</f>
        <v>0</v>
      </c>
      <c r="N32" s="193">
        <f t="shared" ref="N32:N57" si="7">K32*9.769444</f>
        <v>-29.308332</v>
      </c>
      <c r="O32" s="177"/>
      <c r="Q32" s="176"/>
      <c r="R32" s="176"/>
      <c r="S32" s="176"/>
      <c r="T32" s="176"/>
      <c r="U32" s="176"/>
      <c r="V32" s="176"/>
      <c r="X32" s="176"/>
    </row>
    <row r="33" spans="1:31" x14ac:dyDescent="0.25">
      <c r="H33" s="185"/>
      <c r="I33" s="181" t="s">
        <v>475</v>
      </c>
      <c r="J33" s="193">
        <v>0</v>
      </c>
      <c r="K33" s="190">
        <v>-3.5</v>
      </c>
      <c r="L33" s="181" t="s">
        <v>475</v>
      </c>
      <c r="M33" s="193">
        <f t="shared" ref="M33:M57" si="8">J33*9.769444</f>
        <v>0</v>
      </c>
      <c r="N33" s="193">
        <f t="shared" si="7"/>
        <v>-34.193054000000004</v>
      </c>
      <c r="O33" s="177"/>
      <c r="P33" s="221" t="s">
        <v>202</v>
      </c>
      <c r="Q33" s="231">
        <v>23.22</v>
      </c>
      <c r="R33" s="192">
        <v>23.22</v>
      </c>
      <c r="S33" s="192">
        <v>23.22</v>
      </c>
      <c r="T33" s="231">
        <v>1.0633021584262974</v>
      </c>
      <c r="U33" s="231">
        <v>5.778816078403791</v>
      </c>
      <c r="V33" s="231">
        <v>106.33021584262976</v>
      </c>
      <c r="W33" s="208">
        <v>0.55054951394052043</v>
      </c>
      <c r="X33" s="176">
        <f>(W33/12*1000)</f>
        <v>45.879126161710033</v>
      </c>
      <c r="Y33" s="193">
        <f>$X33*Y$30</f>
        <v>22.939563080855017</v>
      </c>
      <c r="Z33" s="193">
        <f t="shared" ref="Z33:AA33" si="9">$X33*Z$30</f>
        <v>21.104398034386616</v>
      </c>
      <c r="AA33" s="193">
        <f t="shared" si="9"/>
        <v>1.8351650464684013</v>
      </c>
      <c r="AC33" s="224">
        <f t="shared" ref="AC33:AC55" si="10">Q33+(T33*Y33)</f>
        <v>47.611686937229344</v>
      </c>
      <c r="AD33" s="224">
        <f t="shared" ref="AD33:AD55" si="11">R33+(U33*(Z33+Y33))</f>
        <v>277.74195064934969</v>
      </c>
      <c r="AE33" s="224">
        <f t="shared" ref="AE33:AE55" si="12">S33+(V33*(AA33+Z33+Y33))</f>
        <v>4901.5573874458696</v>
      </c>
    </row>
    <row r="34" spans="1:31" x14ac:dyDescent="0.25">
      <c r="H34" s="185"/>
      <c r="I34" s="181" t="s">
        <v>476</v>
      </c>
      <c r="J34" s="193">
        <v>0.01</v>
      </c>
      <c r="K34" s="190">
        <v>-2.5</v>
      </c>
      <c r="L34" s="181" t="s">
        <v>476</v>
      </c>
      <c r="M34" s="193">
        <f t="shared" si="8"/>
        <v>9.7694440000000007E-2</v>
      </c>
      <c r="N34" s="193">
        <f t="shared" si="7"/>
        <v>-24.42361</v>
      </c>
      <c r="O34" s="177"/>
      <c r="P34" s="221" t="s">
        <v>504</v>
      </c>
      <c r="Q34" s="192">
        <v>13.42</v>
      </c>
      <c r="R34" s="192">
        <v>13.42</v>
      </c>
      <c r="S34" s="192">
        <v>13.42</v>
      </c>
      <c r="T34" s="192">
        <v>1.2368663594470044E-3</v>
      </c>
      <c r="U34" s="192">
        <v>6.7220997796032843E-3</v>
      </c>
      <c r="V34" s="192">
        <v>0.12368663594470043</v>
      </c>
      <c r="W34" s="208">
        <v>44.8</v>
      </c>
      <c r="X34" s="176">
        <f t="shared" ref="X34:X55" si="13">(W34/12*1000)</f>
        <v>3733.333333333333</v>
      </c>
      <c r="Y34" s="193">
        <f t="shared" ref="Y34:AA55" si="14">$X34*Y$30</f>
        <v>1866.6666666666665</v>
      </c>
      <c r="Z34" s="193">
        <f t="shared" si="14"/>
        <v>1717.3333333333333</v>
      </c>
      <c r="AA34" s="193">
        <f t="shared" si="14"/>
        <v>149.33333333333331</v>
      </c>
      <c r="AC34" s="224">
        <f t="shared" si="10"/>
        <v>15.728817204301075</v>
      </c>
      <c r="AD34" s="224">
        <f t="shared" si="11"/>
        <v>37.512005610098171</v>
      </c>
      <c r="AE34" s="224">
        <f t="shared" si="12"/>
        <v>475.18344086021494</v>
      </c>
    </row>
    <row r="35" spans="1:31" x14ac:dyDescent="0.25">
      <c r="A35" s="168"/>
      <c r="B35" s="226"/>
      <c r="C35" s="187"/>
      <c r="D35" s="187"/>
      <c r="E35" s="225"/>
      <c r="H35" s="185"/>
      <c r="I35" s="181" t="s">
        <v>477</v>
      </c>
      <c r="J35" s="193">
        <v>0.03</v>
      </c>
      <c r="K35" s="190">
        <v>-3.5</v>
      </c>
      <c r="L35" s="181" t="s">
        <v>477</v>
      </c>
      <c r="M35" s="193">
        <f t="shared" si="8"/>
        <v>0.29308331999999998</v>
      </c>
      <c r="N35" s="193">
        <f t="shared" si="7"/>
        <v>-34.193054000000004</v>
      </c>
      <c r="O35" s="177"/>
      <c r="P35" s="221" t="s">
        <v>283</v>
      </c>
      <c r="Q35" s="192">
        <v>25.2</v>
      </c>
      <c r="R35" s="192">
        <v>25.2</v>
      </c>
      <c r="S35" s="192">
        <v>25.2</v>
      </c>
      <c r="T35" s="192">
        <v>3.6510693322853403</v>
      </c>
      <c r="U35" s="192">
        <v>19.842768110246418</v>
      </c>
      <c r="V35" s="192">
        <v>365.10693322853405</v>
      </c>
      <c r="W35" s="208">
        <v>9.158921933085501E-2</v>
      </c>
      <c r="X35" s="176">
        <f t="shared" si="13"/>
        <v>7.6324349442379171</v>
      </c>
      <c r="Y35" s="193">
        <f t="shared" si="14"/>
        <v>3.8162174721189586</v>
      </c>
      <c r="Z35" s="193">
        <f t="shared" si="14"/>
        <v>3.5109200743494422</v>
      </c>
      <c r="AA35" s="193">
        <f t="shared" si="14"/>
        <v>0.3052973977695167</v>
      </c>
      <c r="AC35" s="224">
        <f t="shared" si="10"/>
        <v>39.133274577785016</v>
      </c>
      <c r="AD35" s="224">
        <f t="shared" si="11"/>
        <v>170.59069124645234</v>
      </c>
      <c r="AE35" s="224">
        <f t="shared" si="12"/>
        <v>2811.8549155570036</v>
      </c>
    </row>
    <row r="36" spans="1:31" x14ac:dyDescent="0.25">
      <c r="A36" s="168"/>
      <c r="B36" s="226"/>
      <c r="C36" s="187"/>
      <c r="D36" s="187"/>
      <c r="E36" s="225"/>
      <c r="H36" s="177"/>
      <c r="I36" s="181" t="s">
        <v>478</v>
      </c>
      <c r="J36" s="193">
        <v>0.01</v>
      </c>
      <c r="K36" s="190">
        <v>-9</v>
      </c>
      <c r="L36" s="181" t="s">
        <v>478</v>
      </c>
      <c r="M36" s="193">
        <f t="shared" si="8"/>
        <v>9.7694440000000007E-2</v>
      </c>
      <c r="N36" s="193">
        <f t="shared" si="7"/>
        <v>-87.924995999999993</v>
      </c>
      <c r="O36" s="177"/>
      <c r="P36" s="221" t="s">
        <v>205</v>
      </c>
      <c r="Q36" s="192">
        <v>11.700000000000001</v>
      </c>
      <c r="R36" s="192">
        <v>11.700000000000001</v>
      </c>
      <c r="S36" s="192">
        <v>11.700000000000001</v>
      </c>
      <c r="T36" s="192">
        <v>0.47510679611650519</v>
      </c>
      <c r="U36" s="192">
        <v>2.5821021528070927</v>
      </c>
      <c r="V36" s="192">
        <v>47.510679611650517</v>
      </c>
      <c r="W36" s="208">
        <v>0.57381069151544839</v>
      </c>
      <c r="X36" s="176">
        <f t="shared" si="13"/>
        <v>47.817557626287368</v>
      </c>
      <c r="Y36" s="193">
        <f t="shared" si="14"/>
        <v>23.908778813143684</v>
      </c>
      <c r="Z36" s="193">
        <f t="shared" si="14"/>
        <v>21.996076508092191</v>
      </c>
      <c r="AA36" s="193">
        <f t="shared" si="14"/>
        <v>1.9127023050514946</v>
      </c>
      <c r="AC36" s="224">
        <f t="shared" si="10"/>
        <v>23.059223300970878</v>
      </c>
      <c r="AD36" s="224">
        <f t="shared" si="11"/>
        <v>130.23102574926125</v>
      </c>
      <c r="AE36" s="224">
        <f t="shared" si="12"/>
        <v>2283.5446601941749</v>
      </c>
    </row>
    <row r="37" spans="1:31" x14ac:dyDescent="0.25">
      <c r="A37" s="1"/>
      <c r="B37" s="1"/>
      <c r="C37" s="1"/>
      <c r="D37" s="1"/>
      <c r="E37" s="1"/>
      <c r="H37" s="177"/>
      <c r="I37" s="181" t="s">
        <v>479</v>
      </c>
      <c r="J37" s="193">
        <v>0.01</v>
      </c>
      <c r="K37" s="190">
        <v>-6</v>
      </c>
      <c r="L37" s="181" t="s">
        <v>479</v>
      </c>
      <c r="M37" s="193">
        <f t="shared" si="8"/>
        <v>9.7694440000000007E-2</v>
      </c>
      <c r="N37" s="193">
        <f t="shared" si="7"/>
        <v>-58.616664</v>
      </c>
      <c r="O37" s="177"/>
      <c r="P37" s="221" t="s">
        <v>203</v>
      </c>
      <c r="Q37" s="192">
        <v>22.36</v>
      </c>
      <c r="R37" s="192">
        <v>22.36</v>
      </c>
      <c r="S37" s="192">
        <v>22.36</v>
      </c>
      <c r="T37" s="192">
        <v>2.6050485436893203</v>
      </c>
      <c r="U37" s="192">
        <v>14.157872520050651</v>
      </c>
      <c r="V37" s="192">
        <v>260.504854368932</v>
      </c>
      <c r="W37" s="208">
        <v>0.22761617100371748</v>
      </c>
      <c r="X37" s="176">
        <f t="shared" si="13"/>
        <v>18.968014250309789</v>
      </c>
      <c r="Y37" s="193">
        <f t="shared" si="14"/>
        <v>9.4840071251548945</v>
      </c>
      <c r="Z37" s="193">
        <f t="shared" si="14"/>
        <v>8.7252865551425032</v>
      </c>
      <c r="AA37" s="193">
        <f t="shared" si="14"/>
        <v>0.75872057001239157</v>
      </c>
      <c r="AC37" s="224">
        <f t="shared" si="10"/>
        <v>47.066298949723894</v>
      </c>
      <c r="AD37" s="224">
        <f t="shared" si="11"/>
        <v>280.16485860581457</v>
      </c>
      <c r="AE37" s="224">
        <f t="shared" si="12"/>
        <v>4963.6197899447779</v>
      </c>
    </row>
    <row r="38" spans="1:31" x14ac:dyDescent="0.25">
      <c r="A38" s="1"/>
      <c r="B38" s="1"/>
      <c r="C38" s="1"/>
      <c r="D38" s="1"/>
      <c r="E38" s="1"/>
      <c r="H38" s="177"/>
      <c r="I38" s="181" t="s">
        <v>480</v>
      </c>
      <c r="J38" s="193">
        <v>0.01</v>
      </c>
      <c r="K38" s="190">
        <v>-7.5</v>
      </c>
      <c r="L38" s="181" t="s">
        <v>480</v>
      </c>
      <c r="M38" s="193">
        <f t="shared" si="8"/>
        <v>9.7694440000000007E-2</v>
      </c>
      <c r="N38" s="193">
        <f t="shared" si="7"/>
        <v>-73.270830000000004</v>
      </c>
      <c r="O38" s="177"/>
      <c r="P38" s="221" t="s">
        <v>200</v>
      </c>
      <c r="Q38" s="192">
        <v>21.84</v>
      </c>
      <c r="R38" s="192">
        <v>21.84</v>
      </c>
      <c r="S38" s="192">
        <v>21.84</v>
      </c>
      <c r="T38" s="192">
        <v>7.3752638243984786E-2</v>
      </c>
      <c r="U38" s="192">
        <v>0.40082955567383033</v>
      </c>
      <c r="V38" s="192">
        <v>7.3752638243984787</v>
      </c>
      <c r="W38" s="208">
        <v>1.5800836431226766</v>
      </c>
      <c r="X38" s="176">
        <f t="shared" si="13"/>
        <v>131.67363692688971</v>
      </c>
      <c r="Y38" s="193">
        <f t="shared" si="14"/>
        <v>65.836818463444857</v>
      </c>
      <c r="Z38" s="193">
        <f t="shared" si="14"/>
        <v>60.569872986369269</v>
      </c>
      <c r="AA38" s="193">
        <f t="shared" si="14"/>
        <v>5.2669454770755886</v>
      </c>
      <c r="AC38" s="224">
        <f t="shared" si="10"/>
        <v>26.695639055269346</v>
      </c>
      <c r="AD38" s="224">
        <f t="shared" si="11"/>
        <v>72.507537968027961</v>
      </c>
      <c r="AE38" s="224">
        <f t="shared" si="12"/>
        <v>992.96781105386935</v>
      </c>
    </row>
    <row r="39" spans="1:31" x14ac:dyDescent="0.25">
      <c r="A39" s="1"/>
      <c r="B39" s="1"/>
      <c r="C39" s="1"/>
      <c r="D39" s="1"/>
      <c r="E39" s="1"/>
      <c r="H39" s="177"/>
      <c r="I39" s="181" t="s">
        <v>481</v>
      </c>
      <c r="J39" s="193">
        <v>0.01</v>
      </c>
      <c r="K39" s="190">
        <v>-7.5</v>
      </c>
      <c r="L39" s="181" t="s">
        <v>481</v>
      </c>
      <c r="M39" s="193">
        <f t="shared" si="8"/>
        <v>9.7694440000000007E-2</v>
      </c>
      <c r="N39" s="193">
        <f t="shared" si="7"/>
        <v>-73.270830000000004</v>
      </c>
      <c r="O39" s="177"/>
      <c r="P39" s="221" t="s">
        <v>209</v>
      </c>
      <c r="Q39" s="192">
        <v>23.52</v>
      </c>
      <c r="R39" s="192">
        <v>23.52</v>
      </c>
      <c r="S39" s="192">
        <v>23.52</v>
      </c>
      <c r="T39" s="192">
        <v>0.24436363636363637</v>
      </c>
      <c r="U39" s="192">
        <v>1.328063241106719</v>
      </c>
      <c r="V39" s="192">
        <v>24.436363636363637</v>
      </c>
      <c r="W39" s="208">
        <v>2.799270279739777</v>
      </c>
      <c r="X39" s="176">
        <f t="shared" si="13"/>
        <v>233.27252331164809</v>
      </c>
      <c r="Y39" s="193">
        <f t="shared" si="14"/>
        <v>116.63626165582404</v>
      </c>
      <c r="Z39" s="193">
        <f t="shared" si="14"/>
        <v>107.30536072335812</v>
      </c>
      <c r="AA39" s="193">
        <f t="shared" si="14"/>
        <v>9.3309009324659229</v>
      </c>
      <c r="AC39" s="224">
        <f t="shared" si="10"/>
        <v>52.02166103007773</v>
      </c>
      <c r="AD39" s="224">
        <f t="shared" si="11"/>
        <v>320.92863683559358</v>
      </c>
      <c r="AE39" s="224">
        <f t="shared" si="12"/>
        <v>5723.8522060155465</v>
      </c>
    </row>
    <row r="40" spans="1:31" x14ac:dyDescent="0.25">
      <c r="A40" s="1"/>
      <c r="B40" s="1"/>
      <c r="C40" s="1"/>
      <c r="D40" s="1"/>
      <c r="E40" s="1"/>
      <c r="H40" s="183"/>
      <c r="I40" s="181" t="s">
        <v>482</v>
      </c>
      <c r="J40" s="193">
        <v>0.01</v>
      </c>
      <c r="K40" s="190">
        <v>0</v>
      </c>
      <c r="L40" s="181" t="s">
        <v>482</v>
      </c>
      <c r="M40" s="193">
        <f t="shared" si="8"/>
        <v>9.7694440000000007E-2</v>
      </c>
      <c r="N40" s="193">
        <f t="shared" si="7"/>
        <v>0</v>
      </c>
      <c r="O40" s="177"/>
      <c r="P40" s="181" t="s">
        <v>505</v>
      </c>
      <c r="Q40" s="192">
        <v>15.375</v>
      </c>
      <c r="R40" s="192">
        <v>15.375</v>
      </c>
      <c r="S40" s="192">
        <v>15.375</v>
      </c>
      <c r="T40" s="192">
        <v>3.4453781512605039E-3</v>
      </c>
      <c r="U40" s="192">
        <v>1.8724881256850567E-2</v>
      </c>
      <c r="V40" s="192">
        <v>0.34453781512605042</v>
      </c>
      <c r="W40" s="208">
        <v>27.617680600229964</v>
      </c>
      <c r="X40" s="176">
        <f t="shared" si="13"/>
        <v>2301.473383352497</v>
      </c>
      <c r="Y40" s="193">
        <f t="shared" si="14"/>
        <v>1150.7366916762485</v>
      </c>
      <c r="Z40" s="193">
        <f t="shared" si="14"/>
        <v>1058.6777563421485</v>
      </c>
      <c r="AA40" s="193">
        <f t="shared" si="14"/>
        <v>92.058935334099885</v>
      </c>
      <c r="AC40" s="224">
        <f t="shared" si="10"/>
        <v>19.33972305535514</v>
      </c>
      <c r="AD40" s="224">
        <f t="shared" si="11"/>
        <v>56.746023186314524</v>
      </c>
      <c r="AE40" s="224">
        <f t="shared" si="12"/>
        <v>808.31961107102836</v>
      </c>
    </row>
    <row r="41" spans="1:31" x14ac:dyDescent="0.25">
      <c r="A41" s="168"/>
      <c r="B41" s="187"/>
      <c r="C41" s="187"/>
      <c r="D41" s="187"/>
      <c r="E41" s="187"/>
      <c r="H41" s="183"/>
      <c r="I41" s="181" t="s">
        <v>483</v>
      </c>
      <c r="J41" s="193">
        <v>0.01</v>
      </c>
      <c r="K41" s="190">
        <v>0</v>
      </c>
      <c r="L41" s="181" t="s">
        <v>483</v>
      </c>
      <c r="M41" s="193">
        <f t="shared" si="8"/>
        <v>9.7694440000000007E-2</v>
      </c>
      <c r="N41" s="193">
        <f t="shared" si="7"/>
        <v>0</v>
      </c>
      <c r="O41" s="177"/>
      <c r="P41" s="221" t="s">
        <v>284</v>
      </c>
      <c r="Q41" s="192">
        <v>24.08</v>
      </c>
      <c r="R41" s="192">
        <v>24.08</v>
      </c>
      <c r="S41" s="192">
        <v>24.08</v>
      </c>
      <c r="T41" s="192">
        <v>0.43160567587752047</v>
      </c>
      <c r="U41" s="192">
        <v>2.3456830210734805</v>
      </c>
      <c r="V41" s="192">
        <v>43.160567587752048</v>
      </c>
      <c r="W41" s="208">
        <v>0.2392512244423792</v>
      </c>
      <c r="X41" s="176">
        <f t="shared" si="13"/>
        <v>19.937602036864934</v>
      </c>
      <c r="Y41" s="193">
        <f t="shared" si="14"/>
        <v>9.9688010184324671</v>
      </c>
      <c r="Z41" s="193">
        <f t="shared" si="14"/>
        <v>9.1712969369578694</v>
      </c>
      <c r="AA41" s="193">
        <f t="shared" si="14"/>
        <v>0.79750408147459739</v>
      </c>
      <c r="AC41" s="224">
        <f t="shared" si="10"/>
        <v>28.382591101249059</v>
      </c>
      <c r="AD41" s="224">
        <f t="shared" si="11"/>
        <v>68.97660279564235</v>
      </c>
      <c r="AE41" s="224">
        <f t="shared" si="12"/>
        <v>884.5982202498119</v>
      </c>
    </row>
    <row r="42" spans="1:31" x14ac:dyDescent="0.25">
      <c r="A42" s="168"/>
      <c r="B42" s="187"/>
      <c r="C42" s="187"/>
      <c r="D42" s="187"/>
      <c r="E42" s="187"/>
      <c r="H42" s="183"/>
      <c r="I42" s="181" t="s">
        <v>484</v>
      </c>
      <c r="J42" s="193">
        <v>0.02</v>
      </c>
      <c r="K42" s="190">
        <v>0</v>
      </c>
      <c r="L42" s="181" t="s">
        <v>484</v>
      </c>
      <c r="M42" s="193">
        <f t="shared" si="8"/>
        <v>0.19538888000000001</v>
      </c>
      <c r="N42" s="193">
        <f t="shared" si="7"/>
        <v>0</v>
      </c>
      <c r="O42" s="177"/>
      <c r="P42" s="221" t="s">
        <v>207</v>
      </c>
      <c r="Q42" s="192">
        <v>23.22</v>
      </c>
      <c r="R42" s="192">
        <v>23.22</v>
      </c>
      <c r="S42" s="192">
        <v>23.22</v>
      </c>
      <c r="T42" s="192">
        <v>0.90174757281553397</v>
      </c>
      <c r="U42" s="192">
        <v>4.9008020261713803</v>
      </c>
      <c r="V42" s="192">
        <v>90.174757281553411</v>
      </c>
      <c r="W42" s="208">
        <v>2.37114312267658</v>
      </c>
      <c r="X42" s="176">
        <f t="shared" si="13"/>
        <v>197.59526022304831</v>
      </c>
      <c r="Y42" s="193">
        <f t="shared" si="14"/>
        <v>98.797630111524157</v>
      </c>
      <c r="Z42" s="193">
        <f t="shared" si="14"/>
        <v>90.893819702602229</v>
      </c>
      <c r="AA42" s="193">
        <f t="shared" si="14"/>
        <v>7.9038104089219328</v>
      </c>
      <c r="AC42" s="224">
        <f t="shared" si="10"/>
        <v>112.31052315299382</v>
      </c>
      <c r="AD42" s="224">
        <f t="shared" si="11"/>
        <v>952.86024159645729</v>
      </c>
      <c r="AE42" s="224">
        <f t="shared" si="12"/>
        <v>17841.324630598767</v>
      </c>
    </row>
    <row r="43" spans="1:31" x14ac:dyDescent="0.25">
      <c r="A43" s="1"/>
      <c r="B43" s="1"/>
      <c r="C43" s="1"/>
      <c r="D43" s="1"/>
      <c r="E43" s="1"/>
      <c r="H43" s="177"/>
      <c r="I43" s="181" t="s">
        <v>485</v>
      </c>
      <c r="J43" s="193">
        <v>0.01</v>
      </c>
      <c r="K43" s="190">
        <v>0</v>
      </c>
      <c r="L43" s="181" t="s">
        <v>485</v>
      </c>
      <c r="M43" s="193">
        <f t="shared" si="8"/>
        <v>9.7694440000000007E-2</v>
      </c>
      <c r="N43" s="193">
        <f t="shared" si="7"/>
        <v>0</v>
      </c>
      <c r="O43" s="177"/>
      <c r="P43" s="221" t="s">
        <v>285</v>
      </c>
      <c r="Q43" s="192">
        <v>24.94</v>
      </c>
      <c r="R43" s="192">
        <v>24.94</v>
      </c>
      <c r="S43" s="192">
        <v>24.94</v>
      </c>
      <c r="T43" s="192">
        <v>1.937087378640777</v>
      </c>
      <c r="U43" s="192">
        <v>10.527648796960742</v>
      </c>
      <c r="V43" s="192">
        <v>193.7087378640777</v>
      </c>
      <c r="W43" s="208">
        <v>0.61047545817843873</v>
      </c>
      <c r="X43" s="176">
        <f t="shared" si="13"/>
        <v>50.872954848203229</v>
      </c>
      <c r="Y43" s="193">
        <f t="shared" si="14"/>
        <v>25.436477424101614</v>
      </c>
      <c r="Z43" s="193">
        <f t="shared" si="14"/>
        <v>23.401559230173486</v>
      </c>
      <c r="AA43" s="193">
        <f t="shared" si="14"/>
        <v>2.0349181939281293</v>
      </c>
      <c r="AC43" s="224">
        <f t="shared" si="10"/>
        <v>74.212679375308298</v>
      </c>
      <c r="AD43" s="224">
        <f t="shared" si="11"/>
        <v>539.08969782930399</v>
      </c>
      <c r="AE43" s="224">
        <f t="shared" si="12"/>
        <v>9879.4758750616602</v>
      </c>
    </row>
    <row r="44" spans="1:31" x14ac:dyDescent="0.25">
      <c r="A44" s="1"/>
      <c r="B44" s="1"/>
      <c r="C44" s="1"/>
      <c r="D44" s="1"/>
      <c r="E44" s="1"/>
      <c r="H44" s="177"/>
      <c r="I44" s="181" t="s">
        <v>486</v>
      </c>
      <c r="J44" s="193">
        <v>0.01</v>
      </c>
      <c r="K44" s="190">
        <v>0</v>
      </c>
      <c r="L44" s="181" t="s">
        <v>486</v>
      </c>
      <c r="M44" s="193">
        <f t="shared" si="8"/>
        <v>9.7694440000000007E-2</v>
      </c>
      <c r="N44" s="193">
        <f t="shared" si="7"/>
        <v>0</v>
      </c>
      <c r="O44" s="177"/>
      <c r="P44" s="221" t="s">
        <v>201</v>
      </c>
      <c r="Q44" s="192">
        <v>22.36</v>
      </c>
      <c r="R44" s="192">
        <v>22.36</v>
      </c>
      <c r="S44" s="192">
        <v>22.36</v>
      </c>
      <c r="T44" s="192">
        <v>0.14885991678224686</v>
      </c>
      <c r="U44" s="192">
        <v>0.80902128686003727</v>
      </c>
      <c r="V44" s="192">
        <v>14.885991678224684</v>
      </c>
      <c r="W44" s="208">
        <v>2.6428167272304837</v>
      </c>
      <c r="X44" s="176">
        <f t="shared" si="13"/>
        <v>220.23472726920699</v>
      </c>
      <c r="Y44" s="193">
        <f t="shared" si="14"/>
        <v>110.11736363460349</v>
      </c>
      <c r="Z44" s="193">
        <f t="shared" si="14"/>
        <v>101.30797454383521</v>
      </c>
      <c r="AA44" s="193">
        <f t="shared" si="14"/>
        <v>8.8093890907682795</v>
      </c>
      <c r="AC44" s="224">
        <f t="shared" si="10"/>
        <v>38.752061586927496</v>
      </c>
      <c r="AD44" s="224">
        <f t="shared" si="11"/>
        <v>193.40759916793905</v>
      </c>
      <c r="AE44" s="224">
        <f t="shared" si="12"/>
        <v>3300.7723173854984</v>
      </c>
    </row>
    <row r="45" spans="1:31" x14ac:dyDescent="0.25">
      <c r="A45" s="1"/>
      <c r="B45" s="1"/>
      <c r="C45" s="1"/>
      <c r="D45" s="1"/>
      <c r="E45" s="1"/>
      <c r="H45" s="189"/>
      <c r="I45" s="181" t="s">
        <v>487</v>
      </c>
      <c r="J45" s="193">
        <v>0.01</v>
      </c>
      <c r="K45" s="190">
        <v>0</v>
      </c>
      <c r="L45" s="181" t="s">
        <v>487</v>
      </c>
      <c r="M45" s="193">
        <f t="shared" si="8"/>
        <v>9.7694440000000007E-2</v>
      </c>
      <c r="N45" s="193">
        <f t="shared" si="7"/>
        <v>0</v>
      </c>
      <c r="O45" s="177"/>
      <c r="P45" s="181" t="s">
        <v>198</v>
      </c>
      <c r="Q45" s="192">
        <v>16.195</v>
      </c>
      <c r="R45" s="192">
        <v>16.195</v>
      </c>
      <c r="S45" s="192">
        <v>16.195</v>
      </c>
      <c r="T45" s="192">
        <v>1.6157635467980293E-2</v>
      </c>
      <c r="U45" s="192">
        <v>8.7813236239023332E-2</v>
      </c>
      <c r="V45" s="192">
        <v>1.6157635467980294</v>
      </c>
      <c r="W45" s="208">
        <v>5.4607986038670377</v>
      </c>
      <c r="X45" s="176">
        <f t="shared" si="13"/>
        <v>455.06655032225314</v>
      </c>
      <c r="Y45" s="193">
        <f t="shared" si="14"/>
        <v>227.53327516112657</v>
      </c>
      <c r="Z45" s="193">
        <f t="shared" si="14"/>
        <v>209.33061314823644</v>
      </c>
      <c r="AA45" s="193">
        <f t="shared" si="14"/>
        <v>18.202662012890126</v>
      </c>
      <c r="AC45" s="224">
        <f t="shared" si="10"/>
        <v>19.871399716889137</v>
      </c>
      <c r="AD45" s="224">
        <f t="shared" si="11"/>
        <v>54.557431828408397</v>
      </c>
      <c r="AE45" s="224">
        <f t="shared" si="12"/>
        <v>751.47494337782769</v>
      </c>
    </row>
    <row r="46" spans="1:31" x14ac:dyDescent="0.25">
      <c r="A46" s="1"/>
      <c r="B46" s="1"/>
      <c r="C46" s="1"/>
      <c r="D46" s="1"/>
      <c r="E46" s="1"/>
      <c r="H46" s="189"/>
      <c r="I46" s="181" t="s">
        <v>488</v>
      </c>
      <c r="J46" s="193">
        <v>0.05</v>
      </c>
      <c r="K46" s="190">
        <v>0</v>
      </c>
      <c r="L46" s="181" t="s">
        <v>488</v>
      </c>
      <c r="M46" s="193">
        <f t="shared" si="8"/>
        <v>0.48847220000000002</v>
      </c>
      <c r="N46" s="193">
        <f t="shared" si="7"/>
        <v>0</v>
      </c>
      <c r="O46" s="177"/>
      <c r="P46" s="221" t="s">
        <v>199</v>
      </c>
      <c r="Q46" s="192">
        <v>23.14</v>
      </c>
      <c r="R46" s="192">
        <v>23.14</v>
      </c>
      <c r="S46" s="192">
        <v>23.14</v>
      </c>
      <c r="T46" s="192">
        <v>6.2823529411764695E-2</v>
      </c>
      <c r="U46" s="192">
        <v>0.34143222506393855</v>
      </c>
      <c r="V46" s="192">
        <v>6.2823529411764696</v>
      </c>
      <c r="W46" s="208">
        <v>3.7225577936802976</v>
      </c>
      <c r="X46" s="176">
        <f t="shared" si="13"/>
        <v>310.21314947335816</v>
      </c>
      <c r="Y46" s="193">
        <f t="shared" si="14"/>
        <v>155.10657473667908</v>
      </c>
      <c r="Z46" s="193">
        <f t="shared" si="14"/>
        <v>142.69804875774477</v>
      </c>
      <c r="AA46" s="193">
        <f t="shared" si="14"/>
        <v>12.408525978934327</v>
      </c>
      <c r="AC46" s="224">
        <f t="shared" si="10"/>
        <v>32.884342459927836</v>
      </c>
      <c r="AD46" s="224">
        <f t="shared" si="11"/>
        <v>124.82009523402959</v>
      </c>
      <c r="AE46" s="224">
        <f t="shared" si="12"/>
        <v>1972.0084919855676</v>
      </c>
    </row>
    <row r="47" spans="1:31" x14ac:dyDescent="0.25">
      <c r="A47" s="168"/>
      <c r="B47" s="226"/>
      <c r="C47" s="187"/>
      <c r="D47" s="187"/>
      <c r="E47" s="225"/>
      <c r="H47" s="189"/>
      <c r="I47" s="181" t="s">
        <v>489</v>
      </c>
      <c r="J47" s="193">
        <v>0.01</v>
      </c>
      <c r="K47" s="190">
        <v>0</v>
      </c>
      <c r="L47" s="181" t="s">
        <v>489</v>
      </c>
      <c r="M47" s="193">
        <f t="shared" si="8"/>
        <v>9.7694440000000007E-2</v>
      </c>
      <c r="N47" s="193">
        <f t="shared" si="7"/>
        <v>0</v>
      </c>
      <c r="O47" s="177"/>
      <c r="P47" s="181" t="s">
        <v>506</v>
      </c>
      <c r="Q47" s="192">
        <v>19.8</v>
      </c>
      <c r="R47" s="192">
        <v>19.8</v>
      </c>
      <c r="S47" s="192">
        <v>19.8</v>
      </c>
      <c r="T47" s="192">
        <v>4.5239908606245242E-3</v>
      </c>
      <c r="U47" s="192">
        <v>2.4586906851220239E-2</v>
      </c>
      <c r="V47" s="192">
        <v>0.45239908606245244</v>
      </c>
      <c r="W47" s="208">
        <v>91.904171829822374</v>
      </c>
      <c r="X47" s="176">
        <f t="shared" si="13"/>
        <v>7658.6809858185316</v>
      </c>
      <c r="Y47" s="193">
        <f t="shared" si="14"/>
        <v>3829.3404929092658</v>
      </c>
      <c r="Z47" s="193">
        <f t="shared" si="14"/>
        <v>3522.9932534765248</v>
      </c>
      <c r="AA47" s="193">
        <f t="shared" si="14"/>
        <v>306.34723943274128</v>
      </c>
      <c r="AC47" s="224">
        <f t="shared" si="10"/>
        <v>37.12390139214093</v>
      </c>
      <c r="AD47" s="224">
        <f t="shared" si="11"/>
        <v>200.57114496147057</v>
      </c>
      <c r="AE47" s="224">
        <f t="shared" si="12"/>
        <v>3484.5802784281859</v>
      </c>
    </row>
    <row r="48" spans="1:31" x14ac:dyDescent="0.25">
      <c r="A48" s="238"/>
      <c r="B48" s="239"/>
      <c r="C48" s="239"/>
      <c r="D48" s="239"/>
      <c r="E48" s="240"/>
      <c r="H48" s="189"/>
      <c r="I48" s="181" t="s">
        <v>490</v>
      </c>
      <c r="J48" s="193">
        <v>0</v>
      </c>
      <c r="K48" s="190">
        <v>-7.5</v>
      </c>
      <c r="L48" s="181" t="s">
        <v>490</v>
      </c>
      <c r="M48" s="193">
        <f t="shared" si="8"/>
        <v>0</v>
      </c>
      <c r="N48" s="193">
        <f t="shared" si="7"/>
        <v>-73.270830000000004</v>
      </c>
      <c r="O48" s="177"/>
      <c r="P48" s="221" t="s">
        <v>204</v>
      </c>
      <c r="Q48" s="192">
        <v>21.060000000000002</v>
      </c>
      <c r="R48" s="192">
        <v>21.060000000000002</v>
      </c>
      <c r="S48" s="192">
        <v>21.060000000000002</v>
      </c>
      <c r="T48" s="192">
        <v>5.5763459841129744E-2</v>
      </c>
      <c r="U48" s="192">
        <v>0.30306228174527039</v>
      </c>
      <c r="V48" s="192">
        <v>5.576345984112975</v>
      </c>
      <c r="W48" s="208">
        <v>3.9483633815055765</v>
      </c>
      <c r="X48" s="176">
        <f t="shared" si="13"/>
        <v>329.0302817921314</v>
      </c>
      <c r="Y48" s="193">
        <f t="shared" si="14"/>
        <v>164.5151408960657</v>
      </c>
      <c r="Z48" s="193">
        <f t="shared" si="14"/>
        <v>151.35392962438044</v>
      </c>
      <c r="AA48" s="193">
        <f t="shared" si="14"/>
        <v>13.161211271685257</v>
      </c>
      <c r="AC48" s="224">
        <f t="shared" si="10"/>
        <v>30.233933452615563</v>
      </c>
      <c r="AD48" s="224">
        <f t="shared" si="11"/>
        <v>116.78800124468414</v>
      </c>
      <c r="AE48" s="224">
        <f t="shared" si="12"/>
        <v>1855.8466905231123</v>
      </c>
    </row>
    <row r="49" spans="1:31" x14ac:dyDescent="0.25">
      <c r="A49" s="108"/>
      <c r="B49" s="40"/>
      <c r="C49" s="147"/>
      <c r="D49" s="147"/>
      <c r="E49" s="40"/>
      <c r="H49" s="177"/>
      <c r="I49" s="181" t="s">
        <v>491</v>
      </c>
      <c r="J49" s="193">
        <v>0.01</v>
      </c>
      <c r="K49" s="190">
        <v>0</v>
      </c>
      <c r="L49" s="181" t="s">
        <v>491</v>
      </c>
      <c r="M49" s="193">
        <f t="shared" si="8"/>
        <v>9.7694440000000007E-2</v>
      </c>
      <c r="N49" s="193">
        <f t="shared" si="7"/>
        <v>0</v>
      </c>
      <c r="O49" s="177"/>
      <c r="P49" s="221" t="s">
        <v>208</v>
      </c>
      <c r="Q49" s="192">
        <v>21.060000000000002</v>
      </c>
      <c r="R49" s="192">
        <v>21.060000000000002</v>
      </c>
      <c r="S49" s="192">
        <v>21.060000000000002</v>
      </c>
      <c r="T49" s="192">
        <v>4.2225563909774437E-2</v>
      </c>
      <c r="U49" s="192">
        <v>0.22948676037920887</v>
      </c>
      <c r="V49" s="192">
        <v>4.2225563909774433</v>
      </c>
      <c r="W49" s="208">
        <v>9.540355413568772</v>
      </c>
      <c r="X49" s="176">
        <f t="shared" si="13"/>
        <v>795.02961779739769</v>
      </c>
      <c r="Y49" s="193">
        <f t="shared" si="14"/>
        <v>397.51480889869885</v>
      </c>
      <c r="Z49" s="193">
        <f t="shared" si="14"/>
        <v>365.71362418680297</v>
      </c>
      <c r="AA49" s="193">
        <f t="shared" si="14"/>
        <v>31.801184711895907</v>
      </c>
      <c r="AC49" s="224">
        <f t="shared" si="10"/>
        <v>37.845286968233779</v>
      </c>
      <c r="AD49" s="224">
        <f t="shared" si="11"/>
        <v>196.21082053809161</v>
      </c>
      <c r="AE49" s="224">
        <f t="shared" si="12"/>
        <v>3378.1173936467562</v>
      </c>
    </row>
    <row r="50" spans="1:31" x14ac:dyDescent="0.25">
      <c r="E50" s="95" t="s">
        <v>467</v>
      </c>
      <c r="H50" s="177"/>
      <c r="I50" s="181" t="s">
        <v>492</v>
      </c>
      <c r="J50" s="193">
        <v>0.01</v>
      </c>
      <c r="K50" s="190">
        <v>0</v>
      </c>
      <c r="L50" s="181" t="s">
        <v>492</v>
      </c>
      <c r="M50" s="193">
        <f t="shared" si="8"/>
        <v>9.7694440000000007E-2</v>
      </c>
      <c r="N50" s="193">
        <f t="shared" si="7"/>
        <v>0</v>
      </c>
      <c r="O50" s="177"/>
      <c r="P50" s="181" t="s">
        <v>507</v>
      </c>
      <c r="Q50" s="192">
        <v>10.8</v>
      </c>
      <c r="R50" s="192">
        <v>10.8</v>
      </c>
      <c r="S50" s="192">
        <v>10.8</v>
      </c>
      <c r="T50" s="192">
        <v>3.5335342212973957E-4</v>
      </c>
      <c r="U50" s="192">
        <v>1.920399033313802E-3</v>
      </c>
      <c r="V50" s="192">
        <v>3.5335342212973957E-2</v>
      </c>
      <c r="W50" s="208">
        <v>201.3351920693928</v>
      </c>
      <c r="X50" s="176">
        <f t="shared" si="13"/>
        <v>16777.932672449399</v>
      </c>
      <c r="Y50" s="193">
        <f t="shared" si="14"/>
        <v>8388.9663362246993</v>
      </c>
      <c r="Z50" s="193">
        <f t="shared" si="14"/>
        <v>7717.8490293267232</v>
      </c>
      <c r="AA50" s="193">
        <f t="shared" si="14"/>
        <v>671.11730689797594</v>
      </c>
      <c r="AC50" s="224">
        <f t="shared" si="10"/>
        <v>13.764269963036181</v>
      </c>
      <c r="AD50" s="224">
        <f t="shared" si="11"/>
        <v>41.731512657768846</v>
      </c>
      <c r="AE50" s="224">
        <f t="shared" si="12"/>
        <v>603.65399260723609</v>
      </c>
    </row>
    <row r="51" spans="1:31" x14ac:dyDescent="0.25">
      <c r="E51" s="87" t="s">
        <v>469</v>
      </c>
      <c r="H51" s="177"/>
      <c r="I51" s="181" t="s">
        <v>493</v>
      </c>
      <c r="J51" s="193">
        <v>0.1</v>
      </c>
      <c r="K51" s="190">
        <v>-4.5</v>
      </c>
      <c r="L51" s="181" t="s">
        <v>493</v>
      </c>
      <c r="M51" s="193">
        <f t="shared" si="8"/>
        <v>0.97694440000000005</v>
      </c>
      <c r="N51" s="193">
        <f t="shared" si="7"/>
        <v>-43.962497999999997</v>
      </c>
      <c r="O51" s="177"/>
      <c r="P51" s="221" t="s">
        <v>287</v>
      </c>
      <c r="Q51" s="192">
        <v>18</v>
      </c>
      <c r="R51" s="192">
        <v>18</v>
      </c>
      <c r="S51" s="192">
        <v>18</v>
      </c>
      <c r="T51" s="192">
        <v>0.29526040360782668</v>
      </c>
      <c r="U51" s="192">
        <v>1.6046761065642756</v>
      </c>
      <c r="V51" s="192">
        <v>29.52604036078267</v>
      </c>
      <c r="W51" s="208">
        <v>0.26022301858736058</v>
      </c>
      <c r="X51" s="176">
        <f t="shared" si="13"/>
        <v>21.685251548946713</v>
      </c>
      <c r="Y51" s="193">
        <f t="shared" si="14"/>
        <v>10.842625774473357</v>
      </c>
      <c r="Z51" s="193">
        <f t="shared" si="14"/>
        <v>9.9752157125154888</v>
      </c>
      <c r="AA51" s="193">
        <f t="shared" si="14"/>
        <v>0.86741006195786852</v>
      </c>
      <c r="AC51" s="224">
        <f t="shared" si="10"/>
        <v>21.201398062339628</v>
      </c>
      <c r="AD51" s="224">
        <f t="shared" si="11"/>
        <v>51.405892824413513</v>
      </c>
      <c r="AE51" s="224">
        <f t="shared" si="12"/>
        <v>658.27961246792552</v>
      </c>
    </row>
    <row r="52" spans="1:31" x14ac:dyDescent="0.25">
      <c r="E52" s="172"/>
      <c r="H52" s="177"/>
      <c r="I52" s="181" t="s">
        <v>494</v>
      </c>
      <c r="J52" s="193">
        <v>0.01</v>
      </c>
      <c r="K52" s="190">
        <v>0</v>
      </c>
      <c r="L52" s="181" t="s">
        <v>494</v>
      </c>
      <c r="M52" s="193">
        <f t="shared" si="8"/>
        <v>9.7694440000000007E-2</v>
      </c>
      <c r="N52" s="193">
        <f t="shared" si="7"/>
        <v>0</v>
      </c>
      <c r="O52" s="177"/>
      <c r="P52" s="221" t="s">
        <v>286</v>
      </c>
      <c r="Q52" s="192">
        <v>21.6</v>
      </c>
      <c r="R52" s="192">
        <v>21.6</v>
      </c>
      <c r="S52" s="192">
        <v>21.6</v>
      </c>
      <c r="T52" s="192">
        <v>0.50216807575438016</v>
      </c>
      <c r="U52" s="192">
        <v>2.7291743247520657</v>
      </c>
      <c r="V52" s="192">
        <v>50.216807575438011</v>
      </c>
      <c r="W52" s="208">
        <v>6.6552044609665426</v>
      </c>
      <c r="X52" s="176">
        <f t="shared" si="13"/>
        <v>554.60037174721185</v>
      </c>
      <c r="Y52" s="193">
        <f t="shared" si="14"/>
        <v>277.30018587360593</v>
      </c>
      <c r="Z52" s="193">
        <f t="shared" si="14"/>
        <v>255.11617100371745</v>
      </c>
      <c r="AA52" s="193">
        <f t="shared" si="14"/>
        <v>22.184014869888475</v>
      </c>
      <c r="AC52" s="224">
        <f t="shared" si="10"/>
        <v>160.85130074648063</v>
      </c>
      <c r="AD52" s="224">
        <f t="shared" si="11"/>
        <v>1474.6570512676235</v>
      </c>
      <c r="AE52" s="224">
        <f t="shared" si="12"/>
        <v>27871.860149296124</v>
      </c>
    </row>
    <row r="53" spans="1:31" x14ac:dyDescent="0.25">
      <c r="E53" s="172" t="s">
        <v>470</v>
      </c>
      <c r="H53" s="177"/>
      <c r="I53" s="181" t="s">
        <v>495</v>
      </c>
      <c r="J53" s="193">
        <v>0.1</v>
      </c>
      <c r="K53" s="190">
        <v>0</v>
      </c>
      <c r="L53" s="181" t="s">
        <v>495</v>
      </c>
      <c r="M53" s="193">
        <f t="shared" si="8"/>
        <v>0.97694440000000005</v>
      </c>
      <c r="N53" s="193">
        <f t="shared" si="7"/>
        <v>0</v>
      </c>
      <c r="O53" s="177"/>
      <c r="P53" s="221" t="s">
        <v>508</v>
      </c>
      <c r="Q53" s="192">
        <v>20</v>
      </c>
      <c r="R53" s="192">
        <v>20</v>
      </c>
      <c r="S53" s="192">
        <v>20</v>
      </c>
      <c r="T53" s="192">
        <v>9.5282815268397502E-3</v>
      </c>
      <c r="U53" s="192">
        <v>5.1784138732824725E-2</v>
      </c>
      <c r="V53" s="192">
        <v>0.95282815268397503</v>
      </c>
      <c r="W53" s="208">
        <v>48.909073075036751</v>
      </c>
      <c r="X53" s="176">
        <f t="shared" si="13"/>
        <v>4075.7560895863962</v>
      </c>
      <c r="Y53" s="193">
        <f t="shared" si="14"/>
        <v>2037.8780447931981</v>
      </c>
      <c r="Z53" s="193">
        <f t="shared" si="14"/>
        <v>1874.8478012097423</v>
      </c>
      <c r="AA53" s="193">
        <f t="shared" si="14"/>
        <v>163.03024358345584</v>
      </c>
      <c r="AC53" s="224">
        <f t="shared" si="10"/>
        <v>39.417475728155338</v>
      </c>
      <c r="AD53" s="224">
        <f t="shared" si="11"/>
        <v>222.61713803292528</v>
      </c>
      <c r="AE53" s="224">
        <f t="shared" si="12"/>
        <v>3903.4951456310678</v>
      </c>
    </row>
    <row r="54" spans="1:31" x14ac:dyDescent="0.25">
      <c r="E54" s="172"/>
      <c r="H54" s="177"/>
      <c r="I54" s="181" t="s">
        <v>496</v>
      </c>
      <c r="J54" s="193">
        <v>0.02</v>
      </c>
      <c r="K54" s="190">
        <v>0</v>
      </c>
      <c r="L54" s="181" t="s">
        <v>496</v>
      </c>
      <c r="M54" s="193">
        <f t="shared" si="8"/>
        <v>0.19538888000000001</v>
      </c>
      <c r="N54" s="193">
        <f t="shared" si="7"/>
        <v>0</v>
      </c>
      <c r="O54" s="177"/>
      <c r="P54" s="221" t="s">
        <v>206</v>
      </c>
      <c r="Q54" s="192">
        <v>21.58</v>
      </c>
      <c r="R54" s="192">
        <v>21.58</v>
      </c>
      <c r="S54" s="192">
        <v>21.58</v>
      </c>
      <c r="T54" s="192">
        <v>2.8129068737245352E-2</v>
      </c>
      <c r="U54" s="192">
        <v>0.15287537357198563</v>
      </c>
      <c r="V54" s="192">
        <v>2.8129068737245353</v>
      </c>
      <c r="W54" s="208">
        <v>17.089225371747212</v>
      </c>
      <c r="X54" s="176">
        <f t="shared" si="13"/>
        <v>1424.1021143122675</v>
      </c>
      <c r="Y54" s="193">
        <f t="shared" si="14"/>
        <v>712.05105715613377</v>
      </c>
      <c r="Z54" s="193">
        <f t="shared" si="14"/>
        <v>655.08697258364305</v>
      </c>
      <c r="AA54" s="193">
        <f t="shared" si="14"/>
        <v>56.964084572490705</v>
      </c>
      <c r="AC54" s="224">
        <f t="shared" si="10"/>
        <v>41.609333131173102</v>
      </c>
      <c r="AD54" s="224">
        <f t="shared" si="11"/>
        <v>230.58173702093677</v>
      </c>
      <c r="AE54" s="224">
        <f t="shared" si="12"/>
        <v>4027.4466262346214</v>
      </c>
    </row>
    <row r="55" spans="1:31" x14ac:dyDescent="0.25">
      <c r="E55" s="172" t="s">
        <v>471</v>
      </c>
      <c r="H55" s="177"/>
      <c r="I55" s="181" t="s">
        <v>497</v>
      </c>
      <c r="J55" s="193">
        <v>0.01</v>
      </c>
      <c r="K55" s="190">
        <v>0</v>
      </c>
      <c r="L55" s="181" t="s">
        <v>497</v>
      </c>
      <c r="M55" s="193">
        <f t="shared" si="8"/>
        <v>9.7694440000000007E-2</v>
      </c>
      <c r="N55" s="193">
        <f t="shared" si="7"/>
        <v>0</v>
      </c>
      <c r="O55" s="177"/>
      <c r="P55" s="221" t="s">
        <v>509</v>
      </c>
      <c r="Q55" s="192">
        <v>19.8</v>
      </c>
      <c r="R55" s="192">
        <v>19.8</v>
      </c>
      <c r="S55" s="192">
        <v>19.8</v>
      </c>
      <c r="T55" s="192">
        <v>4.5239908606245242E-3</v>
      </c>
      <c r="U55" s="192">
        <v>2.4586906851220239E-2</v>
      </c>
      <c r="V55" s="192">
        <v>0.45239908606245244</v>
      </c>
      <c r="W55" s="208">
        <v>156.94423791821555</v>
      </c>
      <c r="X55" s="176">
        <f t="shared" si="13"/>
        <v>13078.686493184628</v>
      </c>
      <c r="Y55" s="193">
        <f t="shared" si="14"/>
        <v>6539.3432465923142</v>
      </c>
      <c r="Z55" s="193">
        <f t="shared" si="14"/>
        <v>6016.1957868649297</v>
      </c>
      <c r="AA55" s="193">
        <f t="shared" si="14"/>
        <v>523.14745972738513</v>
      </c>
      <c r="AC55" s="224">
        <f t="shared" si="10"/>
        <v>49.383929082070338</v>
      </c>
      <c r="AD55" s="224">
        <f t="shared" si="11"/>
        <v>328.50186868247306</v>
      </c>
      <c r="AE55" s="224">
        <f t="shared" si="12"/>
        <v>5936.5858164140673</v>
      </c>
    </row>
    <row r="56" spans="1:31" x14ac:dyDescent="0.25">
      <c r="E56" s="172">
        <f>15*400</f>
        <v>6000</v>
      </c>
      <c r="H56" s="177"/>
      <c r="I56" s="181" t="s">
        <v>498</v>
      </c>
      <c r="J56" s="193">
        <v>0.02</v>
      </c>
      <c r="K56" s="190">
        <v>-9</v>
      </c>
      <c r="L56" s="181" t="s">
        <v>498</v>
      </c>
      <c r="M56" s="193">
        <f t="shared" si="8"/>
        <v>0.19538888000000001</v>
      </c>
      <c r="N56" s="193">
        <f t="shared" si="7"/>
        <v>-87.924995999999993</v>
      </c>
      <c r="O56" s="177"/>
    </row>
    <row r="57" spans="1:31" x14ac:dyDescent="0.25">
      <c r="E57" s="172"/>
      <c r="H57" s="177"/>
      <c r="I57" s="181" t="s">
        <v>499</v>
      </c>
      <c r="J57" s="193">
        <v>0.01</v>
      </c>
      <c r="K57" s="190">
        <v>0</v>
      </c>
      <c r="L57" s="181" t="s">
        <v>499</v>
      </c>
      <c r="M57" s="193">
        <f t="shared" si="8"/>
        <v>9.7694440000000007E-2</v>
      </c>
      <c r="N57" s="193">
        <f t="shared" si="7"/>
        <v>0</v>
      </c>
      <c r="O57" s="177"/>
    </row>
    <row r="58" spans="1:31" x14ac:dyDescent="0.25">
      <c r="E58" s="172"/>
      <c r="H58" s="177"/>
      <c r="I58" s="177"/>
      <c r="J58" s="177"/>
      <c r="K58" s="177"/>
      <c r="L58" s="177"/>
      <c r="M58" s="193"/>
      <c r="N58" s="193"/>
      <c r="O58" s="177"/>
    </row>
    <row r="59" spans="1:31" x14ac:dyDescent="0.25">
      <c r="E59" s="172"/>
      <c r="H59" s="177"/>
      <c r="I59" s="177" t="s">
        <v>510</v>
      </c>
      <c r="J59" s="193">
        <v>0</v>
      </c>
      <c r="K59" s="177">
        <v>-6.98</v>
      </c>
      <c r="L59" s="177" t="s">
        <v>510</v>
      </c>
      <c r="M59" s="193">
        <f t="shared" ref="M59" si="15">J59*9769444.44/1000000</f>
        <v>0</v>
      </c>
      <c r="N59" s="193">
        <f t="shared" ref="N59" si="16">K59*9769444.44/1000000</f>
        <v>-68.19072219120001</v>
      </c>
      <c r="O59" s="177"/>
    </row>
    <row r="60" spans="1:31" x14ac:dyDescent="0.25">
      <c r="E60" s="172"/>
      <c r="H60" s="177"/>
      <c r="I60" s="177"/>
      <c r="J60" s="177"/>
      <c r="K60" s="177"/>
      <c r="L60" s="177"/>
      <c r="M60" s="177"/>
      <c r="N60" s="177"/>
      <c r="O60" s="177"/>
    </row>
    <row r="61" spans="1:31" x14ac:dyDescent="0.25">
      <c r="H61" s="177"/>
      <c r="I61" s="177"/>
      <c r="J61" s="177"/>
      <c r="K61" s="177"/>
      <c r="L61" s="177"/>
      <c r="M61" s="177"/>
      <c r="N61" s="177"/>
      <c r="O61" s="177"/>
    </row>
  </sheetData>
  <mergeCells count="2">
    <mergeCell ref="I29:N29"/>
    <mergeCell ref="P29:U29"/>
  </mergeCells>
  <phoneticPr fontId="15" type="noConversion"/>
  <conditionalFormatting sqref="A20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{800FF80C-71A5-4F8F-B2D7-3B3D1A8F97B6}</x14:id>
        </ext>
      </extLst>
    </cfRule>
  </conditionalFormatting>
  <conditionalFormatting sqref="B1:D1">
    <cfRule type="dataBar" priority="1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{5960FC0C-EDD7-4A9D-8FCE-781FFBEAE2C7}</x14:id>
        </ext>
      </extLst>
    </cfRule>
  </conditionalFormatting>
  <conditionalFormatting sqref="B49 E49">
    <cfRule type="dataBar" priority="27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{BB135BD5-FDF0-482E-956F-F55F10688E7D}</x14:id>
        </ext>
      </extLst>
    </cfRule>
  </conditionalFormatting>
  <conditionalFormatting sqref="A49">
    <cfRule type="dataBar" priority="27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{C43F81C8-3D4D-495E-BC92-B848EB16201E}</x14:id>
        </ext>
      </extLst>
    </cfRule>
  </conditionalFormatting>
  <conditionalFormatting sqref="E49 B49">
    <cfRule type="dataBar" priority="29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{0CEEF90C-DBAA-41B8-BA89-27558046FE42}</x14:id>
        </ext>
      </extLst>
    </cfRule>
  </conditionalFormatting>
  <conditionalFormatting sqref="H20">
    <cfRule type="dataBar" priority="5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{8E51AE2F-D864-40FC-AB47-41D9A7D1CD46}</x14:id>
        </ext>
      </extLst>
    </cfRule>
  </conditionalFormatting>
  <conditionalFormatting sqref="H32 H34">
    <cfRule type="dataBar" priority="5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{5CF6CE6D-53BA-4918-BF0D-FDDBB246DC2F}</x14:id>
        </ext>
      </extLst>
    </cfRule>
  </conditionalFormatting>
  <conditionalFormatting sqref="H2:H19 H33 H35 H40:H42 H45:H48 H21:H28">
    <cfRule type="dataBar" priority="3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{9619BA02-747A-47D4-B279-F882818F0EBC}</x14:id>
        </ext>
      </extLst>
    </cfRule>
  </conditionalFormatting>
  <conditionalFormatting sqref="O2">
    <cfRule type="dataBar" priority="4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{99323C32-2B31-4AA7-B97E-1EF74D48893C}</x14:id>
        </ext>
      </extLst>
    </cfRule>
  </conditionalFormatting>
  <conditionalFormatting sqref="O14">
    <cfRule type="dataBar" priority="4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{1F974C92-3564-4F18-A467-182DB4E421B7}</x14:id>
        </ext>
      </extLst>
    </cfRule>
  </conditionalFormatting>
  <conditionalFormatting sqref="T2">
    <cfRule type="dataBar" priority="4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{F34D8CA1-E83A-4294-8768-9A86743BB112}</x14:id>
        </ext>
      </extLst>
    </cfRule>
  </conditionalFormatting>
  <conditionalFormatting sqref="T14">
    <cfRule type="dataBar" priority="4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{CCB2A79F-CE08-4F7E-92F3-D4C36653AD19}</x14:id>
        </ext>
      </extLst>
    </cfRule>
  </conditionalFormatting>
  <conditionalFormatting sqref="Y2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{BBECD2F9-3ECC-43CD-AADB-DDB2A76781ED}</x14:id>
        </ext>
      </extLst>
    </cfRule>
  </conditionalFormatting>
  <conditionalFormatting sqref="Y14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{12D48CE5-D932-40B7-87A7-221027377E8E}</x14:id>
        </ext>
      </extLst>
    </cfRule>
  </conditionalFormatting>
  <conditionalFormatting sqref="Q31:S31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{479430B4-A838-4AC5-88D1-A165E6B069E0}</x14:id>
        </ext>
      </extLst>
    </cfRule>
  </conditionalFormatting>
  <conditionalFormatting sqref="T31:V31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{5D87C46A-C461-4632-AB4D-E22381A865E0}</x14:id>
        </ext>
      </extLst>
    </cfRule>
  </conditionalFormatting>
  <conditionalFormatting sqref="P51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{5CB4DDEE-AF3A-4061-935B-91BBFF11997B}</x14:id>
        </ext>
      </extLst>
    </cfRule>
  </conditionalFormatting>
  <conditionalFormatting sqref="P33:P50 P52:P5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{CFD6721E-CE93-4393-9C40-9AA362026DFA}</x14:id>
        </ext>
      </extLst>
    </cfRule>
  </conditionalFormatting>
  <conditionalFormatting sqref="Y31:AA31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{7BB0F1C1-D5D9-4E54-86A2-E48EA366B073}</x14:id>
        </ext>
      </extLst>
    </cfRule>
  </conditionalFormatting>
  <conditionalFormatting sqref="AC31:AE31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{CB73D904-0D45-47D6-8CF8-946F37F17BFC}</x14:id>
        </ext>
      </extLst>
    </cfRule>
  </conditionalFormatting>
  <conditionalFormatting sqref="X31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{E968BA00-A847-4DFB-B78C-9127C7F66538}</x14:id>
        </ext>
      </extLst>
    </cfRule>
  </conditionalFormatting>
  <conditionalFormatting sqref="A21:A24 A2:A19 A41:A42 A47:A48 A35:A36">
    <cfRule type="dataBar" priority="3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{46071163-FB78-4FA7-8F22-9FCC3BC5F7AC}</x14:id>
        </ext>
      </extLst>
    </cfRule>
  </conditionalFormatting>
  <conditionalFormatting sqref="B4:D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{1A4E3224-8AD5-4061-8965-D18E548A9328}</x14:id>
        </ext>
      </extLst>
    </cfRule>
  </conditionalFormatting>
  <conditionalFormatting sqref="B12:D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{CFDE7882-A505-44AA-A51D-2A89C14FF993}</x14:id>
        </ext>
      </extLst>
    </cfRule>
  </conditionalFormatting>
  <conditionalFormatting sqref="B10:D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{6C3895AB-A2E2-4107-ACC2-DF10F19EFEFD}</x14:id>
        </ext>
      </extLst>
    </cfRule>
  </conditionalFormatting>
  <conditionalFormatting sqref="B20:D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{F2CEF6D8-86E7-4FC4-8394-ADB508873710}</x14:id>
        </ext>
      </extLst>
    </cfRule>
  </conditionalFormatting>
  <conditionalFormatting sqref="B20:D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{E738FE1B-DEA6-43BF-802D-A93D4D1B2328}</x14:id>
        </ext>
      </extLst>
    </cfRule>
  </conditionalFormatting>
  <conditionalFormatting sqref="B20:D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{39C3FD8F-7911-4BDB-B1DC-30E2B7D2AE7E}</x14:id>
        </ext>
      </extLst>
    </cfRule>
  </conditionalFormatting>
  <conditionalFormatting sqref="B20:D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{A164C177-C426-462F-BCFC-49C8FE20F3FE}</x14:id>
        </ext>
      </extLst>
    </cfRule>
  </conditionalFormatting>
  <conditionalFormatting sqref="B20:D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{32C0F22E-F8A4-4A8F-9A02-851EC87B8BB7}</x14:id>
        </ext>
      </extLst>
    </cfRule>
  </conditionalFormatting>
  <conditionalFormatting sqref="B21:D24 B2:D19 D20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{884D0069-0DF1-4A9C-9FBB-653C21A62999}</x14:id>
        </ext>
      </extLst>
    </cfRule>
  </conditionalFormatting>
  <conditionalFormatting sqref="B2:D19 B21:D23 D20 D2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{DDD758F2-A532-4A26-B9B7-CF8A117CAAFC}</x14:id>
        </ext>
      </extLst>
    </cfRule>
  </conditionalFormatting>
  <conditionalFormatting sqref="B22:D23 B13:D19 B11:D11 B2:D2 B5:D9 D3:D4 D10 D12 D20:D21 D2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{B82E3B6E-51F2-4E3D-95E1-D6A5B9EA4DF0}</x14:id>
        </ext>
      </extLst>
    </cfRule>
  </conditionalFormatting>
  <conditionalFormatting sqref="B21:D23 B2:D19 D20 D2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{79AF79A3-9018-4062-BD72-5043B1161F17}</x14:id>
        </ext>
      </extLst>
    </cfRule>
  </conditionalFormatting>
  <conditionalFormatting sqref="B2:D2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{AEBF8839-F838-43D0-B745-36D08F1573DE}</x14:id>
        </ext>
      </extLst>
    </cfRule>
  </conditionalFormatting>
  <conditionalFormatting sqref="B2:D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{9CA7231C-8186-4570-829D-345AE9C71209}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00FF80C-71A5-4F8F-B2D7-3B3D1A8F97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</xm:sqref>
        </x14:conditionalFormatting>
        <x14:conditionalFormatting xmlns:xm="http://schemas.microsoft.com/office/excel/2006/main">
          <x14:cfRule type="dataBar" id="{5960FC0C-EDD7-4A9D-8FCE-781FFBEAE2C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BB135BD5-FDF0-482E-956F-F55F10688E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 E49</xm:sqref>
        </x14:conditionalFormatting>
        <x14:conditionalFormatting xmlns:xm="http://schemas.microsoft.com/office/excel/2006/main">
          <x14:cfRule type="dataBar" id="{C43F81C8-3D4D-495E-BC92-B848EB16201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</xm:sqref>
        </x14:conditionalFormatting>
        <x14:conditionalFormatting xmlns:xm="http://schemas.microsoft.com/office/excel/2006/main">
          <x14:cfRule type="dataBar" id="{0CEEF90C-DBAA-41B8-BA89-27558046FE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 B49</xm:sqref>
        </x14:conditionalFormatting>
        <x14:conditionalFormatting xmlns:xm="http://schemas.microsoft.com/office/excel/2006/main">
          <x14:cfRule type="dataBar" id="{8E51AE2F-D864-40FC-AB47-41D9A7D1CD4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5CF6CE6D-53BA-4918-BF0D-FDDBB246DC2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9619BA02-747A-47D4-B279-F882818F0EB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H33 H35 H40:H42 H45:H48 H21:H28</xm:sqref>
        </x14:conditionalFormatting>
        <x14:conditionalFormatting xmlns:xm="http://schemas.microsoft.com/office/excel/2006/main">
          <x14:cfRule type="dataBar" id="{99323C32-2B31-4AA7-B97E-1EF74D4889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1F974C92-3564-4F18-A467-182DB4E421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F34D8CA1-E83A-4294-8768-9A86743BB11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CCB2A79F-CE08-4F7E-92F3-D4C36653AD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BBECD2F9-3ECC-43CD-AADB-DDB2A76781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12D48CE5-D932-40B7-87A7-221027377E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479430B4-A838-4AC5-88D1-A165E6B069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Q31:S31</xm:sqref>
        </x14:conditionalFormatting>
        <x14:conditionalFormatting xmlns:xm="http://schemas.microsoft.com/office/excel/2006/main">
          <x14:cfRule type="dataBar" id="{5D87C46A-C461-4632-AB4D-E22381A865E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T31:V31</xm:sqref>
        </x14:conditionalFormatting>
        <x14:conditionalFormatting xmlns:xm="http://schemas.microsoft.com/office/excel/2006/main">
          <x14:cfRule type="dataBar" id="{5CB4DDEE-AF3A-4061-935B-91BBFF1199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P51</xm:sqref>
        </x14:conditionalFormatting>
        <x14:conditionalFormatting xmlns:xm="http://schemas.microsoft.com/office/excel/2006/main">
          <x14:cfRule type="dataBar" id="{CFD6721E-CE93-4393-9C40-9AA362026DF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P33:P50 P52:P55</xm:sqref>
        </x14:conditionalFormatting>
        <x14:conditionalFormatting xmlns:xm="http://schemas.microsoft.com/office/excel/2006/main">
          <x14:cfRule type="dataBar" id="{7BB0F1C1-D5D9-4E54-86A2-E48EA366B07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Y31:AA31</xm:sqref>
        </x14:conditionalFormatting>
        <x14:conditionalFormatting xmlns:xm="http://schemas.microsoft.com/office/excel/2006/main">
          <x14:cfRule type="dataBar" id="{CB73D904-0D45-47D6-8CF8-946F37F17B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AC31:AE31</xm:sqref>
        </x14:conditionalFormatting>
        <x14:conditionalFormatting xmlns:xm="http://schemas.microsoft.com/office/excel/2006/main">
          <x14:cfRule type="dataBar" id="{E968BA00-A847-4DFB-B78C-9127C7F665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X31</xm:sqref>
        </x14:conditionalFormatting>
        <x14:conditionalFormatting xmlns:xm="http://schemas.microsoft.com/office/excel/2006/main">
          <x14:cfRule type="dataBar" id="{46071163-FB78-4FA7-8F22-9FCC3BC5F7A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A21:A24 A2:A19 A41:A42 A47:A48 A35:A36</xm:sqref>
        </x14:conditionalFormatting>
        <x14:conditionalFormatting xmlns:xm="http://schemas.microsoft.com/office/excel/2006/main">
          <x14:cfRule type="dataBar" id="{1A4E3224-8AD5-4061-8965-D18E548A9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B4:D4</xm:sqref>
        </x14:conditionalFormatting>
        <x14:conditionalFormatting xmlns:xm="http://schemas.microsoft.com/office/excel/2006/main">
          <x14:cfRule type="dataBar" id="{CFDE7882-A505-44AA-A51D-2A89C14FF99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B12:D12</xm:sqref>
        </x14:conditionalFormatting>
        <x14:conditionalFormatting xmlns:xm="http://schemas.microsoft.com/office/excel/2006/main">
          <x14:cfRule type="dataBar" id="{6C3895AB-A2E2-4107-ACC2-DF10F19EFEF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B10:D10</xm:sqref>
        </x14:conditionalFormatting>
        <x14:conditionalFormatting xmlns:xm="http://schemas.microsoft.com/office/excel/2006/main">
          <x14:cfRule type="dataBar" id="{F2CEF6D8-86E7-4FC4-8394-ADB5088737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E738FE1B-DEA6-43BF-802D-A93D4D1B232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39C3FD8F-7911-4BDB-B1DC-30E2B7D2AE7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A164C177-C426-462F-BCFC-49C8FE20F3F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32C0F22E-F8A4-4A8F-9A02-851EC87B8BB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884D0069-0DF1-4A9C-9FBB-653C21A6299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B21:D24 B2:D19 D20</xm:sqref>
        </x14:conditionalFormatting>
        <x14:conditionalFormatting xmlns:xm="http://schemas.microsoft.com/office/excel/2006/main">
          <x14:cfRule type="dataBar" id="{DDD758F2-A532-4A26-B9B7-CF8A117CAA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B2:D19 B21:D23 D20 D24</xm:sqref>
        </x14:conditionalFormatting>
        <x14:conditionalFormatting xmlns:xm="http://schemas.microsoft.com/office/excel/2006/main">
          <x14:cfRule type="dataBar" id="{B82E3B6E-51F2-4E3D-95E1-D6A5B9EA4D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B22:D23 B13:D19 B11:D11 B2:D2 B5:D9 D3:D4 D10 D12 D20:D21 D24</xm:sqref>
        </x14:conditionalFormatting>
        <x14:conditionalFormatting xmlns:xm="http://schemas.microsoft.com/office/excel/2006/main">
          <x14:cfRule type="dataBar" id="{79AF79A3-9018-4062-BD72-5043B1161F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B21:D23 B2:D19 D20 D24</xm:sqref>
        </x14:conditionalFormatting>
        <x14:conditionalFormatting xmlns:xm="http://schemas.microsoft.com/office/excel/2006/main">
          <x14:cfRule type="dataBar" id="{AEBF8839-F838-43D0-B745-36D08F1573D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B2:D24</xm:sqref>
        </x14:conditionalFormatting>
        <x14:conditionalFormatting xmlns:xm="http://schemas.microsoft.com/office/excel/2006/main">
          <x14:cfRule type="dataBar" id="{9CA7231C-8186-4570-829D-345AE9C7120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B2:D24</xm:sqref>
        </x14:conditionalFormatting>
      </x14:conditionalFormatting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10DD0-E56C-45C6-95CB-958AEE6CC7DD}">
  <sheetPr codeName="Sheet10">
    <tabColor theme="5" tint="0.79998168889431442"/>
  </sheetPr>
  <dimension ref="A1:H49"/>
  <sheetViews>
    <sheetView workbookViewId="0">
      <selection activeCell="D30" sqref="D30"/>
    </sheetView>
  </sheetViews>
  <sheetFormatPr defaultColWidth="9.140625" defaultRowHeight="15" x14ac:dyDescent="0.25"/>
  <cols>
    <col min="1" max="5" width="18.5703125" style="176" customWidth="1"/>
    <col min="6" max="6" width="2.7109375" style="182" customWidth="1"/>
    <col min="7" max="16384" width="9.140625" style="176"/>
  </cols>
  <sheetData>
    <row r="1" spans="1:8" ht="15" customHeight="1" x14ac:dyDescent="0.25">
      <c r="A1" s="179" t="s">
        <v>143</v>
      </c>
      <c r="B1" s="180" t="s">
        <v>405</v>
      </c>
      <c r="C1" s="180" t="s">
        <v>406</v>
      </c>
      <c r="D1" s="180" t="s">
        <v>407</v>
      </c>
      <c r="E1" s="180" t="s">
        <v>161</v>
      </c>
    </row>
    <row r="2" spans="1:8" x14ac:dyDescent="0.25">
      <c r="A2" s="177" t="s">
        <v>202</v>
      </c>
      <c r="B2" s="178">
        <v>0.55054951394052043</v>
      </c>
      <c r="C2" s="178">
        <v>0</v>
      </c>
      <c r="D2" s="178">
        <f t="shared" ref="D2:D24" si="0">B2-C2</f>
        <v>0.55054951394052043</v>
      </c>
      <c r="E2" s="190">
        <v>27</v>
      </c>
      <c r="H2" s="178"/>
    </row>
    <row r="3" spans="1:8" x14ac:dyDescent="0.25">
      <c r="A3" s="177" t="s">
        <v>504</v>
      </c>
      <c r="B3" s="178">
        <v>44.8</v>
      </c>
      <c r="C3" s="178">
        <v>34.71635687732342</v>
      </c>
      <c r="D3" s="178">
        <f t="shared" si="0"/>
        <v>10.083643122676577</v>
      </c>
      <c r="E3" s="190">
        <v>11</v>
      </c>
      <c r="H3" s="178"/>
    </row>
    <row r="4" spans="1:8" x14ac:dyDescent="0.25">
      <c r="A4" s="177" t="s">
        <v>283</v>
      </c>
      <c r="B4" s="178">
        <v>9.158921933085501E-2</v>
      </c>
      <c r="C4" s="178">
        <v>0</v>
      </c>
      <c r="D4" s="178">
        <f t="shared" si="0"/>
        <v>9.158921933085501E-2</v>
      </c>
      <c r="E4" s="190">
        <v>28</v>
      </c>
      <c r="H4" s="178"/>
    </row>
    <row r="5" spans="1:8" x14ac:dyDescent="0.25">
      <c r="A5" s="177" t="s">
        <v>205</v>
      </c>
      <c r="B5" s="191">
        <v>0.57381069151544839</v>
      </c>
      <c r="C5" s="191">
        <v>0</v>
      </c>
      <c r="D5" s="178">
        <f t="shared" si="0"/>
        <v>0.57381069151544839</v>
      </c>
      <c r="E5" s="178">
        <v>13</v>
      </c>
      <c r="H5" s="191"/>
    </row>
    <row r="6" spans="1:8" x14ac:dyDescent="0.25">
      <c r="A6" s="177" t="s">
        <v>203</v>
      </c>
      <c r="B6" s="178">
        <v>0.22761617100371748</v>
      </c>
      <c r="C6" s="178">
        <v>0</v>
      </c>
      <c r="D6" s="178">
        <f t="shared" si="0"/>
        <v>0.22761617100371748</v>
      </c>
      <c r="E6" s="190">
        <v>26</v>
      </c>
      <c r="H6" s="178"/>
    </row>
    <row r="7" spans="1:8" x14ac:dyDescent="0.25">
      <c r="A7" s="177" t="s">
        <v>200</v>
      </c>
      <c r="B7" s="178">
        <v>1.5800836431226766</v>
      </c>
      <c r="C7" s="178">
        <v>1.1343494423791822</v>
      </c>
      <c r="D7" s="178">
        <f t="shared" si="0"/>
        <v>0.44573420074349435</v>
      </c>
      <c r="E7" s="190">
        <v>26</v>
      </c>
      <c r="H7" s="178"/>
    </row>
    <row r="8" spans="1:8" x14ac:dyDescent="0.25">
      <c r="A8" s="177" t="s">
        <v>209</v>
      </c>
      <c r="B8" s="178">
        <v>2.799270279739777</v>
      </c>
      <c r="C8" s="178">
        <v>0</v>
      </c>
      <c r="D8" s="178">
        <f t="shared" si="0"/>
        <v>2.799270279739777</v>
      </c>
      <c r="E8" s="190">
        <v>28</v>
      </c>
      <c r="H8" s="178"/>
    </row>
    <row r="9" spans="1:8" x14ac:dyDescent="0.25">
      <c r="A9" s="181" t="s">
        <v>505</v>
      </c>
      <c r="B9" s="178">
        <v>27.617680600229964</v>
      </c>
      <c r="C9" s="178">
        <v>14.817398325686375</v>
      </c>
      <c r="D9" s="178">
        <f t="shared" si="0"/>
        <v>12.800282274543589</v>
      </c>
      <c r="E9" s="190">
        <v>20.5</v>
      </c>
      <c r="H9" s="178"/>
    </row>
    <row r="10" spans="1:8" x14ac:dyDescent="0.25">
      <c r="A10" s="177" t="s">
        <v>284</v>
      </c>
      <c r="B10" s="178">
        <v>0.2392512244423792</v>
      </c>
      <c r="C10" s="178">
        <v>0</v>
      </c>
      <c r="D10" s="178">
        <f t="shared" si="0"/>
        <v>0.2392512244423792</v>
      </c>
      <c r="E10" s="190">
        <v>28</v>
      </c>
      <c r="H10" s="178"/>
    </row>
    <row r="11" spans="1:8" x14ac:dyDescent="0.25">
      <c r="A11" s="177" t="s">
        <v>207</v>
      </c>
      <c r="B11" s="178">
        <v>2.37114312267658</v>
      </c>
      <c r="C11" s="178">
        <v>0</v>
      </c>
      <c r="D11" s="178">
        <f t="shared" si="0"/>
        <v>2.37114312267658</v>
      </c>
      <c r="E11" s="190">
        <v>27</v>
      </c>
      <c r="H11" s="178"/>
    </row>
    <row r="12" spans="1:8" x14ac:dyDescent="0.25">
      <c r="A12" s="177" t="s">
        <v>285</v>
      </c>
      <c r="B12" s="178">
        <v>0.61047545817843873</v>
      </c>
      <c r="C12" s="178">
        <v>0</v>
      </c>
      <c r="D12" s="178">
        <f t="shared" si="0"/>
        <v>0.61047545817843873</v>
      </c>
      <c r="E12" s="190">
        <v>29</v>
      </c>
      <c r="H12" s="178"/>
    </row>
    <row r="13" spans="1:8" x14ac:dyDescent="0.25">
      <c r="A13" s="177" t="s">
        <v>201</v>
      </c>
      <c r="B13" s="178">
        <v>2.6428167272304837</v>
      </c>
      <c r="C13" s="178">
        <v>0</v>
      </c>
      <c r="D13" s="178">
        <f t="shared" si="0"/>
        <v>2.6428167272304837</v>
      </c>
      <c r="E13" s="190">
        <v>26</v>
      </c>
      <c r="H13" s="178"/>
    </row>
    <row r="14" spans="1:8" x14ac:dyDescent="0.25">
      <c r="A14" s="181" t="s">
        <v>198</v>
      </c>
      <c r="B14" s="178">
        <v>5.4607986038670377</v>
      </c>
      <c r="C14" s="178">
        <v>2.9298198230729118</v>
      </c>
      <c r="D14" s="178">
        <f t="shared" si="0"/>
        <v>2.530978780794126</v>
      </c>
      <c r="E14" s="190">
        <v>20.5</v>
      </c>
      <c r="H14" s="178"/>
    </row>
    <row r="15" spans="1:8" x14ac:dyDescent="0.25">
      <c r="A15" s="177" t="s">
        <v>199</v>
      </c>
      <c r="B15" s="178">
        <v>3.7225577936802976</v>
      </c>
      <c r="C15" s="178">
        <v>0</v>
      </c>
      <c r="D15" s="178">
        <f t="shared" si="0"/>
        <v>3.7225577936802976</v>
      </c>
      <c r="E15" s="190">
        <v>26</v>
      </c>
      <c r="H15" s="178"/>
    </row>
    <row r="16" spans="1:8" x14ac:dyDescent="0.25">
      <c r="A16" s="181" t="s">
        <v>506</v>
      </c>
      <c r="B16" s="178">
        <v>91.904171829822374</v>
      </c>
      <c r="C16" s="178">
        <v>43.370508054522915</v>
      </c>
      <c r="D16" s="178">
        <f t="shared" si="0"/>
        <v>48.533663775299459</v>
      </c>
      <c r="E16" s="178">
        <v>18</v>
      </c>
      <c r="H16" s="178"/>
    </row>
    <row r="17" spans="1:8" x14ac:dyDescent="0.25">
      <c r="A17" s="177" t="s">
        <v>204</v>
      </c>
      <c r="B17" s="178">
        <v>3.9483633815055765</v>
      </c>
      <c r="C17" s="178">
        <v>0</v>
      </c>
      <c r="D17" s="178">
        <f t="shared" si="0"/>
        <v>3.9483633815055765</v>
      </c>
      <c r="E17" s="190">
        <v>26</v>
      </c>
      <c r="H17" s="178"/>
    </row>
    <row r="18" spans="1:8" x14ac:dyDescent="0.25">
      <c r="A18" s="177" t="s">
        <v>208</v>
      </c>
      <c r="B18" s="178">
        <v>9.540355413568772</v>
      </c>
      <c r="C18" s="178">
        <v>0</v>
      </c>
      <c r="D18" s="178">
        <f t="shared" si="0"/>
        <v>9.540355413568772</v>
      </c>
      <c r="E18" s="190">
        <v>26</v>
      </c>
      <c r="H18" s="178"/>
    </row>
    <row r="19" spans="1:8" x14ac:dyDescent="0.25">
      <c r="A19" s="181" t="s">
        <v>507</v>
      </c>
      <c r="B19" s="178">
        <v>201.3351920693928</v>
      </c>
      <c r="C19" s="178">
        <v>111.52390541098718</v>
      </c>
      <c r="D19" s="178">
        <f t="shared" si="0"/>
        <v>89.811286658405621</v>
      </c>
      <c r="E19" s="190">
        <v>12</v>
      </c>
      <c r="H19" s="178"/>
    </row>
    <row r="20" spans="1:8" x14ac:dyDescent="0.25">
      <c r="A20" s="177" t="s">
        <v>287</v>
      </c>
      <c r="B20" s="178">
        <v>0.26022301858736058</v>
      </c>
      <c r="C20" s="178">
        <v>0</v>
      </c>
      <c r="D20" s="178">
        <f t="shared" si="0"/>
        <v>0.26022301858736058</v>
      </c>
      <c r="E20" s="178">
        <v>20</v>
      </c>
      <c r="H20" s="178"/>
    </row>
    <row r="21" spans="1:8" x14ac:dyDescent="0.25">
      <c r="A21" s="177" t="s">
        <v>286</v>
      </c>
      <c r="B21" s="178">
        <v>6.6552044609665426</v>
      </c>
      <c r="C21" s="178">
        <v>6.0501858736059475</v>
      </c>
      <c r="D21" s="178">
        <f t="shared" si="0"/>
        <v>0.60501858736059511</v>
      </c>
      <c r="E21" s="178">
        <v>24</v>
      </c>
      <c r="H21" s="178"/>
    </row>
    <row r="22" spans="1:8" x14ac:dyDescent="0.25">
      <c r="A22" s="177" t="s">
        <v>508</v>
      </c>
      <c r="B22" s="178">
        <v>48.909073075036751</v>
      </c>
      <c r="C22" s="178">
        <v>0</v>
      </c>
      <c r="D22" s="178">
        <f t="shared" si="0"/>
        <v>48.909073075036751</v>
      </c>
      <c r="E22" s="178">
        <v>20</v>
      </c>
      <c r="H22" s="178"/>
    </row>
    <row r="23" spans="1:8" x14ac:dyDescent="0.25">
      <c r="A23" s="177" t="s">
        <v>206</v>
      </c>
      <c r="B23" s="178">
        <v>17.089225371747212</v>
      </c>
      <c r="C23" s="178">
        <v>0</v>
      </c>
      <c r="D23" s="178">
        <f t="shared" si="0"/>
        <v>17.089225371747212</v>
      </c>
      <c r="E23" s="190">
        <v>26</v>
      </c>
      <c r="H23" s="178"/>
    </row>
    <row r="24" spans="1:8" x14ac:dyDescent="0.25">
      <c r="A24" s="177" t="s">
        <v>509</v>
      </c>
      <c r="B24" s="178">
        <v>156.94423791821555</v>
      </c>
      <c r="C24" s="178">
        <v>98.09014869888469</v>
      </c>
      <c r="D24" s="178">
        <f t="shared" si="0"/>
        <v>58.854089219330859</v>
      </c>
      <c r="E24" s="190">
        <v>15</v>
      </c>
      <c r="H24" s="178"/>
    </row>
    <row r="25" spans="1:8" x14ac:dyDescent="0.25">
      <c r="A25" s="177"/>
      <c r="B25" s="178"/>
      <c r="C25" s="178"/>
      <c r="D25" s="178"/>
    </row>
    <row r="26" spans="1:8" x14ac:dyDescent="0.25">
      <c r="A26" s="177"/>
      <c r="B26" s="208"/>
      <c r="C26" s="208"/>
      <c r="D26" s="208"/>
      <c r="E26" s="177"/>
    </row>
    <row r="27" spans="1:8" x14ac:dyDescent="0.25">
      <c r="A27" s="177"/>
      <c r="B27" s="178"/>
      <c r="C27" s="192"/>
      <c r="D27" s="192"/>
      <c r="E27" s="178"/>
    </row>
    <row r="28" spans="1:8" x14ac:dyDescent="0.25">
      <c r="A28" s="177"/>
      <c r="B28" s="178"/>
      <c r="C28" s="192"/>
      <c r="D28" s="192"/>
      <c r="E28" s="178"/>
    </row>
    <row r="29" spans="1:8" x14ac:dyDescent="0.25">
      <c r="A29" s="177"/>
      <c r="B29" s="178"/>
      <c r="C29" s="192"/>
      <c r="D29" s="192"/>
      <c r="E29" s="178"/>
    </row>
    <row r="30" spans="1:8" x14ac:dyDescent="0.25">
      <c r="A30" s="177"/>
      <c r="B30" s="191"/>
      <c r="C30" s="192"/>
      <c r="D30" s="192"/>
      <c r="E30" s="191"/>
      <c r="F30" s="209"/>
    </row>
    <row r="31" spans="1:8" x14ac:dyDescent="0.25">
      <c r="A31" s="177"/>
      <c r="B31" s="178"/>
      <c r="C31" s="192"/>
      <c r="D31" s="192"/>
      <c r="E31" s="178"/>
    </row>
    <row r="32" spans="1:8" x14ac:dyDescent="0.25">
      <c r="A32" s="177"/>
      <c r="B32" s="178"/>
      <c r="C32" s="192"/>
      <c r="D32" s="192"/>
      <c r="E32" s="178"/>
    </row>
    <row r="33" spans="1:5" x14ac:dyDescent="0.25">
      <c r="A33" s="177"/>
      <c r="B33" s="178"/>
      <c r="C33" s="192"/>
      <c r="D33" s="192"/>
      <c r="E33" s="178"/>
    </row>
    <row r="34" spans="1:5" x14ac:dyDescent="0.25">
      <c r="A34" s="181"/>
      <c r="B34" s="178"/>
      <c r="C34" s="192"/>
      <c r="D34" s="192"/>
      <c r="E34" s="178"/>
    </row>
    <row r="35" spans="1:5" x14ac:dyDescent="0.25">
      <c r="A35" s="177"/>
      <c r="B35" s="178"/>
      <c r="C35" s="192"/>
      <c r="D35" s="192"/>
      <c r="E35" s="178"/>
    </row>
    <row r="36" spans="1:5" x14ac:dyDescent="0.25">
      <c r="A36" s="177"/>
      <c r="B36" s="178"/>
      <c r="C36" s="192"/>
      <c r="D36" s="192"/>
      <c r="E36" s="178"/>
    </row>
    <row r="37" spans="1:5" x14ac:dyDescent="0.25">
      <c r="A37" s="177"/>
      <c r="B37" s="178"/>
      <c r="C37" s="192"/>
      <c r="D37" s="192"/>
      <c r="E37" s="178"/>
    </row>
    <row r="38" spans="1:5" x14ac:dyDescent="0.25">
      <c r="A38" s="177"/>
      <c r="B38" s="178"/>
      <c r="C38" s="192"/>
      <c r="D38" s="192"/>
      <c r="E38" s="178"/>
    </row>
    <row r="39" spans="1:5" x14ac:dyDescent="0.25">
      <c r="A39" s="181"/>
      <c r="B39" s="178"/>
      <c r="C39" s="192"/>
      <c r="D39" s="192"/>
      <c r="E39" s="178"/>
    </row>
    <row r="40" spans="1:5" x14ac:dyDescent="0.25">
      <c r="A40" s="177"/>
      <c r="B40" s="178"/>
      <c r="C40" s="192"/>
      <c r="D40" s="192"/>
      <c r="E40" s="178"/>
    </row>
    <row r="41" spans="1:5" x14ac:dyDescent="0.25">
      <c r="A41" s="181"/>
      <c r="B41" s="178"/>
      <c r="C41" s="192"/>
      <c r="D41" s="192"/>
      <c r="E41" s="178"/>
    </row>
    <row r="42" spans="1:5" x14ac:dyDescent="0.25">
      <c r="A42" s="177"/>
      <c r="B42" s="178"/>
      <c r="C42" s="192"/>
      <c r="D42" s="192"/>
      <c r="E42" s="178"/>
    </row>
    <row r="43" spans="1:5" x14ac:dyDescent="0.25">
      <c r="A43" s="177"/>
      <c r="B43" s="178"/>
      <c r="C43" s="192"/>
      <c r="D43" s="192"/>
      <c r="E43" s="178"/>
    </row>
    <row r="44" spans="1:5" x14ac:dyDescent="0.25">
      <c r="A44" s="181"/>
      <c r="B44" s="178"/>
      <c r="C44" s="192"/>
      <c r="D44" s="192"/>
      <c r="E44" s="178"/>
    </row>
    <row r="45" spans="1:5" x14ac:dyDescent="0.25">
      <c r="A45" s="177"/>
      <c r="B45" s="178"/>
      <c r="C45" s="192"/>
      <c r="D45" s="192"/>
      <c r="E45" s="178"/>
    </row>
    <row r="46" spans="1:5" x14ac:dyDescent="0.25">
      <c r="A46" s="177"/>
      <c r="B46" s="178"/>
      <c r="C46" s="192"/>
      <c r="D46" s="192"/>
      <c r="E46" s="178"/>
    </row>
    <row r="47" spans="1:5" x14ac:dyDescent="0.25">
      <c r="A47" s="177"/>
      <c r="B47" s="178"/>
      <c r="C47" s="192"/>
      <c r="D47" s="192"/>
      <c r="E47" s="178"/>
    </row>
    <row r="48" spans="1:5" x14ac:dyDescent="0.25">
      <c r="A48" s="177"/>
      <c r="B48" s="178"/>
      <c r="C48" s="192"/>
      <c r="D48" s="192"/>
      <c r="E48" s="178"/>
    </row>
    <row r="49" spans="1:5" x14ac:dyDescent="0.25">
      <c r="A49" s="177"/>
      <c r="B49" s="178"/>
      <c r="C49" s="192"/>
      <c r="D49" s="192"/>
      <c r="E49" s="178"/>
    </row>
  </sheetData>
  <conditionalFormatting sqref="B25:D26">
    <cfRule type="dataBar" priority="2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{4825BF59-2942-49D6-8F53-0063510C53ED}</x14:id>
        </ext>
      </extLst>
    </cfRule>
  </conditionalFormatting>
  <conditionalFormatting sqref="B4:D4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{82B4D15C-6491-4AA7-B0B3-3CAC91E4E3C1}</x14:id>
        </ext>
      </extLst>
    </cfRule>
  </conditionalFormatting>
  <conditionalFormatting sqref="B12:D12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{4D0EFA46-032C-4C5B-852A-8B256F269C59}</x14:id>
        </ext>
      </extLst>
    </cfRule>
  </conditionalFormatting>
  <conditionalFormatting sqref="B10:D1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{235BF118-81CA-486B-87E7-DD53B7C8FAE1}</x14:id>
        </ext>
      </extLst>
    </cfRule>
  </conditionalFormatting>
  <conditionalFormatting sqref="B20:D20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{FC95596B-E32D-42BD-A044-53048411CC18}</x14:id>
        </ext>
      </extLst>
    </cfRule>
  </conditionalFormatting>
  <conditionalFormatting sqref="A20:D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{7B59FEAA-A0C0-4F83-BDD7-5951128B35B6}</x14:id>
        </ext>
      </extLst>
    </cfRule>
  </conditionalFormatting>
  <conditionalFormatting sqref="B20:D20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{F81AEF3C-1660-4B11-BF76-62F1163F7F38}</x14:id>
        </ext>
      </extLst>
    </cfRule>
  </conditionalFormatting>
  <conditionalFormatting sqref="B20:D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{C57EC0E5-2A16-44CB-BB56-7CF497DD17BA}</x14:id>
        </ext>
      </extLst>
    </cfRule>
  </conditionalFormatting>
  <conditionalFormatting sqref="B20:D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{354E2249-4818-4CEE-B316-AE7A75D18B8A}</x14:id>
        </ext>
      </extLst>
    </cfRule>
  </conditionalFormatting>
  <conditionalFormatting sqref="B21:D24 B2:D19 D20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{5D9D5F51-BDC4-4776-A744-D5A85D470E25}</x14:id>
        </ext>
      </extLst>
    </cfRule>
  </conditionalFormatting>
  <conditionalFormatting sqref="A2:D19 A24 A21:D23 D20 D24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{71EB4779-D396-463C-83B4-A3B511FB6726}</x14:id>
        </ext>
      </extLst>
    </cfRule>
  </conditionalFormatting>
  <conditionalFormatting sqref="B22:D23 B13:D19 B11:D11 B2:D2 B5:D9 D3:D4 D10 D12 D20:D21 D24">
    <cfRule type="dataBar" priority="2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{3A908848-3837-49BD-8707-D8B0373A183C}</x14:id>
        </ext>
      </extLst>
    </cfRule>
  </conditionalFormatting>
  <conditionalFormatting sqref="B21:D23 B2:D19 D20 D24">
    <cfRule type="dataBar" priority="2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{6B98F011-E47A-46F7-9B51-EDA00F9D0DA2}</x14:id>
        </ext>
      </extLst>
    </cfRule>
  </conditionalFormatting>
  <conditionalFormatting sqref="B2:D24">
    <cfRule type="dataBar" priority="2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{3FF017E8-943F-44F2-ADEB-C29DD56023C3}</x14:id>
        </ext>
      </extLst>
    </cfRule>
  </conditionalFormatting>
  <conditionalFormatting sqref="E29 B29">
    <cfRule type="dataBar" priority="3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{4F86AEC2-D594-4E12-80B4-BF689AF27A60}</x14:id>
        </ext>
      </extLst>
    </cfRule>
  </conditionalFormatting>
  <conditionalFormatting sqref="E37 B37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{804E170A-94AB-43EB-B5E5-DF464B25B417}</x14:id>
        </ext>
      </extLst>
    </cfRule>
  </conditionalFormatting>
  <conditionalFormatting sqref="E35 B35">
    <cfRule type="dataBar" priority="3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{FC933182-4009-42BF-9144-D693FC116A30}</x14:id>
        </ext>
      </extLst>
    </cfRule>
  </conditionalFormatting>
  <conditionalFormatting sqref="E45 B45">
    <cfRule type="dataBar" priority="3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{8566072E-42A7-4CAD-A4AE-BFA6FDB48D71}</x14:id>
        </ext>
      </extLst>
    </cfRule>
  </conditionalFormatting>
  <conditionalFormatting sqref="A45:B45 E45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{4AA6CC39-B409-4444-AF64-CB9E6517A090}</x14:id>
        </ext>
      </extLst>
    </cfRule>
  </conditionalFormatting>
  <conditionalFormatting sqref="E46:E49 B46:B49 E27:E44 B27:B44">
    <cfRule type="dataBar" priority="3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{1365220A-3C88-4899-9F23-4D9F334EFE19}</x14:id>
        </ext>
      </extLst>
    </cfRule>
  </conditionalFormatting>
  <conditionalFormatting sqref="E27:E44 A27:B44 A46:A49 E46:E48 B46:B48">
    <cfRule type="dataBar" priority="3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{512B7EB7-44EE-48EE-A027-E7E55B47756D}</x14:id>
        </ext>
      </extLst>
    </cfRule>
  </conditionalFormatting>
  <conditionalFormatting sqref="E47:E48 B47:B48 E38:E44 B38:B44 E36 B36 E27 B27 E30:E34 B30:B34">
    <cfRule type="dataBar" priority="3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{8470A87B-1002-465F-BB6F-E1A8C1DED010}</x14:id>
        </ext>
      </extLst>
    </cfRule>
  </conditionalFormatting>
  <conditionalFormatting sqref="E46:E48 B46:B48 E27:E44 B27:B44">
    <cfRule type="dataBar" priority="3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{435330FA-8B54-493D-89FA-CAF6E031793A}</x14:id>
        </ext>
      </extLst>
    </cfRule>
  </conditionalFormatting>
  <conditionalFormatting sqref="E27:E49 B27:B49">
    <cfRule type="dataBar" priority="3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{39BBADF9-51AA-469C-A6A5-497E653E819D}</x14:id>
        </ext>
      </extLst>
    </cfRule>
  </conditionalFormatting>
  <conditionalFormatting sqref="B1:D2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{FCACFD9D-BA4F-440F-87A1-F65144092DE4}</x14:id>
        </ext>
      </extLst>
    </cfRule>
  </conditionalFormatting>
  <conditionalFormatting sqref="H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{E1B71EBD-A3E2-4069-A5BC-1D2302755B33}</x14:id>
        </ext>
      </extLst>
    </cfRule>
  </conditionalFormatting>
  <conditionalFormatting sqref="H12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{50F06EBC-EF7F-4B38-8606-8835F8CA009C}</x14:id>
        </ext>
      </extLst>
    </cfRule>
  </conditionalFormatting>
  <conditionalFormatting sqref="H1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{1A361E01-0C3A-4F90-BB7D-B9E4ED6F6260}</x14:id>
        </ext>
      </extLst>
    </cfRule>
  </conditionalFormatting>
  <conditionalFormatting sqref="H20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{9A323438-AF32-4C33-94D2-0987311CF9A9}</x14:id>
        </ext>
      </extLst>
    </cfRule>
  </conditionalFormatting>
  <conditionalFormatting sqref="H2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{487A0F70-C546-40AB-8854-DC1904BF4C29}</x14:id>
        </ext>
      </extLst>
    </cfRule>
  </conditionalFormatting>
  <conditionalFormatting sqref="H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{676B5E94-4718-4F5D-8AE1-B8039D5D0C60}</x14:id>
        </ext>
      </extLst>
    </cfRule>
  </conditionalFormatting>
  <conditionalFormatting sqref="H20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{7ABEDC5F-DB9E-43EC-9FF3-7C85DE13888C}</x14:id>
        </ext>
      </extLst>
    </cfRule>
  </conditionalFormatting>
  <conditionalFormatting sqref="H20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{3FF1B0AD-B96C-4B0D-B3A6-5006D9A7E9C2}</x14:id>
        </ext>
      </extLst>
    </cfRule>
  </conditionalFormatting>
  <conditionalFormatting sqref="H21:H24 H2:H19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{4560C548-582F-4FE2-827F-5CCC6B37B33E}</x14:id>
        </ext>
      </extLst>
    </cfRule>
  </conditionalFormatting>
  <conditionalFormatting sqref="H2:H19 H21:H23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{2D234438-2DA2-493D-9124-42A116318E95}</x14:id>
        </ext>
      </extLst>
    </cfRule>
  </conditionalFormatting>
  <conditionalFormatting sqref="H22:H23 H13:H19 H11 H2 H5:H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{A6C54DCA-E1AA-43ED-A1FD-38627A0407DC}</x14:id>
        </ext>
      </extLst>
    </cfRule>
  </conditionalFormatting>
  <conditionalFormatting sqref="H21:H23 H2:H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{25A9D3C8-A1BE-49AF-917F-0B38246FA101}</x14:id>
        </ext>
      </extLst>
    </cfRule>
  </conditionalFormatting>
  <conditionalFormatting sqref="H2:H2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{3238187C-5EC8-4B60-A707-A079FEBE63D5}</x14:id>
        </ext>
      </extLst>
    </cfRule>
  </conditionalFormatting>
  <conditionalFormatting sqref="H2:H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{390D76C2-3E80-4BDB-8731-101752A8D1AD}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825BF59-2942-49D6-8F53-0063510C53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B25:D26</xm:sqref>
        </x14:conditionalFormatting>
        <x14:conditionalFormatting xmlns:xm="http://schemas.microsoft.com/office/excel/2006/main">
          <x14:cfRule type="dataBar" id="{82B4D15C-6491-4AA7-B0B3-3CAC91E4E3C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B4:D4</xm:sqref>
        </x14:conditionalFormatting>
        <x14:conditionalFormatting xmlns:xm="http://schemas.microsoft.com/office/excel/2006/main">
          <x14:cfRule type="dataBar" id="{4D0EFA46-032C-4C5B-852A-8B256F269C5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B12:D12</xm:sqref>
        </x14:conditionalFormatting>
        <x14:conditionalFormatting xmlns:xm="http://schemas.microsoft.com/office/excel/2006/main">
          <x14:cfRule type="dataBar" id="{235BF118-81CA-486B-87E7-DD53B7C8FAE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B10:D10</xm:sqref>
        </x14:conditionalFormatting>
        <x14:conditionalFormatting xmlns:xm="http://schemas.microsoft.com/office/excel/2006/main">
          <x14:cfRule type="dataBar" id="{FC95596B-E32D-42BD-A044-53048411CC1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7B59FEAA-A0C0-4F83-BDD7-5951128B35B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A20:D20</xm:sqref>
        </x14:conditionalFormatting>
        <x14:conditionalFormatting xmlns:xm="http://schemas.microsoft.com/office/excel/2006/main">
          <x14:cfRule type="dataBar" id="{F81AEF3C-1660-4B11-BF76-62F1163F7F3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C57EC0E5-2A16-44CB-BB56-7CF497DD17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354E2249-4818-4CEE-B316-AE7A75D18B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B20:D20</xm:sqref>
        </x14:conditionalFormatting>
        <x14:conditionalFormatting xmlns:xm="http://schemas.microsoft.com/office/excel/2006/main">
          <x14:cfRule type="dataBar" id="{5D9D5F51-BDC4-4776-A744-D5A85D470E2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B21:D24 B2:D19 D20</xm:sqref>
        </x14:conditionalFormatting>
        <x14:conditionalFormatting xmlns:xm="http://schemas.microsoft.com/office/excel/2006/main">
          <x14:cfRule type="dataBar" id="{71EB4779-D396-463C-83B4-A3B511FB672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A2:D19 A24 A21:D23 D20 D24</xm:sqref>
        </x14:conditionalFormatting>
        <x14:conditionalFormatting xmlns:xm="http://schemas.microsoft.com/office/excel/2006/main">
          <x14:cfRule type="dataBar" id="{3A908848-3837-49BD-8707-D8B0373A18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B22:D23 B13:D19 B11:D11 B2:D2 B5:D9 D3:D4 D10 D12 D20:D21 D24</xm:sqref>
        </x14:conditionalFormatting>
        <x14:conditionalFormatting xmlns:xm="http://schemas.microsoft.com/office/excel/2006/main">
          <x14:cfRule type="dataBar" id="{6B98F011-E47A-46F7-9B51-EDA00F9D0D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B21:D23 B2:D19 D20 D24</xm:sqref>
        </x14:conditionalFormatting>
        <x14:conditionalFormatting xmlns:xm="http://schemas.microsoft.com/office/excel/2006/main">
          <x14:cfRule type="dataBar" id="{3FF017E8-943F-44F2-ADEB-C29DD56023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B2:D24</xm:sqref>
        </x14:conditionalFormatting>
        <x14:conditionalFormatting xmlns:xm="http://schemas.microsoft.com/office/excel/2006/main">
          <x14:cfRule type="dataBar" id="{4F86AEC2-D594-4E12-80B4-BF689AF27A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E29 B29</xm:sqref>
        </x14:conditionalFormatting>
        <x14:conditionalFormatting xmlns:xm="http://schemas.microsoft.com/office/excel/2006/main">
          <x14:cfRule type="dataBar" id="{804E170A-94AB-43EB-B5E5-DF464B25B4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E37 B37</xm:sqref>
        </x14:conditionalFormatting>
        <x14:conditionalFormatting xmlns:xm="http://schemas.microsoft.com/office/excel/2006/main">
          <x14:cfRule type="dataBar" id="{FC933182-4009-42BF-9144-D693FC116A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E35 B35</xm:sqref>
        </x14:conditionalFormatting>
        <x14:conditionalFormatting xmlns:xm="http://schemas.microsoft.com/office/excel/2006/main">
          <x14:cfRule type="dataBar" id="{8566072E-42A7-4CAD-A4AE-BFA6FDB48D7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E45 B45</xm:sqref>
        </x14:conditionalFormatting>
        <x14:conditionalFormatting xmlns:xm="http://schemas.microsoft.com/office/excel/2006/main">
          <x14:cfRule type="dataBar" id="{4AA6CC39-B409-4444-AF64-CB9E6517A09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A45:B45 E45</xm:sqref>
        </x14:conditionalFormatting>
        <x14:conditionalFormatting xmlns:xm="http://schemas.microsoft.com/office/excel/2006/main">
          <x14:cfRule type="dataBar" id="{1365220A-3C88-4899-9F23-4D9F334EFE1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E46:E49 B46:B49 E27:E44 B27:B44</xm:sqref>
        </x14:conditionalFormatting>
        <x14:conditionalFormatting xmlns:xm="http://schemas.microsoft.com/office/excel/2006/main">
          <x14:cfRule type="dataBar" id="{512B7EB7-44EE-48EE-A027-E7E55B47756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E27:E44 A27:B44 A46:A49 E46:E48 B46:B48</xm:sqref>
        </x14:conditionalFormatting>
        <x14:conditionalFormatting xmlns:xm="http://schemas.microsoft.com/office/excel/2006/main">
          <x14:cfRule type="dataBar" id="{8470A87B-1002-465F-BB6F-E1A8C1DED01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E47:E48 B47:B48 E38:E44 B38:B44 E36 B36 E27 B27 E30:E34 B30:B34</xm:sqref>
        </x14:conditionalFormatting>
        <x14:conditionalFormatting xmlns:xm="http://schemas.microsoft.com/office/excel/2006/main">
          <x14:cfRule type="dataBar" id="{435330FA-8B54-493D-89FA-CAF6E031793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E46:E48 B46:B48 E27:E44 B27:B44</xm:sqref>
        </x14:conditionalFormatting>
        <x14:conditionalFormatting xmlns:xm="http://schemas.microsoft.com/office/excel/2006/main">
          <x14:cfRule type="dataBar" id="{39BBADF9-51AA-469C-A6A5-497E653E819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E27:E49 B27:B49</xm:sqref>
        </x14:conditionalFormatting>
        <x14:conditionalFormatting xmlns:xm="http://schemas.microsoft.com/office/excel/2006/main">
          <x14:cfRule type="dataBar" id="{FCACFD9D-BA4F-440F-87A1-F65144092DE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B1:D24</xm:sqref>
        </x14:conditionalFormatting>
        <x14:conditionalFormatting xmlns:xm="http://schemas.microsoft.com/office/excel/2006/main">
          <x14:cfRule type="dataBar" id="{E1B71EBD-A3E2-4069-A5BC-1D2302755B3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</xm:sqref>
        </x14:conditionalFormatting>
        <x14:conditionalFormatting xmlns:xm="http://schemas.microsoft.com/office/excel/2006/main">
          <x14:cfRule type="dataBar" id="{50F06EBC-EF7F-4B38-8606-8835F8CA009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H12</xm:sqref>
        </x14:conditionalFormatting>
        <x14:conditionalFormatting xmlns:xm="http://schemas.microsoft.com/office/excel/2006/main">
          <x14:cfRule type="dataBar" id="{1A361E01-0C3A-4F90-BB7D-B9E4ED6F62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H10</xm:sqref>
        </x14:conditionalFormatting>
        <x14:conditionalFormatting xmlns:xm="http://schemas.microsoft.com/office/excel/2006/main">
          <x14:cfRule type="dataBar" id="{9A323438-AF32-4C33-94D2-0987311CF9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87A0F70-C546-40AB-8854-DC1904BF4C2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676B5E94-4718-4F5D-8AE1-B8039D5D0C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7ABEDC5F-DB9E-43EC-9FF3-7C85DE13888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3FF1B0AD-B96C-4B0D-B3A6-5006D9A7E9C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4560C548-582F-4FE2-827F-5CCC6B37B33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H21:H24 H2:H19</xm:sqref>
        </x14:conditionalFormatting>
        <x14:conditionalFormatting xmlns:xm="http://schemas.microsoft.com/office/excel/2006/main">
          <x14:cfRule type="dataBar" id="{2D234438-2DA2-493D-9124-42A116318E9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H21:H23</xm:sqref>
        </x14:conditionalFormatting>
        <x14:conditionalFormatting xmlns:xm="http://schemas.microsoft.com/office/excel/2006/main">
          <x14:cfRule type="dataBar" id="{A6C54DCA-E1AA-43ED-A1FD-38627A0407D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H22:H23 H13:H19 H11 H2 H5:H9</xm:sqref>
        </x14:conditionalFormatting>
        <x14:conditionalFormatting xmlns:xm="http://schemas.microsoft.com/office/excel/2006/main">
          <x14:cfRule type="dataBar" id="{25A9D3C8-A1BE-49AF-917F-0B38246FA10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H21:H23 H2:H19</xm:sqref>
        </x14:conditionalFormatting>
        <x14:conditionalFormatting xmlns:xm="http://schemas.microsoft.com/office/excel/2006/main">
          <x14:cfRule type="dataBar" id="{3238187C-5EC8-4B60-A707-A079FEBE63D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H2:H24</xm:sqref>
        </x14:conditionalFormatting>
        <x14:conditionalFormatting xmlns:xm="http://schemas.microsoft.com/office/excel/2006/main">
          <x14:cfRule type="dataBar" id="{390D76C2-3E80-4BDB-8731-101752A8D1A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H2:H24</xm:sqref>
        </x14:conditionalFormatting>
      </x14:conditionalFormattings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32608F-243F-46B0-8759-9E802312B9DA}">
  <sheetPr codeName="Sheet11"/>
  <dimension ref="C94:AE300"/>
  <sheetViews>
    <sheetView topLeftCell="E272" workbookViewId="0">
      <selection activeCell="P283" sqref="P283"/>
    </sheetView>
  </sheetViews>
  <sheetFormatPr defaultRowHeight="15" x14ac:dyDescent="0.25"/>
  <sheetData>
    <row r="94" spans="3:4" x14ac:dyDescent="0.25">
      <c r="D94" t="s">
        <v>409</v>
      </c>
    </row>
    <row r="95" spans="3:4" x14ac:dyDescent="0.25">
      <c r="C95" t="s">
        <v>148</v>
      </c>
      <c r="D95">
        <v>-0.77641666666666698</v>
      </c>
    </row>
    <row r="96" spans="3:4" x14ac:dyDescent="0.25">
      <c r="C96" t="s">
        <v>149</v>
      </c>
      <c r="D96">
        <v>-1.2629295245374399</v>
      </c>
    </row>
    <row r="97" spans="3:4" x14ac:dyDescent="0.25">
      <c r="C97" t="s">
        <v>150</v>
      </c>
      <c r="D97">
        <v>-0.37692895926881298</v>
      </c>
    </row>
    <row r="98" spans="3:4" x14ac:dyDescent="0.25">
      <c r="C98" t="s">
        <v>151</v>
      </c>
      <c r="D98">
        <v>-3.3262070220295499</v>
      </c>
    </row>
    <row r="99" spans="3:4" x14ac:dyDescent="0.25">
      <c r="C99" t="s">
        <v>152</v>
      </c>
      <c r="D99">
        <v>-0.71928282538772603</v>
      </c>
    </row>
    <row r="100" spans="3:4" x14ac:dyDescent="0.25">
      <c r="C100" t="s">
        <v>153</v>
      </c>
      <c r="D100">
        <v>-0.32692032100888502</v>
      </c>
    </row>
    <row r="101" spans="3:4" x14ac:dyDescent="0.25">
      <c r="C101" t="s">
        <v>210</v>
      </c>
      <c r="D101">
        <v>-0.90978327760262401</v>
      </c>
    </row>
    <row r="102" spans="3:4" x14ac:dyDescent="0.25">
      <c r="C102" t="s">
        <v>211</v>
      </c>
      <c r="D102">
        <v>-2.52818381580204</v>
      </c>
    </row>
    <row r="103" spans="3:4" x14ac:dyDescent="0.25">
      <c r="C103" t="s">
        <v>212</v>
      </c>
      <c r="D103">
        <v>-2.3346469857647798</v>
      </c>
    </row>
    <row r="104" spans="3:4" x14ac:dyDescent="0.25">
      <c r="C104" t="s">
        <v>213</v>
      </c>
      <c r="D104">
        <v>-1.1426228464061701</v>
      </c>
    </row>
    <row r="105" spans="3:4" x14ac:dyDescent="0.25">
      <c r="C105" t="s">
        <v>214</v>
      </c>
      <c r="D105">
        <v>-0.31645887073660101</v>
      </c>
    </row>
    <row r="106" spans="3:4" x14ac:dyDescent="0.25">
      <c r="C106" t="s">
        <v>215</v>
      </c>
      <c r="D106">
        <v>-8.2471099646508103E-2</v>
      </c>
    </row>
    <row r="107" spans="3:4" x14ac:dyDescent="0.25">
      <c r="C107" t="s">
        <v>216</v>
      </c>
      <c r="D107">
        <v>-1.38991990700933</v>
      </c>
    </row>
    <row r="108" spans="3:4" x14ac:dyDescent="0.25">
      <c r="C108" t="s">
        <v>217</v>
      </c>
      <c r="D108">
        <v>-3.20362207602339</v>
      </c>
    </row>
    <row r="109" spans="3:4" x14ac:dyDescent="0.25">
      <c r="C109" t="s">
        <v>222</v>
      </c>
      <c r="D109">
        <v>-2.0833333333333299</v>
      </c>
    </row>
    <row r="110" spans="3:4" x14ac:dyDescent="0.25">
      <c r="C110" t="s">
        <v>223</v>
      </c>
      <c r="D110">
        <v>-0.86820906432748501</v>
      </c>
    </row>
    <row r="111" spans="3:4" x14ac:dyDescent="0.25">
      <c r="C111" t="s">
        <v>224</v>
      </c>
      <c r="D111">
        <v>-0.640350877192982</v>
      </c>
    </row>
    <row r="112" spans="3:4" x14ac:dyDescent="0.25">
      <c r="C112" t="s">
        <v>225</v>
      </c>
      <c r="D112">
        <v>-0.266812865497076</v>
      </c>
    </row>
    <row r="113" spans="3:4" x14ac:dyDescent="0.25">
      <c r="C113" t="s">
        <v>226</v>
      </c>
      <c r="D113">
        <v>-1.8091460004856501</v>
      </c>
    </row>
    <row r="114" spans="3:4" x14ac:dyDescent="0.25">
      <c r="C114" t="s">
        <v>228</v>
      </c>
      <c r="D114">
        <v>-3.2093404959237</v>
      </c>
    </row>
    <row r="115" spans="3:4" x14ac:dyDescent="0.25">
      <c r="C115" t="s">
        <v>229</v>
      </c>
      <c r="D115">
        <v>-8.1366835451100294E-2</v>
      </c>
    </row>
    <row r="116" spans="3:4" x14ac:dyDescent="0.25">
      <c r="C116" t="s">
        <v>230</v>
      </c>
      <c r="D116">
        <v>-2.0248718193688102</v>
      </c>
    </row>
    <row r="117" spans="3:4" x14ac:dyDescent="0.25">
      <c r="C117" t="s">
        <v>231</v>
      </c>
      <c r="D117">
        <v>-1.4686713798923601</v>
      </c>
    </row>
    <row r="118" spans="3:4" x14ac:dyDescent="0.25">
      <c r="C118" t="s">
        <v>232</v>
      </c>
      <c r="D118">
        <v>-1.13593914206554</v>
      </c>
    </row>
    <row r="119" spans="3:4" x14ac:dyDescent="0.25">
      <c r="C119" t="s">
        <v>233</v>
      </c>
      <c r="D119">
        <v>-1.69123873443521</v>
      </c>
    </row>
    <row r="120" spans="3:4" x14ac:dyDescent="0.25">
      <c r="C120" t="s">
        <v>234</v>
      </c>
      <c r="D120">
        <v>-7.9879356313174696</v>
      </c>
    </row>
    <row r="121" spans="3:4" x14ac:dyDescent="0.25">
      <c r="C121" t="s">
        <v>235</v>
      </c>
      <c r="D121">
        <v>-0.29398070125155201</v>
      </c>
    </row>
    <row r="122" spans="3:4" x14ac:dyDescent="0.25">
      <c r="C122" t="s">
        <v>236</v>
      </c>
      <c r="D122">
        <v>-1.6770285978153601</v>
      </c>
    </row>
    <row r="123" spans="3:4" x14ac:dyDescent="0.25">
      <c r="C123" t="s">
        <v>237</v>
      </c>
      <c r="D123">
        <v>-2.70779831534028</v>
      </c>
    </row>
    <row r="124" spans="3:4" x14ac:dyDescent="0.25">
      <c r="C124" t="s">
        <v>238</v>
      </c>
      <c r="D124">
        <v>-0.61902726027833499</v>
      </c>
    </row>
    <row r="125" spans="3:4" x14ac:dyDescent="0.25">
      <c r="C125" t="s">
        <v>239</v>
      </c>
      <c r="D125">
        <v>-0.26452358205152698</v>
      </c>
    </row>
    <row r="126" spans="3:4" x14ac:dyDescent="0.25">
      <c r="C126" t="s">
        <v>240</v>
      </c>
      <c r="D126">
        <v>-1.1507595299512801</v>
      </c>
    </row>
    <row r="127" spans="3:4" x14ac:dyDescent="0.25">
      <c r="C127" t="s">
        <v>241</v>
      </c>
      <c r="D127">
        <v>-0.25572433998917199</v>
      </c>
    </row>
    <row r="128" spans="3:4" x14ac:dyDescent="0.25">
      <c r="C128" t="s">
        <v>242</v>
      </c>
      <c r="D128">
        <v>-0.86326303692482198</v>
      </c>
    </row>
    <row r="129" spans="3:4" x14ac:dyDescent="0.25">
      <c r="C129" t="s">
        <v>243</v>
      </c>
      <c r="D129">
        <v>-2.0684977050606301</v>
      </c>
    </row>
    <row r="130" spans="3:4" x14ac:dyDescent="0.25">
      <c r="C130" t="s">
        <v>244</v>
      </c>
      <c r="D130">
        <v>-0.58119168179357295</v>
      </c>
    </row>
    <row r="131" spans="3:4" x14ac:dyDescent="0.25">
      <c r="C131" t="s">
        <v>245</v>
      </c>
      <c r="D131">
        <v>-0.21666666666666701</v>
      </c>
    </row>
    <row r="132" spans="3:4" x14ac:dyDescent="0.25">
      <c r="C132" t="s">
        <v>246</v>
      </c>
      <c r="D132">
        <v>-0.65384064201777004</v>
      </c>
    </row>
    <row r="133" spans="3:4" x14ac:dyDescent="0.25">
      <c r="C133" t="s">
        <v>247</v>
      </c>
      <c r="D133">
        <v>-0.41845801089137302</v>
      </c>
    </row>
    <row r="134" spans="3:4" x14ac:dyDescent="0.25">
      <c r="C134" t="s">
        <v>248</v>
      </c>
      <c r="D134">
        <v>-0.21666666666666701</v>
      </c>
    </row>
    <row r="135" spans="3:4" x14ac:dyDescent="0.25">
      <c r="C135" t="s">
        <v>249</v>
      </c>
      <c r="D135">
        <v>-1.7697286710614299</v>
      </c>
    </row>
    <row r="136" spans="3:4" x14ac:dyDescent="0.25">
      <c r="C136" t="s">
        <v>250</v>
      </c>
      <c r="D136">
        <v>-0.75671156969523201</v>
      </c>
    </row>
    <row r="137" spans="3:4" x14ac:dyDescent="0.25">
      <c r="C137" t="s">
        <v>251</v>
      </c>
      <c r="D137">
        <v>-1.64892798000064</v>
      </c>
    </row>
    <row r="138" spans="3:4" x14ac:dyDescent="0.25">
      <c r="C138" t="s">
        <v>252</v>
      </c>
      <c r="D138">
        <v>-0.47948313747969801</v>
      </c>
    </row>
    <row r="139" spans="3:4" x14ac:dyDescent="0.25">
      <c r="C139" t="s">
        <v>253</v>
      </c>
      <c r="D139">
        <v>-0.83333333333333304</v>
      </c>
    </row>
    <row r="140" spans="3:4" x14ac:dyDescent="0.25">
      <c r="C140" t="s">
        <v>254</v>
      </c>
      <c r="D140">
        <v>-0.22085283908155801</v>
      </c>
    </row>
    <row r="141" spans="3:4" x14ac:dyDescent="0.25">
      <c r="C141" t="s">
        <v>255</v>
      </c>
      <c r="D141">
        <v>-3.04775715463279E-3</v>
      </c>
    </row>
    <row r="142" spans="3:4" x14ac:dyDescent="0.25">
      <c r="C142" t="s">
        <v>256</v>
      </c>
      <c r="D142">
        <v>-0.149947453902742</v>
      </c>
    </row>
    <row r="143" spans="3:4" x14ac:dyDescent="0.25">
      <c r="C143" t="s">
        <v>257</v>
      </c>
      <c r="D143">
        <v>-0.41283498137002</v>
      </c>
    </row>
    <row r="144" spans="3:4" x14ac:dyDescent="0.25">
      <c r="C144" t="s">
        <v>258</v>
      </c>
      <c r="D144">
        <v>-0.53179038884111995</v>
      </c>
    </row>
    <row r="145" spans="3:4" x14ac:dyDescent="0.25">
      <c r="C145" t="s">
        <v>259</v>
      </c>
      <c r="D145">
        <v>-1.2524680742651499</v>
      </c>
    </row>
    <row r="146" spans="3:4" x14ac:dyDescent="0.25">
      <c r="C146" t="s">
        <v>260</v>
      </c>
      <c r="D146">
        <v>-3.8754331613244801</v>
      </c>
    </row>
    <row r="147" spans="3:4" x14ac:dyDescent="0.25">
      <c r="C147" t="s">
        <v>261</v>
      </c>
      <c r="D147">
        <v>-2.8920098086048198</v>
      </c>
    </row>
    <row r="148" spans="3:4" x14ac:dyDescent="0.25">
      <c r="C148" t="s">
        <v>262</v>
      </c>
      <c r="D148">
        <v>-8.2238622973790601E-2</v>
      </c>
    </row>
    <row r="149" spans="3:4" x14ac:dyDescent="0.25">
      <c r="C149" t="s">
        <v>263</v>
      </c>
      <c r="D149">
        <v>-0.19586159676443399</v>
      </c>
    </row>
    <row r="150" spans="3:4" x14ac:dyDescent="0.25">
      <c r="C150" t="s">
        <v>264</v>
      </c>
      <c r="D150">
        <v>-0.53179038884111995</v>
      </c>
    </row>
    <row r="151" spans="3:4" x14ac:dyDescent="0.25">
      <c r="C151" t="s">
        <v>265</v>
      </c>
    </row>
    <row r="152" spans="3:4" x14ac:dyDescent="0.25">
      <c r="C152" t="s">
        <v>266</v>
      </c>
      <c r="D152">
        <v>-0.66882504612371996</v>
      </c>
    </row>
    <row r="153" spans="3:4" x14ac:dyDescent="0.25">
      <c r="C153" t="s">
        <v>267</v>
      </c>
      <c r="D153">
        <v>-2.3186642145154601</v>
      </c>
    </row>
    <row r="154" spans="3:4" x14ac:dyDescent="0.25">
      <c r="C154" t="s">
        <v>301</v>
      </c>
      <c r="D154">
        <v>-5.3564768509362803</v>
      </c>
    </row>
    <row r="155" spans="3:4" x14ac:dyDescent="0.25">
      <c r="C155" t="s">
        <v>302</v>
      </c>
      <c r="D155">
        <v>-1.43554345403013</v>
      </c>
    </row>
    <row r="156" spans="3:4" x14ac:dyDescent="0.25">
      <c r="C156" t="s">
        <v>303</v>
      </c>
      <c r="D156">
        <v>-1.4181077035763201</v>
      </c>
    </row>
    <row r="157" spans="3:4" x14ac:dyDescent="0.25">
      <c r="C157" t="s">
        <v>304</v>
      </c>
      <c r="D157">
        <v>-3.3271154919852499</v>
      </c>
    </row>
    <row r="158" spans="3:4" x14ac:dyDescent="0.25">
      <c r="C158" t="s">
        <v>305</v>
      </c>
      <c r="D158">
        <v>-1.65639629311168</v>
      </c>
    </row>
    <row r="159" spans="3:4" x14ac:dyDescent="0.25">
      <c r="C159" t="s">
        <v>306</v>
      </c>
    </row>
    <row r="160" spans="3:4" x14ac:dyDescent="0.25">
      <c r="C160" t="s">
        <v>307</v>
      </c>
      <c r="D160">
        <v>-1.5373101175121799</v>
      </c>
    </row>
    <row r="161" spans="3:20" x14ac:dyDescent="0.25">
      <c r="C161" t="s">
        <v>308</v>
      </c>
      <c r="D161">
        <v>-2.70556351708544</v>
      </c>
    </row>
    <row r="162" spans="3:20" x14ac:dyDescent="0.25">
      <c r="C162" t="s">
        <v>309</v>
      </c>
      <c r="D162">
        <v>-0.131610856342155</v>
      </c>
    </row>
    <row r="163" spans="3:20" x14ac:dyDescent="0.25">
      <c r="C163" t="s">
        <v>310</v>
      </c>
      <c r="D163">
        <v>-0.232476672717429</v>
      </c>
    </row>
    <row r="164" spans="3:20" x14ac:dyDescent="0.25">
      <c r="C164" t="s">
        <v>311</v>
      </c>
      <c r="D164">
        <v>-1.91072369455234</v>
      </c>
    </row>
    <row r="165" spans="3:20" x14ac:dyDescent="0.25">
      <c r="C165" t="s">
        <v>312</v>
      </c>
      <c r="D165">
        <v>-7.2648960224196701E-3</v>
      </c>
    </row>
    <row r="166" spans="3:20" x14ac:dyDescent="0.25">
      <c r="C166" t="s">
        <v>313</v>
      </c>
    </row>
    <row r="167" spans="3:20" x14ac:dyDescent="0.25">
      <c r="C167" t="s">
        <v>314</v>
      </c>
      <c r="D167">
        <v>-0.90382670473996796</v>
      </c>
    </row>
    <row r="168" spans="3:20" x14ac:dyDescent="0.25">
      <c r="C168" t="s">
        <v>315</v>
      </c>
    </row>
    <row r="169" spans="3:20" x14ac:dyDescent="0.25">
      <c r="C169" t="s">
        <v>316</v>
      </c>
      <c r="D169">
        <v>-9.1666666666666696</v>
      </c>
    </row>
    <row r="170" spans="3:20" x14ac:dyDescent="0.25">
      <c r="C170" t="s">
        <v>317</v>
      </c>
      <c r="D170">
        <v>-0.47380434592291998</v>
      </c>
      <c r="I170" t="s">
        <v>409</v>
      </c>
      <c r="J170" t="s">
        <v>410</v>
      </c>
      <c r="K170" t="s">
        <v>411</v>
      </c>
      <c r="L170" t="s">
        <v>412</v>
      </c>
      <c r="M170" t="s">
        <v>413</v>
      </c>
      <c r="N170" t="s">
        <v>414</v>
      </c>
      <c r="O170" t="s">
        <v>415</v>
      </c>
      <c r="P170" t="s">
        <v>416</v>
      </c>
      <c r="Q170" t="s">
        <v>417</v>
      </c>
      <c r="R170" t="s">
        <v>418</v>
      </c>
      <c r="S170" t="s">
        <v>419</v>
      </c>
      <c r="T170" t="s">
        <v>420</v>
      </c>
    </row>
    <row r="171" spans="3:20" x14ac:dyDescent="0.25">
      <c r="C171" t="s">
        <v>318</v>
      </c>
      <c r="D171">
        <v>-0.36309919703410898</v>
      </c>
      <c r="H171" t="s">
        <v>455</v>
      </c>
      <c r="I171">
        <v>1.87</v>
      </c>
      <c r="J171">
        <v>1.87</v>
      </c>
      <c r="K171">
        <v>1.87</v>
      </c>
      <c r="L171">
        <v>1.87</v>
      </c>
      <c r="M171">
        <v>1.87</v>
      </c>
      <c r="N171">
        <v>1.87</v>
      </c>
      <c r="O171">
        <v>1.87</v>
      </c>
      <c r="P171">
        <v>1.87</v>
      </c>
      <c r="Q171">
        <v>1.87</v>
      </c>
      <c r="R171">
        <v>1.87</v>
      </c>
      <c r="S171">
        <v>1.87</v>
      </c>
      <c r="T171">
        <v>1.87</v>
      </c>
    </row>
    <row r="172" spans="3:20" x14ac:dyDescent="0.25">
      <c r="C172" t="s">
        <v>319</v>
      </c>
      <c r="D172">
        <v>-0.61025126588325196</v>
      </c>
      <c r="H172" t="s">
        <v>456</v>
      </c>
      <c r="I172">
        <v>0.92</v>
      </c>
      <c r="J172">
        <v>0.92</v>
      </c>
      <c r="K172">
        <v>0.92</v>
      </c>
      <c r="L172">
        <v>0.92</v>
      </c>
      <c r="M172">
        <v>0.92</v>
      </c>
      <c r="N172">
        <v>0.92</v>
      </c>
      <c r="O172">
        <v>0.92</v>
      </c>
      <c r="P172">
        <v>0.92</v>
      </c>
      <c r="Q172">
        <v>0.92</v>
      </c>
      <c r="R172">
        <v>0.92</v>
      </c>
      <c r="S172">
        <v>0.92</v>
      </c>
      <c r="T172">
        <v>0.92</v>
      </c>
    </row>
    <row r="173" spans="3:20" x14ac:dyDescent="0.25">
      <c r="C173" t="s">
        <v>320</v>
      </c>
      <c r="D173">
        <v>-0.32837330021336902</v>
      </c>
      <c r="H173" t="s">
        <v>457</v>
      </c>
      <c r="I173">
        <v>0.75</v>
      </c>
      <c r="J173">
        <v>0.75</v>
      </c>
      <c r="K173">
        <v>0.75</v>
      </c>
      <c r="L173">
        <v>0.75</v>
      </c>
      <c r="M173">
        <v>0.75</v>
      </c>
      <c r="N173">
        <v>0.75</v>
      </c>
      <c r="O173">
        <v>0.75</v>
      </c>
      <c r="P173">
        <v>0.75</v>
      </c>
      <c r="Q173">
        <v>0.75</v>
      </c>
      <c r="R173">
        <v>0.75</v>
      </c>
      <c r="S173">
        <v>0.75</v>
      </c>
      <c r="T173">
        <v>0.75</v>
      </c>
    </row>
    <row r="174" spans="3:20" x14ac:dyDescent="0.25">
      <c r="C174" t="s">
        <v>321</v>
      </c>
      <c r="D174">
        <v>-0.15604996656157399</v>
      </c>
      <c r="H174" t="s">
        <v>458</v>
      </c>
      <c r="I174">
        <v>0.4</v>
      </c>
      <c r="J174">
        <v>0.4</v>
      </c>
      <c r="K174">
        <v>0.4</v>
      </c>
      <c r="L174">
        <v>0.4</v>
      </c>
      <c r="M174">
        <v>0.4</v>
      </c>
      <c r="N174">
        <v>0.4</v>
      </c>
      <c r="O174">
        <v>0.4</v>
      </c>
      <c r="P174">
        <v>0.4</v>
      </c>
      <c r="Q174">
        <v>0.4</v>
      </c>
      <c r="R174">
        <v>0.4</v>
      </c>
      <c r="S174">
        <v>0.4</v>
      </c>
      <c r="T174">
        <v>0.4</v>
      </c>
    </row>
    <row r="175" spans="3:20" x14ac:dyDescent="0.25">
      <c r="C175" t="s">
        <v>322</v>
      </c>
      <c r="D175">
        <v>-0.143538929293653</v>
      </c>
      <c r="H175" t="s">
        <v>459</v>
      </c>
      <c r="I175">
        <v>0.14000000000000001</v>
      </c>
      <c r="J175">
        <v>0.14000000000000001</v>
      </c>
      <c r="K175">
        <v>0.14000000000000001</v>
      </c>
      <c r="L175">
        <v>0.14000000000000001</v>
      </c>
      <c r="M175">
        <v>0.14000000000000001</v>
      </c>
      <c r="N175">
        <v>0.14000000000000001</v>
      </c>
      <c r="O175">
        <v>0.14000000000000001</v>
      </c>
      <c r="P175">
        <v>0.14000000000000001</v>
      </c>
      <c r="Q175">
        <v>0.14000000000000001</v>
      </c>
      <c r="R175">
        <v>0.14000000000000001</v>
      </c>
      <c r="S175">
        <v>0.14000000000000001</v>
      </c>
      <c r="T175">
        <v>0.14000000000000001</v>
      </c>
    </row>
    <row r="176" spans="3:20" x14ac:dyDescent="0.25">
      <c r="C176" t="s">
        <v>323</v>
      </c>
      <c r="D176">
        <v>-3.5924938735862399</v>
      </c>
    </row>
    <row r="177" spans="3:29" x14ac:dyDescent="0.25">
      <c r="C177" t="s">
        <v>324</v>
      </c>
      <c r="D177">
        <v>-0.496971021652445</v>
      </c>
    </row>
    <row r="178" spans="3:29" x14ac:dyDescent="0.25">
      <c r="C178" t="s">
        <v>325</v>
      </c>
      <c r="D178">
        <v>-0.36895500939460502</v>
      </c>
    </row>
    <row r="179" spans="3:29" x14ac:dyDescent="0.25">
      <c r="C179" t="s">
        <v>326</v>
      </c>
      <c r="D179">
        <v>-1.2088786981306301</v>
      </c>
    </row>
    <row r="180" spans="3:29" x14ac:dyDescent="0.25">
      <c r="C180" t="s">
        <v>327</v>
      </c>
      <c r="D180">
        <v>-0.28187796566988299</v>
      </c>
      <c r="R180" t="s">
        <v>409</v>
      </c>
      <c r="S180" t="s">
        <v>410</v>
      </c>
      <c r="T180" t="s">
        <v>411</v>
      </c>
      <c r="U180" t="s">
        <v>412</v>
      </c>
      <c r="V180" t="s">
        <v>413</v>
      </c>
      <c r="W180" t="s">
        <v>414</v>
      </c>
      <c r="X180" t="s">
        <v>415</v>
      </c>
      <c r="Y180" t="s">
        <v>416</v>
      </c>
      <c r="Z180" t="s">
        <v>417</v>
      </c>
      <c r="AA180" t="s">
        <v>418</v>
      </c>
      <c r="AB180" t="s">
        <v>419</v>
      </c>
      <c r="AC180" t="s">
        <v>420</v>
      </c>
    </row>
    <row r="181" spans="3:29" x14ac:dyDescent="0.25">
      <c r="C181" t="s">
        <v>328</v>
      </c>
      <c r="D181">
        <v>-2.0823807362822802</v>
      </c>
      <c r="I181" t="s">
        <v>409</v>
      </c>
      <c r="J181" t="s">
        <v>410</v>
      </c>
      <c r="K181" t="s">
        <v>411</v>
      </c>
      <c r="L181" t="s">
        <v>412</v>
      </c>
      <c r="M181" t="s">
        <v>418</v>
      </c>
      <c r="N181" t="s">
        <v>419</v>
      </c>
      <c r="O181" t="s">
        <v>420</v>
      </c>
      <c r="Q181" t="s">
        <v>183</v>
      </c>
      <c r="AA181">
        <v>0.59195561677442599</v>
      </c>
      <c r="AB181">
        <v>0.68930408521368502</v>
      </c>
    </row>
    <row r="182" spans="3:29" x14ac:dyDescent="0.25">
      <c r="C182" t="s">
        <v>329</v>
      </c>
      <c r="D182">
        <v>-3.0249999999999999</v>
      </c>
      <c r="H182" t="s">
        <v>183</v>
      </c>
      <c r="I182">
        <v>0.109012978642079</v>
      </c>
      <c r="J182">
        <v>0.78982292104924401</v>
      </c>
      <c r="K182">
        <v>0.69928853260139001</v>
      </c>
      <c r="L182">
        <v>0.45554210216486202</v>
      </c>
      <c r="M182">
        <v>0.54607649061271601</v>
      </c>
      <c r="N182">
        <v>0.69232434887463201</v>
      </c>
      <c r="O182">
        <v>0.83160802340979101</v>
      </c>
      <c r="Q182" t="s">
        <v>189</v>
      </c>
      <c r="R182">
        <v>1.86793224174186</v>
      </c>
      <c r="S182">
        <v>1.8938813741166001</v>
      </c>
      <c r="Y182">
        <v>0.14493843559851399</v>
      </c>
      <c r="Z182">
        <v>0.27862691821806301</v>
      </c>
      <c r="AA182">
        <v>1.09755623991949</v>
      </c>
      <c r="AB182">
        <v>1.8161518968002399</v>
      </c>
      <c r="AC182">
        <v>1.8026696998395499</v>
      </c>
    </row>
    <row r="183" spans="3:29" x14ac:dyDescent="0.25">
      <c r="C183" t="s">
        <v>330</v>
      </c>
      <c r="D183">
        <v>-0.52322373095115804</v>
      </c>
      <c r="H183" t="s">
        <v>189</v>
      </c>
      <c r="I183">
        <v>2.1798094325987001</v>
      </c>
      <c r="J183">
        <v>1.8938813741166001</v>
      </c>
      <c r="K183">
        <v>1.7298721844207601</v>
      </c>
      <c r="L183">
        <v>0.18500150217487099</v>
      </c>
      <c r="M183">
        <v>1.44654488381456</v>
      </c>
      <c r="N183">
        <v>1.8161518968002399</v>
      </c>
      <c r="O183">
        <v>2.0187465260208</v>
      </c>
      <c r="Q183" t="s">
        <v>288</v>
      </c>
      <c r="Z183">
        <v>0.10700817016929499</v>
      </c>
      <c r="AB183">
        <v>0.18781210920521199</v>
      </c>
    </row>
    <row r="184" spans="3:29" x14ac:dyDescent="0.25">
      <c r="C184" t="s">
        <v>331</v>
      </c>
      <c r="H184" t="s">
        <v>187</v>
      </c>
      <c r="I184">
        <v>4.43104623961421E-2</v>
      </c>
      <c r="Q184" t="s">
        <v>187</v>
      </c>
      <c r="R184">
        <v>2.93811677693893</v>
      </c>
      <c r="S184">
        <v>2.65697546719786</v>
      </c>
      <c r="T184">
        <v>2.55575735416175</v>
      </c>
      <c r="AA184">
        <v>0.20425580808775101</v>
      </c>
      <c r="AC184">
        <v>2.8341071650110501</v>
      </c>
    </row>
    <row r="185" spans="3:29" x14ac:dyDescent="0.25">
      <c r="C185" t="s">
        <v>332</v>
      </c>
      <c r="D185">
        <v>-2.1047759753703299</v>
      </c>
      <c r="H185" t="s">
        <v>190</v>
      </c>
      <c r="I185">
        <v>0.38901672862453501</v>
      </c>
      <c r="J185">
        <v>0.350752788104089</v>
      </c>
      <c r="K185">
        <v>0.34437546468401498</v>
      </c>
      <c r="L185">
        <v>0.21910791011799499</v>
      </c>
      <c r="M185">
        <v>0.26465892193308499</v>
      </c>
      <c r="N185">
        <v>0.302922862453532</v>
      </c>
      <c r="O185">
        <v>0.31248884758364298</v>
      </c>
      <c r="Q185" t="s">
        <v>190</v>
      </c>
      <c r="AB185">
        <v>0.302922862453532</v>
      </c>
    </row>
    <row r="186" spans="3:29" x14ac:dyDescent="0.25">
      <c r="C186" t="s">
        <v>333</v>
      </c>
      <c r="D186">
        <v>-3.9767573553404998</v>
      </c>
      <c r="H186" t="s">
        <v>184</v>
      </c>
      <c r="I186">
        <v>0.65795243425755501</v>
      </c>
      <c r="J186">
        <v>0.84401517450172603</v>
      </c>
      <c r="K186">
        <v>0.751994829690106</v>
      </c>
      <c r="L186">
        <v>0.49086716217794402</v>
      </c>
      <c r="M186">
        <v>0.57470095020587797</v>
      </c>
      <c r="N186">
        <v>0.75217749236458897</v>
      </c>
      <c r="O186">
        <v>0.893170762545479</v>
      </c>
      <c r="Q186" t="s">
        <v>194</v>
      </c>
      <c r="W186">
        <v>9.6973363719510694E-2</v>
      </c>
      <c r="AC186">
        <v>0.25987798676517698</v>
      </c>
    </row>
    <row r="187" spans="3:29" x14ac:dyDescent="0.25">
      <c r="C187" t="s">
        <v>334</v>
      </c>
      <c r="D187">
        <v>-1.83104439349065</v>
      </c>
      <c r="H187" t="s">
        <v>180</v>
      </c>
      <c r="I187">
        <v>9.9103539789416004</v>
      </c>
      <c r="J187">
        <v>7.76100805436778</v>
      </c>
      <c r="K187">
        <v>3.4844334638543</v>
      </c>
      <c r="N187">
        <v>9.3313944554161594</v>
      </c>
      <c r="O187">
        <v>9.4499477929974702</v>
      </c>
      <c r="Q187" t="s">
        <v>289</v>
      </c>
      <c r="T187">
        <v>6.1588349322498799E-2</v>
      </c>
      <c r="X187">
        <v>1.82527907986028E-2</v>
      </c>
      <c r="Y187">
        <v>2.0837324577415901E-2</v>
      </c>
      <c r="Z187">
        <v>2.2955913233500401E-2</v>
      </c>
      <c r="AA187">
        <v>4.2449407813566299E-2</v>
      </c>
      <c r="AB187">
        <v>5.16332570526594E-2</v>
      </c>
    </row>
    <row r="188" spans="3:29" x14ac:dyDescent="0.25">
      <c r="C188" t="s">
        <v>335</v>
      </c>
      <c r="D188">
        <v>-0.99383777586701005</v>
      </c>
      <c r="H188" t="s">
        <v>181</v>
      </c>
      <c r="J188">
        <v>2.2433879958083902</v>
      </c>
      <c r="K188">
        <v>2.2719694526465801</v>
      </c>
      <c r="M188">
        <v>0.113342912235863</v>
      </c>
      <c r="N188">
        <v>2.41810283070701</v>
      </c>
      <c r="O188">
        <v>3.2892111373412298</v>
      </c>
      <c r="Q188" t="s">
        <v>291</v>
      </c>
      <c r="R188">
        <v>0.30126483805361098</v>
      </c>
      <c r="S188">
        <v>0.24307379262481801</v>
      </c>
      <c r="T188">
        <v>0.23509244939792001</v>
      </c>
      <c r="Y188">
        <v>0.127574152324545</v>
      </c>
      <c r="Z188">
        <v>0.14053101415441299</v>
      </c>
      <c r="AB188">
        <v>0.19132084300518101</v>
      </c>
      <c r="AC188">
        <v>0.21932310183545101</v>
      </c>
    </row>
    <row r="189" spans="3:29" x14ac:dyDescent="0.25">
      <c r="C189" t="s">
        <v>336</v>
      </c>
      <c r="D189">
        <v>-1.66938592719977</v>
      </c>
      <c r="H189" t="s">
        <v>292</v>
      </c>
      <c r="O189">
        <v>3.1917479923819797E-2</v>
      </c>
      <c r="Q189" t="s">
        <v>181</v>
      </c>
      <c r="S189">
        <v>4.6190027973018104</v>
      </c>
      <c r="X189">
        <v>1.05795001136302</v>
      </c>
      <c r="AA189">
        <v>2.9716762455692001</v>
      </c>
      <c r="AB189">
        <v>4.01958391867299</v>
      </c>
      <c r="AC189">
        <v>5.1459383265897696</v>
      </c>
    </row>
    <row r="190" spans="3:29" x14ac:dyDescent="0.25">
      <c r="C190" t="s">
        <v>337</v>
      </c>
      <c r="D190">
        <v>-0.39379016415828699</v>
      </c>
      <c r="H190" t="s">
        <v>293</v>
      </c>
      <c r="I190">
        <v>0.21983925281320299</v>
      </c>
      <c r="J190">
        <v>0.13896737692425801</v>
      </c>
      <c r="K190">
        <v>0.16388467542224999</v>
      </c>
      <c r="L190">
        <v>0.115057327228704</v>
      </c>
      <c r="M190">
        <v>0.155704568994011</v>
      </c>
      <c r="N190">
        <v>0.18878117339584399</v>
      </c>
      <c r="O190">
        <v>0.22100687548647199</v>
      </c>
      <c r="Q190" t="s">
        <v>292</v>
      </c>
      <c r="R190">
        <v>0.20284925695099501</v>
      </c>
    </row>
    <row r="191" spans="3:29" x14ac:dyDescent="0.25">
      <c r="C191" t="s">
        <v>338</v>
      </c>
      <c r="D191">
        <v>-3.8919155353247099</v>
      </c>
      <c r="H191" t="s">
        <v>192</v>
      </c>
      <c r="I191">
        <v>0.87745228644996298</v>
      </c>
      <c r="J191">
        <v>8.8799566417217493E-2</v>
      </c>
      <c r="K191">
        <v>0.51601389154676203</v>
      </c>
      <c r="L191">
        <v>0.23603862150819299</v>
      </c>
      <c r="M191">
        <v>0.35141789666283901</v>
      </c>
      <c r="N191">
        <v>0.56185270416444</v>
      </c>
      <c r="O191">
        <v>0.77760584241124397</v>
      </c>
      <c r="Q191" t="s">
        <v>293</v>
      </c>
      <c r="R191">
        <v>0.21983925281320299</v>
      </c>
      <c r="S191">
        <v>0.19262360369005699</v>
      </c>
      <c r="T191">
        <v>0.183822277459115</v>
      </c>
      <c r="U191">
        <v>0.134994929265568</v>
      </c>
      <c r="V191">
        <v>0.10667240047308001</v>
      </c>
      <c r="X191">
        <v>7.9496907858763705E-2</v>
      </c>
      <c r="Z191">
        <v>0.101057785324007</v>
      </c>
      <c r="AA191">
        <v>0.17564217103087601</v>
      </c>
      <c r="AB191">
        <v>0.208718775432708</v>
      </c>
      <c r="AC191">
        <v>0.240944477523337</v>
      </c>
    </row>
    <row r="192" spans="3:29" x14ac:dyDescent="0.25">
      <c r="C192" t="s">
        <v>340</v>
      </c>
      <c r="D192">
        <v>-4.0083333333333302</v>
      </c>
      <c r="H192" t="s">
        <v>294</v>
      </c>
      <c r="I192">
        <v>0.41947923815823102</v>
      </c>
      <c r="J192">
        <v>0.38131454775343399</v>
      </c>
      <c r="K192">
        <v>0.40813799443718102</v>
      </c>
      <c r="L192">
        <v>0.36904009426028</v>
      </c>
      <c r="M192">
        <v>0.363226845364997</v>
      </c>
      <c r="N192">
        <v>0.41115203365484498</v>
      </c>
      <c r="O192">
        <v>0.40295372355438802</v>
      </c>
      <c r="Q192" t="s">
        <v>192</v>
      </c>
      <c r="Z192">
        <v>0.28778791831803702</v>
      </c>
      <c r="AA192">
        <v>0.55627805290830701</v>
      </c>
      <c r="AB192">
        <v>0.76671286040990805</v>
      </c>
      <c r="AC192">
        <v>0.98246599865671203</v>
      </c>
    </row>
    <row r="193" spans="3:29" x14ac:dyDescent="0.25">
      <c r="C193" t="s">
        <v>341</v>
      </c>
      <c r="H193" t="s">
        <v>182</v>
      </c>
      <c r="I193">
        <v>1.9973023195105799</v>
      </c>
      <c r="J193">
        <v>2.8565294993575199</v>
      </c>
      <c r="K193">
        <v>2.0345106721300898</v>
      </c>
      <c r="N193">
        <v>2.2815993924217701</v>
      </c>
      <c r="O193">
        <v>3.54323350352866</v>
      </c>
      <c r="Q193" t="s">
        <v>294</v>
      </c>
      <c r="R193">
        <v>0.41947923815823102</v>
      </c>
      <c r="S193">
        <v>0.43218750260163702</v>
      </c>
      <c r="T193">
        <v>0.40813799443718102</v>
      </c>
      <c r="U193">
        <v>0.36904009426028</v>
      </c>
      <c r="V193">
        <v>0.40280549655488501</v>
      </c>
      <c r="W193">
        <v>0.32343168333792499</v>
      </c>
      <c r="X193">
        <v>0.26114231263675702</v>
      </c>
      <c r="Z193">
        <v>0.33389288865946798</v>
      </c>
      <c r="AA193">
        <v>0.363226845364997</v>
      </c>
      <c r="AB193">
        <v>0.41115203365484498</v>
      </c>
      <c r="AC193">
        <v>0.40295372355438802</v>
      </c>
    </row>
    <row r="194" spans="3:29" x14ac:dyDescent="0.25">
      <c r="C194" t="s">
        <v>343</v>
      </c>
      <c r="D194">
        <v>-0.33333333333333298</v>
      </c>
      <c r="H194" t="s">
        <v>295</v>
      </c>
      <c r="I194">
        <v>4.2516835305474503E-2</v>
      </c>
      <c r="Q194" t="s">
        <v>182</v>
      </c>
      <c r="AA194">
        <v>0.82816215356229195</v>
      </c>
      <c r="AB194">
        <v>5.0748909407329101</v>
      </c>
      <c r="AC194">
        <v>6.4294868502888303</v>
      </c>
    </row>
    <row r="195" spans="3:29" x14ac:dyDescent="0.25">
      <c r="C195" t="s">
        <v>344</v>
      </c>
      <c r="D195">
        <v>-1</v>
      </c>
      <c r="H195" t="s">
        <v>196</v>
      </c>
      <c r="I195">
        <v>3.4299427090646599</v>
      </c>
      <c r="J195">
        <v>2.7158138111651402</v>
      </c>
      <c r="K195">
        <v>2.5161694423102601</v>
      </c>
      <c r="N195">
        <v>1.4222061563435999</v>
      </c>
      <c r="O195">
        <v>1.82502000109545</v>
      </c>
      <c r="Q195" t="s">
        <v>295</v>
      </c>
      <c r="R195">
        <v>4.2516835305474503E-2</v>
      </c>
      <c r="T195">
        <v>0.186257324960244</v>
      </c>
      <c r="Y195">
        <v>9.0846656673057094E-2</v>
      </c>
    </row>
    <row r="196" spans="3:29" x14ac:dyDescent="0.25">
      <c r="C196" t="s">
        <v>345</v>
      </c>
      <c r="D196">
        <v>-0.625</v>
      </c>
      <c r="H196" t="s">
        <v>186</v>
      </c>
      <c r="I196">
        <v>1.76317134540694</v>
      </c>
      <c r="J196">
        <v>1.06532155796737</v>
      </c>
      <c r="K196">
        <v>0.93410660648177901</v>
      </c>
      <c r="N196">
        <v>0.92951379489903396</v>
      </c>
      <c r="O196">
        <v>2.04302660456033</v>
      </c>
      <c r="Q196" t="s">
        <v>296</v>
      </c>
      <c r="AA196">
        <v>9.9354509688526299E-2</v>
      </c>
      <c r="AB196">
        <v>0.12815019190270699</v>
      </c>
    </row>
    <row r="197" spans="3:29" x14ac:dyDescent="0.25">
      <c r="C197" t="s">
        <v>346</v>
      </c>
      <c r="D197">
        <v>-0.29910940195487101</v>
      </c>
      <c r="H197" t="s">
        <v>298</v>
      </c>
      <c r="I197">
        <v>0.369051641046658</v>
      </c>
      <c r="J197">
        <v>0.36510813149992499</v>
      </c>
      <c r="K197">
        <v>0.29696454108890502</v>
      </c>
      <c r="L197">
        <v>0.185926694292987</v>
      </c>
      <c r="M197">
        <v>0.19646378713679999</v>
      </c>
      <c r="N197">
        <v>0.29903397065084703</v>
      </c>
      <c r="O197">
        <v>0.38666500421314598</v>
      </c>
      <c r="Q197" t="s">
        <v>196</v>
      </c>
      <c r="T197">
        <v>1.1909440976641501</v>
      </c>
      <c r="V197">
        <v>1.38735120323711</v>
      </c>
      <c r="AA197">
        <v>0.88250681342551096</v>
      </c>
      <c r="AC197">
        <v>2.9269254618792102</v>
      </c>
    </row>
    <row r="198" spans="3:29" x14ac:dyDescent="0.25">
      <c r="C198" t="s">
        <v>347</v>
      </c>
      <c r="D198">
        <v>-1.43333333333333</v>
      </c>
      <c r="H198" t="s">
        <v>299</v>
      </c>
      <c r="I198">
        <v>0.173819432747429</v>
      </c>
      <c r="J198">
        <v>0.15096599170543801</v>
      </c>
      <c r="K198">
        <v>0.13868116606495101</v>
      </c>
      <c r="L198">
        <v>0.10179137156249</v>
      </c>
      <c r="M198">
        <v>0.102743420698997</v>
      </c>
      <c r="N198">
        <v>0.124019891087446</v>
      </c>
      <c r="O198">
        <v>0.14660607268148701</v>
      </c>
      <c r="Q198" t="s">
        <v>186</v>
      </c>
      <c r="R198">
        <v>0.54129580392877896</v>
      </c>
      <c r="S198">
        <v>0.98993282420761197</v>
      </c>
      <c r="T198">
        <v>0.21386320051955801</v>
      </c>
    </row>
    <row r="199" spans="3:29" x14ac:dyDescent="0.25">
      <c r="C199" t="s">
        <v>349</v>
      </c>
      <c r="D199">
        <v>-3.1240503211298599E-2</v>
      </c>
      <c r="H199" t="s">
        <v>185</v>
      </c>
      <c r="I199">
        <v>0.77759082387003697</v>
      </c>
      <c r="J199">
        <v>0.297486671943968</v>
      </c>
      <c r="K199">
        <v>0.58965043380432003</v>
      </c>
      <c r="M199">
        <v>0.285992300610379</v>
      </c>
      <c r="N199">
        <v>0.54156001613745197</v>
      </c>
      <c r="O199">
        <v>0.61100772041444495</v>
      </c>
      <c r="Q199" t="s">
        <v>297</v>
      </c>
      <c r="S199">
        <v>0.25156257729705001</v>
      </c>
      <c r="X199">
        <v>0.115152018076254</v>
      </c>
      <c r="Y199">
        <v>0.125513358811359</v>
      </c>
      <c r="AB199">
        <v>0.36123765832815202</v>
      </c>
    </row>
    <row r="200" spans="3:29" x14ac:dyDescent="0.25">
      <c r="C200" t="s">
        <v>353</v>
      </c>
      <c r="D200">
        <v>-0.12709283012203501</v>
      </c>
      <c r="H200" t="s">
        <v>300</v>
      </c>
      <c r="I200">
        <v>0.432995918070681</v>
      </c>
      <c r="O200">
        <v>1.8077759241812901</v>
      </c>
      <c r="Q200" t="s">
        <v>193</v>
      </c>
      <c r="AA200">
        <v>0.59517567249374403</v>
      </c>
    </row>
    <row r="201" spans="3:29" x14ac:dyDescent="0.25">
      <c r="C201" t="s">
        <v>374</v>
      </c>
      <c r="D201">
        <v>-0.29718742850843599</v>
      </c>
      <c r="H201" t="s">
        <v>191</v>
      </c>
      <c r="I201">
        <v>0.32457011584668299</v>
      </c>
      <c r="N201">
        <v>0.29470691635693502</v>
      </c>
      <c r="O201">
        <v>0.82950410742459002</v>
      </c>
      <c r="Q201" t="s">
        <v>298</v>
      </c>
      <c r="R201">
        <v>0.45328026558197398</v>
      </c>
      <c r="S201">
        <v>0.263314453209962</v>
      </c>
      <c r="T201">
        <v>0.29696454108890502</v>
      </c>
      <c r="U201">
        <v>0.185926694292987</v>
      </c>
      <c r="V201">
        <v>0.180336891196379</v>
      </c>
      <c r="W201">
        <v>0.13187384167497501</v>
      </c>
      <c r="X201">
        <v>0.163635488417538</v>
      </c>
      <c r="Y201">
        <v>0.125819208808647</v>
      </c>
      <c r="Z201">
        <v>0.16600467498643001</v>
      </c>
      <c r="AA201">
        <v>0.218149038685747</v>
      </c>
      <c r="AB201">
        <v>0.29903397065084703</v>
      </c>
      <c r="AC201">
        <v>0.408350255762093</v>
      </c>
    </row>
    <row r="202" spans="3:29" x14ac:dyDescent="0.25">
      <c r="C202" t="s">
        <v>620</v>
      </c>
      <c r="Q202" t="s">
        <v>299</v>
      </c>
      <c r="R202">
        <v>0.173819432747429</v>
      </c>
      <c r="S202">
        <v>0.15096599170543801</v>
      </c>
      <c r="T202">
        <v>0.13868116606495101</v>
      </c>
      <c r="U202">
        <v>0.10179137156249</v>
      </c>
      <c r="V202">
        <v>8.8270239634311604E-2</v>
      </c>
      <c r="W202">
        <v>7.5344269558488206E-2</v>
      </c>
      <c r="X202">
        <v>7.4877821877502304E-2</v>
      </c>
      <c r="Y202">
        <v>7.2133991180589205E-2</v>
      </c>
      <c r="Z202">
        <v>8.0486108152543201E-2</v>
      </c>
      <c r="AA202">
        <v>0.102743420698997</v>
      </c>
      <c r="AB202">
        <v>0.124019891087446</v>
      </c>
      <c r="AC202">
        <v>0.14660607268148701</v>
      </c>
    </row>
    <row r="203" spans="3:29" x14ac:dyDescent="0.25">
      <c r="C203" t="s">
        <v>626</v>
      </c>
      <c r="Q203" t="s">
        <v>185</v>
      </c>
      <c r="X203">
        <v>0.17762926267670701</v>
      </c>
      <c r="AA203">
        <v>0.39818143609093798</v>
      </c>
      <c r="AB203">
        <v>0.54156001613745197</v>
      </c>
    </row>
    <row r="204" spans="3:29" x14ac:dyDescent="0.25">
      <c r="Q204" t="s">
        <v>300</v>
      </c>
      <c r="X204">
        <v>2.6347984184595998</v>
      </c>
      <c r="Y204">
        <v>3.7937194552379601</v>
      </c>
      <c r="Z204">
        <v>0.32525640280714502</v>
      </c>
      <c r="AA204">
        <v>2.8559658172581499</v>
      </c>
      <c r="AB204">
        <v>6.0615061232096199</v>
      </c>
      <c r="AC204">
        <v>7.5651772569773801</v>
      </c>
    </row>
    <row r="205" spans="3:29" x14ac:dyDescent="0.25">
      <c r="Q205" t="s">
        <v>188</v>
      </c>
      <c r="Z205">
        <v>2.9843327654443899</v>
      </c>
      <c r="AA205">
        <v>3.9635669541058398</v>
      </c>
      <c r="AB205">
        <v>0.63447214518820005</v>
      </c>
      <c r="AC205">
        <v>5.2225823395276896</v>
      </c>
    </row>
    <row r="206" spans="3:29" x14ac:dyDescent="0.25">
      <c r="Q206" t="s">
        <v>191</v>
      </c>
      <c r="T206">
        <v>2.1330453022526199</v>
      </c>
      <c r="AA206">
        <v>3.3966210233725702</v>
      </c>
      <c r="AB206">
        <v>2.9137963495194499</v>
      </c>
      <c r="AC206">
        <v>4.09027186952002</v>
      </c>
    </row>
    <row r="216" spans="8:30" x14ac:dyDescent="0.25">
      <c r="J216" t="s">
        <v>409</v>
      </c>
      <c r="K216" t="s">
        <v>410</v>
      </c>
      <c r="L216" t="s">
        <v>411</v>
      </c>
      <c r="M216" t="s">
        <v>419</v>
      </c>
      <c r="N216" t="s">
        <v>420</v>
      </c>
      <c r="R216" t="s">
        <v>409</v>
      </c>
      <c r="S216" t="s">
        <v>410</v>
      </c>
      <c r="T216" t="s">
        <v>411</v>
      </c>
      <c r="U216" t="s">
        <v>412</v>
      </c>
      <c r="V216" t="s">
        <v>413</v>
      </c>
      <c r="W216" t="s">
        <v>414</v>
      </c>
      <c r="X216" t="s">
        <v>415</v>
      </c>
      <c r="Y216" t="s">
        <v>416</v>
      </c>
      <c r="Z216" t="s">
        <v>417</v>
      </c>
      <c r="AA216" t="s">
        <v>418</v>
      </c>
      <c r="AB216" t="s">
        <v>419</v>
      </c>
      <c r="AC216" t="s">
        <v>420</v>
      </c>
    </row>
    <row r="217" spans="8:30" x14ac:dyDescent="0.25">
      <c r="H217" t="s">
        <v>655</v>
      </c>
      <c r="I217" t="s">
        <v>174</v>
      </c>
      <c r="J217">
        <v>0.44</v>
      </c>
      <c r="P217" t="s">
        <v>656</v>
      </c>
      <c r="Q217" t="s">
        <v>1</v>
      </c>
      <c r="R217">
        <v>4.26</v>
      </c>
      <c r="S217">
        <v>4.26</v>
      </c>
      <c r="T217">
        <v>4.26</v>
      </c>
      <c r="U217">
        <v>4.26</v>
      </c>
      <c r="V217">
        <v>4.26</v>
      </c>
      <c r="W217">
        <v>4.26</v>
      </c>
      <c r="X217">
        <v>4.26</v>
      </c>
      <c r="Y217">
        <v>4.26</v>
      </c>
      <c r="Z217">
        <v>4.26</v>
      </c>
      <c r="AA217">
        <v>4.26</v>
      </c>
      <c r="AB217">
        <v>4.26</v>
      </c>
      <c r="AC217">
        <v>4.26</v>
      </c>
    </row>
    <row r="218" spans="8:30" x14ac:dyDescent="0.25">
      <c r="H218" t="s">
        <v>655</v>
      </c>
      <c r="I218" t="s">
        <v>172</v>
      </c>
      <c r="J218">
        <v>0.6</v>
      </c>
      <c r="K218">
        <v>0.55000000000000004</v>
      </c>
      <c r="L218">
        <v>0.54</v>
      </c>
      <c r="M218">
        <v>0.47</v>
      </c>
      <c r="N218">
        <v>0.55000000000000004</v>
      </c>
      <c r="P218" t="s">
        <v>657</v>
      </c>
      <c r="Q218" t="s">
        <v>1</v>
      </c>
      <c r="R218">
        <v>4.26</v>
      </c>
      <c r="S218">
        <v>4.26</v>
      </c>
      <c r="T218">
        <v>4.26</v>
      </c>
      <c r="U218">
        <v>4.26</v>
      </c>
      <c r="V218">
        <v>4.26</v>
      </c>
      <c r="W218">
        <v>4.26</v>
      </c>
      <c r="X218">
        <v>4.26</v>
      </c>
      <c r="Y218">
        <v>4.26</v>
      </c>
      <c r="Z218">
        <v>4.26</v>
      </c>
      <c r="AA218">
        <v>4.26</v>
      </c>
      <c r="AB218">
        <v>4.26</v>
      </c>
      <c r="AC218">
        <v>4.26</v>
      </c>
    </row>
    <row r="219" spans="8:30" x14ac:dyDescent="0.25">
      <c r="H219" t="s">
        <v>655</v>
      </c>
      <c r="I219" t="s">
        <v>165</v>
      </c>
      <c r="J219">
        <v>2.41</v>
      </c>
      <c r="K219">
        <v>2.08</v>
      </c>
      <c r="L219">
        <v>1.86</v>
      </c>
      <c r="M219">
        <v>1.84</v>
      </c>
      <c r="N219">
        <v>2.0099999999999998</v>
      </c>
      <c r="P219" t="s">
        <v>657</v>
      </c>
      <c r="Q219" t="s">
        <v>38</v>
      </c>
      <c r="R219">
        <v>3.75</v>
      </c>
      <c r="S219">
        <v>3.75</v>
      </c>
      <c r="T219">
        <v>3.75</v>
      </c>
      <c r="U219">
        <v>3.75</v>
      </c>
      <c r="V219">
        <v>3.75</v>
      </c>
      <c r="W219">
        <v>3.75</v>
      </c>
      <c r="X219">
        <v>3.75</v>
      </c>
      <c r="Y219">
        <v>3.75</v>
      </c>
      <c r="Z219">
        <v>3.75</v>
      </c>
      <c r="AA219">
        <v>3.75</v>
      </c>
      <c r="AB219">
        <v>3.75</v>
      </c>
      <c r="AC219">
        <v>3.75</v>
      </c>
    </row>
    <row r="220" spans="8:30" x14ac:dyDescent="0.25">
      <c r="H220" t="s">
        <v>655</v>
      </c>
      <c r="I220" t="s">
        <v>272</v>
      </c>
      <c r="J220">
        <v>0.56000000000000005</v>
      </c>
      <c r="K220">
        <v>0.49</v>
      </c>
      <c r="L220">
        <v>0.45</v>
      </c>
      <c r="M220">
        <v>0.52</v>
      </c>
      <c r="N220">
        <v>0.54</v>
      </c>
      <c r="P220" t="s">
        <v>655</v>
      </c>
      <c r="Q220" t="s">
        <v>1</v>
      </c>
      <c r="R220">
        <v>6.35</v>
      </c>
      <c r="S220">
        <v>6.35</v>
      </c>
      <c r="T220">
        <v>6.35</v>
      </c>
      <c r="U220">
        <v>6.35</v>
      </c>
      <c r="V220">
        <v>6.35</v>
      </c>
      <c r="W220">
        <v>6.35</v>
      </c>
      <c r="X220">
        <v>6.35</v>
      </c>
      <c r="Y220">
        <v>6.35</v>
      </c>
      <c r="Z220">
        <v>6.35</v>
      </c>
      <c r="AA220">
        <v>6.35</v>
      </c>
      <c r="AB220">
        <v>6.35</v>
      </c>
      <c r="AC220">
        <v>6.35</v>
      </c>
    </row>
    <row r="221" spans="8:30" x14ac:dyDescent="0.25">
      <c r="H221" t="s">
        <v>655</v>
      </c>
      <c r="I221" t="s">
        <v>166</v>
      </c>
      <c r="J221">
        <v>1.2</v>
      </c>
      <c r="K221">
        <v>1.05</v>
      </c>
      <c r="L221">
        <v>0.87</v>
      </c>
      <c r="M221">
        <v>0.87</v>
      </c>
      <c r="N221">
        <v>1</v>
      </c>
      <c r="P221" t="s">
        <v>655</v>
      </c>
      <c r="Q221" t="s">
        <v>38</v>
      </c>
      <c r="R221">
        <v>3.75</v>
      </c>
      <c r="S221">
        <v>3.75</v>
      </c>
      <c r="T221">
        <v>3.75</v>
      </c>
      <c r="U221">
        <v>3.75</v>
      </c>
      <c r="V221">
        <v>3.75</v>
      </c>
      <c r="W221">
        <v>3.75</v>
      </c>
      <c r="X221">
        <v>3.75</v>
      </c>
      <c r="Y221">
        <v>3.75</v>
      </c>
      <c r="Z221">
        <v>3.75</v>
      </c>
      <c r="AA221">
        <v>3.75</v>
      </c>
      <c r="AB221">
        <v>3.75</v>
      </c>
      <c r="AC221">
        <v>3.75</v>
      </c>
    </row>
    <row r="222" spans="8:30" x14ac:dyDescent="0.25">
      <c r="H222" t="s">
        <v>655</v>
      </c>
      <c r="I222" t="s">
        <v>167</v>
      </c>
      <c r="J222">
        <v>1.46</v>
      </c>
      <c r="K222">
        <v>1.19</v>
      </c>
      <c r="L222">
        <v>1.0900000000000001</v>
      </c>
      <c r="M222">
        <v>1.04</v>
      </c>
      <c r="N222">
        <v>1.24</v>
      </c>
    </row>
    <row r="223" spans="8:30" x14ac:dyDescent="0.25">
      <c r="H223" t="s">
        <v>655</v>
      </c>
      <c r="I223" t="s">
        <v>164</v>
      </c>
      <c r="J223">
        <v>0.67</v>
      </c>
      <c r="K223">
        <v>0.61</v>
      </c>
      <c r="L223">
        <v>0.54</v>
      </c>
      <c r="M223">
        <v>0.52</v>
      </c>
      <c r="N223">
        <v>0.59</v>
      </c>
    </row>
    <row r="224" spans="8:30" x14ac:dyDescent="0.25">
      <c r="H224" t="s">
        <v>655</v>
      </c>
      <c r="I224" t="s">
        <v>171</v>
      </c>
      <c r="J224">
        <v>0.45</v>
      </c>
      <c r="K224">
        <v>0.4</v>
      </c>
      <c r="L224">
        <v>0.41</v>
      </c>
      <c r="N224">
        <v>0.41</v>
      </c>
      <c r="S224" t="s">
        <v>409</v>
      </c>
      <c r="T224" t="s">
        <v>410</v>
      </c>
      <c r="U224" t="s">
        <v>411</v>
      </c>
      <c r="V224" t="s">
        <v>412</v>
      </c>
      <c r="W224" t="s">
        <v>413</v>
      </c>
      <c r="X224" t="s">
        <v>414</v>
      </c>
      <c r="Y224" t="s">
        <v>415</v>
      </c>
      <c r="Z224" t="s">
        <v>416</v>
      </c>
      <c r="AA224" t="s">
        <v>417</v>
      </c>
      <c r="AB224" t="s">
        <v>418</v>
      </c>
      <c r="AC224" t="s">
        <v>419</v>
      </c>
      <c r="AD224" t="s">
        <v>420</v>
      </c>
    </row>
    <row r="225" spans="8:31" x14ac:dyDescent="0.25">
      <c r="H225" t="s">
        <v>655</v>
      </c>
      <c r="I225" t="s">
        <v>2</v>
      </c>
      <c r="J225">
        <v>1.52</v>
      </c>
      <c r="K225">
        <v>1.26</v>
      </c>
      <c r="L225">
        <v>1.1599999999999999</v>
      </c>
      <c r="M225">
        <v>1.35</v>
      </c>
      <c r="N225">
        <v>1.44</v>
      </c>
      <c r="P225" t="s">
        <v>658</v>
      </c>
      <c r="Q225" t="s">
        <v>656</v>
      </c>
      <c r="R225" t="s">
        <v>435</v>
      </c>
      <c r="S225">
        <v>4.3</v>
      </c>
      <c r="T225">
        <v>4.3</v>
      </c>
      <c r="U225">
        <v>4.3</v>
      </c>
      <c r="V225">
        <v>4.3</v>
      </c>
      <c r="W225">
        <v>4.3</v>
      </c>
      <c r="X225">
        <v>4.3</v>
      </c>
      <c r="Y225">
        <v>4.3</v>
      </c>
      <c r="Z225">
        <v>4.3</v>
      </c>
      <c r="AA225">
        <v>4.3</v>
      </c>
      <c r="AB225">
        <v>4.3</v>
      </c>
      <c r="AC225">
        <v>4.3</v>
      </c>
      <c r="AD225">
        <v>4.3</v>
      </c>
    </row>
    <row r="226" spans="8:31" x14ac:dyDescent="0.25">
      <c r="H226" t="s">
        <v>655</v>
      </c>
      <c r="I226" t="s">
        <v>173</v>
      </c>
      <c r="J226">
        <v>1.1000000000000001</v>
      </c>
      <c r="K226">
        <v>1.01</v>
      </c>
      <c r="L226">
        <v>1</v>
      </c>
      <c r="M226">
        <v>0.86</v>
      </c>
      <c r="N226">
        <v>1.01</v>
      </c>
      <c r="P226" t="s">
        <v>658</v>
      </c>
      <c r="Q226" t="s">
        <v>657</v>
      </c>
      <c r="R226" t="s">
        <v>435</v>
      </c>
      <c r="S226">
        <v>4.3</v>
      </c>
      <c r="T226">
        <v>4.3</v>
      </c>
      <c r="U226">
        <v>4.3</v>
      </c>
      <c r="V226">
        <v>4.3</v>
      </c>
      <c r="W226">
        <v>4.3</v>
      </c>
      <c r="X226">
        <v>4.3</v>
      </c>
      <c r="Y226">
        <v>4.3</v>
      </c>
      <c r="Z226">
        <v>4.3</v>
      </c>
      <c r="AA226">
        <v>4.3</v>
      </c>
      <c r="AB226">
        <v>4.3</v>
      </c>
      <c r="AC226">
        <v>4.3</v>
      </c>
      <c r="AD226">
        <v>4.3</v>
      </c>
    </row>
    <row r="227" spans="8:31" x14ac:dyDescent="0.25">
      <c r="H227" t="s">
        <v>655</v>
      </c>
      <c r="I227" t="s">
        <v>176</v>
      </c>
      <c r="J227">
        <v>1.19</v>
      </c>
      <c r="K227">
        <v>1.07</v>
      </c>
      <c r="L227">
        <v>1.05</v>
      </c>
      <c r="M227">
        <v>1</v>
      </c>
      <c r="N227">
        <v>1.1000000000000001</v>
      </c>
      <c r="P227" t="s">
        <v>658</v>
      </c>
      <c r="Q227" t="s">
        <v>657</v>
      </c>
      <c r="R227" t="s">
        <v>460</v>
      </c>
      <c r="S227">
        <v>3.7</v>
      </c>
      <c r="T227">
        <v>3.7</v>
      </c>
      <c r="U227">
        <v>3.7</v>
      </c>
      <c r="V227">
        <v>3.7</v>
      </c>
      <c r="W227">
        <v>3.7</v>
      </c>
      <c r="X227">
        <v>3.7</v>
      </c>
      <c r="Y227">
        <v>3.7</v>
      </c>
      <c r="Z227">
        <v>3.7</v>
      </c>
      <c r="AA227">
        <v>3.7</v>
      </c>
      <c r="AB227">
        <v>3.7</v>
      </c>
      <c r="AC227">
        <v>3.7</v>
      </c>
      <c r="AD227">
        <v>3.7</v>
      </c>
    </row>
    <row r="228" spans="8:31" x14ac:dyDescent="0.25">
      <c r="P228" t="s">
        <v>658</v>
      </c>
      <c r="Q228" t="s">
        <v>655</v>
      </c>
      <c r="R228" t="s">
        <v>435</v>
      </c>
      <c r="S228">
        <v>4.3</v>
      </c>
      <c r="T228">
        <v>4.3</v>
      </c>
      <c r="U228">
        <v>4.3</v>
      </c>
      <c r="V228">
        <v>4.3</v>
      </c>
      <c r="W228">
        <v>4.3</v>
      </c>
      <c r="X228">
        <v>4.3</v>
      </c>
      <c r="Y228">
        <v>4.3</v>
      </c>
      <c r="Z228">
        <v>4.3</v>
      </c>
      <c r="AA228">
        <v>4.3</v>
      </c>
      <c r="AB228">
        <v>4.3</v>
      </c>
      <c r="AC228">
        <v>4.3</v>
      </c>
      <c r="AD228">
        <v>4.3</v>
      </c>
    </row>
    <row r="229" spans="8:31" x14ac:dyDescent="0.25">
      <c r="P229" t="s">
        <v>658</v>
      </c>
      <c r="Q229" t="s">
        <v>655</v>
      </c>
      <c r="R229" t="s">
        <v>436</v>
      </c>
      <c r="S229">
        <v>2.1</v>
      </c>
      <c r="T229">
        <v>2.1</v>
      </c>
      <c r="U229">
        <v>2.1</v>
      </c>
      <c r="V229">
        <v>2.1</v>
      </c>
      <c r="W229">
        <v>2.1</v>
      </c>
      <c r="X229">
        <v>2.1</v>
      </c>
      <c r="Y229">
        <v>2.1</v>
      </c>
      <c r="Z229">
        <v>2.1</v>
      </c>
      <c r="AA229">
        <v>2.1</v>
      </c>
      <c r="AB229">
        <v>2.1</v>
      </c>
      <c r="AC229">
        <v>2.1</v>
      </c>
      <c r="AD229">
        <v>2.1</v>
      </c>
    </row>
    <row r="230" spans="8:31" x14ac:dyDescent="0.25">
      <c r="P230" t="s">
        <v>658</v>
      </c>
      <c r="Q230" t="s">
        <v>655</v>
      </c>
      <c r="R230" t="s">
        <v>460</v>
      </c>
      <c r="S230">
        <v>3.7</v>
      </c>
      <c r="T230">
        <v>3.7</v>
      </c>
      <c r="U230">
        <v>3.7</v>
      </c>
      <c r="V230">
        <v>3.7</v>
      </c>
      <c r="W230">
        <v>3.7</v>
      </c>
      <c r="X230">
        <v>3.7</v>
      </c>
      <c r="Y230">
        <v>3.7</v>
      </c>
      <c r="Z230">
        <v>3.7</v>
      </c>
      <c r="AA230">
        <v>3.7</v>
      </c>
      <c r="AB230">
        <v>3.7</v>
      </c>
      <c r="AC230">
        <v>3.7</v>
      </c>
      <c r="AD230">
        <v>3.7</v>
      </c>
    </row>
    <row r="232" spans="8:31" x14ac:dyDescent="0.25">
      <c r="J232" t="s">
        <v>409</v>
      </c>
      <c r="K232" t="s">
        <v>410</v>
      </c>
      <c r="L232" t="s">
        <v>411</v>
      </c>
      <c r="M232" t="s">
        <v>419</v>
      </c>
      <c r="N232" t="s">
        <v>420</v>
      </c>
      <c r="T232" t="s">
        <v>409</v>
      </c>
      <c r="U232" t="s">
        <v>410</v>
      </c>
      <c r="V232" t="s">
        <v>411</v>
      </c>
      <c r="W232" t="s">
        <v>412</v>
      </c>
      <c r="X232" t="s">
        <v>413</v>
      </c>
      <c r="Y232" t="s">
        <v>414</v>
      </c>
      <c r="Z232" t="s">
        <v>415</v>
      </c>
      <c r="AA232" t="s">
        <v>416</v>
      </c>
      <c r="AB232" t="s">
        <v>417</v>
      </c>
      <c r="AC232" t="s">
        <v>418</v>
      </c>
      <c r="AD232" t="s">
        <v>419</v>
      </c>
      <c r="AE232" t="s">
        <v>420</v>
      </c>
    </row>
    <row r="233" spans="8:31" x14ac:dyDescent="0.25">
      <c r="H233" t="s">
        <v>655</v>
      </c>
      <c r="I233" t="s">
        <v>168</v>
      </c>
      <c r="M233">
        <v>0.14000000000000001</v>
      </c>
      <c r="N233">
        <v>0.16</v>
      </c>
      <c r="Q233" t="s">
        <v>658</v>
      </c>
      <c r="R233" t="s">
        <v>655</v>
      </c>
      <c r="S233" t="s">
        <v>435</v>
      </c>
      <c r="T233">
        <v>4.3</v>
      </c>
      <c r="U233">
        <v>4.3</v>
      </c>
      <c r="V233">
        <v>4.3</v>
      </c>
      <c r="W233">
        <v>4.3</v>
      </c>
      <c r="X233">
        <v>4.3</v>
      </c>
      <c r="Y233">
        <v>4.3</v>
      </c>
      <c r="Z233">
        <v>4.3</v>
      </c>
      <c r="AA233">
        <v>4.3</v>
      </c>
      <c r="AB233">
        <v>4.3</v>
      </c>
      <c r="AC233">
        <v>4.3</v>
      </c>
      <c r="AD233">
        <v>4.3</v>
      </c>
      <c r="AE233">
        <v>4.3</v>
      </c>
    </row>
    <row r="234" spans="8:31" x14ac:dyDescent="0.25">
      <c r="H234" t="s">
        <v>655</v>
      </c>
      <c r="I234" t="s">
        <v>174</v>
      </c>
      <c r="J234">
        <v>0.44</v>
      </c>
      <c r="K234">
        <v>0.39</v>
      </c>
      <c r="L234">
        <v>0.35</v>
      </c>
      <c r="M234">
        <v>0.35</v>
      </c>
      <c r="N234">
        <v>0.38</v>
      </c>
      <c r="Q234" t="s">
        <v>658</v>
      </c>
      <c r="R234" t="s">
        <v>655</v>
      </c>
      <c r="S234" t="s">
        <v>436</v>
      </c>
      <c r="T234">
        <v>2.1</v>
      </c>
      <c r="U234">
        <v>2.1</v>
      </c>
      <c r="V234">
        <v>2.1</v>
      </c>
      <c r="W234">
        <v>2.1</v>
      </c>
      <c r="X234">
        <v>2.1</v>
      </c>
      <c r="Y234">
        <v>2.1</v>
      </c>
      <c r="Z234">
        <v>2.1</v>
      </c>
      <c r="AA234">
        <v>2.1</v>
      </c>
      <c r="AB234">
        <v>2.1</v>
      </c>
      <c r="AC234">
        <v>2.1</v>
      </c>
      <c r="AD234">
        <v>2.1</v>
      </c>
      <c r="AE234">
        <v>2.1</v>
      </c>
    </row>
    <row r="235" spans="8:31" x14ac:dyDescent="0.25">
      <c r="H235" t="s">
        <v>655</v>
      </c>
      <c r="I235" t="s">
        <v>269</v>
      </c>
      <c r="M235">
        <v>0.04</v>
      </c>
      <c r="N235">
        <v>0.05</v>
      </c>
      <c r="Q235" t="s">
        <v>658</v>
      </c>
      <c r="R235" t="s">
        <v>655</v>
      </c>
      <c r="S235" t="s">
        <v>460</v>
      </c>
      <c r="T235">
        <v>3.7</v>
      </c>
      <c r="U235">
        <v>3.7</v>
      </c>
      <c r="V235">
        <v>3.7</v>
      </c>
      <c r="W235">
        <v>3.7</v>
      </c>
      <c r="X235">
        <v>3.7</v>
      </c>
      <c r="Y235">
        <v>3.7</v>
      </c>
      <c r="Z235">
        <v>3.7</v>
      </c>
      <c r="AA235">
        <v>3.7</v>
      </c>
      <c r="AB235">
        <v>3.7</v>
      </c>
      <c r="AC235">
        <v>3.7</v>
      </c>
      <c r="AD235">
        <v>3.7</v>
      </c>
      <c r="AE235">
        <v>3.7</v>
      </c>
    </row>
    <row r="236" spans="8:31" x14ac:dyDescent="0.25">
      <c r="H236" t="s">
        <v>655</v>
      </c>
      <c r="I236" t="s">
        <v>172</v>
      </c>
      <c r="J236">
        <v>0.6</v>
      </c>
      <c r="K236">
        <v>0.55000000000000004</v>
      </c>
      <c r="L236">
        <v>0.54</v>
      </c>
      <c r="M236">
        <v>0.47</v>
      </c>
      <c r="N236">
        <v>0.55000000000000004</v>
      </c>
    </row>
    <row r="237" spans="8:31" x14ac:dyDescent="0.25">
      <c r="H237" t="s">
        <v>655</v>
      </c>
      <c r="I237" t="s">
        <v>175</v>
      </c>
      <c r="M237">
        <v>0.06</v>
      </c>
      <c r="N237">
        <v>0.06</v>
      </c>
    </row>
    <row r="238" spans="8:31" x14ac:dyDescent="0.25">
      <c r="H238" t="s">
        <v>655</v>
      </c>
      <c r="I238" t="s">
        <v>169</v>
      </c>
      <c r="M238">
        <v>0.15</v>
      </c>
      <c r="N238">
        <v>0.18</v>
      </c>
      <c r="T238">
        <f>SUM(supply!B2:B48)-SUM(T233:AE235)</f>
        <v>508.63849751840831</v>
      </c>
    </row>
    <row r="239" spans="8:31" x14ac:dyDescent="0.25">
      <c r="H239" t="s">
        <v>655</v>
      </c>
      <c r="I239" t="s">
        <v>165</v>
      </c>
      <c r="J239">
        <v>2.41</v>
      </c>
      <c r="K239">
        <v>2.08</v>
      </c>
      <c r="L239">
        <v>1.86</v>
      </c>
      <c r="M239">
        <v>1.84</v>
      </c>
      <c r="N239">
        <v>2.0099999999999998</v>
      </c>
    </row>
    <row r="240" spans="8:31" x14ac:dyDescent="0.25">
      <c r="H240" t="s">
        <v>655</v>
      </c>
      <c r="I240" t="s">
        <v>179</v>
      </c>
      <c r="M240">
        <v>0.06</v>
      </c>
      <c r="N240">
        <v>0.06</v>
      </c>
    </row>
    <row r="241" spans="8:14" x14ac:dyDescent="0.25">
      <c r="H241" t="s">
        <v>655</v>
      </c>
      <c r="I241" t="s">
        <v>272</v>
      </c>
      <c r="J241">
        <v>0.56000000000000005</v>
      </c>
      <c r="K241">
        <v>0.49</v>
      </c>
      <c r="L241">
        <v>0.45</v>
      </c>
      <c r="M241">
        <v>0.52</v>
      </c>
      <c r="N241">
        <v>0.54</v>
      </c>
    </row>
    <row r="242" spans="8:14" x14ac:dyDescent="0.25">
      <c r="H242" t="s">
        <v>655</v>
      </c>
      <c r="I242" t="s">
        <v>273</v>
      </c>
      <c r="M242">
        <v>0.04</v>
      </c>
      <c r="N242">
        <v>0.04</v>
      </c>
    </row>
    <row r="243" spans="8:14" x14ac:dyDescent="0.25">
      <c r="H243" t="s">
        <v>655</v>
      </c>
      <c r="I243" t="s">
        <v>166</v>
      </c>
      <c r="J243">
        <v>1.2</v>
      </c>
      <c r="K243">
        <v>1.05</v>
      </c>
      <c r="L243">
        <v>0.87</v>
      </c>
      <c r="M243">
        <v>0.87</v>
      </c>
      <c r="N243">
        <v>1</v>
      </c>
    </row>
    <row r="244" spans="8:14" x14ac:dyDescent="0.25">
      <c r="H244" t="s">
        <v>655</v>
      </c>
      <c r="I244" t="s">
        <v>274</v>
      </c>
      <c r="M244">
        <v>0.09</v>
      </c>
      <c r="N244">
        <v>0.1</v>
      </c>
    </row>
    <row r="245" spans="8:14" x14ac:dyDescent="0.25">
      <c r="H245" t="s">
        <v>655</v>
      </c>
      <c r="I245" t="s">
        <v>275</v>
      </c>
      <c r="M245">
        <v>0.04</v>
      </c>
      <c r="N245">
        <v>0.05</v>
      </c>
    </row>
    <row r="246" spans="8:14" x14ac:dyDescent="0.25">
      <c r="H246" t="s">
        <v>655</v>
      </c>
      <c r="I246" t="s">
        <v>177</v>
      </c>
      <c r="M246">
        <v>0.14000000000000001</v>
      </c>
      <c r="N246">
        <v>0.18</v>
      </c>
    </row>
    <row r="247" spans="8:14" x14ac:dyDescent="0.25">
      <c r="H247" t="s">
        <v>655</v>
      </c>
      <c r="I247" t="s">
        <v>276</v>
      </c>
      <c r="M247">
        <v>0.09</v>
      </c>
      <c r="N247">
        <v>0.09</v>
      </c>
    </row>
    <row r="248" spans="8:14" x14ac:dyDescent="0.25">
      <c r="H248" t="s">
        <v>655</v>
      </c>
      <c r="I248" t="s">
        <v>167</v>
      </c>
      <c r="J248">
        <v>1.46</v>
      </c>
      <c r="K248">
        <v>1.19</v>
      </c>
      <c r="L248">
        <v>1.0900000000000001</v>
      </c>
      <c r="M248">
        <v>1.04</v>
      </c>
      <c r="N248">
        <v>1.24</v>
      </c>
    </row>
    <row r="249" spans="8:14" x14ac:dyDescent="0.25">
      <c r="H249" t="s">
        <v>655</v>
      </c>
      <c r="I249" t="s">
        <v>277</v>
      </c>
      <c r="M249">
        <v>0.03</v>
      </c>
      <c r="N249">
        <v>0.04</v>
      </c>
    </row>
    <row r="250" spans="8:14" x14ac:dyDescent="0.25">
      <c r="H250" t="s">
        <v>655</v>
      </c>
      <c r="I250" t="s">
        <v>278</v>
      </c>
      <c r="M250">
        <v>0.03</v>
      </c>
    </row>
    <row r="251" spans="8:14" x14ac:dyDescent="0.25">
      <c r="H251" t="s">
        <v>655</v>
      </c>
      <c r="I251" t="s">
        <v>164</v>
      </c>
      <c r="J251">
        <v>0.67</v>
      </c>
      <c r="K251">
        <v>0.61</v>
      </c>
      <c r="L251">
        <v>0.54</v>
      </c>
      <c r="M251">
        <v>0.52</v>
      </c>
      <c r="N251">
        <v>0.59</v>
      </c>
    </row>
    <row r="252" spans="8:14" x14ac:dyDescent="0.25">
      <c r="H252" t="s">
        <v>655</v>
      </c>
      <c r="I252" t="s">
        <v>171</v>
      </c>
      <c r="J252">
        <v>0.45</v>
      </c>
      <c r="K252">
        <v>0.4</v>
      </c>
      <c r="L252">
        <v>0.41</v>
      </c>
      <c r="M252">
        <v>0.36</v>
      </c>
      <c r="N252">
        <v>0.41</v>
      </c>
    </row>
    <row r="253" spans="8:14" x14ac:dyDescent="0.25">
      <c r="H253" t="s">
        <v>655</v>
      </c>
      <c r="I253" t="s">
        <v>279</v>
      </c>
      <c r="M253">
        <v>7.0000000000000007E-2</v>
      </c>
      <c r="N253">
        <v>7.0000000000000007E-2</v>
      </c>
    </row>
    <row r="254" spans="8:14" x14ac:dyDescent="0.25">
      <c r="H254" t="s">
        <v>655</v>
      </c>
      <c r="I254" t="s">
        <v>178</v>
      </c>
      <c r="J254">
        <v>0.23</v>
      </c>
      <c r="K254">
        <v>0.23</v>
      </c>
      <c r="M254">
        <v>0.17</v>
      </c>
      <c r="N254">
        <v>0.22</v>
      </c>
    </row>
    <row r="255" spans="8:14" x14ac:dyDescent="0.25">
      <c r="H255" t="s">
        <v>655</v>
      </c>
      <c r="I255" t="s">
        <v>280</v>
      </c>
      <c r="M255">
        <v>0.06</v>
      </c>
      <c r="N255">
        <v>0.08</v>
      </c>
    </row>
    <row r="256" spans="8:14" x14ac:dyDescent="0.25">
      <c r="H256" t="s">
        <v>655</v>
      </c>
      <c r="I256" t="s">
        <v>281</v>
      </c>
      <c r="M256">
        <v>0.02</v>
      </c>
      <c r="N256">
        <v>0.03</v>
      </c>
    </row>
    <row r="257" spans="8:14" x14ac:dyDescent="0.25">
      <c r="H257" t="s">
        <v>655</v>
      </c>
      <c r="I257" t="s">
        <v>170</v>
      </c>
      <c r="M257">
        <v>0.1</v>
      </c>
      <c r="N257">
        <v>0.12</v>
      </c>
    </row>
    <row r="258" spans="8:14" x14ac:dyDescent="0.25">
      <c r="H258" t="s">
        <v>655</v>
      </c>
      <c r="I258" t="s">
        <v>2</v>
      </c>
      <c r="J258">
        <v>1.52</v>
      </c>
      <c r="K258">
        <v>1.26</v>
      </c>
      <c r="L258">
        <v>1.1599999999999999</v>
      </c>
      <c r="M258">
        <v>1.35</v>
      </c>
      <c r="N258">
        <v>1.44</v>
      </c>
    </row>
    <row r="259" spans="8:14" x14ac:dyDescent="0.25">
      <c r="H259" t="s">
        <v>655</v>
      </c>
      <c r="I259" t="s">
        <v>173</v>
      </c>
      <c r="J259">
        <v>1.1000000000000001</v>
      </c>
      <c r="K259">
        <v>1.01</v>
      </c>
      <c r="L259">
        <v>1</v>
      </c>
      <c r="M259">
        <v>0.86</v>
      </c>
      <c r="N259">
        <v>1.01</v>
      </c>
    </row>
    <row r="260" spans="8:14" x14ac:dyDescent="0.25">
      <c r="H260" t="s">
        <v>655</v>
      </c>
      <c r="I260" t="s">
        <v>176</v>
      </c>
      <c r="J260">
        <v>1.19</v>
      </c>
      <c r="K260">
        <v>1.07</v>
      </c>
      <c r="L260">
        <v>1.05</v>
      </c>
      <c r="M260">
        <v>1</v>
      </c>
      <c r="N260">
        <v>1.1000000000000001</v>
      </c>
    </row>
    <row r="266" spans="8:14" x14ac:dyDescent="0.25">
      <c r="J266" t="s">
        <v>409</v>
      </c>
      <c r="K266" t="s">
        <v>410</v>
      </c>
      <c r="L266" t="s">
        <v>411</v>
      </c>
      <c r="M266" t="s">
        <v>419</v>
      </c>
      <c r="N266" t="s">
        <v>420</v>
      </c>
    </row>
    <row r="267" spans="8:14" x14ac:dyDescent="0.25">
      <c r="H267" t="s">
        <v>656</v>
      </c>
      <c r="I267" t="s">
        <v>165</v>
      </c>
      <c r="J267">
        <v>2.41</v>
      </c>
      <c r="K267">
        <v>2.08</v>
      </c>
      <c r="L267">
        <v>1.86</v>
      </c>
      <c r="M267">
        <v>1.84</v>
      </c>
      <c r="N267">
        <v>2.0099999999999998</v>
      </c>
    </row>
    <row r="268" spans="8:14" x14ac:dyDescent="0.25">
      <c r="H268" t="s">
        <v>656</v>
      </c>
      <c r="I268" t="s">
        <v>167</v>
      </c>
      <c r="J268">
        <v>1.46</v>
      </c>
      <c r="N268">
        <v>1.24</v>
      </c>
    </row>
    <row r="269" spans="8:14" x14ac:dyDescent="0.25">
      <c r="H269" t="s">
        <v>656</v>
      </c>
      <c r="I269" t="s">
        <v>2</v>
      </c>
      <c r="J269">
        <v>1.52</v>
      </c>
      <c r="M269">
        <v>1.35</v>
      </c>
      <c r="N269">
        <v>1.44</v>
      </c>
    </row>
    <row r="270" spans="8:14" x14ac:dyDescent="0.25">
      <c r="H270" t="s">
        <v>657</v>
      </c>
      <c r="I270" t="s">
        <v>168</v>
      </c>
      <c r="N270">
        <v>0.16</v>
      </c>
    </row>
    <row r="271" spans="8:14" x14ac:dyDescent="0.25">
      <c r="H271" t="s">
        <v>657</v>
      </c>
      <c r="I271" t="s">
        <v>174</v>
      </c>
      <c r="M271">
        <v>0.35</v>
      </c>
      <c r="N271">
        <v>0.38</v>
      </c>
    </row>
    <row r="272" spans="8:14" x14ac:dyDescent="0.25">
      <c r="H272" t="s">
        <v>657</v>
      </c>
      <c r="I272" t="s">
        <v>172</v>
      </c>
      <c r="M272">
        <v>0.47</v>
      </c>
      <c r="N272">
        <v>0.55000000000000004</v>
      </c>
    </row>
    <row r="273" spans="8:14" x14ac:dyDescent="0.25">
      <c r="H273" t="s">
        <v>657</v>
      </c>
      <c r="I273" t="s">
        <v>169</v>
      </c>
      <c r="N273">
        <v>0.18</v>
      </c>
    </row>
    <row r="274" spans="8:14" x14ac:dyDescent="0.25">
      <c r="H274" t="s">
        <v>657</v>
      </c>
      <c r="I274" t="s">
        <v>165</v>
      </c>
      <c r="J274">
        <v>2.41</v>
      </c>
      <c r="K274">
        <v>2.08</v>
      </c>
      <c r="L274">
        <v>1.86</v>
      </c>
      <c r="M274">
        <v>1.84</v>
      </c>
      <c r="N274">
        <v>2.0099999999999998</v>
      </c>
    </row>
    <row r="275" spans="8:14" x14ac:dyDescent="0.25">
      <c r="H275" t="s">
        <v>657</v>
      </c>
      <c r="I275" t="s">
        <v>272</v>
      </c>
      <c r="M275">
        <v>0.52</v>
      </c>
      <c r="N275">
        <v>0.54</v>
      </c>
    </row>
    <row r="276" spans="8:14" x14ac:dyDescent="0.25">
      <c r="H276" t="s">
        <v>657</v>
      </c>
      <c r="I276" t="s">
        <v>166</v>
      </c>
      <c r="M276">
        <v>0.87</v>
      </c>
      <c r="N276">
        <v>1</v>
      </c>
    </row>
    <row r="277" spans="8:14" x14ac:dyDescent="0.25">
      <c r="H277" t="s">
        <v>657</v>
      </c>
      <c r="I277" t="s">
        <v>177</v>
      </c>
      <c r="N277">
        <v>0.18</v>
      </c>
    </row>
    <row r="278" spans="8:14" x14ac:dyDescent="0.25">
      <c r="H278" t="s">
        <v>657</v>
      </c>
      <c r="I278" t="s">
        <v>167</v>
      </c>
      <c r="M278">
        <v>1.04</v>
      </c>
      <c r="N278">
        <v>1.24</v>
      </c>
    </row>
    <row r="279" spans="8:14" x14ac:dyDescent="0.25">
      <c r="H279" t="s">
        <v>657</v>
      </c>
      <c r="I279" t="s">
        <v>164</v>
      </c>
      <c r="M279">
        <v>0.52</v>
      </c>
      <c r="N279">
        <v>0.59</v>
      </c>
    </row>
    <row r="280" spans="8:14" x14ac:dyDescent="0.25">
      <c r="H280" t="s">
        <v>657</v>
      </c>
      <c r="I280" t="s">
        <v>171</v>
      </c>
      <c r="M280">
        <v>0.36</v>
      </c>
      <c r="N280">
        <v>0.41</v>
      </c>
    </row>
    <row r="281" spans="8:14" x14ac:dyDescent="0.25">
      <c r="H281" t="s">
        <v>657</v>
      </c>
      <c r="I281" t="s">
        <v>178</v>
      </c>
      <c r="M281">
        <v>0.17</v>
      </c>
      <c r="N281">
        <v>0.22</v>
      </c>
    </row>
    <row r="282" spans="8:14" x14ac:dyDescent="0.25">
      <c r="H282" t="s">
        <v>657</v>
      </c>
      <c r="I282" t="s">
        <v>2</v>
      </c>
      <c r="M282">
        <v>1.35</v>
      </c>
      <c r="N282">
        <v>1.44</v>
      </c>
    </row>
    <row r="283" spans="8:14" x14ac:dyDescent="0.25">
      <c r="H283" t="s">
        <v>657</v>
      </c>
      <c r="I283" t="s">
        <v>173</v>
      </c>
      <c r="M283">
        <v>0.86</v>
      </c>
      <c r="N283">
        <v>1.01</v>
      </c>
    </row>
    <row r="284" spans="8:14" x14ac:dyDescent="0.25">
      <c r="H284" t="s">
        <v>657</v>
      </c>
      <c r="I284" t="s">
        <v>176</v>
      </c>
      <c r="M284">
        <v>1</v>
      </c>
      <c r="N284">
        <v>1.1000000000000001</v>
      </c>
    </row>
    <row r="285" spans="8:14" x14ac:dyDescent="0.25">
      <c r="H285" t="s">
        <v>655</v>
      </c>
      <c r="I285" t="s">
        <v>168</v>
      </c>
      <c r="M285">
        <v>0.14000000000000001</v>
      </c>
      <c r="N285">
        <v>0.16</v>
      </c>
    </row>
    <row r="286" spans="8:14" x14ac:dyDescent="0.25">
      <c r="H286" t="s">
        <v>655</v>
      </c>
      <c r="I286" t="s">
        <v>174</v>
      </c>
      <c r="M286">
        <v>0.35</v>
      </c>
      <c r="N286">
        <v>0.38</v>
      </c>
    </row>
    <row r="287" spans="8:14" x14ac:dyDescent="0.25">
      <c r="H287" t="s">
        <v>655</v>
      </c>
      <c r="I287" t="s">
        <v>172</v>
      </c>
      <c r="J287">
        <v>0.6</v>
      </c>
      <c r="M287">
        <v>0.47</v>
      </c>
      <c r="N287">
        <v>0.55000000000000004</v>
      </c>
    </row>
    <row r="288" spans="8:14" x14ac:dyDescent="0.25">
      <c r="H288" t="s">
        <v>655</v>
      </c>
      <c r="I288" t="s">
        <v>169</v>
      </c>
      <c r="M288">
        <v>0.15</v>
      </c>
      <c r="N288">
        <v>0.18</v>
      </c>
    </row>
    <row r="289" spans="8:14" x14ac:dyDescent="0.25">
      <c r="H289" t="s">
        <v>655</v>
      </c>
      <c r="I289" t="s">
        <v>165</v>
      </c>
      <c r="J289">
        <v>2.41</v>
      </c>
      <c r="K289">
        <v>2.08</v>
      </c>
      <c r="L289">
        <v>1.86</v>
      </c>
      <c r="M289">
        <v>1.84</v>
      </c>
      <c r="N289">
        <v>2.0099999999999998</v>
      </c>
    </row>
    <row r="290" spans="8:14" x14ac:dyDescent="0.25">
      <c r="H290" t="s">
        <v>655</v>
      </c>
      <c r="I290" t="s">
        <v>272</v>
      </c>
      <c r="M290">
        <v>0.52</v>
      </c>
      <c r="N290">
        <v>0.54</v>
      </c>
    </row>
    <row r="291" spans="8:14" x14ac:dyDescent="0.25">
      <c r="H291" t="s">
        <v>655</v>
      </c>
      <c r="I291" t="s">
        <v>166</v>
      </c>
      <c r="J291">
        <v>1.2</v>
      </c>
      <c r="K291">
        <v>1.05</v>
      </c>
      <c r="M291">
        <v>0.87</v>
      </c>
      <c r="N291">
        <v>1</v>
      </c>
    </row>
    <row r="292" spans="8:14" x14ac:dyDescent="0.25">
      <c r="H292" t="s">
        <v>655</v>
      </c>
      <c r="I292" t="s">
        <v>177</v>
      </c>
      <c r="M292">
        <v>0.14000000000000001</v>
      </c>
      <c r="N292">
        <v>0.18</v>
      </c>
    </row>
    <row r="293" spans="8:14" x14ac:dyDescent="0.25">
      <c r="H293" t="s">
        <v>655</v>
      </c>
      <c r="I293" t="s">
        <v>167</v>
      </c>
      <c r="J293">
        <v>1.46</v>
      </c>
      <c r="K293">
        <v>1.19</v>
      </c>
      <c r="L293">
        <v>1.0900000000000001</v>
      </c>
      <c r="M293">
        <v>1.04</v>
      </c>
      <c r="N293">
        <v>1.24</v>
      </c>
    </row>
    <row r="294" spans="8:14" x14ac:dyDescent="0.25">
      <c r="H294" t="s">
        <v>655</v>
      </c>
      <c r="I294" t="s">
        <v>164</v>
      </c>
      <c r="M294">
        <v>0.52</v>
      </c>
      <c r="N294">
        <v>0.59</v>
      </c>
    </row>
    <row r="295" spans="8:14" x14ac:dyDescent="0.25">
      <c r="H295" t="s">
        <v>655</v>
      </c>
      <c r="I295" t="s">
        <v>171</v>
      </c>
      <c r="M295">
        <v>0.36</v>
      </c>
      <c r="N295">
        <v>0.41</v>
      </c>
    </row>
    <row r="296" spans="8:14" x14ac:dyDescent="0.25">
      <c r="H296" t="s">
        <v>655</v>
      </c>
      <c r="I296" t="s">
        <v>178</v>
      </c>
      <c r="M296">
        <v>0.17</v>
      </c>
      <c r="N296">
        <v>0.22</v>
      </c>
    </row>
    <row r="297" spans="8:14" x14ac:dyDescent="0.25">
      <c r="H297" t="s">
        <v>655</v>
      </c>
      <c r="I297" t="s">
        <v>170</v>
      </c>
      <c r="M297">
        <v>0.1</v>
      </c>
      <c r="N297">
        <v>0.12</v>
      </c>
    </row>
    <row r="298" spans="8:14" x14ac:dyDescent="0.25">
      <c r="H298" t="s">
        <v>655</v>
      </c>
      <c r="I298" t="s">
        <v>2</v>
      </c>
      <c r="J298">
        <v>1.52</v>
      </c>
      <c r="K298">
        <v>1.26</v>
      </c>
      <c r="L298">
        <v>1.1599999999999999</v>
      </c>
      <c r="M298">
        <v>1.35</v>
      </c>
      <c r="N298">
        <v>1.44</v>
      </c>
    </row>
    <row r="299" spans="8:14" x14ac:dyDescent="0.25">
      <c r="H299" t="s">
        <v>655</v>
      </c>
      <c r="I299" t="s">
        <v>173</v>
      </c>
      <c r="J299">
        <v>1.1000000000000001</v>
      </c>
      <c r="K299">
        <v>1.01</v>
      </c>
      <c r="L299">
        <v>1</v>
      </c>
      <c r="M299">
        <v>0.86</v>
      </c>
      <c r="N299">
        <v>1.01</v>
      </c>
    </row>
    <row r="300" spans="8:14" x14ac:dyDescent="0.25">
      <c r="H300" t="s">
        <v>655</v>
      </c>
      <c r="I300" t="s">
        <v>176</v>
      </c>
      <c r="J300">
        <v>1.19</v>
      </c>
      <c r="K300">
        <v>1.07</v>
      </c>
      <c r="L300">
        <v>1.05</v>
      </c>
      <c r="M300">
        <v>1</v>
      </c>
      <c r="N300">
        <v>1.1000000000000001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12">
    <tabColor theme="1"/>
  </sheetPr>
  <dimension ref="B2:AV45"/>
  <sheetViews>
    <sheetView topLeftCell="A4" zoomScale="85" zoomScaleNormal="85" workbookViewId="0">
      <selection activeCell="V43" sqref="V43"/>
    </sheetView>
  </sheetViews>
  <sheetFormatPr defaultColWidth="11.42578125" defaultRowHeight="15" x14ac:dyDescent="0.25"/>
  <cols>
    <col min="1" max="56" width="4" customWidth="1"/>
  </cols>
  <sheetData>
    <row r="2" spans="6:46" ht="15.75" thickBot="1" x14ac:dyDescent="0.3"/>
    <row r="3" spans="6:46" x14ac:dyDescent="0.25">
      <c r="F3" s="46"/>
      <c r="G3" s="46"/>
      <c r="H3" s="46"/>
      <c r="I3" s="46"/>
      <c r="J3" s="46"/>
      <c r="K3" s="46"/>
      <c r="V3" s="54"/>
      <c r="W3" s="52" t="s">
        <v>136</v>
      </c>
      <c r="X3" s="53"/>
      <c r="Y3" s="57">
        <f>network!Q3</f>
        <v>0</v>
      </c>
    </row>
    <row r="4" spans="6:46" x14ac:dyDescent="0.25">
      <c r="F4" s="46"/>
      <c r="G4" t="s">
        <v>37</v>
      </c>
      <c r="K4" s="46"/>
      <c r="V4" s="54"/>
      <c r="W4" s="72" t="s">
        <v>135</v>
      </c>
      <c r="X4" s="54"/>
      <c r="Y4" s="73" t="e">
        <f>#REF!</f>
        <v>#REF!</v>
      </c>
      <c r="AF4" s="46"/>
      <c r="AG4" s="46"/>
      <c r="AH4" s="46"/>
      <c r="AI4" s="46"/>
      <c r="AJ4" s="46"/>
      <c r="AK4" s="46"/>
      <c r="AL4" s="46"/>
      <c r="AM4" s="46"/>
      <c r="AN4" s="1"/>
      <c r="AO4" s="1"/>
    </row>
    <row r="5" spans="6:46" ht="15.75" thickBot="1" x14ac:dyDescent="0.3">
      <c r="F5" s="46"/>
      <c r="G5" t="s">
        <v>126</v>
      </c>
      <c r="H5" s="49"/>
      <c r="J5" s="60">
        <f>'upload_nodes(inactive)'!D9</f>
        <v>60</v>
      </c>
      <c r="K5" s="46"/>
      <c r="W5" s="55" t="s">
        <v>128</v>
      </c>
      <c r="X5" s="56"/>
      <c r="Y5" s="76">
        <f>network!P3</f>
        <v>4.8999999999999995</v>
      </c>
      <c r="Z5" s="32"/>
      <c r="AA5" s="32"/>
      <c r="AF5" s="46"/>
      <c r="AG5" s="3" t="s">
        <v>5</v>
      </c>
      <c r="AM5" s="70"/>
      <c r="AN5" s="1"/>
      <c r="AO5" s="1"/>
    </row>
    <row r="6" spans="6:46" x14ac:dyDescent="0.25">
      <c r="F6" s="46"/>
      <c r="G6" t="s">
        <v>127</v>
      </c>
      <c r="H6" s="49"/>
      <c r="J6" s="61">
        <f>'upload_nodes(inactive)'!E9</f>
        <v>0.2</v>
      </c>
      <c r="K6" s="46"/>
      <c r="AA6" s="32"/>
      <c r="AF6" s="46"/>
      <c r="AM6" s="70"/>
      <c r="AN6" s="1"/>
      <c r="AO6" s="1"/>
    </row>
    <row r="7" spans="6:46" ht="15.75" thickBot="1" x14ac:dyDescent="0.3">
      <c r="F7" s="46"/>
      <c r="K7" s="46"/>
      <c r="AA7" s="32"/>
      <c r="AF7" s="46"/>
      <c r="AG7" t="s">
        <v>126</v>
      </c>
      <c r="AH7" s="49"/>
      <c r="AI7" s="60">
        <f>'upload_nodes(inactive)'!D7</f>
        <v>80</v>
      </c>
      <c r="AM7" s="70"/>
      <c r="AN7" s="1"/>
      <c r="AO7" s="1"/>
    </row>
    <row r="8" spans="6:46" x14ac:dyDescent="0.25">
      <c r="F8" s="46"/>
      <c r="G8" s="46"/>
      <c r="H8" s="46"/>
      <c r="I8" s="46"/>
      <c r="J8" s="46"/>
      <c r="K8" s="46"/>
      <c r="Z8" s="69" t="s">
        <v>133</v>
      </c>
      <c r="AA8" s="53"/>
      <c r="AB8" s="62">
        <f>network!O4</f>
        <v>15.15515429444922</v>
      </c>
      <c r="AF8" s="46"/>
      <c r="AG8" t="s">
        <v>127</v>
      </c>
      <c r="AH8" s="49"/>
      <c r="AI8" s="61">
        <f>'upload_nodes(inactive)'!E7</f>
        <v>0.2</v>
      </c>
      <c r="AM8" s="70"/>
      <c r="AN8" s="1"/>
      <c r="AO8" s="1"/>
    </row>
    <row r="9" spans="6:46" ht="15.75" thickBot="1" x14ac:dyDescent="0.3">
      <c r="Q9" s="3">
        <v>6</v>
      </c>
      <c r="Z9" s="55" t="s">
        <v>132</v>
      </c>
      <c r="AA9" s="56"/>
      <c r="AB9" s="63">
        <f>network!P4</f>
        <v>4.5500000000000052</v>
      </c>
      <c r="AF9" s="46"/>
      <c r="AM9" s="70"/>
      <c r="AN9" s="1"/>
      <c r="AO9" s="1"/>
    </row>
    <row r="10" spans="6:46" x14ac:dyDescent="0.25">
      <c r="H10" s="69" t="s">
        <v>133</v>
      </c>
      <c r="I10" s="53"/>
      <c r="J10" s="62">
        <f>network!O7</f>
        <v>8.6313939046527182</v>
      </c>
      <c r="AF10" s="46"/>
      <c r="AM10" s="70"/>
      <c r="AN10" s="1"/>
      <c r="AO10" s="1"/>
    </row>
    <row r="11" spans="6:46" ht="16.5" thickBot="1" x14ac:dyDescent="0.3">
      <c r="H11" s="55" t="s">
        <v>132</v>
      </c>
      <c r="I11" s="56"/>
      <c r="J11" s="63">
        <f>network!P7</f>
        <v>2.0999999999999996</v>
      </c>
      <c r="L11" s="79">
        <v>3</v>
      </c>
      <c r="AF11" s="70"/>
      <c r="AG11" s="70"/>
      <c r="AH11" s="70"/>
      <c r="AI11" s="70"/>
      <c r="AJ11" s="70"/>
      <c r="AK11" s="70"/>
      <c r="AL11" s="70"/>
      <c r="AM11" s="70"/>
      <c r="AN11" s="1"/>
      <c r="AO11" s="1"/>
    </row>
    <row r="12" spans="6:46" x14ac:dyDescent="0.25">
      <c r="Z12" s="32"/>
      <c r="AA12" s="32"/>
      <c r="AF12" s="1"/>
      <c r="AG12" s="1"/>
      <c r="AH12" s="1"/>
      <c r="AI12" s="1"/>
      <c r="AJ12" s="1"/>
      <c r="AK12" s="1"/>
      <c r="AL12" s="1"/>
      <c r="AM12" s="1"/>
      <c r="AN12" s="1"/>
      <c r="AO12" s="1"/>
    </row>
    <row r="13" spans="6:46" ht="16.5" thickBot="1" x14ac:dyDescent="0.3">
      <c r="X13" s="79">
        <v>1</v>
      </c>
      <c r="Z13" s="32"/>
      <c r="AA13" s="32"/>
      <c r="AF13" s="1"/>
      <c r="AG13" s="1"/>
      <c r="AH13" s="1"/>
      <c r="AI13" s="1"/>
      <c r="AJ13" s="1"/>
      <c r="AK13" s="1"/>
      <c r="AL13" s="1"/>
      <c r="AM13" s="1"/>
      <c r="AN13" s="1"/>
      <c r="AO13" s="1"/>
    </row>
    <row r="14" spans="6:46" x14ac:dyDescent="0.25">
      <c r="K14" s="32"/>
      <c r="S14" s="52" t="s">
        <v>136</v>
      </c>
      <c r="T14" s="53"/>
      <c r="U14" s="57" t="e">
        <f>#REF!</f>
        <v>#REF!</v>
      </c>
      <c r="Z14" s="32"/>
      <c r="AA14" s="32"/>
    </row>
    <row r="15" spans="6:46" ht="15.75" thickBot="1" x14ac:dyDescent="0.3">
      <c r="J15" s="2"/>
      <c r="K15" s="2"/>
      <c r="L15" s="2"/>
      <c r="M15" s="2"/>
      <c r="N15" s="2"/>
      <c r="O15" s="2"/>
      <c r="P15" s="2"/>
      <c r="Q15" s="2"/>
      <c r="S15" s="72" t="s">
        <v>135</v>
      </c>
      <c r="T15" s="54"/>
      <c r="U15" s="73" t="e">
        <f>#REF!</f>
        <v>#REF!</v>
      </c>
      <c r="Z15" s="32"/>
      <c r="AA15" s="32"/>
    </row>
    <row r="16" spans="6:46" ht="16.5" thickBot="1" x14ac:dyDescent="0.3">
      <c r="F16" s="69" t="s">
        <v>133</v>
      </c>
      <c r="G16" s="53"/>
      <c r="H16" s="62" t="e">
        <f>#REF!</f>
        <v>#REF!</v>
      </c>
      <c r="J16" s="2"/>
      <c r="K16" s="4" t="s">
        <v>124</v>
      </c>
      <c r="L16" s="1"/>
      <c r="M16" s="1"/>
      <c r="N16" s="1"/>
      <c r="O16" s="1"/>
      <c r="P16" s="1"/>
      <c r="Q16" s="2"/>
      <c r="S16" s="55" t="s">
        <v>128</v>
      </c>
      <c r="T16" s="56"/>
      <c r="U16" s="76" t="e">
        <f>#REF!</f>
        <v>#REF!</v>
      </c>
      <c r="Z16" s="32"/>
      <c r="AA16" s="32"/>
      <c r="AJ16" s="79">
        <v>2</v>
      </c>
      <c r="AT16" t="s">
        <v>123</v>
      </c>
    </row>
    <row r="17" spans="2:48" ht="15.75" thickBot="1" x14ac:dyDescent="0.3">
      <c r="F17" s="55" t="s">
        <v>132</v>
      </c>
      <c r="G17" s="56"/>
      <c r="H17" s="63" t="e">
        <f>#REF!</f>
        <v>#REF!</v>
      </c>
      <c r="J17" s="2"/>
      <c r="K17" t="s">
        <v>126</v>
      </c>
      <c r="L17" s="50"/>
      <c r="N17" s="60">
        <f>'upload_nodes(inactive)'!D5</f>
        <v>40</v>
      </c>
      <c r="O17" s="1"/>
      <c r="P17" s="1"/>
      <c r="Q17" s="2"/>
      <c r="R17" s="1"/>
      <c r="S17" s="1"/>
      <c r="W17" s="1"/>
      <c r="X17" s="1"/>
      <c r="Y17" s="1"/>
      <c r="Z17" s="1"/>
      <c r="AA17" s="1"/>
      <c r="AT17" s="46"/>
      <c r="AV17" t="s">
        <v>120</v>
      </c>
    </row>
    <row r="18" spans="2:48" ht="15.75" thickBot="1" x14ac:dyDescent="0.3">
      <c r="J18" s="2"/>
      <c r="K18" t="s">
        <v>127</v>
      </c>
      <c r="L18" s="49"/>
      <c r="N18" s="61">
        <f>'upload_nodes(inactive)'!E5</f>
        <v>0.2</v>
      </c>
      <c r="O18" s="1"/>
      <c r="P18" s="1"/>
      <c r="Q18" s="2"/>
      <c r="R18" s="1"/>
      <c r="S18" s="1"/>
      <c r="W18" s="1"/>
      <c r="AT18" s="2"/>
      <c r="AV18" t="s">
        <v>121</v>
      </c>
    </row>
    <row r="19" spans="2:48" ht="15.75" x14ac:dyDescent="0.25">
      <c r="J19" s="2"/>
      <c r="K19" s="50" t="s">
        <v>122</v>
      </c>
      <c r="L19" s="50"/>
      <c r="N19" s="64">
        <f>'upload_nodes(inactive)'!B5</f>
        <v>70</v>
      </c>
      <c r="O19" s="1"/>
      <c r="P19" s="1"/>
      <c r="Q19" s="2"/>
      <c r="R19" s="1"/>
      <c r="S19" s="1"/>
      <c r="V19" s="79">
        <v>5</v>
      </c>
      <c r="W19" s="1"/>
      <c r="AF19" s="69" t="s">
        <v>133</v>
      </c>
      <c r="AG19" s="53"/>
      <c r="AH19" s="62">
        <f>network!O5</f>
        <v>4.5231475112257566</v>
      </c>
    </row>
    <row r="20" spans="2:48" ht="15.75" thickBot="1" x14ac:dyDescent="0.3">
      <c r="J20" s="2"/>
      <c r="K20" s="2"/>
      <c r="L20" s="2"/>
      <c r="M20" s="2"/>
      <c r="N20" s="2"/>
      <c r="O20" s="2"/>
      <c r="P20" s="2"/>
      <c r="Q20" s="2"/>
      <c r="R20" s="1"/>
      <c r="S20" s="1"/>
      <c r="W20" s="1"/>
      <c r="AF20" s="55" t="s">
        <v>132</v>
      </c>
      <c r="AG20" s="56"/>
      <c r="AH20" s="63">
        <f>network!P5</f>
        <v>2.0999999999999996</v>
      </c>
      <c r="AT20" t="s">
        <v>125</v>
      </c>
    </row>
    <row r="21" spans="2:48" ht="15.75" thickBot="1" x14ac:dyDescent="0.3">
      <c r="D21" s="3">
        <v>9</v>
      </c>
      <c r="J21" s="1"/>
      <c r="K21" s="1"/>
      <c r="L21" s="1"/>
      <c r="M21" s="1"/>
      <c r="N21" s="1"/>
      <c r="O21" s="1"/>
      <c r="P21" s="1"/>
      <c r="Q21" s="1"/>
      <c r="R21" s="1"/>
      <c r="S21" s="1"/>
      <c r="W21" s="1"/>
      <c r="X21" s="1"/>
      <c r="AT21" s="58"/>
      <c r="AV21" t="s">
        <v>126</v>
      </c>
    </row>
    <row r="22" spans="2:48" x14ac:dyDescent="0.25">
      <c r="J22" s="52" t="s">
        <v>136</v>
      </c>
      <c r="K22" s="53"/>
      <c r="L22" s="57" t="e">
        <f>#REF!</f>
        <v>#REF!</v>
      </c>
      <c r="N22" s="1"/>
      <c r="O22" s="1"/>
      <c r="P22" s="1"/>
      <c r="Q22" s="1"/>
      <c r="R22" s="1"/>
      <c r="S22" s="1"/>
      <c r="W22" s="1"/>
      <c r="X22" s="1"/>
      <c r="AT22" s="58"/>
      <c r="AV22" t="s">
        <v>127</v>
      </c>
    </row>
    <row r="23" spans="2:48" x14ac:dyDescent="0.25">
      <c r="J23" s="72" t="s">
        <v>135</v>
      </c>
      <c r="K23" s="54"/>
      <c r="L23" s="73" t="e">
        <f>#REF!</f>
        <v>#REF!</v>
      </c>
      <c r="N23" s="4">
        <v>8</v>
      </c>
      <c r="O23" s="1"/>
      <c r="P23" s="1"/>
      <c r="Q23" s="2"/>
      <c r="R23" s="2"/>
      <c r="S23" s="2"/>
      <c r="T23" s="2"/>
      <c r="U23" s="2"/>
      <c r="V23" s="2"/>
      <c r="W23" s="2"/>
      <c r="X23" s="2"/>
      <c r="AT23" s="59"/>
      <c r="AV23" t="s">
        <v>3</v>
      </c>
    </row>
    <row r="24" spans="2:48" ht="15.75" thickBot="1" x14ac:dyDescent="0.3">
      <c r="J24" s="55" t="s">
        <v>128</v>
      </c>
      <c r="K24" s="74"/>
      <c r="L24" s="75" t="e">
        <f>#REF!</f>
        <v>#REF!</v>
      </c>
      <c r="M24" s="1"/>
      <c r="N24" s="1"/>
      <c r="O24" s="1"/>
      <c r="P24" s="1"/>
      <c r="Q24" s="2"/>
      <c r="R24" s="4" t="s">
        <v>131</v>
      </c>
      <c r="S24" s="1"/>
      <c r="T24" s="1"/>
      <c r="X24" s="2"/>
    </row>
    <row r="25" spans="2:48" x14ac:dyDescent="0.25">
      <c r="Q25" s="2"/>
      <c r="R25" t="s">
        <v>126</v>
      </c>
      <c r="S25" s="50"/>
      <c r="U25" s="60">
        <f>'upload_nodes(inactive)'!H19</f>
        <v>0</v>
      </c>
      <c r="X25" s="2"/>
      <c r="AB25" s="3">
        <v>7</v>
      </c>
      <c r="AT25" t="s">
        <v>129</v>
      </c>
    </row>
    <row r="26" spans="2:48" x14ac:dyDescent="0.25">
      <c r="B26" s="46"/>
      <c r="C26" s="46"/>
      <c r="D26" s="46"/>
      <c r="E26" s="46"/>
      <c r="F26" s="46"/>
      <c r="G26" s="46"/>
      <c r="Q26" s="2"/>
      <c r="R26" t="s">
        <v>127</v>
      </c>
      <c r="S26" s="49"/>
      <c r="U26" s="61">
        <f>'upload_nodes(inactive)'!J19</f>
        <v>0</v>
      </c>
      <c r="X26" s="2"/>
      <c r="AC26" s="32"/>
      <c r="AT26" s="30"/>
      <c r="AV26" t="s">
        <v>133</v>
      </c>
    </row>
    <row r="27" spans="2:48" ht="15.75" thickBot="1" x14ac:dyDescent="0.3">
      <c r="B27" s="46"/>
      <c r="C27" s="1" t="s">
        <v>38</v>
      </c>
      <c r="D27" s="1"/>
      <c r="E27" s="1"/>
      <c r="F27" s="1"/>
      <c r="G27" s="46"/>
      <c r="J27" s="3">
        <v>10</v>
      </c>
      <c r="Q27" s="2"/>
      <c r="R27" s="50" t="s">
        <v>122</v>
      </c>
      <c r="S27" s="50"/>
      <c r="U27" s="64">
        <f>'upload_nodes(inactive)'!G19</f>
        <v>0</v>
      </c>
      <c r="X27" s="2"/>
      <c r="AA27" s="54"/>
      <c r="AB27" s="54"/>
      <c r="AC27" s="54"/>
      <c r="AO27" s="1"/>
      <c r="AP27" s="1"/>
      <c r="AQ27" s="1"/>
      <c r="AT27" s="30"/>
      <c r="AV27" t="s">
        <v>132</v>
      </c>
    </row>
    <row r="28" spans="2:48" ht="15.75" thickBot="1" x14ac:dyDescent="0.3">
      <c r="B28" s="46"/>
      <c r="C28" t="s">
        <v>126</v>
      </c>
      <c r="D28" s="50"/>
      <c r="F28" s="60">
        <f>'upload_nodes(inactive)'!D11</f>
        <v>1000</v>
      </c>
      <c r="G28" s="46"/>
      <c r="K28" s="54"/>
      <c r="L28" s="54"/>
      <c r="M28" s="54"/>
      <c r="N28" s="54"/>
      <c r="Q28" s="2"/>
      <c r="R28" s="2"/>
      <c r="S28" s="2"/>
      <c r="T28" s="2"/>
      <c r="U28" s="2"/>
      <c r="V28" s="2"/>
      <c r="W28" s="2"/>
      <c r="X28" s="2"/>
      <c r="AA28" s="52" t="s">
        <v>136</v>
      </c>
      <c r="AB28" s="53"/>
      <c r="AC28" s="57">
        <f>network!Q6</f>
        <v>0</v>
      </c>
      <c r="AO28" s="1"/>
      <c r="AP28" s="1"/>
      <c r="AQ28" s="1"/>
    </row>
    <row r="29" spans="2:48" x14ac:dyDescent="0.25">
      <c r="B29" s="46"/>
      <c r="C29" t="s">
        <v>127</v>
      </c>
      <c r="D29" s="49"/>
      <c r="F29" s="61">
        <f>'upload_nodes(inactive)'!E11</f>
        <v>0.2</v>
      </c>
      <c r="G29" s="46"/>
      <c r="K29" s="54"/>
      <c r="L29" s="52" t="s">
        <v>136</v>
      </c>
      <c r="M29" s="53"/>
      <c r="N29" s="57" t="e">
        <f>#REF!</f>
        <v>#REF!</v>
      </c>
      <c r="AA29" s="72" t="s">
        <v>135</v>
      </c>
      <c r="AB29" s="54"/>
      <c r="AC29" s="73" t="e">
        <f>#REF!</f>
        <v>#REF!</v>
      </c>
      <c r="AT29" t="s">
        <v>130</v>
      </c>
    </row>
    <row r="30" spans="2:48" ht="15.75" thickBot="1" x14ac:dyDescent="0.3">
      <c r="B30" s="46"/>
      <c r="F30" s="1"/>
      <c r="G30" s="46"/>
      <c r="K30" s="54"/>
      <c r="L30" s="72" t="s">
        <v>135</v>
      </c>
      <c r="M30" s="54"/>
      <c r="N30" s="73" t="e">
        <f>#REF!</f>
        <v>#REF!</v>
      </c>
      <c r="AA30" s="55" t="s">
        <v>128</v>
      </c>
      <c r="AB30" s="56"/>
      <c r="AC30" s="76">
        <f>network!P6</f>
        <v>3.5</v>
      </c>
      <c r="AT30" s="51"/>
      <c r="AV30" t="s">
        <v>134</v>
      </c>
    </row>
    <row r="31" spans="2:48" ht="15.75" thickBot="1" x14ac:dyDescent="0.3">
      <c r="B31" s="46"/>
      <c r="C31" s="46"/>
      <c r="D31" s="46"/>
      <c r="E31" s="46"/>
      <c r="F31" s="46"/>
      <c r="G31" s="46"/>
      <c r="K31" s="54"/>
      <c r="L31" s="55" t="s">
        <v>128</v>
      </c>
      <c r="M31" s="56"/>
      <c r="N31" s="76" t="e">
        <f>#REF!</f>
        <v>#REF!</v>
      </c>
      <c r="AJ31" s="1"/>
      <c r="AT31" s="68"/>
      <c r="AV31" t="s">
        <v>135</v>
      </c>
    </row>
    <row r="32" spans="2:48" x14ac:dyDescent="0.25">
      <c r="N32" s="71"/>
      <c r="AT32" s="68"/>
      <c r="AV32" t="s">
        <v>128</v>
      </c>
    </row>
    <row r="33" spans="12:40" ht="15.75" x14ac:dyDescent="0.25">
      <c r="R33" s="79">
        <v>4</v>
      </c>
      <c r="AB33" s="2"/>
      <c r="AC33" s="2"/>
      <c r="AD33" s="2"/>
      <c r="AE33" s="2"/>
      <c r="AF33" s="2"/>
      <c r="AG33" s="2"/>
      <c r="AH33" s="2"/>
      <c r="AI33" s="2"/>
      <c r="AJ33" s="1"/>
    </row>
    <row r="34" spans="12:40" ht="15.75" thickBot="1" x14ac:dyDescent="0.3">
      <c r="AB34" s="2"/>
      <c r="AC34" s="4" t="s">
        <v>6</v>
      </c>
      <c r="AD34" s="1"/>
      <c r="AE34" s="1"/>
      <c r="AF34" s="1"/>
      <c r="AG34" s="1"/>
      <c r="AH34" s="1"/>
      <c r="AI34" s="2"/>
      <c r="AJ34" s="1"/>
    </row>
    <row r="35" spans="12:40" x14ac:dyDescent="0.25">
      <c r="N35" s="69" t="s">
        <v>133</v>
      </c>
      <c r="O35" s="53"/>
      <c r="P35" s="62">
        <f>network!O8</f>
        <v>3.9230438521066207</v>
      </c>
      <c r="AB35" s="2"/>
      <c r="AC35" t="s">
        <v>126</v>
      </c>
      <c r="AD35" s="50"/>
      <c r="AF35" s="60">
        <f>'upload_nodes(inactive)'!D8</f>
        <v>5</v>
      </c>
      <c r="AG35" s="1"/>
      <c r="AH35" s="1"/>
      <c r="AI35" s="2"/>
      <c r="AJ35" s="1"/>
      <c r="AK35" s="1"/>
      <c r="AL35" s="1"/>
      <c r="AM35" s="1"/>
      <c r="AN35" s="1"/>
    </row>
    <row r="36" spans="12:40" ht="15.75" thickBot="1" x14ac:dyDescent="0.3">
      <c r="N36" s="55" t="s">
        <v>132</v>
      </c>
      <c r="O36" s="56"/>
      <c r="P36" s="63">
        <f>network!P8</f>
        <v>2.0999999999999996</v>
      </c>
      <c r="AB36" s="2"/>
      <c r="AC36" t="s">
        <v>127</v>
      </c>
      <c r="AD36" s="49"/>
      <c r="AF36" s="61">
        <f>'upload_nodes(inactive)'!E8</f>
        <v>0.2</v>
      </c>
      <c r="AI36" s="2"/>
      <c r="AJ36" s="1"/>
      <c r="AK36" s="1"/>
      <c r="AL36" s="1"/>
      <c r="AM36" s="1"/>
      <c r="AN36" s="1"/>
    </row>
    <row r="37" spans="12:40" x14ac:dyDescent="0.25">
      <c r="AA37" s="1"/>
      <c r="AB37" s="2"/>
      <c r="AC37" s="50" t="s">
        <v>122</v>
      </c>
      <c r="AD37" s="50"/>
      <c r="AF37" s="65">
        <f>'upload_nodes(inactive)'!B8</f>
        <v>0</v>
      </c>
      <c r="AG37" s="1"/>
      <c r="AH37" s="1"/>
      <c r="AI37" s="2"/>
      <c r="AJ37" s="1"/>
    </row>
    <row r="38" spans="12:40" x14ac:dyDescent="0.25">
      <c r="AA38" s="1"/>
      <c r="AB38" s="2"/>
      <c r="AC38" s="2"/>
      <c r="AD38" s="2"/>
      <c r="AE38" s="2"/>
      <c r="AF38" s="2"/>
      <c r="AG38" s="2"/>
      <c r="AH38" s="2"/>
      <c r="AI38" s="2"/>
      <c r="AJ38" s="1"/>
    </row>
    <row r="39" spans="12:40" x14ac:dyDescent="0.25">
      <c r="P39" s="32"/>
      <c r="AI39" s="1"/>
    </row>
    <row r="40" spans="12:40" x14ac:dyDescent="0.25">
      <c r="L40" s="46"/>
      <c r="M40" s="46"/>
      <c r="N40" s="46"/>
      <c r="O40" s="46"/>
      <c r="P40" s="46"/>
      <c r="Q40" s="46"/>
    </row>
    <row r="41" spans="12:40" x14ac:dyDescent="0.25">
      <c r="L41" s="46"/>
      <c r="M41" s="1" t="s">
        <v>107</v>
      </c>
      <c r="N41" s="1"/>
      <c r="O41" s="1"/>
      <c r="P41" s="1"/>
      <c r="Q41" s="46"/>
    </row>
    <row r="42" spans="12:40" x14ac:dyDescent="0.25">
      <c r="L42" s="46"/>
      <c r="M42" t="s">
        <v>126</v>
      </c>
      <c r="N42" s="50"/>
      <c r="P42" s="60">
        <f>'upload_nodes(inactive)'!D10</f>
        <v>10</v>
      </c>
      <c r="Q42" s="46"/>
    </row>
    <row r="43" spans="12:40" x14ac:dyDescent="0.25">
      <c r="L43" s="46"/>
      <c r="M43" t="s">
        <v>127</v>
      </c>
      <c r="N43" s="49"/>
      <c r="P43" s="61">
        <f>'upload_nodes(inactive)'!E10</f>
        <v>0.2</v>
      </c>
      <c r="Q43" s="46"/>
    </row>
    <row r="44" spans="12:40" x14ac:dyDescent="0.25">
      <c r="L44" s="46"/>
      <c r="P44" s="1"/>
      <c r="Q44" s="46"/>
    </row>
    <row r="45" spans="12:40" x14ac:dyDescent="0.25">
      <c r="L45" s="46"/>
      <c r="M45" s="46"/>
      <c r="N45" s="46"/>
      <c r="O45" s="46"/>
      <c r="P45" s="46"/>
      <c r="Q45" s="4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13">
    <tabColor theme="1"/>
  </sheetPr>
  <dimension ref="A1:O36"/>
  <sheetViews>
    <sheetView zoomScale="85" zoomScaleNormal="85" workbookViewId="0">
      <selection activeCell="F44" sqref="F44"/>
    </sheetView>
  </sheetViews>
  <sheetFormatPr defaultColWidth="11.42578125" defaultRowHeight="15" x14ac:dyDescent="0.25"/>
  <cols>
    <col min="1" max="1" width="21" customWidth="1"/>
    <col min="2" max="12" width="15.7109375" customWidth="1"/>
    <col min="13" max="14" width="10.85546875" customWidth="1"/>
  </cols>
  <sheetData>
    <row r="1" spans="1:15" x14ac:dyDescent="0.25">
      <c r="A1" s="32"/>
      <c r="B1" s="32"/>
      <c r="C1" s="32"/>
      <c r="D1" s="32"/>
      <c r="E1" s="32"/>
      <c r="F1" s="32"/>
      <c r="G1" s="32"/>
      <c r="H1" s="32"/>
      <c r="I1" s="32"/>
      <c r="J1" s="32"/>
      <c r="K1" s="32"/>
      <c r="L1" s="32"/>
      <c r="M1" s="32"/>
    </row>
    <row r="2" spans="1:15" x14ac:dyDescent="0.25">
      <c r="A2" s="44"/>
      <c r="B2" s="45"/>
      <c r="C2" s="45"/>
      <c r="D2" s="44"/>
      <c r="E2" s="44"/>
      <c r="F2" s="44"/>
      <c r="G2" s="44"/>
      <c r="H2" s="44"/>
      <c r="I2" s="32"/>
      <c r="J2" s="32"/>
      <c r="K2" s="343"/>
      <c r="L2" s="343"/>
      <c r="M2" s="32"/>
    </row>
    <row r="3" spans="1:15" x14ac:dyDescent="0.25">
      <c r="A3" s="32"/>
      <c r="B3" s="32"/>
      <c r="C3" s="32"/>
      <c r="D3" s="34"/>
      <c r="E3" s="32"/>
      <c r="F3" s="32"/>
      <c r="G3" s="32"/>
      <c r="H3" s="32"/>
      <c r="I3" s="32"/>
      <c r="J3" s="32"/>
      <c r="K3" s="32"/>
      <c r="L3" s="32"/>
      <c r="M3" s="32"/>
    </row>
    <row r="4" spans="1:15" ht="30" x14ac:dyDescent="0.25">
      <c r="A4" s="42" t="s">
        <v>115</v>
      </c>
      <c r="B4" s="42" t="s">
        <v>140</v>
      </c>
      <c r="C4" s="42" t="s">
        <v>141</v>
      </c>
      <c r="D4" s="42" t="s">
        <v>138</v>
      </c>
      <c r="E4" s="42" t="s">
        <v>137</v>
      </c>
      <c r="F4" s="42" t="s">
        <v>139</v>
      </c>
      <c r="G4" s="42" t="s">
        <v>4</v>
      </c>
      <c r="H4" s="43" t="s">
        <v>40</v>
      </c>
      <c r="I4" s="43" t="s">
        <v>41</v>
      </c>
      <c r="J4" s="43" t="s">
        <v>42</v>
      </c>
      <c r="K4" s="43" t="s">
        <v>43</v>
      </c>
      <c r="L4" s="66" t="s">
        <v>44</v>
      </c>
      <c r="M4" s="66" t="s">
        <v>45</v>
      </c>
    </row>
    <row r="5" spans="1:15" x14ac:dyDescent="0.25">
      <c r="A5" s="32" t="s">
        <v>124</v>
      </c>
      <c r="B5" s="39">
        <v>70</v>
      </c>
      <c r="C5" s="39" t="s">
        <v>46</v>
      </c>
      <c r="D5" s="39">
        <v>40</v>
      </c>
      <c r="E5" s="77">
        <v>0.2</v>
      </c>
      <c r="F5" s="40">
        <f>D5*E5</f>
        <v>8</v>
      </c>
      <c r="G5" s="39">
        <v>2</v>
      </c>
      <c r="H5" s="39">
        <v>1000</v>
      </c>
      <c r="I5" s="39"/>
      <c r="J5" s="39">
        <v>10</v>
      </c>
      <c r="K5" s="40">
        <f>J5*5</f>
        <v>50</v>
      </c>
      <c r="L5" s="67"/>
      <c r="M5" s="67"/>
    </row>
    <row r="6" spans="1:15" x14ac:dyDescent="0.25">
      <c r="A6" s="32" t="s">
        <v>131</v>
      </c>
      <c r="B6" s="39">
        <v>0</v>
      </c>
      <c r="C6" s="39" t="s">
        <v>46</v>
      </c>
      <c r="D6" s="39">
        <v>40</v>
      </c>
      <c r="E6" s="77">
        <v>0.2</v>
      </c>
      <c r="F6" s="40">
        <f t="shared" ref="F6:F10" si="0">D6*E6</f>
        <v>8</v>
      </c>
      <c r="G6" s="39">
        <v>2</v>
      </c>
      <c r="H6" s="39">
        <v>1000</v>
      </c>
      <c r="I6" s="39"/>
      <c r="J6" s="39">
        <v>10</v>
      </c>
      <c r="K6" s="40">
        <f>J6*5</f>
        <v>50</v>
      </c>
      <c r="L6" s="67"/>
      <c r="M6" s="67"/>
    </row>
    <row r="7" spans="1:15" x14ac:dyDescent="0.25">
      <c r="A7" s="32" t="s">
        <v>1</v>
      </c>
      <c r="B7" s="40">
        <v>0</v>
      </c>
      <c r="C7" s="40">
        <v>0</v>
      </c>
      <c r="D7" s="39">
        <v>80</v>
      </c>
      <c r="E7" s="77">
        <v>0.2</v>
      </c>
      <c r="F7" s="40">
        <f t="shared" si="0"/>
        <v>16</v>
      </c>
      <c r="G7" s="39">
        <v>1</v>
      </c>
      <c r="H7" s="39"/>
      <c r="I7" s="39"/>
      <c r="J7" s="39"/>
      <c r="K7" s="40"/>
      <c r="L7" s="67"/>
      <c r="M7" s="67"/>
    </row>
    <row r="8" spans="1:15" x14ac:dyDescent="0.25">
      <c r="A8" s="32" t="s">
        <v>2</v>
      </c>
      <c r="B8" s="40">
        <v>0</v>
      </c>
      <c r="C8" s="40" t="s">
        <v>46</v>
      </c>
      <c r="D8" s="39">
        <v>5</v>
      </c>
      <c r="E8" s="77">
        <v>0.2</v>
      </c>
      <c r="F8" s="40">
        <f t="shared" si="0"/>
        <v>1</v>
      </c>
      <c r="G8" s="39">
        <v>2</v>
      </c>
      <c r="H8" s="39"/>
      <c r="I8" s="39"/>
      <c r="J8" s="39"/>
      <c r="K8" s="40"/>
      <c r="L8" s="67"/>
      <c r="M8" s="67"/>
    </row>
    <row r="9" spans="1:15" x14ac:dyDescent="0.25">
      <c r="A9" s="32" t="s">
        <v>39</v>
      </c>
      <c r="B9" s="40">
        <v>0</v>
      </c>
      <c r="C9" s="40">
        <v>0</v>
      </c>
      <c r="D9" s="39">
        <v>60</v>
      </c>
      <c r="E9" s="77">
        <v>0.2</v>
      </c>
      <c r="F9" s="40">
        <f t="shared" si="0"/>
        <v>12</v>
      </c>
      <c r="G9" s="39">
        <v>1</v>
      </c>
      <c r="H9" s="39"/>
      <c r="I9" s="39"/>
      <c r="J9" s="39"/>
      <c r="K9" s="40"/>
      <c r="L9" s="67"/>
      <c r="M9" s="67"/>
    </row>
    <row r="10" spans="1:15" x14ac:dyDescent="0.25">
      <c r="A10" s="32" t="s">
        <v>90</v>
      </c>
      <c r="B10" s="40">
        <v>0</v>
      </c>
      <c r="C10" s="40">
        <v>0</v>
      </c>
      <c r="D10" s="39">
        <v>10</v>
      </c>
      <c r="E10" s="77">
        <v>0.2</v>
      </c>
      <c r="F10" s="40">
        <f t="shared" si="0"/>
        <v>2</v>
      </c>
      <c r="G10" s="39">
        <v>2</v>
      </c>
      <c r="H10" s="39"/>
      <c r="I10" s="39"/>
      <c r="J10" s="39"/>
      <c r="K10" s="40"/>
      <c r="L10" s="67"/>
      <c r="M10" s="67"/>
    </row>
    <row r="11" spans="1:15" x14ac:dyDescent="0.25">
      <c r="A11" s="32" t="s">
        <v>38</v>
      </c>
      <c r="B11" s="40">
        <v>0</v>
      </c>
      <c r="C11" s="40">
        <v>0</v>
      </c>
      <c r="D11" s="78">
        <v>1000</v>
      </c>
      <c r="E11" s="77">
        <v>0.2</v>
      </c>
      <c r="F11" s="78">
        <v>1000</v>
      </c>
      <c r="G11" s="39">
        <v>10</v>
      </c>
      <c r="H11" s="39"/>
      <c r="I11" s="39">
        <v>1000</v>
      </c>
      <c r="J11" s="39"/>
      <c r="K11" s="40"/>
      <c r="L11" s="67"/>
      <c r="M11" s="67"/>
      <c r="O11" s="1"/>
    </row>
    <row r="12" spans="1:15" x14ac:dyDescent="0.25">
      <c r="A12" s="32"/>
      <c r="B12" s="40"/>
      <c r="D12" s="40"/>
      <c r="E12" s="40"/>
      <c r="F12" s="40"/>
      <c r="G12" s="40"/>
      <c r="H12" s="39"/>
      <c r="I12" s="39"/>
      <c r="J12" s="39"/>
      <c r="K12" s="40"/>
      <c r="L12" s="67"/>
      <c r="M12" s="67"/>
      <c r="O12" s="1"/>
    </row>
    <row r="13" spans="1:15" x14ac:dyDescent="0.25">
      <c r="D13" s="40"/>
      <c r="E13" s="40"/>
      <c r="F13" s="40"/>
      <c r="G13" s="40"/>
      <c r="H13" s="29"/>
      <c r="I13" s="29"/>
      <c r="J13" s="32"/>
      <c r="K13" s="32"/>
      <c r="L13" s="32"/>
      <c r="M13" s="32"/>
      <c r="O13" s="1"/>
    </row>
    <row r="14" spans="1:15" s="46" customFormat="1" x14ac:dyDescent="0.25">
      <c r="D14" s="47"/>
      <c r="E14" s="47"/>
      <c r="F14" s="47"/>
      <c r="G14" s="48"/>
      <c r="H14" s="48"/>
      <c r="I14" s="48"/>
      <c r="J14" s="47"/>
      <c r="K14" s="47"/>
      <c r="L14" s="47"/>
      <c r="M14" s="47"/>
    </row>
    <row r="15" spans="1:15" x14ac:dyDescent="0.25">
      <c r="A15" s="32"/>
      <c r="B15" s="32"/>
      <c r="C15" s="35"/>
      <c r="D15" s="35"/>
      <c r="E15" s="32"/>
      <c r="F15" s="32"/>
      <c r="G15" s="29"/>
      <c r="H15" s="29"/>
      <c r="I15" s="29"/>
      <c r="J15" s="32"/>
      <c r="K15" s="32"/>
      <c r="L15" s="32"/>
      <c r="M15" s="32"/>
      <c r="O15" s="1"/>
    </row>
    <row r="16" spans="1:15" x14ac:dyDescent="0.25">
      <c r="A16" s="32" t="s">
        <v>113</v>
      </c>
      <c r="B16" s="40">
        <f>SUM(B5:B11)</f>
        <v>70</v>
      </c>
      <c r="C16" s="40">
        <f>SUM(C5:C11)</f>
        <v>0</v>
      </c>
      <c r="D16" s="32" t="s">
        <v>108</v>
      </c>
      <c r="E16" s="32" t="s">
        <v>110</v>
      </c>
      <c r="F16" s="32"/>
      <c r="G16" s="29"/>
      <c r="H16" s="29"/>
      <c r="I16" s="29"/>
      <c r="J16" s="32"/>
      <c r="K16" s="32"/>
      <c r="L16" s="32"/>
      <c r="M16" s="32"/>
      <c r="O16" s="1"/>
    </row>
    <row r="17" spans="1:15" x14ac:dyDescent="0.25">
      <c r="A17" s="32" t="s">
        <v>114</v>
      </c>
      <c r="B17" s="40" t="e">
        <f>B16*#REF!/100</f>
        <v>#REF!</v>
      </c>
      <c r="C17" s="39">
        <f>C16/12*F5/100</f>
        <v>0</v>
      </c>
      <c r="D17" s="32" t="s">
        <v>109</v>
      </c>
      <c r="E17" s="32" t="s">
        <v>111</v>
      </c>
      <c r="F17" s="32"/>
      <c r="G17" s="29"/>
      <c r="H17" s="29"/>
      <c r="I17" s="29"/>
      <c r="J17" s="32"/>
      <c r="K17" s="32"/>
      <c r="L17" s="32"/>
      <c r="M17" s="32"/>
      <c r="O17" s="1"/>
    </row>
    <row r="18" spans="1:15" x14ac:dyDescent="0.25">
      <c r="D18" s="32"/>
      <c r="E18" s="32"/>
      <c r="F18" s="32"/>
      <c r="G18" s="29"/>
      <c r="H18" s="29"/>
      <c r="I18" s="29"/>
      <c r="J18" s="32"/>
      <c r="K18" s="32"/>
      <c r="L18" s="32"/>
      <c r="M18" s="32"/>
      <c r="O18" s="1"/>
    </row>
    <row r="19" spans="1:15" x14ac:dyDescent="0.25">
      <c r="A19" s="32"/>
      <c r="B19" s="32"/>
      <c r="C19" s="32"/>
      <c r="D19" s="32" t="s">
        <v>112</v>
      </c>
      <c r="E19" s="41">
        <v>46000</v>
      </c>
      <c r="F19" s="32"/>
      <c r="G19" s="32"/>
      <c r="H19" s="32"/>
      <c r="I19" s="32"/>
      <c r="J19" s="32"/>
      <c r="K19" s="32"/>
      <c r="L19" s="32"/>
      <c r="M19" s="32"/>
      <c r="O19" s="1"/>
    </row>
    <row r="20" spans="1:15" x14ac:dyDescent="0.25">
      <c r="A20" s="32"/>
      <c r="B20" s="32"/>
      <c r="C20" s="32"/>
      <c r="F20" s="32"/>
      <c r="G20" s="32"/>
      <c r="H20" s="32"/>
      <c r="I20" s="32"/>
      <c r="J20" s="32"/>
      <c r="K20" s="32"/>
      <c r="L20" s="32"/>
      <c r="M20" s="32"/>
      <c r="O20" s="1"/>
    </row>
    <row r="21" spans="1:15" x14ac:dyDescent="0.25">
      <c r="A21" s="32"/>
      <c r="B21" s="32"/>
      <c r="C21" s="29"/>
      <c r="F21" s="32"/>
      <c r="G21" s="32"/>
      <c r="H21" s="32"/>
      <c r="I21" s="32"/>
      <c r="J21" s="32"/>
      <c r="K21" s="32"/>
      <c r="L21" s="32"/>
      <c r="M21" s="32"/>
    </row>
    <row r="22" spans="1:15" x14ac:dyDescent="0.25">
      <c r="A22" s="32"/>
      <c r="B22" s="32"/>
      <c r="C22" s="29"/>
      <c r="F22" s="32"/>
      <c r="G22" s="32"/>
      <c r="H22" s="32"/>
      <c r="I22" s="32"/>
      <c r="J22" s="32"/>
      <c r="K22" s="32"/>
      <c r="L22" s="32"/>
      <c r="M22" s="32"/>
    </row>
    <row r="23" spans="1:15" x14ac:dyDescent="0.25">
      <c r="A23" s="32"/>
      <c r="B23" s="32"/>
      <c r="C23" s="29"/>
      <c r="F23" s="32"/>
      <c r="G23" s="32"/>
      <c r="H23" s="32"/>
      <c r="I23" s="32"/>
      <c r="J23" s="32"/>
      <c r="K23" s="32"/>
      <c r="L23" s="32"/>
      <c r="M23" s="32"/>
    </row>
    <row r="24" spans="1:15" x14ac:dyDescent="0.25">
      <c r="A24" s="32"/>
      <c r="B24" s="32"/>
      <c r="C24" s="29"/>
      <c r="D24" s="32"/>
      <c r="E24" s="32"/>
      <c r="F24" s="32"/>
      <c r="G24" s="32"/>
      <c r="H24" s="32"/>
      <c r="I24" s="32"/>
      <c r="J24" s="32"/>
      <c r="K24" s="32"/>
      <c r="L24" s="32"/>
      <c r="M24" s="32"/>
    </row>
    <row r="25" spans="1:15" x14ac:dyDescent="0.25">
      <c r="A25" s="32"/>
      <c r="B25" s="32"/>
      <c r="C25" s="29"/>
      <c r="D25" s="32"/>
      <c r="E25" s="32"/>
      <c r="F25" s="32"/>
      <c r="G25" s="32"/>
      <c r="H25" s="32"/>
      <c r="I25" s="32"/>
      <c r="J25" s="32"/>
      <c r="K25" s="32"/>
      <c r="L25" s="32"/>
      <c r="M25" s="32"/>
    </row>
    <row r="26" spans="1:15" x14ac:dyDescent="0.25">
      <c r="A26" s="32"/>
      <c r="B26" s="32"/>
      <c r="C26" s="29"/>
      <c r="D26" s="32"/>
      <c r="E26" s="32"/>
      <c r="F26" s="32"/>
      <c r="G26" s="32"/>
      <c r="H26" s="32"/>
      <c r="I26" s="32"/>
      <c r="J26" s="32"/>
      <c r="K26" s="32"/>
      <c r="L26" s="32"/>
      <c r="M26" s="32"/>
    </row>
    <row r="27" spans="1:15" x14ac:dyDescent="0.25">
      <c r="A27" s="32"/>
      <c r="B27" s="32"/>
      <c r="C27" s="32"/>
      <c r="D27" s="32"/>
      <c r="E27" s="32"/>
      <c r="F27" s="32"/>
      <c r="G27" s="32"/>
      <c r="H27" s="32"/>
      <c r="I27" s="32"/>
      <c r="J27" s="32"/>
      <c r="K27" s="32"/>
      <c r="L27" s="32"/>
      <c r="M27" s="32"/>
    </row>
    <row r="28" spans="1:15" x14ac:dyDescent="0.25">
      <c r="A28" s="32"/>
      <c r="B28" s="32"/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</row>
    <row r="29" spans="1:15" x14ac:dyDescent="0.25">
      <c r="A29" s="32"/>
      <c r="B29" s="32"/>
      <c r="C29" s="32"/>
      <c r="D29" s="32"/>
      <c r="E29" s="32"/>
      <c r="F29" s="32"/>
      <c r="G29" s="32"/>
      <c r="H29" s="32"/>
      <c r="I29" s="32"/>
      <c r="J29" s="32"/>
      <c r="K29" s="32"/>
      <c r="L29" s="32"/>
      <c r="M29" s="32"/>
    </row>
    <row r="30" spans="1:15" x14ac:dyDescent="0.25">
      <c r="A30" s="32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2"/>
    </row>
    <row r="31" spans="1:15" x14ac:dyDescent="0.25">
      <c r="A31" s="32"/>
      <c r="B31" s="32"/>
      <c r="C31" s="32"/>
      <c r="D31" s="32"/>
      <c r="E31" s="32"/>
      <c r="F31" s="32"/>
      <c r="G31" s="32"/>
      <c r="H31" s="32"/>
      <c r="I31" s="32"/>
      <c r="J31" s="32"/>
      <c r="K31" s="32"/>
      <c r="L31" s="32"/>
      <c r="M31" s="32"/>
    </row>
    <row r="32" spans="1:15" x14ac:dyDescent="0.25">
      <c r="A32" s="32"/>
      <c r="B32" s="32"/>
      <c r="C32" s="32"/>
      <c r="D32" s="32"/>
      <c r="E32" s="32"/>
      <c r="F32" s="32"/>
      <c r="G32" s="32"/>
      <c r="H32" s="32"/>
      <c r="I32" s="32"/>
      <c r="J32" s="32"/>
      <c r="K32" s="32"/>
      <c r="L32" s="32"/>
      <c r="M32" s="32"/>
    </row>
    <row r="33" spans="1:13" x14ac:dyDescent="0.25">
      <c r="A33" s="32"/>
      <c r="B33" s="32"/>
      <c r="C33" s="32"/>
      <c r="D33" s="32"/>
      <c r="E33" s="32"/>
      <c r="F33" s="32"/>
      <c r="G33" s="32"/>
      <c r="H33" s="32"/>
      <c r="I33" s="32"/>
      <c r="J33" s="32"/>
      <c r="K33" s="32"/>
      <c r="L33" s="32"/>
      <c r="M33" s="32"/>
    </row>
    <row r="34" spans="1:13" x14ac:dyDescent="0.25">
      <c r="A34" s="32"/>
      <c r="B34" s="32"/>
      <c r="C34" s="32"/>
      <c r="D34" s="32"/>
      <c r="E34" s="32"/>
      <c r="F34" s="32"/>
      <c r="G34" s="32"/>
      <c r="H34" s="32"/>
      <c r="I34" s="32"/>
      <c r="J34" s="32"/>
      <c r="K34" s="32"/>
      <c r="L34" s="32"/>
      <c r="M34" s="32"/>
    </row>
    <row r="35" spans="1:13" x14ac:dyDescent="0.25">
      <c r="A35" s="32"/>
      <c r="B35" s="32"/>
      <c r="C35" s="32"/>
      <c r="D35" s="32"/>
      <c r="E35" s="32"/>
      <c r="F35" s="32"/>
      <c r="G35" s="32"/>
      <c r="H35" s="32"/>
      <c r="I35" s="32"/>
      <c r="J35" s="32"/>
      <c r="K35" s="32"/>
      <c r="L35" s="32"/>
      <c r="M35" s="32"/>
    </row>
    <row r="36" spans="1:13" x14ac:dyDescent="0.25">
      <c r="A36" s="32"/>
      <c r="B36" s="32"/>
      <c r="C36" s="32"/>
      <c r="D36" s="32"/>
      <c r="E36" s="32"/>
      <c r="F36" s="32"/>
      <c r="G36" s="32"/>
      <c r="H36" s="32"/>
      <c r="I36" s="32"/>
      <c r="J36" s="32"/>
      <c r="K36" s="32"/>
      <c r="L36" s="32"/>
      <c r="M36" s="32"/>
    </row>
  </sheetData>
  <mergeCells count="1">
    <mergeCell ref="K2:L2"/>
  </mergeCells>
  <conditionalFormatting sqref="B16:C16 B5:B12 D12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{AC5ECC09-E857-429A-83DE-B24900B347D8}</x14:id>
        </ext>
      </extLst>
    </cfRule>
  </conditionalFormatting>
  <conditionalFormatting sqref="C5:C1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{8B591125-8ACB-48DB-9465-99E1A73E8861}</x14:id>
        </ext>
      </extLst>
    </cfRule>
  </conditionalFormatting>
  <conditionalFormatting sqref="D5:D10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{7CFEF493-4761-4D7E-B7A9-ADC75D5F4B8E}</x14:id>
        </ext>
      </extLst>
    </cfRule>
  </conditionalFormatting>
  <conditionalFormatting sqref="F5:F10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{E264B02C-8513-4C6F-B143-08469B98479E}</x14:id>
        </ext>
      </extLst>
    </cfRule>
  </conditionalFormatting>
  <pageMargins left="0.7" right="0.7" top="0.78740157499999996" bottom="0.78740157499999996" header="0.3" footer="0.3"/>
  <pageSetup paperSize="9" orientation="portrait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C5ECC09-E857-429A-83DE-B24900B347D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B16:C16 B5:B12 D12</xm:sqref>
        </x14:conditionalFormatting>
        <x14:conditionalFormatting xmlns:xm="http://schemas.microsoft.com/office/excel/2006/main">
          <x14:cfRule type="dataBar" id="{8B591125-8ACB-48DB-9465-99E1A73E886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C5:C11</xm:sqref>
        </x14:conditionalFormatting>
        <x14:conditionalFormatting xmlns:xm="http://schemas.microsoft.com/office/excel/2006/main">
          <x14:cfRule type="dataBar" id="{7CFEF493-4761-4D7E-B7A9-ADC75D5F4B8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D5:D10</xm:sqref>
        </x14:conditionalFormatting>
        <x14:conditionalFormatting xmlns:xm="http://schemas.microsoft.com/office/excel/2006/main">
          <x14:cfRule type="dataBar" id="{E264B02C-8513-4C6F-B143-08469B98479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F5:F10</xm:sqref>
        </x14:conditionalFormatting>
      </x14:conditionalFormattings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14"/>
  <dimension ref="A1:R29"/>
  <sheetViews>
    <sheetView workbookViewId="0">
      <selection activeCell="D4" sqref="D4"/>
    </sheetView>
  </sheetViews>
  <sheetFormatPr defaultColWidth="11.42578125" defaultRowHeight="15" x14ac:dyDescent="0.25"/>
  <cols>
    <col min="1" max="7" width="16.42578125" customWidth="1"/>
    <col min="8" max="8" width="13" bestFit="1" customWidth="1"/>
  </cols>
  <sheetData>
    <row r="1" spans="1:18" x14ac:dyDescent="0.25">
      <c r="A1" s="32"/>
      <c r="B1" s="32"/>
      <c r="C1" s="32"/>
      <c r="D1" s="32"/>
      <c r="E1" s="32"/>
      <c r="F1" s="32"/>
      <c r="G1" s="32"/>
      <c r="H1" s="32"/>
    </row>
    <row r="2" spans="1:18" ht="21" customHeight="1" x14ac:dyDescent="0.25">
      <c r="A2" s="42" t="s">
        <v>115</v>
      </c>
      <c r="B2" s="42" t="s">
        <v>40</v>
      </c>
      <c r="C2" s="42" t="s">
        <v>41</v>
      </c>
      <c r="D2" s="42" t="s">
        <v>117</v>
      </c>
      <c r="E2" s="42" t="s">
        <v>118</v>
      </c>
      <c r="F2" s="42" t="s">
        <v>116</v>
      </c>
      <c r="G2" s="42" t="s">
        <v>119</v>
      </c>
      <c r="H2" s="32"/>
    </row>
    <row r="3" spans="1:18" x14ac:dyDescent="0.25">
      <c r="A3" s="32" t="s">
        <v>38</v>
      </c>
      <c r="B3" s="40"/>
      <c r="C3" s="39" t="s">
        <v>91</v>
      </c>
      <c r="D3" s="40"/>
      <c r="E3" s="40"/>
      <c r="F3" s="39">
        <v>10</v>
      </c>
      <c r="G3" s="40">
        <f>F3*0.5</f>
        <v>5</v>
      </c>
      <c r="H3" s="32"/>
      <c r="O3" s="16"/>
      <c r="Q3" s="17" t="s">
        <v>80</v>
      </c>
    </row>
    <row r="4" spans="1:18" x14ac:dyDescent="0.25">
      <c r="A4" s="32" t="s">
        <v>0</v>
      </c>
      <c r="B4" s="39">
        <v>0</v>
      </c>
      <c r="C4" s="40"/>
      <c r="D4" s="39">
        <v>10</v>
      </c>
      <c r="E4" s="40">
        <f>D4*0.5</f>
        <v>5</v>
      </c>
      <c r="F4" s="40"/>
      <c r="G4" s="40"/>
      <c r="H4" s="32"/>
      <c r="O4" s="346" t="s">
        <v>81</v>
      </c>
      <c r="P4" s="19" t="s">
        <v>82</v>
      </c>
      <c r="Q4" s="20">
        <v>207.65999999999997</v>
      </c>
      <c r="R4" s="21"/>
    </row>
    <row r="5" spans="1:18" x14ac:dyDescent="0.25">
      <c r="A5" s="32"/>
      <c r="B5" s="32"/>
      <c r="C5" s="32"/>
      <c r="D5" s="32"/>
      <c r="E5" s="32"/>
      <c r="F5" s="32"/>
      <c r="G5" s="32"/>
      <c r="H5" s="32"/>
      <c r="O5" s="346"/>
      <c r="P5" s="22" t="s">
        <v>83</v>
      </c>
      <c r="Q5" s="23">
        <v>178.45999999999998</v>
      </c>
      <c r="R5" s="24">
        <v>0.85938553404603679</v>
      </c>
    </row>
    <row r="6" spans="1:18" x14ac:dyDescent="0.25">
      <c r="A6" s="32"/>
      <c r="B6" s="32"/>
      <c r="C6" s="32"/>
      <c r="D6" s="32"/>
      <c r="E6" s="32"/>
      <c r="F6" s="32"/>
      <c r="G6" s="32"/>
      <c r="H6" s="32"/>
      <c r="L6">
        <v>11.2</v>
      </c>
      <c r="M6" t="s">
        <v>73</v>
      </c>
      <c r="O6" s="346"/>
      <c r="P6" s="19" t="s">
        <v>61</v>
      </c>
      <c r="Q6" s="20">
        <v>195.45999999999998</v>
      </c>
      <c r="R6" s="21"/>
    </row>
    <row r="7" spans="1:18" x14ac:dyDescent="0.25">
      <c r="A7" s="32"/>
      <c r="B7" s="32"/>
      <c r="C7" s="32"/>
      <c r="D7" s="32"/>
      <c r="E7" s="32"/>
      <c r="F7" s="32"/>
      <c r="G7" s="32"/>
      <c r="H7" s="32"/>
      <c r="O7" s="346"/>
      <c r="P7" s="22" t="s">
        <v>83</v>
      </c>
      <c r="Q7" s="25">
        <v>178.45999999999998</v>
      </c>
      <c r="R7" s="24">
        <v>0.91302568300419518</v>
      </c>
    </row>
    <row r="8" spans="1:18" x14ac:dyDescent="0.25">
      <c r="A8" s="32"/>
      <c r="B8" s="32"/>
      <c r="C8" s="32"/>
      <c r="D8" s="32"/>
      <c r="E8" s="32"/>
      <c r="F8" s="32"/>
      <c r="G8" s="32"/>
      <c r="H8" s="32"/>
      <c r="O8" s="26" t="s">
        <v>84</v>
      </c>
      <c r="P8" s="19" t="s">
        <v>85</v>
      </c>
      <c r="Q8" s="20">
        <v>22.6</v>
      </c>
      <c r="R8" s="21"/>
    </row>
    <row r="9" spans="1:18" x14ac:dyDescent="0.25">
      <c r="A9" s="32"/>
      <c r="B9" s="32"/>
      <c r="C9" s="32"/>
      <c r="D9" s="32"/>
      <c r="E9" s="32"/>
      <c r="F9" s="32"/>
      <c r="G9" s="32"/>
      <c r="H9" s="32"/>
      <c r="O9" s="26" t="s">
        <v>86</v>
      </c>
      <c r="P9" s="27" t="s">
        <v>83</v>
      </c>
      <c r="Q9" s="25">
        <v>20</v>
      </c>
      <c r="R9" s="24">
        <v>0.88495575221238931</v>
      </c>
    </row>
    <row r="10" spans="1:18" x14ac:dyDescent="0.25">
      <c r="O10" s="347" t="s">
        <v>87</v>
      </c>
      <c r="P10" s="19" t="s">
        <v>82</v>
      </c>
      <c r="Q10" s="20">
        <v>170.45</v>
      </c>
      <c r="R10" s="21"/>
    </row>
    <row r="11" spans="1:18" x14ac:dyDescent="0.25">
      <c r="A11" t="s">
        <v>89</v>
      </c>
      <c r="O11" s="347"/>
      <c r="P11" s="22" t="s">
        <v>61</v>
      </c>
      <c r="Q11" s="25">
        <v>146.14999999999998</v>
      </c>
      <c r="R11" s="28"/>
    </row>
    <row r="12" spans="1:18" x14ac:dyDescent="0.25">
      <c r="A12" t="s">
        <v>102</v>
      </c>
      <c r="O12" s="18" t="s">
        <v>88</v>
      </c>
    </row>
    <row r="16" spans="1:18" x14ac:dyDescent="0.25">
      <c r="H16" t="s">
        <v>22</v>
      </c>
      <c r="I16" t="s">
        <v>23</v>
      </c>
      <c r="J16" t="s">
        <v>24</v>
      </c>
      <c r="K16" t="s">
        <v>25</v>
      </c>
      <c r="L16" t="s">
        <v>55</v>
      </c>
      <c r="M16" t="s">
        <v>56</v>
      </c>
    </row>
    <row r="17" spans="5:13" x14ac:dyDescent="0.25">
      <c r="E17" t="s">
        <v>38</v>
      </c>
      <c r="F17" t="s">
        <v>0</v>
      </c>
      <c r="G17" t="s">
        <v>10</v>
      </c>
      <c r="H17">
        <v>117540</v>
      </c>
      <c r="I17">
        <v>193833</v>
      </c>
      <c r="J17">
        <v>193833</v>
      </c>
      <c r="K17">
        <v>193833</v>
      </c>
      <c r="L17">
        <v>193833</v>
      </c>
      <c r="M17">
        <v>193833</v>
      </c>
    </row>
    <row r="18" spans="5:13" x14ac:dyDescent="0.25">
      <c r="E18" t="s">
        <v>38</v>
      </c>
      <c r="F18" t="s">
        <v>0</v>
      </c>
      <c r="G18" t="s">
        <v>11</v>
      </c>
      <c r="H18">
        <v>73387</v>
      </c>
      <c r="I18">
        <v>193833</v>
      </c>
      <c r="J18">
        <v>193833</v>
      </c>
      <c r="K18">
        <v>193833</v>
      </c>
      <c r="L18">
        <v>193833</v>
      </c>
      <c r="M18">
        <v>193833</v>
      </c>
    </row>
    <row r="19" spans="5:13" x14ac:dyDescent="0.25">
      <c r="E19" t="s">
        <v>38</v>
      </c>
      <c r="F19" t="s">
        <v>0</v>
      </c>
      <c r="G19" t="s">
        <v>12</v>
      </c>
      <c r="H19">
        <v>148578</v>
      </c>
      <c r="I19">
        <v>193833</v>
      </c>
      <c r="J19">
        <v>193833</v>
      </c>
      <c r="K19">
        <v>193833</v>
      </c>
      <c r="L19">
        <v>193833</v>
      </c>
      <c r="M19">
        <v>193833</v>
      </c>
    </row>
    <row r="20" spans="5:13" x14ac:dyDescent="0.25">
      <c r="E20" t="s">
        <v>38</v>
      </c>
      <c r="F20" t="s">
        <v>0</v>
      </c>
      <c r="G20" t="s">
        <v>13</v>
      </c>
      <c r="H20">
        <v>3128</v>
      </c>
      <c r="I20">
        <v>64002</v>
      </c>
      <c r="J20">
        <v>193833</v>
      </c>
      <c r="K20">
        <v>193833</v>
      </c>
      <c r="L20">
        <v>193833</v>
      </c>
      <c r="M20">
        <v>193833</v>
      </c>
    </row>
    <row r="21" spans="5:13" x14ac:dyDescent="0.25">
      <c r="E21" t="s">
        <v>38</v>
      </c>
      <c r="F21" t="s">
        <v>0</v>
      </c>
      <c r="G21" t="s">
        <v>14</v>
      </c>
      <c r="J21">
        <v>5495</v>
      </c>
      <c r="K21">
        <v>70682</v>
      </c>
      <c r="L21">
        <v>193833</v>
      </c>
      <c r="M21">
        <v>193833</v>
      </c>
    </row>
    <row r="22" spans="5:13" x14ac:dyDescent="0.25">
      <c r="E22" t="s">
        <v>38</v>
      </c>
      <c r="F22" t="s">
        <v>0</v>
      </c>
      <c r="G22" t="s">
        <v>15</v>
      </c>
      <c r="I22">
        <v>35474</v>
      </c>
      <c r="J22">
        <v>47708</v>
      </c>
      <c r="K22">
        <v>33703</v>
      </c>
      <c r="L22">
        <v>193833</v>
      </c>
      <c r="M22">
        <v>193833</v>
      </c>
    </row>
    <row r="23" spans="5:13" x14ac:dyDescent="0.25">
      <c r="E23" t="s">
        <v>38</v>
      </c>
      <c r="F23" t="s">
        <v>0</v>
      </c>
      <c r="G23" t="s">
        <v>16</v>
      </c>
      <c r="J23">
        <v>440</v>
      </c>
      <c r="K23">
        <v>51363</v>
      </c>
      <c r="L23">
        <v>193833</v>
      </c>
      <c r="M23">
        <v>193833</v>
      </c>
    </row>
    <row r="24" spans="5:13" x14ac:dyDescent="0.25">
      <c r="E24" t="s">
        <v>38</v>
      </c>
      <c r="F24" t="s">
        <v>0</v>
      </c>
      <c r="G24" t="s">
        <v>17</v>
      </c>
      <c r="J24">
        <v>165577</v>
      </c>
      <c r="K24">
        <v>188617</v>
      </c>
      <c r="L24">
        <v>193833</v>
      </c>
      <c r="M24">
        <v>193833</v>
      </c>
    </row>
    <row r="25" spans="5:13" x14ac:dyDescent="0.25">
      <c r="E25" t="s">
        <v>38</v>
      </c>
      <c r="F25" t="s">
        <v>0</v>
      </c>
      <c r="G25" t="s">
        <v>18</v>
      </c>
      <c r="I25">
        <v>82055</v>
      </c>
      <c r="J25">
        <v>440</v>
      </c>
      <c r="K25">
        <v>193833</v>
      </c>
      <c r="L25">
        <v>193833</v>
      </c>
      <c r="M25">
        <v>193833</v>
      </c>
    </row>
    <row r="26" spans="5:13" x14ac:dyDescent="0.25">
      <c r="E26" t="s">
        <v>38</v>
      </c>
      <c r="F26" t="s">
        <v>0</v>
      </c>
      <c r="G26" t="s">
        <v>19</v>
      </c>
      <c r="H26">
        <v>10578</v>
      </c>
      <c r="I26">
        <v>68692</v>
      </c>
      <c r="J26">
        <v>97040</v>
      </c>
      <c r="K26">
        <v>193833</v>
      </c>
      <c r="L26">
        <v>193833</v>
      </c>
      <c r="M26">
        <v>193833</v>
      </c>
    </row>
    <row r="27" spans="5:13" x14ac:dyDescent="0.25">
      <c r="E27" t="s">
        <v>38</v>
      </c>
      <c r="F27" t="s">
        <v>0</v>
      </c>
      <c r="G27" t="s">
        <v>20</v>
      </c>
      <c r="H27">
        <v>74760</v>
      </c>
      <c r="I27">
        <v>173653</v>
      </c>
      <c r="J27">
        <v>193640</v>
      </c>
      <c r="K27">
        <v>193833</v>
      </c>
      <c r="L27">
        <v>193833</v>
      </c>
      <c r="M27">
        <v>193833</v>
      </c>
    </row>
    <row r="28" spans="5:13" x14ac:dyDescent="0.25">
      <c r="E28" t="s">
        <v>38</v>
      </c>
      <c r="F28" t="s">
        <v>0</v>
      </c>
      <c r="G28" t="s">
        <v>21</v>
      </c>
      <c r="H28">
        <v>193833</v>
      </c>
      <c r="I28">
        <v>193833</v>
      </c>
      <c r="J28">
        <v>193833</v>
      </c>
      <c r="K28">
        <v>193833</v>
      </c>
      <c r="L28">
        <v>193833</v>
      </c>
      <c r="M28">
        <v>193833</v>
      </c>
    </row>
    <row r="29" spans="5:13" x14ac:dyDescent="0.25">
      <c r="H29" s="15">
        <f>SUM(H17:H28)</f>
        <v>621804</v>
      </c>
    </row>
  </sheetData>
  <mergeCells count="2">
    <mergeCell ref="O4:O7"/>
    <mergeCell ref="O10:O11"/>
  </mergeCells>
  <pageMargins left="0.7" right="0.7" top="0.78740157499999996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15">
    <tabColor theme="1"/>
  </sheetPr>
  <dimension ref="A1:AB22"/>
  <sheetViews>
    <sheetView workbookViewId="0">
      <selection activeCell="G32" sqref="G32"/>
    </sheetView>
  </sheetViews>
  <sheetFormatPr defaultColWidth="11.42578125" defaultRowHeight="15" x14ac:dyDescent="0.25"/>
  <cols>
    <col min="5" max="5" width="13.85546875" bestFit="1" customWidth="1"/>
    <col min="15" max="15" width="14.85546875" customWidth="1"/>
    <col min="16" max="17" width="13" bestFit="1" customWidth="1"/>
    <col min="18" max="18" width="14" bestFit="1" customWidth="1"/>
    <col min="19" max="19" width="11" bestFit="1" customWidth="1"/>
  </cols>
  <sheetData>
    <row r="1" spans="1:28" ht="30" x14ac:dyDescent="0.25">
      <c r="A1" s="36" t="s">
        <v>30</v>
      </c>
      <c r="B1" s="32"/>
      <c r="C1" s="33" t="s">
        <v>31</v>
      </c>
      <c r="D1" s="33"/>
      <c r="E1" s="33"/>
      <c r="F1" s="33"/>
      <c r="G1" s="33"/>
      <c r="H1" s="33"/>
      <c r="I1" s="33"/>
      <c r="J1" s="33"/>
      <c r="K1" s="33"/>
      <c r="L1" s="33"/>
      <c r="M1" s="33"/>
      <c r="N1" s="33"/>
      <c r="O1" s="33"/>
      <c r="P1" s="32"/>
      <c r="Q1" s="32"/>
      <c r="R1" s="32"/>
    </row>
    <row r="2" spans="1:28" ht="30" x14ac:dyDescent="0.25">
      <c r="A2" s="32" t="s">
        <v>26</v>
      </c>
      <c r="B2" s="32" t="s">
        <v>79</v>
      </c>
      <c r="C2" s="32" t="s">
        <v>115</v>
      </c>
      <c r="D2" s="32" t="s">
        <v>26</v>
      </c>
      <c r="E2" s="32" t="s">
        <v>27</v>
      </c>
      <c r="F2" s="32" t="s">
        <v>32</v>
      </c>
      <c r="G2" s="32" t="s">
        <v>33</v>
      </c>
      <c r="H2" s="32" t="s">
        <v>34</v>
      </c>
      <c r="I2" s="32" t="s">
        <v>77</v>
      </c>
      <c r="J2" s="32" t="s">
        <v>78</v>
      </c>
      <c r="K2" s="32" t="s">
        <v>103</v>
      </c>
      <c r="L2" s="32" t="s">
        <v>104</v>
      </c>
      <c r="M2" s="32" t="s">
        <v>105</v>
      </c>
      <c r="N2" s="32" t="s">
        <v>106</v>
      </c>
      <c r="O2" s="32" t="s">
        <v>35</v>
      </c>
      <c r="P2" s="32" t="s">
        <v>36</v>
      </c>
      <c r="Q2" s="38" t="s">
        <v>7</v>
      </c>
      <c r="R2" s="38" t="s">
        <v>8</v>
      </c>
    </row>
    <row r="3" spans="1:28" x14ac:dyDescent="0.25">
      <c r="A3" s="32" t="s">
        <v>28</v>
      </c>
      <c r="B3" s="32" t="s">
        <v>62</v>
      </c>
      <c r="C3" s="32" t="s">
        <v>0</v>
      </c>
      <c r="D3" s="32" t="s">
        <v>28</v>
      </c>
      <c r="E3" s="32">
        <v>820000</v>
      </c>
      <c r="F3" s="32" t="s">
        <v>46</v>
      </c>
      <c r="G3" s="32" t="s">
        <v>46</v>
      </c>
      <c r="H3" s="32">
        <v>1</v>
      </c>
      <c r="I3" s="31">
        <v>0.2290909090909091</v>
      </c>
      <c r="J3" s="31">
        <v>0.3927272727272727</v>
      </c>
      <c r="K3" s="31">
        <v>4.2</v>
      </c>
      <c r="L3" s="31">
        <v>4</v>
      </c>
      <c r="M3" s="31">
        <v>0.4</v>
      </c>
      <c r="N3" s="31">
        <v>1.5</v>
      </c>
      <c r="O3" s="31">
        <f>I3*E3</f>
        <v>187854.54545454547</v>
      </c>
      <c r="P3" s="37">
        <f>E3*J3</f>
        <v>322036.36363636359</v>
      </c>
      <c r="Q3" s="29">
        <v>50064</v>
      </c>
      <c r="R3" s="37">
        <v>0.5</v>
      </c>
      <c r="V3" t="s">
        <v>61</v>
      </c>
    </row>
    <row r="4" spans="1:28" x14ac:dyDescent="0.25">
      <c r="A4" s="32" t="s">
        <v>29</v>
      </c>
      <c r="B4" s="32" t="s">
        <v>63</v>
      </c>
      <c r="C4" s="32" t="s">
        <v>0</v>
      </c>
      <c r="D4" s="32" t="s">
        <v>29</v>
      </c>
      <c r="E4" s="32">
        <v>187000</v>
      </c>
      <c r="F4" s="32" t="s">
        <v>46</v>
      </c>
      <c r="G4" s="32" t="s">
        <v>46</v>
      </c>
      <c r="H4" s="32">
        <v>1</v>
      </c>
      <c r="I4" s="31">
        <v>7.963133640552994E-2</v>
      </c>
      <c r="J4" s="31">
        <v>0.14875576036866359</v>
      </c>
      <c r="K4" s="31">
        <v>1.6</v>
      </c>
      <c r="L4" s="31">
        <v>1.2</v>
      </c>
      <c r="M4" s="31">
        <v>0.3</v>
      </c>
      <c r="N4" s="31">
        <v>2.33</v>
      </c>
      <c r="O4" s="31">
        <f t="shared" ref="O4:O5" si="0">I4*E4</f>
        <v>14891.059907834098</v>
      </c>
      <c r="P4" s="37">
        <f t="shared" ref="P4:P5" si="1">E4*J4</f>
        <v>27817.327188940089</v>
      </c>
      <c r="Q4" s="29">
        <v>34808.591999999997</v>
      </c>
      <c r="R4" s="37">
        <v>0.5</v>
      </c>
      <c r="V4" t="s">
        <v>74</v>
      </c>
      <c r="X4" t="s">
        <v>75</v>
      </c>
      <c r="Z4" t="s">
        <v>76</v>
      </c>
    </row>
    <row r="5" spans="1:28" x14ac:dyDescent="0.25">
      <c r="A5" s="32" t="s">
        <v>67</v>
      </c>
      <c r="B5" s="32" t="s">
        <v>64</v>
      </c>
      <c r="C5" s="32" t="s">
        <v>0</v>
      </c>
      <c r="D5" s="32" t="s">
        <v>67</v>
      </c>
      <c r="E5" s="32">
        <v>192000</v>
      </c>
      <c r="F5" s="32" t="s">
        <v>46</v>
      </c>
      <c r="G5" s="32" t="s">
        <v>46</v>
      </c>
      <c r="H5" s="32">
        <v>1</v>
      </c>
      <c r="I5" s="31">
        <v>0.82768079800498751</v>
      </c>
      <c r="J5" s="31">
        <v>0.86783042394014964</v>
      </c>
      <c r="K5" s="31">
        <v>1.5</v>
      </c>
      <c r="L5" s="31">
        <v>1</v>
      </c>
      <c r="M5" s="31">
        <v>0.3</v>
      </c>
      <c r="N5" s="31">
        <v>1.17</v>
      </c>
      <c r="O5" s="31">
        <f t="shared" si="0"/>
        <v>158914.71321695761</v>
      </c>
      <c r="P5" s="37">
        <f t="shared" si="1"/>
        <v>166623.44139650874</v>
      </c>
      <c r="Q5" s="32">
        <v>0</v>
      </c>
      <c r="R5" s="32"/>
      <c r="U5" s="14"/>
      <c r="V5" s="14" t="s">
        <v>69</v>
      </c>
      <c r="W5" s="14" t="s">
        <v>71</v>
      </c>
      <c r="X5" s="14" t="s">
        <v>69</v>
      </c>
      <c r="Y5" s="14" t="s">
        <v>71</v>
      </c>
      <c r="Z5" s="14" t="s">
        <v>69</v>
      </c>
      <c r="AA5" s="14" t="s">
        <v>71</v>
      </c>
    </row>
    <row r="6" spans="1:28" x14ac:dyDescent="0.25">
      <c r="A6" s="32" t="s">
        <v>68</v>
      </c>
      <c r="B6" s="32" t="s">
        <v>65</v>
      </c>
      <c r="C6" s="32" t="s">
        <v>0</v>
      </c>
      <c r="D6" s="32" t="s">
        <v>68</v>
      </c>
      <c r="E6" s="32">
        <v>12000</v>
      </c>
      <c r="F6" s="32" t="s">
        <v>46</v>
      </c>
      <c r="G6" s="32" t="s">
        <v>46</v>
      </c>
      <c r="H6" s="32">
        <v>1</v>
      </c>
      <c r="I6" s="31">
        <v>0.39081537019681351</v>
      </c>
      <c r="J6" s="31">
        <v>0.62080599812558568</v>
      </c>
      <c r="K6" s="31">
        <v>1.6</v>
      </c>
      <c r="L6" s="31">
        <v>1.2</v>
      </c>
      <c r="M6" s="31">
        <v>0.3</v>
      </c>
      <c r="N6" s="31">
        <v>1.5</v>
      </c>
      <c r="O6" s="31">
        <f>I6*E6</f>
        <v>4689.7844423617616</v>
      </c>
      <c r="P6" s="37">
        <f>E6*J6</f>
        <v>7449.6719775070278</v>
      </c>
      <c r="Q6" s="32">
        <v>0</v>
      </c>
      <c r="R6" s="32"/>
      <c r="U6" s="5" t="s">
        <v>62</v>
      </c>
      <c r="V6" s="6">
        <v>73.358267537060016</v>
      </c>
      <c r="W6" s="7">
        <v>73</v>
      </c>
      <c r="X6" s="6">
        <v>4.47</v>
      </c>
      <c r="Y6" s="7">
        <v>5</v>
      </c>
      <c r="Z6" s="6">
        <v>20.660376349500002</v>
      </c>
      <c r="AA6" s="7">
        <v>16</v>
      </c>
    </row>
    <row r="7" spans="1:28" x14ac:dyDescent="0.25">
      <c r="A7" s="32"/>
      <c r="B7" s="32"/>
      <c r="C7" s="32"/>
      <c r="D7" s="32"/>
      <c r="E7" s="32"/>
      <c r="F7" s="32"/>
      <c r="G7" s="32"/>
      <c r="H7" s="32"/>
      <c r="I7" s="32"/>
      <c r="J7" s="32"/>
      <c r="K7" s="32"/>
      <c r="L7" s="32"/>
      <c r="M7" s="32"/>
      <c r="N7" s="32"/>
      <c r="O7" s="32"/>
      <c r="P7" s="32"/>
      <c r="Q7" s="32"/>
      <c r="R7" s="32"/>
      <c r="V7" s="8" t="s">
        <v>63</v>
      </c>
      <c r="W7" s="9">
        <v>16.720620714862847</v>
      </c>
      <c r="X7" s="10">
        <v>46</v>
      </c>
      <c r="Y7" s="9">
        <v>3.1079100000000004</v>
      </c>
      <c r="Z7" s="10">
        <v>4</v>
      </c>
      <c r="AA7" s="9">
        <v>5.1383168466000004</v>
      </c>
      <c r="AB7" s="10">
        <v>9</v>
      </c>
    </row>
    <row r="8" spans="1:28" x14ac:dyDescent="0.25">
      <c r="A8" s="32"/>
      <c r="B8" s="32"/>
      <c r="C8" s="32"/>
      <c r="D8" s="32"/>
      <c r="E8" s="32"/>
      <c r="F8" s="32"/>
      <c r="G8" s="32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V8" s="5" t="s">
        <v>64</v>
      </c>
      <c r="W8" s="6">
        <v>17.18111504424779</v>
      </c>
      <c r="X8" s="7">
        <v>24</v>
      </c>
      <c r="Y8" s="6">
        <v>-0.215</v>
      </c>
      <c r="Z8" s="7"/>
      <c r="AA8" s="6">
        <v>3.3</v>
      </c>
      <c r="AB8" s="7">
        <v>1</v>
      </c>
    </row>
    <row r="9" spans="1:28" x14ac:dyDescent="0.25">
      <c r="A9" s="32"/>
      <c r="B9" s="32"/>
      <c r="C9" s="32"/>
      <c r="D9" s="32"/>
      <c r="E9" s="32"/>
      <c r="F9" s="32"/>
      <c r="G9" s="32"/>
      <c r="H9" s="32"/>
      <c r="I9" s="32"/>
      <c r="J9" s="32"/>
      <c r="K9" s="32"/>
      <c r="L9" s="32"/>
      <c r="M9" s="32"/>
      <c r="N9" s="32"/>
      <c r="O9" s="32"/>
      <c r="P9" s="32"/>
      <c r="Q9" s="32"/>
      <c r="R9" s="32"/>
      <c r="V9" s="8" t="s">
        <v>65</v>
      </c>
      <c r="W9" s="9">
        <v>1.077</v>
      </c>
      <c r="X9" s="10">
        <v>2</v>
      </c>
      <c r="Y9" s="9"/>
      <c r="Z9" s="10"/>
      <c r="AA9" s="9">
        <v>0.18</v>
      </c>
      <c r="AB9" s="10">
        <v>1</v>
      </c>
    </row>
    <row r="10" spans="1:28" x14ac:dyDescent="0.25">
      <c r="A10" s="32"/>
      <c r="B10" s="32"/>
      <c r="C10" s="32"/>
      <c r="D10" s="32"/>
      <c r="E10" s="32"/>
      <c r="F10" s="32"/>
      <c r="G10" s="32"/>
      <c r="H10" s="32"/>
      <c r="I10" s="32"/>
      <c r="J10" s="32"/>
      <c r="K10" s="32"/>
      <c r="L10" s="32"/>
      <c r="M10" s="32"/>
      <c r="N10" s="32"/>
      <c r="O10" s="32"/>
      <c r="P10" s="32"/>
      <c r="Q10" s="32"/>
      <c r="R10" s="32"/>
      <c r="V10" s="11" t="s">
        <v>66</v>
      </c>
      <c r="W10" s="12">
        <v>108.33700329617065</v>
      </c>
      <c r="X10" s="13">
        <v>145</v>
      </c>
      <c r="Y10" s="12">
        <v>7.3629100000000003</v>
      </c>
      <c r="Z10" s="13">
        <v>9</v>
      </c>
      <c r="AA10" s="12">
        <v>29.278693196100004</v>
      </c>
      <c r="AB10" s="13">
        <v>27</v>
      </c>
    </row>
    <row r="11" spans="1:28" x14ac:dyDescent="0.25">
      <c r="A11" s="32"/>
      <c r="B11" s="32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V11" s="14"/>
      <c r="W11" s="14" t="s">
        <v>70</v>
      </c>
      <c r="X11" s="14" t="s">
        <v>71</v>
      </c>
      <c r="Y11" s="14" t="s">
        <v>70</v>
      </c>
      <c r="Z11" s="14" t="s">
        <v>71</v>
      </c>
      <c r="AA11" s="14" t="s">
        <v>70</v>
      </c>
      <c r="AB11" s="14" t="s">
        <v>71</v>
      </c>
    </row>
    <row r="12" spans="1:28" x14ac:dyDescent="0.25">
      <c r="A12" s="32"/>
      <c r="B12" s="32"/>
      <c r="C12" s="32"/>
      <c r="D12" s="32"/>
      <c r="E12" s="32"/>
      <c r="F12" s="32"/>
      <c r="G12" s="32"/>
      <c r="H12" s="32"/>
      <c r="I12" s="32"/>
      <c r="J12" s="32"/>
      <c r="K12" s="32"/>
      <c r="L12" s="32"/>
      <c r="M12" s="32"/>
      <c r="N12" s="32"/>
      <c r="O12" s="32"/>
      <c r="P12" s="32"/>
      <c r="Q12" s="32"/>
      <c r="R12" s="32"/>
      <c r="V12" s="5" t="s">
        <v>62</v>
      </c>
      <c r="W12" s="6">
        <f>V6*$V$21</f>
        <v>821.61259641507218</v>
      </c>
      <c r="X12" s="7">
        <v>73</v>
      </c>
      <c r="Y12" s="6">
        <f>X6*$V$21</f>
        <v>50.063999999999993</v>
      </c>
      <c r="Z12" s="7">
        <v>5</v>
      </c>
      <c r="AA12" s="6">
        <f>Z6*$V$21</f>
        <v>231.39621511440001</v>
      </c>
      <c r="AB12" s="7">
        <v>16</v>
      </c>
    </row>
    <row r="13" spans="1:28" x14ac:dyDescent="0.25">
      <c r="A13" s="32"/>
      <c r="B13" s="32"/>
      <c r="C13" s="32"/>
      <c r="D13" s="32"/>
      <c r="E13" s="32"/>
      <c r="F13" s="32"/>
      <c r="G13" s="32"/>
      <c r="H13" s="32"/>
      <c r="I13" s="32"/>
      <c r="J13" s="32"/>
      <c r="K13" s="32"/>
      <c r="L13" s="32"/>
      <c r="M13" s="32"/>
      <c r="N13" s="32"/>
      <c r="O13" s="32"/>
      <c r="P13" s="32"/>
      <c r="Q13" s="32"/>
      <c r="R13" s="32"/>
      <c r="V13" s="8" t="s">
        <v>63</v>
      </c>
      <c r="W13" s="9">
        <f t="shared" ref="W13:Y15" si="2">W7*$V$21</f>
        <v>187.27095200646386</v>
      </c>
      <c r="X13" s="10">
        <v>46</v>
      </c>
      <c r="Y13" s="9">
        <f t="shared" si="2"/>
        <v>34.808592000000004</v>
      </c>
      <c r="Z13" s="10">
        <v>4</v>
      </c>
      <c r="AA13" s="9">
        <f t="shared" ref="AA13" si="3">AA7*$V$21</f>
        <v>57.549148681920002</v>
      </c>
      <c r="AB13" s="10">
        <v>9</v>
      </c>
    </row>
    <row r="14" spans="1:28" x14ac:dyDescent="0.25">
      <c r="A14" s="32"/>
      <c r="B14" s="32"/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V14" s="5" t="s">
        <v>64</v>
      </c>
      <c r="W14" s="6">
        <f t="shared" si="2"/>
        <v>192.42848849557524</v>
      </c>
      <c r="X14" s="7">
        <v>24</v>
      </c>
      <c r="Y14" s="6">
        <f t="shared" si="2"/>
        <v>-2.4079999999999999</v>
      </c>
      <c r="Z14" s="7"/>
      <c r="AA14" s="6">
        <f t="shared" ref="AA14" si="4">AA8*$V$21</f>
        <v>36.959999999999994</v>
      </c>
      <c r="AB14" s="7">
        <v>1</v>
      </c>
    </row>
    <row r="15" spans="1:28" x14ac:dyDescent="0.25">
      <c r="A15" s="32"/>
      <c r="B15" s="32"/>
      <c r="C15" s="32"/>
      <c r="D15" s="32"/>
      <c r="E15" s="32"/>
      <c r="F15" s="32"/>
      <c r="G15" s="32"/>
      <c r="H15" s="32"/>
      <c r="I15" s="32"/>
      <c r="J15" s="32"/>
      <c r="K15" s="32"/>
      <c r="L15" s="32"/>
      <c r="M15" s="32"/>
      <c r="N15" s="32"/>
      <c r="O15" s="32"/>
      <c r="P15" s="32"/>
      <c r="Q15" s="32"/>
      <c r="R15" s="32"/>
      <c r="V15" s="8" t="s">
        <v>65</v>
      </c>
      <c r="W15" s="9">
        <f t="shared" si="2"/>
        <v>12.062399999999998</v>
      </c>
      <c r="X15" s="10">
        <v>2</v>
      </c>
      <c r="Y15" s="9">
        <f t="shared" si="2"/>
        <v>0</v>
      </c>
      <c r="Z15" s="10"/>
      <c r="AA15" s="9">
        <f t="shared" ref="AA15" si="5">AA9*$V$21</f>
        <v>2.016</v>
      </c>
      <c r="AB15" s="10">
        <v>1</v>
      </c>
    </row>
    <row r="16" spans="1:28" x14ac:dyDescent="0.25">
      <c r="A16" s="32"/>
      <c r="B16" s="32"/>
      <c r="C16" s="32"/>
      <c r="D16" s="32"/>
      <c r="E16" s="32"/>
      <c r="F16" s="32"/>
      <c r="G16" s="32"/>
      <c r="H16" s="32"/>
      <c r="I16" s="32"/>
      <c r="J16" s="32"/>
      <c r="K16" s="32"/>
      <c r="L16" s="32"/>
      <c r="M16" s="32"/>
      <c r="N16" s="32"/>
      <c r="O16" s="32"/>
      <c r="P16" s="32"/>
      <c r="Q16" s="32"/>
      <c r="R16" s="32"/>
      <c r="V16" s="11" t="s">
        <v>66</v>
      </c>
      <c r="W16" s="13">
        <f>SUM(W12:W15)</f>
        <v>1213.3744369171113</v>
      </c>
      <c r="X16" s="13">
        <f t="shared" ref="X16:AB16" si="6">SUM(X12:X15)</f>
        <v>145</v>
      </c>
      <c r="Y16" s="13">
        <f t="shared" si="6"/>
        <v>82.464591999999996</v>
      </c>
      <c r="Z16" s="13">
        <f t="shared" si="6"/>
        <v>9</v>
      </c>
      <c r="AA16" s="13">
        <f t="shared" si="6"/>
        <v>327.92136379632001</v>
      </c>
      <c r="AB16" s="13">
        <f t="shared" si="6"/>
        <v>27</v>
      </c>
    </row>
    <row r="17" spans="1:23" x14ac:dyDescent="0.25">
      <c r="A17" s="32"/>
      <c r="B17" s="32"/>
      <c r="C17" s="32"/>
      <c r="D17" s="32"/>
      <c r="E17" s="32"/>
      <c r="F17" s="32"/>
      <c r="G17" s="32"/>
      <c r="H17" s="32"/>
      <c r="I17" s="32"/>
      <c r="J17" s="32"/>
      <c r="K17" s="32"/>
      <c r="L17" s="32"/>
      <c r="M17" s="32"/>
      <c r="N17" s="32"/>
      <c r="O17" s="32"/>
      <c r="P17" s="32"/>
      <c r="Q17" s="32"/>
      <c r="R17" s="32"/>
    </row>
    <row r="18" spans="1:23" x14ac:dyDescent="0.25">
      <c r="A18" s="32"/>
      <c r="B18" s="32"/>
      <c r="C18" s="32"/>
      <c r="D18" s="32"/>
      <c r="E18" s="32"/>
      <c r="F18" s="32"/>
      <c r="G18" s="32"/>
      <c r="H18" s="32"/>
      <c r="I18" s="32"/>
      <c r="J18" s="32"/>
      <c r="K18" s="32"/>
      <c r="L18" s="32"/>
      <c r="M18" s="32"/>
      <c r="N18" s="32"/>
      <c r="O18" s="32"/>
      <c r="P18" s="32"/>
      <c r="Q18" s="32"/>
      <c r="R18" s="32"/>
      <c r="V18" t="s">
        <v>72</v>
      </c>
    </row>
    <row r="19" spans="1:23" x14ac:dyDescent="0.25">
      <c r="A19" s="32"/>
      <c r="B19" s="32"/>
      <c r="C19" s="32"/>
      <c r="D19" s="32"/>
      <c r="E19" s="32"/>
      <c r="F19" s="32"/>
      <c r="G19" s="32"/>
      <c r="H19" s="32"/>
      <c r="I19" s="32"/>
      <c r="J19" s="32"/>
      <c r="K19" s="32"/>
      <c r="L19" s="32"/>
      <c r="M19" s="32"/>
      <c r="N19" s="32"/>
      <c r="O19" s="32"/>
      <c r="P19" s="32"/>
      <c r="Q19" s="32"/>
      <c r="R19" s="32"/>
    </row>
    <row r="20" spans="1:23" x14ac:dyDescent="0.25">
      <c r="A20" s="32"/>
      <c r="B20" s="32"/>
      <c r="C20" s="32"/>
      <c r="D20" s="32"/>
      <c r="E20" s="32"/>
      <c r="F20" s="32"/>
      <c r="G20" s="32"/>
      <c r="H20" s="32"/>
      <c r="I20" s="32"/>
      <c r="J20" s="32"/>
      <c r="K20" s="32"/>
      <c r="L20" s="32"/>
      <c r="M20" s="32"/>
      <c r="N20" s="32"/>
      <c r="O20" s="32"/>
      <c r="P20" s="32"/>
      <c r="Q20" s="32"/>
      <c r="R20" s="32"/>
    </row>
    <row r="21" spans="1:23" x14ac:dyDescent="0.25">
      <c r="A21" s="32"/>
      <c r="B21" s="32"/>
      <c r="C21" s="32"/>
      <c r="D21" s="32"/>
      <c r="E21" s="32"/>
      <c r="F21" s="32"/>
      <c r="G21" s="32"/>
      <c r="H21" s="32"/>
      <c r="I21" s="32"/>
      <c r="J21" s="32"/>
      <c r="K21" s="32"/>
      <c r="L21" s="32"/>
      <c r="M21" s="32"/>
      <c r="N21" s="32"/>
      <c r="O21" s="32"/>
      <c r="P21" s="32"/>
      <c r="Q21" s="32"/>
      <c r="R21" s="32"/>
      <c r="V21">
        <v>11.2</v>
      </c>
      <c r="W21" t="s">
        <v>73</v>
      </c>
    </row>
    <row r="22" spans="1:23" x14ac:dyDescent="0.25">
      <c r="A22" s="32"/>
      <c r="B22" s="32"/>
      <c r="C22" s="32"/>
      <c r="D22" s="32"/>
      <c r="E22" s="32"/>
      <c r="F22" s="32"/>
      <c r="G22" s="32"/>
      <c r="H22" s="32"/>
      <c r="I22" s="32"/>
      <c r="J22" s="32"/>
      <c r="K22" s="32"/>
      <c r="L22" s="32"/>
      <c r="M22" s="32"/>
      <c r="N22" s="32"/>
      <c r="O22" s="32"/>
      <c r="P22" s="32"/>
      <c r="Q22" s="32"/>
      <c r="R22" s="32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6"/>
  <dimension ref="A1:D9"/>
  <sheetViews>
    <sheetView workbookViewId="0">
      <selection activeCell="A10" sqref="A10"/>
    </sheetView>
  </sheetViews>
  <sheetFormatPr defaultColWidth="11.42578125" defaultRowHeight="15" x14ac:dyDescent="0.25"/>
  <cols>
    <col min="1" max="1" width="22.42578125" bestFit="1" customWidth="1"/>
    <col min="3" max="3" width="34.5703125" customWidth="1"/>
  </cols>
  <sheetData>
    <row r="1" spans="1:4" x14ac:dyDescent="0.25">
      <c r="A1" t="s">
        <v>47</v>
      </c>
      <c r="B1" t="s">
        <v>48</v>
      </c>
      <c r="C1" t="s">
        <v>49</v>
      </c>
      <c r="D1" t="s">
        <v>50</v>
      </c>
    </row>
    <row r="2" spans="1:4" x14ac:dyDescent="0.25">
      <c r="A2" t="s">
        <v>51</v>
      </c>
      <c r="B2" t="s">
        <v>52</v>
      </c>
      <c r="C2" t="s">
        <v>53</v>
      </c>
    </row>
    <row r="3" spans="1:4" x14ac:dyDescent="0.25">
      <c r="A3" t="s">
        <v>54</v>
      </c>
      <c r="B3" t="s">
        <v>52</v>
      </c>
      <c r="C3" t="s">
        <v>59</v>
      </c>
    </row>
    <row r="4" spans="1:4" x14ac:dyDescent="0.25">
      <c r="A4" t="s">
        <v>57</v>
      </c>
      <c r="B4" t="s">
        <v>58</v>
      </c>
      <c r="C4" t="s">
        <v>60</v>
      </c>
    </row>
    <row r="5" spans="1:4" x14ac:dyDescent="0.25">
      <c r="A5" t="s">
        <v>38</v>
      </c>
      <c r="B5" t="s">
        <v>92</v>
      </c>
      <c r="C5" t="s">
        <v>60</v>
      </c>
    </row>
    <row r="6" spans="1:4" x14ac:dyDescent="0.25">
      <c r="A6" t="s">
        <v>93</v>
      </c>
      <c r="B6" t="s">
        <v>94</v>
      </c>
    </row>
    <row r="7" spans="1:4" x14ac:dyDescent="0.25">
      <c r="A7" t="s">
        <v>95</v>
      </c>
      <c r="C7" t="s">
        <v>96</v>
      </c>
    </row>
    <row r="8" spans="1:4" x14ac:dyDescent="0.25">
      <c r="A8" t="s">
        <v>97</v>
      </c>
      <c r="B8" t="s">
        <v>98</v>
      </c>
      <c r="C8" t="s">
        <v>99</v>
      </c>
    </row>
    <row r="9" spans="1:4" x14ac:dyDescent="0.25">
      <c r="A9" t="s">
        <v>100</v>
      </c>
      <c r="B9" t="s">
        <v>98</v>
      </c>
      <c r="C9" t="s">
        <v>101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5"/>
  </sheetPr>
  <dimension ref="A1:W48"/>
  <sheetViews>
    <sheetView workbookViewId="0">
      <selection activeCell="T13" sqref="T13"/>
    </sheetView>
  </sheetViews>
  <sheetFormatPr defaultColWidth="9.140625" defaultRowHeight="15" x14ac:dyDescent="0.25"/>
  <cols>
    <col min="1" max="1" width="3.140625" style="90" customWidth="1"/>
    <col min="2" max="2" width="14.28515625" customWidth="1"/>
    <col min="3" max="3" width="3.140625" style="90" customWidth="1"/>
    <col min="4" max="4" width="14.28515625" customWidth="1"/>
    <col min="5" max="5" width="3.140625" style="90" customWidth="1"/>
    <col min="6" max="6" width="14.28515625" customWidth="1"/>
    <col min="7" max="7" width="3.140625" style="90" customWidth="1"/>
    <col min="8" max="10" width="14.28515625" customWidth="1"/>
    <col min="11" max="11" width="3.140625" style="90" customWidth="1"/>
    <col min="12" max="14" width="14.28515625" customWidth="1"/>
    <col min="15" max="15" width="3.140625" style="90" customWidth="1"/>
  </cols>
  <sheetData>
    <row r="1" spans="1:23" x14ac:dyDescent="0.25">
      <c r="A1" s="33"/>
      <c r="B1" s="92" t="s">
        <v>142</v>
      </c>
      <c r="C1" s="93"/>
      <c r="D1" s="92" t="s">
        <v>143</v>
      </c>
      <c r="E1" s="93"/>
      <c r="F1" s="92" t="s">
        <v>144</v>
      </c>
      <c r="G1" s="33"/>
      <c r="H1" s="336" t="s">
        <v>145</v>
      </c>
      <c r="I1" s="336"/>
      <c r="J1" s="336"/>
      <c r="K1" s="33"/>
      <c r="L1" s="336" t="s">
        <v>146</v>
      </c>
      <c r="M1" s="336"/>
      <c r="N1" s="336"/>
      <c r="O1" s="33"/>
      <c r="P1" s="80"/>
      <c r="Q1" s="80"/>
      <c r="R1" s="80"/>
    </row>
    <row r="2" spans="1:23" x14ac:dyDescent="0.25">
      <c r="A2" s="33"/>
      <c r="B2" s="107" t="s">
        <v>268</v>
      </c>
      <c r="C2" s="33"/>
      <c r="D2" s="167" t="s">
        <v>202</v>
      </c>
      <c r="E2" s="33"/>
      <c r="F2" s="111" t="s">
        <v>183</v>
      </c>
      <c r="G2" s="33"/>
      <c r="H2" s="167" t="s">
        <v>202</v>
      </c>
      <c r="I2" s="94" t="s">
        <v>168</v>
      </c>
      <c r="J2" s="80">
        <v>1</v>
      </c>
      <c r="K2" s="33"/>
      <c r="L2" s="111" t="s">
        <v>183</v>
      </c>
      <c r="M2" s="111" t="s">
        <v>168</v>
      </c>
      <c r="N2" s="80">
        <v>1</v>
      </c>
      <c r="O2" s="33"/>
      <c r="P2" s="168"/>
      <c r="Q2" s="80"/>
      <c r="R2" s="80"/>
    </row>
    <row r="3" spans="1:23" x14ac:dyDescent="0.25">
      <c r="A3" s="33"/>
      <c r="B3" s="109" t="s">
        <v>168</v>
      </c>
      <c r="C3" s="33"/>
      <c r="D3" s="170" t="s">
        <v>437</v>
      </c>
      <c r="E3" s="33"/>
      <c r="F3" s="111" t="s">
        <v>189</v>
      </c>
      <c r="G3" s="33"/>
      <c r="H3" s="170" t="s">
        <v>437</v>
      </c>
      <c r="I3" s="108" t="s">
        <v>270</v>
      </c>
      <c r="J3" s="166">
        <v>1</v>
      </c>
      <c r="K3" s="33"/>
      <c r="L3" s="111" t="s">
        <v>189</v>
      </c>
      <c r="M3" s="111" t="s">
        <v>174</v>
      </c>
      <c r="N3" s="81">
        <v>1</v>
      </c>
      <c r="O3" s="33"/>
      <c r="P3" s="168"/>
      <c r="Q3" s="80"/>
      <c r="R3" s="80"/>
    </row>
    <row r="4" spans="1:23" x14ac:dyDescent="0.25">
      <c r="A4" s="33"/>
      <c r="B4" s="109" t="s">
        <v>174</v>
      </c>
      <c r="C4" s="33"/>
      <c r="D4" s="170" t="s">
        <v>438</v>
      </c>
      <c r="E4" s="33"/>
      <c r="F4" s="112" t="s">
        <v>288</v>
      </c>
      <c r="G4" s="33"/>
      <c r="H4" s="170" t="s">
        <v>438</v>
      </c>
      <c r="I4" s="189" t="s">
        <v>270</v>
      </c>
      <c r="J4" s="233">
        <v>2</v>
      </c>
      <c r="K4" s="33"/>
      <c r="L4" s="112" t="s">
        <v>288</v>
      </c>
      <c r="M4" s="112" t="s">
        <v>269</v>
      </c>
      <c r="N4" s="81">
        <v>1</v>
      </c>
      <c r="O4" s="33"/>
      <c r="P4" s="168"/>
      <c r="Q4" s="115"/>
      <c r="R4" s="95"/>
    </row>
    <row r="5" spans="1:23" x14ac:dyDescent="0.25">
      <c r="A5" s="33"/>
      <c r="B5" s="109" t="s">
        <v>269</v>
      </c>
      <c r="C5" s="33"/>
      <c r="D5" s="170" t="s">
        <v>439</v>
      </c>
      <c r="E5" s="33"/>
      <c r="F5" s="111" t="s">
        <v>187</v>
      </c>
      <c r="G5" s="33"/>
      <c r="H5" s="170" t="s">
        <v>439</v>
      </c>
      <c r="I5" s="189" t="s">
        <v>270</v>
      </c>
      <c r="J5" s="233">
        <v>3</v>
      </c>
      <c r="K5" s="33"/>
      <c r="L5" s="111" t="s">
        <v>187</v>
      </c>
      <c r="M5" s="111" t="s">
        <v>172</v>
      </c>
      <c r="N5" s="81">
        <v>1</v>
      </c>
      <c r="O5" s="33"/>
      <c r="P5" s="168"/>
      <c r="Q5" s="115"/>
      <c r="S5" s="95"/>
    </row>
    <row r="6" spans="1:23" x14ac:dyDescent="0.25">
      <c r="A6" s="33"/>
      <c r="B6" s="109" t="s">
        <v>172</v>
      </c>
      <c r="C6" s="33"/>
      <c r="D6" s="170" t="s">
        <v>440</v>
      </c>
      <c r="E6" s="33"/>
      <c r="F6" s="111" t="s">
        <v>190</v>
      </c>
      <c r="G6" s="33"/>
      <c r="H6" s="170" t="s">
        <v>440</v>
      </c>
      <c r="I6" s="189" t="s">
        <v>270</v>
      </c>
      <c r="J6" s="233">
        <v>4</v>
      </c>
      <c r="K6" s="33"/>
      <c r="L6" s="111" t="s">
        <v>190</v>
      </c>
      <c r="M6" s="111" t="s">
        <v>175</v>
      </c>
      <c r="N6" s="81">
        <v>1</v>
      </c>
      <c r="O6" s="33"/>
      <c r="P6" s="168"/>
      <c r="Q6" s="115"/>
      <c r="R6" s="96"/>
      <c r="S6" s="95"/>
      <c r="T6" s="96"/>
      <c r="U6" s="96"/>
      <c r="W6" s="96"/>
    </row>
    <row r="7" spans="1:23" x14ac:dyDescent="0.25">
      <c r="A7" s="33"/>
      <c r="B7" s="109" t="s">
        <v>175</v>
      </c>
      <c r="C7" s="33"/>
      <c r="D7" s="170" t="s">
        <v>441</v>
      </c>
      <c r="E7" s="33"/>
      <c r="F7" s="111" t="s">
        <v>184</v>
      </c>
      <c r="G7" s="33"/>
      <c r="H7" s="170" t="s">
        <v>441</v>
      </c>
      <c r="I7" s="189" t="s">
        <v>270</v>
      </c>
      <c r="J7" s="233">
        <v>5</v>
      </c>
      <c r="K7" s="33"/>
      <c r="L7" s="111" t="s">
        <v>184</v>
      </c>
      <c r="M7" s="111" t="s">
        <v>169</v>
      </c>
      <c r="N7" s="81">
        <v>1</v>
      </c>
      <c r="O7" s="33"/>
      <c r="P7" s="168"/>
      <c r="Q7" s="80"/>
      <c r="R7" s="80"/>
    </row>
    <row r="8" spans="1:23" x14ac:dyDescent="0.25">
      <c r="A8" s="33"/>
      <c r="B8" s="109" t="s">
        <v>270</v>
      </c>
      <c r="C8" s="33"/>
      <c r="D8" s="168" t="s">
        <v>283</v>
      </c>
      <c r="E8" s="33"/>
      <c r="F8" s="111" t="s">
        <v>180</v>
      </c>
      <c r="G8" s="33"/>
      <c r="H8" s="168" t="s">
        <v>283</v>
      </c>
      <c r="I8" s="108" t="s">
        <v>269</v>
      </c>
      <c r="J8" s="166">
        <v>1</v>
      </c>
      <c r="K8" s="33"/>
      <c r="L8" s="111" t="s">
        <v>180</v>
      </c>
      <c r="M8" s="111" t="s">
        <v>165</v>
      </c>
      <c r="N8" s="81">
        <v>1</v>
      </c>
      <c r="O8" s="33"/>
      <c r="P8" s="168"/>
      <c r="Q8" s="115"/>
      <c r="S8" s="116"/>
    </row>
    <row r="9" spans="1:23" x14ac:dyDescent="0.25">
      <c r="A9" s="33"/>
      <c r="B9" s="109" t="s">
        <v>169</v>
      </c>
      <c r="C9" s="33"/>
      <c r="D9" s="167" t="s">
        <v>205</v>
      </c>
      <c r="E9" s="33"/>
      <c r="F9" s="111" t="s">
        <v>194</v>
      </c>
      <c r="G9" s="33"/>
      <c r="H9" s="167" t="s">
        <v>205</v>
      </c>
      <c r="I9" s="94" t="s">
        <v>172</v>
      </c>
      <c r="J9" s="166">
        <v>1</v>
      </c>
      <c r="K9" s="33"/>
      <c r="L9" s="111" t="s">
        <v>194</v>
      </c>
      <c r="M9" s="111" t="s">
        <v>179</v>
      </c>
      <c r="N9" s="81">
        <v>1</v>
      </c>
      <c r="O9" s="33"/>
      <c r="P9" s="237"/>
      <c r="Q9" s="80"/>
      <c r="R9" s="80"/>
    </row>
    <row r="10" spans="1:23" x14ac:dyDescent="0.25">
      <c r="A10" s="33"/>
      <c r="B10" s="109" t="s">
        <v>165</v>
      </c>
      <c r="C10" s="33"/>
      <c r="D10" s="167" t="s">
        <v>203</v>
      </c>
      <c r="E10" s="33"/>
      <c r="F10" s="112" t="s">
        <v>289</v>
      </c>
      <c r="G10" s="33"/>
      <c r="H10" s="167" t="s">
        <v>203</v>
      </c>
      <c r="I10" s="94" t="s">
        <v>169</v>
      </c>
      <c r="J10" s="166">
        <v>1</v>
      </c>
      <c r="K10" s="33"/>
      <c r="L10" s="112" t="s">
        <v>289</v>
      </c>
      <c r="M10" s="112" t="s">
        <v>271</v>
      </c>
      <c r="N10" s="81">
        <v>1</v>
      </c>
      <c r="O10" s="33"/>
      <c r="P10" s="168"/>
      <c r="Q10" s="80"/>
      <c r="R10" s="80"/>
    </row>
    <row r="11" spans="1:23" x14ac:dyDescent="0.25">
      <c r="A11" s="33"/>
      <c r="B11" s="109" t="s">
        <v>179</v>
      </c>
      <c r="C11" s="33"/>
      <c r="D11" s="167" t="s">
        <v>200</v>
      </c>
      <c r="E11" s="33"/>
      <c r="F11" s="112" t="s">
        <v>290</v>
      </c>
      <c r="G11" s="33"/>
      <c r="H11" s="167" t="s">
        <v>200</v>
      </c>
      <c r="I11" s="94" t="s">
        <v>165</v>
      </c>
      <c r="J11" s="166">
        <v>1</v>
      </c>
      <c r="K11" s="33"/>
      <c r="L11" s="112" t="s">
        <v>290</v>
      </c>
      <c r="M11" s="112" t="s">
        <v>272</v>
      </c>
      <c r="N11" s="81">
        <v>1</v>
      </c>
      <c r="O11" s="33"/>
      <c r="P11" s="168"/>
      <c r="Q11" s="80"/>
      <c r="R11" s="80"/>
    </row>
    <row r="12" spans="1:23" x14ac:dyDescent="0.25">
      <c r="A12" s="33"/>
      <c r="B12" s="109" t="s">
        <v>162</v>
      </c>
      <c r="C12" s="33"/>
      <c r="D12" s="167" t="s">
        <v>209</v>
      </c>
      <c r="E12" s="33"/>
      <c r="F12" s="112" t="s">
        <v>291</v>
      </c>
      <c r="G12" s="33"/>
      <c r="H12" s="167" t="s">
        <v>209</v>
      </c>
      <c r="I12" s="94" t="s">
        <v>179</v>
      </c>
      <c r="J12" s="166">
        <v>1</v>
      </c>
      <c r="K12" s="33"/>
      <c r="L12" s="112" t="s">
        <v>291</v>
      </c>
      <c r="M12" s="112" t="s">
        <v>273</v>
      </c>
      <c r="N12" s="81">
        <v>1</v>
      </c>
      <c r="O12" s="33"/>
      <c r="P12" s="168"/>
      <c r="Q12" s="80"/>
      <c r="R12" s="80"/>
    </row>
    <row r="13" spans="1:23" x14ac:dyDescent="0.25">
      <c r="A13" s="33"/>
      <c r="B13" s="109" t="s">
        <v>271</v>
      </c>
      <c r="C13" s="33"/>
      <c r="D13" s="171" t="s">
        <v>442</v>
      </c>
      <c r="E13" s="33"/>
      <c r="F13" s="111" t="s">
        <v>181</v>
      </c>
      <c r="G13" s="33"/>
      <c r="H13" s="171" t="s">
        <v>442</v>
      </c>
      <c r="I13" s="99" t="s">
        <v>162</v>
      </c>
      <c r="J13" s="166">
        <v>1</v>
      </c>
      <c r="K13" s="33"/>
      <c r="L13" s="111" t="s">
        <v>181</v>
      </c>
      <c r="M13" s="111" t="s">
        <v>166</v>
      </c>
      <c r="N13" s="81">
        <v>1</v>
      </c>
      <c r="O13" s="33"/>
      <c r="P13" s="168"/>
      <c r="Q13" s="80"/>
      <c r="R13" s="80"/>
    </row>
    <row r="14" spans="1:23" x14ac:dyDescent="0.25">
      <c r="A14" s="33"/>
      <c r="B14" s="109" t="s">
        <v>272</v>
      </c>
      <c r="C14" s="33"/>
      <c r="D14" s="171" t="s">
        <v>443</v>
      </c>
      <c r="E14" s="33"/>
      <c r="F14" s="112" t="s">
        <v>292</v>
      </c>
      <c r="G14" s="33"/>
      <c r="H14" s="171" t="s">
        <v>443</v>
      </c>
      <c r="I14" s="185" t="s">
        <v>162</v>
      </c>
      <c r="J14" s="233">
        <v>2</v>
      </c>
      <c r="K14" s="33"/>
      <c r="L14" s="112" t="s">
        <v>292</v>
      </c>
      <c r="M14" s="112" t="s">
        <v>274</v>
      </c>
      <c r="N14" s="81">
        <v>1</v>
      </c>
      <c r="O14" s="33"/>
      <c r="P14" s="237"/>
      <c r="Q14" s="80"/>
      <c r="R14" s="80"/>
    </row>
    <row r="15" spans="1:23" x14ac:dyDescent="0.25">
      <c r="A15" s="33"/>
      <c r="B15" s="109" t="s">
        <v>273</v>
      </c>
      <c r="C15" s="33"/>
      <c r="D15" s="171" t="s">
        <v>444</v>
      </c>
      <c r="E15" s="33"/>
      <c r="F15" s="112" t="s">
        <v>293</v>
      </c>
      <c r="G15" s="33"/>
      <c r="H15" s="171" t="s">
        <v>444</v>
      </c>
      <c r="I15" s="185" t="s">
        <v>162</v>
      </c>
      <c r="J15" s="233">
        <v>3</v>
      </c>
      <c r="K15" s="33"/>
      <c r="L15" s="112" t="s">
        <v>293</v>
      </c>
      <c r="M15" s="112" t="s">
        <v>275</v>
      </c>
      <c r="N15" s="81">
        <v>1</v>
      </c>
      <c r="O15" s="33"/>
      <c r="P15" s="168"/>
      <c r="Q15" s="80"/>
      <c r="R15" s="80"/>
    </row>
    <row r="16" spans="1:23" x14ac:dyDescent="0.25">
      <c r="A16" s="33"/>
      <c r="B16" s="109" t="s">
        <v>166</v>
      </c>
      <c r="C16" s="33"/>
      <c r="D16" s="171" t="s">
        <v>445</v>
      </c>
      <c r="E16" s="33"/>
      <c r="F16" s="111" t="s">
        <v>192</v>
      </c>
      <c r="G16" s="33"/>
      <c r="H16" s="171" t="s">
        <v>445</v>
      </c>
      <c r="I16" s="185" t="s">
        <v>162</v>
      </c>
      <c r="J16" s="233">
        <v>4</v>
      </c>
      <c r="K16" s="33"/>
      <c r="L16" s="111" t="s">
        <v>192</v>
      </c>
      <c r="M16" s="111" t="s">
        <v>177</v>
      </c>
      <c r="N16" s="81">
        <v>1</v>
      </c>
      <c r="O16" s="33"/>
      <c r="P16" s="237"/>
      <c r="Q16" s="80"/>
      <c r="R16" s="80"/>
    </row>
    <row r="17" spans="1:18" x14ac:dyDescent="0.25">
      <c r="A17" s="33"/>
      <c r="B17" s="109" t="s">
        <v>274</v>
      </c>
      <c r="C17" s="33"/>
      <c r="D17" s="171" t="s">
        <v>446</v>
      </c>
      <c r="E17" s="33"/>
      <c r="F17" s="112" t="s">
        <v>294</v>
      </c>
      <c r="G17" s="33"/>
      <c r="H17" s="171" t="s">
        <v>446</v>
      </c>
      <c r="I17" s="185" t="s">
        <v>162</v>
      </c>
      <c r="J17" s="233">
        <v>5</v>
      </c>
      <c r="K17" s="33"/>
      <c r="L17" s="112" t="s">
        <v>294</v>
      </c>
      <c r="M17" s="112" t="s">
        <v>276</v>
      </c>
      <c r="N17" s="81">
        <v>1</v>
      </c>
      <c r="O17" s="33"/>
      <c r="P17" s="168"/>
      <c r="Q17" s="80"/>
      <c r="R17" s="80"/>
    </row>
    <row r="18" spans="1:18" x14ac:dyDescent="0.25">
      <c r="A18" s="33"/>
      <c r="B18" s="109" t="s">
        <v>275</v>
      </c>
      <c r="C18" s="33"/>
      <c r="D18" s="168" t="s">
        <v>284</v>
      </c>
      <c r="E18" s="33"/>
      <c r="F18" s="111" t="s">
        <v>182</v>
      </c>
      <c r="G18" s="33"/>
      <c r="H18" s="168" t="s">
        <v>284</v>
      </c>
      <c r="I18" s="108" t="s">
        <v>275</v>
      </c>
      <c r="J18" s="166">
        <v>1</v>
      </c>
      <c r="K18" s="33"/>
      <c r="L18" s="111" t="s">
        <v>182</v>
      </c>
      <c r="M18" s="111" t="s">
        <v>167</v>
      </c>
      <c r="N18" s="81">
        <v>1</v>
      </c>
      <c r="O18" s="33"/>
      <c r="P18" s="168"/>
      <c r="Q18" s="80"/>
      <c r="R18" s="80"/>
    </row>
    <row r="19" spans="1:18" x14ac:dyDescent="0.25">
      <c r="A19" s="33"/>
      <c r="B19" s="109" t="s">
        <v>177</v>
      </c>
      <c r="C19" s="33"/>
      <c r="D19" s="167" t="s">
        <v>207</v>
      </c>
      <c r="E19" s="33"/>
      <c r="F19" s="112" t="s">
        <v>295</v>
      </c>
      <c r="G19" s="33"/>
      <c r="H19" s="167" t="s">
        <v>207</v>
      </c>
      <c r="I19" s="94" t="s">
        <v>177</v>
      </c>
      <c r="J19" s="166">
        <v>1</v>
      </c>
      <c r="K19" s="33"/>
      <c r="L19" s="112" t="s">
        <v>295</v>
      </c>
      <c r="M19" s="112" t="s">
        <v>277</v>
      </c>
      <c r="N19" s="81">
        <v>1</v>
      </c>
      <c r="O19" s="33"/>
      <c r="P19" s="237"/>
      <c r="Q19" s="80"/>
      <c r="R19" s="80"/>
    </row>
    <row r="20" spans="1:18" x14ac:dyDescent="0.25">
      <c r="A20" s="33"/>
      <c r="B20" s="109" t="s">
        <v>276</v>
      </c>
      <c r="C20" s="33"/>
      <c r="D20" s="168" t="s">
        <v>285</v>
      </c>
      <c r="E20" s="33"/>
      <c r="F20" s="112" t="s">
        <v>296</v>
      </c>
      <c r="G20" s="33"/>
      <c r="H20" s="168" t="s">
        <v>285</v>
      </c>
      <c r="I20" s="108" t="s">
        <v>276</v>
      </c>
      <c r="J20" s="166">
        <v>1</v>
      </c>
      <c r="K20" s="33"/>
      <c r="L20" s="112" t="s">
        <v>296</v>
      </c>
      <c r="M20" s="112" t="s">
        <v>278</v>
      </c>
      <c r="N20" s="81">
        <v>1</v>
      </c>
      <c r="O20" s="33"/>
      <c r="P20" s="168"/>
      <c r="Q20" s="80"/>
      <c r="R20" s="80"/>
    </row>
    <row r="21" spans="1:18" x14ac:dyDescent="0.25">
      <c r="A21" s="33"/>
      <c r="B21" s="109" t="s">
        <v>167</v>
      </c>
      <c r="C21" s="33"/>
      <c r="D21" s="167" t="s">
        <v>201</v>
      </c>
      <c r="E21" s="33"/>
      <c r="F21" s="111" t="s">
        <v>196</v>
      </c>
      <c r="G21" s="33"/>
      <c r="H21" s="167" t="s">
        <v>201</v>
      </c>
      <c r="I21" s="94" t="s">
        <v>167</v>
      </c>
      <c r="J21" s="166">
        <v>1</v>
      </c>
      <c r="K21" s="33"/>
      <c r="L21" s="111" t="s">
        <v>196</v>
      </c>
      <c r="M21" s="111" t="s">
        <v>164</v>
      </c>
      <c r="N21" s="107">
        <v>1</v>
      </c>
      <c r="O21" s="33"/>
      <c r="P21" s="168"/>
      <c r="Q21" s="80"/>
      <c r="R21" s="80"/>
    </row>
    <row r="22" spans="1:18" x14ac:dyDescent="0.25">
      <c r="A22" s="33"/>
      <c r="B22" s="109" t="s">
        <v>277</v>
      </c>
      <c r="C22" s="33"/>
      <c r="D22" s="169" t="s">
        <v>198</v>
      </c>
      <c r="E22" s="33"/>
      <c r="F22" s="111" t="s">
        <v>186</v>
      </c>
      <c r="G22" s="33"/>
      <c r="H22" s="169" t="s">
        <v>198</v>
      </c>
      <c r="I22" s="99" t="s">
        <v>163</v>
      </c>
      <c r="J22" s="166">
        <v>1</v>
      </c>
      <c r="K22" s="33"/>
      <c r="L22" s="111" t="s">
        <v>186</v>
      </c>
      <c r="M22" s="111" t="s">
        <v>171</v>
      </c>
      <c r="N22" s="107">
        <v>1</v>
      </c>
      <c r="O22" s="33"/>
      <c r="P22" s="168"/>
      <c r="Q22" s="80"/>
      <c r="R22" s="80"/>
    </row>
    <row r="23" spans="1:18" x14ac:dyDescent="0.25">
      <c r="A23" s="33"/>
      <c r="B23" s="109" t="s">
        <v>278</v>
      </c>
      <c r="C23" s="33"/>
      <c r="D23" s="167" t="s">
        <v>199</v>
      </c>
      <c r="E23" s="33"/>
      <c r="F23" s="112" t="s">
        <v>297</v>
      </c>
      <c r="G23" s="33"/>
      <c r="H23" s="167" t="s">
        <v>199</v>
      </c>
      <c r="I23" s="94" t="s">
        <v>164</v>
      </c>
      <c r="J23" s="166">
        <v>1</v>
      </c>
      <c r="K23" s="33"/>
      <c r="L23" s="112" t="s">
        <v>297</v>
      </c>
      <c r="M23" s="112" t="s">
        <v>279</v>
      </c>
      <c r="N23" s="107">
        <v>1</v>
      </c>
      <c r="O23" s="33"/>
      <c r="P23" s="168"/>
      <c r="Q23" s="80"/>
      <c r="R23" s="80"/>
    </row>
    <row r="24" spans="1:18" x14ac:dyDescent="0.25">
      <c r="A24" s="33"/>
      <c r="B24" s="109" t="s">
        <v>163</v>
      </c>
      <c r="C24" s="33"/>
      <c r="D24" s="171" t="s">
        <v>447</v>
      </c>
      <c r="E24" s="33"/>
      <c r="F24" s="111" t="s">
        <v>193</v>
      </c>
      <c r="G24" s="33"/>
      <c r="H24" s="171" t="s">
        <v>447</v>
      </c>
      <c r="I24" s="99" t="s">
        <v>39</v>
      </c>
      <c r="J24" s="166">
        <v>1</v>
      </c>
      <c r="K24" s="33"/>
      <c r="L24" s="111" t="s">
        <v>193</v>
      </c>
      <c r="M24" s="111" t="s">
        <v>178</v>
      </c>
      <c r="N24" s="107">
        <v>1</v>
      </c>
      <c r="O24" s="33"/>
      <c r="P24" s="168"/>
      <c r="Q24" s="80"/>
      <c r="R24" s="80"/>
    </row>
    <row r="25" spans="1:18" x14ac:dyDescent="0.25">
      <c r="A25" s="33"/>
      <c r="B25" s="109" t="s">
        <v>164</v>
      </c>
      <c r="C25" s="33"/>
      <c r="D25" s="171" t="s">
        <v>448</v>
      </c>
      <c r="E25" s="33"/>
      <c r="F25" s="113" t="s">
        <v>298</v>
      </c>
      <c r="G25" s="33"/>
      <c r="H25" s="171" t="s">
        <v>448</v>
      </c>
      <c r="I25" s="185" t="s">
        <v>39</v>
      </c>
      <c r="J25" s="233">
        <v>2</v>
      </c>
      <c r="K25" s="33"/>
      <c r="L25" s="113" t="s">
        <v>298</v>
      </c>
      <c r="M25" s="113" t="s">
        <v>280</v>
      </c>
      <c r="N25" s="107">
        <v>1</v>
      </c>
      <c r="O25" s="33"/>
      <c r="P25" s="80"/>
      <c r="Q25" s="80"/>
      <c r="R25" s="80"/>
    </row>
    <row r="26" spans="1:18" x14ac:dyDescent="0.25">
      <c r="A26" s="33"/>
      <c r="B26" s="109" t="s">
        <v>39</v>
      </c>
      <c r="C26" s="33"/>
      <c r="D26" s="171" t="s">
        <v>449</v>
      </c>
      <c r="E26" s="33"/>
      <c r="F26" s="111" t="s">
        <v>197</v>
      </c>
      <c r="G26" s="33"/>
      <c r="H26" s="171" t="s">
        <v>449</v>
      </c>
      <c r="I26" s="185" t="s">
        <v>39</v>
      </c>
      <c r="J26" s="233">
        <v>3</v>
      </c>
      <c r="K26" s="33"/>
      <c r="L26" s="111" t="s">
        <v>197</v>
      </c>
      <c r="M26" s="111" t="s">
        <v>195</v>
      </c>
      <c r="N26" s="107">
        <v>1</v>
      </c>
      <c r="O26" s="33"/>
      <c r="P26" s="80"/>
      <c r="Q26" s="80"/>
      <c r="R26" s="80"/>
    </row>
    <row r="27" spans="1:18" x14ac:dyDescent="0.25">
      <c r="B27" s="109" t="s">
        <v>171</v>
      </c>
      <c r="D27" s="171" t="s">
        <v>450</v>
      </c>
      <c r="F27" s="112" t="s">
        <v>299</v>
      </c>
      <c r="H27" s="171" t="s">
        <v>450</v>
      </c>
      <c r="I27" s="185" t="s">
        <v>39</v>
      </c>
      <c r="J27" s="233">
        <v>4</v>
      </c>
      <c r="L27" s="112" t="s">
        <v>299</v>
      </c>
      <c r="M27" s="112" t="s">
        <v>281</v>
      </c>
      <c r="N27" s="107">
        <v>1</v>
      </c>
    </row>
    <row r="28" spans="1:18" x14ac:dyDescent="0.25">
      <c r="B28" s="109" t="s">
        <v>279</v>
      </c>
      <c r="D28" s="171" t="s">
        <v>451</v>
      </c>
      <c r="F28" s="111" t="s">
        <v>185</v>
      </c>
      <c r="H28" s="171" t="s">
        <v>451</v>
      </c>
      <c r="I28" s="185" t="s">
        <v>39</v>
      </c>
      <c r="J28" s="233">
        <v>5</v>
      </c>
      <c r="L28" s="111" t="s">
        <v>185</v>
      </c>
      <c r="M28" s="111" t="s">
        <v>170</v>
      </c>
      <c r="N28" s="107">
        <v>1</v>
      </c>
    </row>
    <row r="29" spans="1:18" x14ac:dyDescent="0.25">
      <c r="B29" s="109" t="s">
        <v>178</v>
      </c>
      <c r="D29" s="167" t="s">
        <v>204</v>
      </c>
      <c r="F29" s="111" t="s">
        <v>300</v>
      </c>
      <c r="H29" s="167" t="s">
        <v>204</v>
      </c>
      <c r="I29" s="94" t="s">
        <v>171</v>
      </c>
      <c r="J29" s="166">
        <v>1</v>
      </c>
      <c r="L29" s="111" t="s">
        <v>300</v>
      </c>
      <c r="M29" s="111" t="s">
        <v>2</v>
      </c>
      <c r="N29" s="107">
        <v>1</v>
      </c>
    </row>
    <row r="30" spans="1:18" x14ac:dyDescent="0.25">
      <c r="B30" s="109" t="s">
        <v>1</v>
      </c>
      <c r="D30" s="167" t="s">
        <v>208</v>
      </c>
      <c r="F30" s="111" t="s">
        <v>188</v>
      </c>
      <c r="H30" s="167" t="s">
        <v>208</v>
      </c>
      <c r="I30" s="94" t="s">
        <v>178</v>
      </c>
      <c r="J30" s="166">
        <v>1</v>
      </c>
      <c r="L30" s="111" t="s">
        <v>188</v>
      </c>
      <c r="M30" s="111" t="s">
        <v>173</v>
      </c>
      <c r="N30" s="107">
        <v>1</v>
      </c>
    </row>
    <row r="31" spans="1:18" x14ac:dyDescent="0.25">
      <c r="B31" s="44" t="s">
        <v>280</v>
      </c>
      <c r="D31" s="171" t="s">
        <v>435</v>
      </c>
      <c r="F31" s="111" t="s">
        <v>191</v>
      </c>
      <c r="H31" s="171" t="s">
        <v>435</v>
      </c>
      <c r="I31" s="99" t="s">
        <v>1</v>
      </c>
      <c r="J31" s="166">
        <v>1</v>
      </c>
      <c r="L31" s="111" t="s">
        <v>191</v>
      </c>
      <c r="M31" s="111" t="s">
        <v>176</v>
      </c>
      <c r="N31" s="107">
        <v>1</v>
      </c>
    </row>
    <row r="32" spans="1:18" x14ac:dyDescent="0.25">
      <c r="B32" s="109" t="s">
        <v>281</v>
      </c>
      <c r="D32" s="170" t="s">
        <v>436</v>
      </c>
      <c r="H32" s="170" t="s">
        <v>436</v>
      </c>
      <c r="I32" s="185" t="s">
        <v>1</v>
      </c>
      <c r="J32" s="233">
        <v>2</v>
      </c>
    </row>
    <row r="33" spans="2:10" x14ac:dyDescent="0.25">
      <c r="B33" s="109" t="s">
        <v>170</v>
      </c>
      <c r="D33" s="171" t="s">
        <v>452</v>
      </c>
      <c r="H33" s="171" t="s">
        <v>452</v>
      </c>
      <c r="I33" s="185" t="s">
        <v>1</v>
      </c>
      <c r="J33" s="233">
        <v>3</v>
      </c>
    </row>
    <row r="34" spans="2:10" x14ac:dyDescent="0.25">
      <c r="B34" s="109" t="s">
        <v>2</v>
      </c>
      <c r="D34" s="170" t="s">
        <v>453</v>
      </c>
      <c r="H34" s="170" t="s">
        <v>453</v>
      </c>
      <c r="I34" s="185" t="s">
        <v>1</v>
      </c>
      <c r="J34" s="233">
        <v>4</v>
      </c>
    </row>
    <row r="35" spans="2:10" x14ac:dyDescent="0.25">
      <c r="B35" s="109" t="s">
        <v>282</v>
      </c>
      <c r="D35" s="171" t="s">
        <v>454</v>
      </c>
      <c r="H35" s="171" t="s">
        <v>454</v>
      </c>
      <c r="I35" s="185" t="s">
        <v>1</v>
      </c>
      <c r="J35" s="233">
        <v>5</v>
      </c>
    </row>
    <row r="36" spans="2:10" x14ac:dyDescent="0.25">
      <c r="B36" s="109" t="s">
        <v>173</v>
      </c>
      <c r="D36" s="168" t="s">
        <v>287</v>
      </c>
      <c r="H36" s="168" t="s">
        <v>287</v>
      </c>
      <c r="I36" s="108" t="s">
        <v>280</v>
      </c>
      <c r="J36" s="166">
        <v>1</v>
      </c>
    </row>
    <row r="37" spans="2:10" x14ac:dyDescent="0.25">
      <c r="B37" s="109" t="s">
        <v>176</v>
      </c>
      <c r="D37" s="168" t="s">
        <v>286</v>
      </c>
      <c r="H37" s="168" t="s">
        <v>286</v>
      </c>
      <c r="I37" s="108" t="s">
        <v>2</v>
      </c>
      <c r="J37" s="166">
        <v>1</v>
      </c>
    </row>
    <row r="38" spans="2:10" x14ac:dyDescent="0.25">
      <c r="B38" s="109" t="s">
        <v>38</v>
      </c>
      <c r="D38" s="170" t="s">
        <v>455</v>
      </c>
      <c r="H38" s="170" t="s">
        <v>455</v>
      </c>
      <c r="I38" s="94" t="s">
        <v>173</v>
      </c>
      <c r="J38" s="166">
        <v>1</v>
      </c>
    </row>
    <row r="39" spans="2:10" x14ac:dyDescent="0.25">
      <c r="D39" s="170" t="s">
        <v>456</v>
      </c>
      <c r="H39" s="170" t="s">
        <v>456</v>
      </c>
      <c r="I39" s="183" t="s">
        <v>173</v>
      </c>
      <c r="J39" s="233">
        <v>2</v>
      </c>
    </row>
    <row r="40" spans="2:10" x14ac:dyDescent="0.25">
      <c r="D40" s="170" t="s">
        <v>457</v>
      </c>
      <c r="H40" s="170" t="s">
        <v>457</v>
      </c>
      <c r="I40" s="183" t="s">
        <v>173</v>
      </c>
      <c r="J40" s="233">
        <v>3</v>
      </c>
    </row>
    <row r="41" spans="2:10" x14ac:dyDescent="0.25">
      <c r="D41" s="170" t="s">
        <v>458</v>
      </c>
      <c r="H41" s="170" t="s">
        <v>458</v>
      </c>
      <c r="I41" s="183" t="s">
        <v>173</v>
      </c>
      <c r="J41" s="233">
        <v>4</v>
      </c>
    </row>
    <row r="42" spans="2:10" x14ac:dyDescent="0.25">
      <c r="D42" s="170" t="s">
        <v>459</v>
      </c>
      <c r="H42" s="170" t="s">
        <v>459</v>
      </c>
      <c r="I42" s="183" t="s">
        <v>173</v>
      </c>
      <c r="J42" s="233">
        <v>5</v>
      </c>
    </row>
    <row r="43" spans="2:10" x14ac:dyDescent="0.25">
      <c r="D43" s="167" t="s">
        <v>206</v>
      </c>
      <c r="H43" s="167" t="s">
        <v>206</v>
      </c>
      <c r="I43" s="94" t="s">
        <v>176</v>
      </c>
      <c r="J43" s="166">
        <v>1</v>
      </c>
    </row>
    <row r="44" spans="2:10" x14ac:dyDescent="0.25">
      <c r="D44" s="170" t="s">
        <v>460</v>
      </c>
      <c r="H44" s="170" t="s">
        <v>460</v>
      </c>
      <c r="I44" s="108" t="s">
        <v>38</v>
      </c>
      <c r="J44" s="166">
        <v>1</v>
      </c>
    </row>
    <row r="45" spans="2:10" x14ac:dyDescent="0.25">
      <c r="D45" s="170" t="s">
        <v>461</v>
      </c>
      <c r="H45" s="170" t="s">
        <v>461</v>
      </c>
      <c r="I45" s="189" t="s">
        <v>38</v>
      </c>
      <c r="J45" s="233">
        <v>2</v>
      </c>
    </row>
    <row r="46" spans="2:10" x14ac:dyDescent="0.25">
      <c r="D46" s="170" t="s">
        <v>462</v>
      </c>
      <c r="H46" s="170" t="s">
        <v>462</v>
      </c>
      <c r="I46" s="189" t="s">
        <v>38</v>
      </c>
      <c r="J46" s="233">
        <v>3</v>
      </c>
    </row>
    <row r="47" spans="2:10" x14ac:dyDescent="0.25">
      <c r="D47" s="170" t="s">
        <v>463</v>
      </c>
      <c r="H47" s="170" t="s">
        <v>463</v>
      </c>
      <c r="I47" s="189" t="s">
        <v>38</v>
      </c>
      <c r="J47" s="233">
        <v>4</v>
      </c>
    </row>
    <row r="48" spans="2:10" x14ac:dyDescent="0.25">
      <c r="D48" s="194" t="s">
        <v>464</v>
      </c>
      <c r="H48" s="194" t="s">
        <v>464</v>
      </c>
      <c r="I48" s="189" t="s">
        <v>38</v>
      </c>
      <c r="J48" s="233">
        <v>5</v>
      </c>
    </row>
  </sheetData>
  <sortState xmlns:xlrd2="http://schemas.microsoft.com/office/spreadsheetml/2017/richdata2" ref="B3:B39">
    <sortCondition ref="B2"/>
  </sortState>
  <mergeCells count="2">
    <mergeCell ref="H1:J1"/>
    <mergeCell ref="L1:N1"/>
  </mergeCells>
  <phoneticPr fontId="15" type="noConversion"/>
  <conditionalFormatting sqref="I36">
    <cfRule type="dataBar" priority="3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{D7803FF9-3662-4673-A08C-8186A050EB6E}</x14:id>
        </ext>
      </extLst>
    </cfRule>
  </conditionalFormatting>
  <conditionalFormatting sqref="P20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{6D10FE70-52E6-41C3-8678-786A8D6C876C}</x14:id>
        </ext>
      </extLst>
    </cfRule>
  </conditionalFormatting>
  <conditionalFormatting sqref="P21:P24 P2:P19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{FCC989AE-08CD-4E59-9609-984F06EE3CA9}</x14:id>
        </ext>
      </extLst>
    </cfRule>
  </conditionalFormatting>
  <conditionalFormatting sqref="D36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{933F38C1-907C-472C-A6E6-311BDBD72CC4}</x14:id>
        </ext>
      </extLst>
    </cfRule>
  </conditionalFormatting>
  <conditionalFormatting sqref="D2:D35 D37:D48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{B3CFE858-9F9B-4956-B473-C56C02DB787B}</x14:id>
        </ext>
      </extLst>
    </cfRule>
  </conditionalFormatting>
  <conditionalFormatting sqref="H3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{7C5967A5-9E26-49BA-AC4D-48E06E423906}</x14:id>
        </ext>
      </extLst>
    </cfRule>
  </conditionalFormatting>
  <conditionalFormatting sqref="H2:H35 H37:H48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{C41DA8D5-9186-4244-9768-5FA66B9B30F7}</x14:id>
        </ext>
      </extLst>
    </cfRule>
  </conditionalFormatting>
  <conditionalFormatting sqref="I2:I35 I37:I48">
    <cfRule type="dataBar" priority="39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{07AD310D-AE5C-4401-9E54-74B53529552D}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7803FF9-3662-4673-A08C-8186A050EB6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I36</xm:sqref>
        </x14:conditionalFormatting>
        <x14:conditionalFormatting xmlns:xm="http://schemas.microsoft.com/office/excel/2006/main">
          <x14:cfRule type="dataBar" id="{6D10FE70-52E6-41C3-8678-786A8D6C876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FCC989AE-08CD-4E59-9609-984F06EE3CA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P21:P24 P2:P19</xm:sqref>
        </x14:conditionalFormatting>
        <x14:conditionalFormatting xmlns:xm="http://schemas.microsoft.com/office/excel/2006/main">
          <x14:cfRule type="dataBar" id="{933F38C1-907C-472C-A6E6-311BDBD72C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B3CFE858-9F9B-4956-B473-C56C02DB787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D2:D35 D37:D48</xm:sqref>
        </x14:conditionalFormatting>
        <x14:conditionalFormatting xmlns:xm="http://schemas.microsoft.com/office/excel/2006/main">
          <x14:cfRule type="dataBar" id="{7C5967A5-9E26-49BA-AC4D-48E06E4239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H36</xm:sqref>
        </x14:conditionalFormatting>
        <x14:conditionalFormatting xmlns:xm="http://schemas.microsoft.com/office/excel/2006/main">
          <x14:cfRule type="dataBar" id="{C41DA8D5-9186-4244-9768-5FA66B9B30F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H2:H35 H37:H48</xm:sqref>
        </x14:conditionalFormatting>
        <x14:conditionalFormatting xmlns:xm="http://schemas.microsoft.com/office/excel/2006/main">
          <x14:cfRule type="dataBar" id="{07AD310D-AE5C-4401-9E54-74B53529552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I2:I35 I37:I48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5"/>
  </sheetPr>
  <dimension ref="A1:AE246"/>
  <sheetViews>
    <sheetView topLeftCell="F70" zoomScale="85" zoomScaleNormal="85" workbookViewId="0">
      <selection activeCell="H159" sqref="H159:O159"/>
    </sheetView>
  </sheetViews>
  <sheetFormatPr defaultColWidth="9.140625" defaultRowHeight="15" x14ac:dyDescent="0.25"/>
  <cols>
    <col min="1" max="1" width="2.85546875" style="88" customWidth="1"/>
    <col min="2" max="2" width="16.42578125" style="87" customWidth="1"/>
    <col min="3" max="3" width="2.85546875" style="88" customWidth="1"/>
    <col min="4" max="4" width="16.42578125" style="87" customWidth="1"/>
    <col min="5" max="5" width="2.85546875" style="88" customWidth="1"/>
    <col min="6" max="6" width="16.42578125" style="87" customWidth="1"/>
    <col min="7" max="7" width="2.85546875" style="88" customWidth="1"/>
    <col min="8" max="9" width="16.42578125" style="87" customWidth="1"/>
    <col min="10" max="10" width="2.85546875" style="88" customWidth="1"/>
    <col min="11" max="12" width="16.42578125" style="87" customWidth="1"/>
    <col min="13" max="13" width="2.85546875" style="88" customWidth="1"/>
    <col min="14" max="14" width="16.42578125" style="87" customWidth="1"/>
    <col min="15" max="15" width="22.140625" style="87" customWidth="1"/>
    <col min="16" max="16" width="25.7109375" style="87" customWidth="1"/>
    <col min="17" max="17" width="33.5703125" style="87" customWidth="1"/>
    <col min="18" max="19" width="33.5703125" style="181" customWidth="1"/>
    <col min="20" max="20" width="3.28515625" style="90" customWidth="1"/>
    <col min="22" max="22" width="9.140625" style="176"/>
    <col min="25" max="25" width="9.42578125" bestFit="1" customWidth="1"/>
  </cols>
  <sheetData>
    <row r="1" spans="2:25" x14ac:dyDescent="0.25">
      <c r="B1" s="85" t="s">
        <v>147</v>
      </c>
      <c r="D1" s="85" t="s">
        <v>221</v>
      </c>
      <c r="F1" s="85" t="s">
        <v>221</v>
      </c>
      <c r="H1" s="342" t="s">
        <v>155</v>
      </c>
      <c r="I1" s="342"/>
      <c r="K1" s="342" t="s">
        <v>156</v>
      </c>
      <c r="L1" s="342"/>
      <c r="N1" s="342" t="s">
        <v>218</v>
      </c>
      <c r="O1" s="342"/>
      <c r="P1" s="342"/>
      <c r="Q1" s="342"/>
      <c r="R1" s="342"/>
      <c r="S1" s="342"/>
    </row>
    <row r="2" spans="2:25" x14ac:dyDescent="0.25">
      <c r="B2" s="86" t="s">
        <v>154</v>
      </c>
      <c r="D2" s="86" t="s">
        <v>219</v>
      </c>
      <c r="F2" s="86" t="s">
        <v>220</v>
      </c>
      <c r="H2" s="86" t="s">
        <v>142</v>
      </c>
      <c r="I2" s="86" t="s">
        <v>154</v>
      </c>
      <c r="K2" s="86" t="s">
        <v>154</v>
      </c>
      <c r="L2" s="86" t="s">
        <v>9</v>
      </c>
      <c r="N2" s="179" t="s">
        <v>154</v>
      </c>
      <c r="O2" s="180" t="s">
        <v>157</v>
      </c>
      <c r="P2" s="180" t="s">
        <v>158</v>
      </c>
      <c r="Q2" s="180" t="s">
        <v>649</v>
      </c>
      <c r="R2" s="180" t="s">
        <v>650</v>
      </c>
      <c r="S2" s="180" t="s">
        <v>651</v>
      </c>
      <c r="W2" s="54"/>
    </row>
    <row r="3" spans="2:25" x14ac:dyDescent="0.25">
      <c r="B3" s="107" t="s">
        <v>148</v>
      </c>
      <c r="D3" s="107" t="s">
        <v>148</v>
      </c>
      <c r="F3" s="291" t="s">
        <v>348</v>
      </c>
      <c r="H3" s="107" t="s">
        <v>268</v>
      </c>
      <c r="I3" s="107" t="s">
        <v>148</v>
      </c>
      <c r="K3" s="107" t="s">
        <v>148</v>
      </c>
      <c r="L3" s="44" t="s">
        <v>167</v>
      </c>
      <c r="N3" s="183" t="s">
        <v>148</v>
      </c>
      <c r="O3" s="100">
        <v>9.3170000000000002</v>
      </c>
      <c r="P3" s="260">
        <v>4.8999999999999995</v>
      </c>
      <c r="Q3" s="260">
        <v>0</v>
      </c>
      <c r="R3" s="260">
        <v>0</v>
      </c>
      <c r="S3" s="260">
        <v>0</v>
      </c>
      <c r="W3" s="103"/>
    </row>
    <row r="4" spans="2:25" x14ac:dyDescent="0.25">
      <c r="B4" s="107" t="s">
        <v>149</v>
      </c>
      <c r="D4" s="107" t="s">
        <v>149</v>
      </c>
      <c r="F4" s="291" t="s">
        <v>349</v>
      </c>
      <c r="H4" s="109" t="s">
        <v>168</v>
      </c>
      <c r="I4" s="107" t="s">
        <v>149</v>
      </c>
      <c r="K4" s="107" t="s">
        <v>149</v>
      </c>
      <c r="L4" s="109" t="s">
        <v>165</v>
      </c>
      <c r="N4" s="183" t="s">
        <v>149</v>
      </c>
      <c r="O4" s="100">
        <v>15.15515429444922</v>
      </c>
      <c r="P4" s="260">
        <v>4.5500000000000052</v>
      </c>
      <c r="Q4" s="260">
        <v>0</v>
      </c>
      <c r="R4" s="260">
        <v>0</v>
      </c>
      <c r="S4" s="260">
        <v>0</v>
      </c>
      <c r="U4" s="154"/>
      <c r="V4" s="253"/>
      <c r="W4" s="103"/>
      <c r="X4" s="154"/>
      <c r="Y4" s="154"/>
    </row>
    <row r="5" spans="2:25" x14ac:dyDescent="0.25">
      <c r="B5" s="107" t="s">
        <v>150</v>
      </c>
      <c r="D5" s="107" t="s">
        <v>150</v>
      </c>
      <c r="F5" s="291" t="s">
        <v>350</v>
      </c>
      <c r="H5" s="109" t="s">
        <v>168</v>
      </c>
      <c r="I5" s="107" t="s">
        <v>150</v>
      </c>
      <c r="K5" s="107" t="s">
        <v>150</v>
      </c>
      <c r="L5" s="109" t="s">
        <v>177</v>
      </c>
      <c r="N5" s="183" t="s">
        <v>150</v>
      </c>
      <c r="O5" s="100">
        <v>4.5231475112257566</v>
      </c>
      <c r="P5" s="260">
        <v>2.0999999999999996</v>
      </c>
      <c r="Q5" s="260">
        <v>0</v>
      </c>
      <c r="R5" s="260">
        <v>0</v>
      </c>
      <c r="S5" s="260">
        <v>0</v>
      </c>
      <c r="U5" s="154"/>
      <c r="V5" s="253"/>
      <c r="W5" s="154"/>
      <c r="X5" s="154"/>
      <c r="Y5" s="154"/>
    </row>
    <row r="6" spans="2:25" x14ac:dyDescent="0.25">
      <c r="B6" s="107" t="s">
        <v>151</v>
      </c>
      <c r="D6" s="107" t="s">
        <v>151</v>
      </c>
      <c r="F6" s="291" t="s">
        <v>351</v>
      </c>
      <c r="H6" s="109" t="s">
        <v>168</v>
      </c>
      <c r="I6" s="107" t="s">
        <v>151</v>
      </c>
      <c r="K6" s="107" t="s">
        <v>151</v>
      </c>
      <c r="L6" s="109" t="s">
        <v>167</v>
      </c>
      <c r="N6" s="183" t="s">
        <v>151</v>
      </c>
      <c r="O6" s="100">
        <v>39.914484264354641</v>
      </c>
      <c r="P6" s="260">
        <v>3.5</v>
      </c>
      <c r="Q6" s="260">
        <v>0</v>
      </c>
      <c r="R6" s="260">
        <v>0</v>
      </c>
      <c r="S6" s="260">
        <v>0</v>
      </c>
      <c r="U6" s="103"/>
      <c r="V6" s="103"/>
      <c r="W6" s="103"/>
      <c r="X6" s="154"/>
      <c r="Y6" s="154"/>
    </row>
    <row r="7" spans="2:25" x14ac:dyDescent="0.25">
      <c r="B7" s="107" t="s">
        <v>152</v>
      </c>
      <c r="D7" s="107" t="s">
        <v>152</v>
      </c>
      <c r="F7" s="291" t="s">
        <v>352</v>
      </c>
      <c r="H7" s="109" t="s">
        <v>168</v>
      </c>
      <c r="I7" s="107" t="s">
        <v>152</v>
      </c>
      <c r="K7" s="107" t="s">
        <v>152</v>
      </c>
      <c r="L7" s="109" t="s">
        <v>170</v>
      </c>
      <c r="N7" s="183" t="s">
        <v>152</v>
      </c>
      <c r="O7" s="186">
        <v>8.6313939046527182</v>
      </c>
      <c r="P7" s="260">
        <v>2.0999999999999996</v>
      </c>
      <c r="Q7" s="260">
        <v>0</v>
      </c>
      <c r="R7" s="260">
        <v>0</v>
      </c>
      <c r="S7" s="260">
        <v>0</v>
      </c>
      <c r="U7" s="154"/>
      <c r="V7" s="253"/>
      <c r="W7" s="103"/>
      <c r="X7" s="154"/>
      <c r="Y7" s="154"/>
    </row>
    <row r="8" spans="2:25" x14ac:dyDescent="0.25">
      <c r="B8" s="107" t="s">
        <v>153</v>
      </c>
      <c r="D8" s="107" t="s">
        <v>153</v>
      </c>
      <c r="F8" s="291" t="s">
        <v>353</v>
      </c>
      <c r="H8" s="109" t="s">
        <v>168</v>
      </c>
      <c r="I8" s="107" t="s">
        <v>153</v>
      </c>
      <c r="K8" s="107" t="s">
        <v>153</v>
      </c>
      <c r="L8" s="109" t="s">
        <v>281</v>
      </c>
      <c r="N8" s="183" t="s">
        <v>153</v>
      </c>
      <c r="O8" s="100">
        <v>3.9230438521066207</v>
      </c>
      <c r="P8" s="260">
        <v>2.0999999999999996</v>
      </c>
      <c r="Q8" s="260">
        <v>0</v>
      </c>
      <c r="R8" s="260">
        <v>0</v>
      </c>
      <c r="S8" s="260">
        <v>0</v>
      </c>
      <c r="U8" s="154"/>
      <c r="V8" s="253"/>
      <c r="W8" s="103"/>
      <c r="X8" s="154"/>
      <c r="Y8" s="154"/>
    </row>
    <row r="9" spans="2:25" x14ac:dyDescent="0.25">
      <c r="B9" s="107" t="s">
        <v>210</v>
      </c>
      <c r="D9" s="107" t="s">
        <v>210</v>
      </c>
      <c r="F9" s="291" t="s">
        <v>354</v>
      </c>
      <c r="H9" s="109" t="s">
        <v>174</v>
      </c>
      <c r="I9" s="107" t="s">
        <v>210</v>
      </c>
      <c r="K9" s="107" t="s">
        <v>210</v>
      </c>
      <c r="L9" s="109" t="s">
        <v>165</v>
      </c>
      <c r="N9" s="183" t="s">
        <v>210</v>
      </c>
      <c r="O9" s="100">
        <v>10.917399331231488</v>
      </c>
      <c r="P9" s="260">
        <v>2.8000000000000007</v>
      </c>
      <c r="Q9" s="260">
        <v>0</v>
      </c>
      <c r="R9" s="260">
        <v>0</v>
      </c>
      <c r="S9" s="260">
        <v>0</v>
      </c>
      <c r="U9" s="154"/>
      <c r="V9" s="253"/>
      <c r="W9" s="103"/>
      <c r="X9" s="154"/>
      <c r="Y9" s="154"/>
    </row>
    <row r="10" spans="2:25" x14ac:dyDescent="0.25">
      <c r="B10" s="107" t="s">
        <v>211</v>
      </c>
      <c r="D10" s="107" t="s">
        <v>211</v>
      </c>
      <c r="F10" s="291" t="s">
        <v>355</v>
      </c>
      <c r="H10" s="109" t="s">
        <v>174</v>
      </c>
      <c r="I10" s="107" t="s">
        <v>211</v>
      </c>
      <c r="K10" s="107" t="s">
        <v>211</v>
      </c>
      <c r="L10" s="109" t="s">
        <v>166</v>
      </c>
      <c r="N10" s="183" t="s">
        <v>211</v>
      </c>
      <c r="O10" s="100">
        <v>30.338205789624528</v>
      </c>
      <c r="P10" s="260">
        <v>3.5</v>
      </c>
      <c r="Q10" s="260">
        <v>0</v>
      </c>
      <c r="R10" s="260">
        <v>0</v>
      </c>
      <c r="S10" s="260">
        <v>0</v>
      </c>
      <c r="U10" s="154"/>
      <c r="V10" s="253"/>
      <c r="W10" s="154"/>
      <c r="X10" s="154"/>
      <c r="Y10" s="154"/>
    </row>
    <row r="11" spans="2:25" x14ac:dyDescent="0.25">
      <c r="B11" s="107" t="s">
        <v>212</v>
      </c>
      <c r="D11" s="107" t="s">
        <v>212</v>
      </c>
      <c r="F11" s="291" t="s">
        <v>356</v>
      </c>
      <c r="H11" s="109" t="s">
        <v>174</v>
      </c>
      <c r="I11" s="107" t="s">
        <v>212</v>
      </c>
      <c r="K11" s="107" t="s">
        <v>212</v>
      </c>
      <c r="L11" s="109" t="s">
        <v>176</v>
      </c>
      <c r="N11" s="183" t="s">
        <v>212</v>
      </c>
      <c r="O11" s="100">
        <v>28.015763829177413</v>
      </c>
      <c r="P11" s="260">
        <v>4.4800000000000004</v>
      </c>
      <c r="Q11" s="260">
        <v>0</v>
      </c>
      <c r="R11" s="260">
        <v>0</v>
      </c>
      <c r="S11" s="260">
        <v>0</v>
      </c>
      <c r="U11" s="154"/>
      <c r="V11" s="253"/>
      <c r="W11" s="154"/>
      <c r="X11" s="154"/>
      <c r="Y11" s="154"/>
    </row>
    <row r="12" spans="2:25" x14ac:dyDescent="0.25">
      <c r="B12" s="107" t="s">
        <v>213</v>
      </c>
      <c r="D12" s="107" t="s">
        <v>213</v>
      </c>
      <c r="F12" s="291" t="s">
        <v>357</v>
      </c>
      <c r="H12" s="109" t="s">
        <v>174</v>
      </c>
      <c r="I12" s="107" t="s">
        <v>213</v>
      </c>
      <c r="K12" s="107" t="s">
        <v>213</v>
      </c>
      <c r="L12" s="109" t="s">
        <v>164</v>
      </c>
      <c r="N12" s="183" t="s">
        <v>213</v>
      </c>
      <c r="O12" s="100">
        <v>13.711474156873983</v>
      </c>
      <c r="P12" s="260">
        <v>1.75</v>
      </c>
      <c r="Q12" s="260">
        <v>0</v>
      </c>
      <c r="R12" s="260">
        <v>0</v>
      </c>
      <c r="S12" s="260">
        <v>0</v>
      </c>
      <c r="U12" s="154"/>
      <c r="V12" s="253"/>
      <c r="W12" s="154"/>
      <c r="X12" s="157"/>
      <c r="Y12" s="154"/>
    </row>
    <row r="13" spans="2:25" x14ac:dyDescent="0.25">
      <c r="B13" s="107" t="s">
        <v>214</v>
      </c>
      <c r="D13" s="107" t="s">
        <v>214</v>
      </c>
      <c r="F13" s="291" t="s">
        <v>358</v>
      </c>
      <c r="H13" s="109" t="s">
        <v>269</v>
      </c>
      <c r="I13" s="107" t="s">
        <v>214</v>
      </c>
      <c r="K13" s="107" t="s">
        <v>214</v>
      </c>
      <c r="L13" s="109" t="s">
        <v>274</v>
      </c>
      <c r="N13" s="183" t="s">
        <v>214</v>
      </c>
      <c r="O13" s="100">
        <v>3.7975064488392087</v>
      </c>
      <c r="P13" s="260">
        <v>4.1999999999999993</v>
      </c>
      <c r="Q13" s="260">
        <v>0</v>
      </c>
      <c r="R13" s="260">
        <v>0</v>
      </c>
      <c r="S13" s="260">
        <v>0</v>
      </c>
      <c r="U13" s="154"/>
      <c r="V13" s="253"/>
      <c r="W13" s="154"/>
      <c r="X13" s="154"/>
      <c r="Y13" s="154"/>
    </row>
    <row r="14" spans="2:25" x14ac:dyDescent="0.25">
      <c r="B14" s="107" t="s">
        <v>215</v>
      </c>
      <c r="D14" s="107" t="s">
        <v>215</v>
      </c>
      <c r="F14" s="291" t="s">
        <v>359</v>
      </c>
      <c r="H14" s="109" t="s">
        <v>269</v>
      </c>
      <c r="I14" s="107" t="s">
        <v>215</v>
      </c>
      <c r="K14" s="107" t="s">
        <v>215</v>
      </c>
      <c r="L14" s="109" t="s">
        <v>178</v>
      </c>
      <c r="N14" s="183" t="s">
        <v>215</v>
      </c>
      <c r="O14" s="100">
        <v>0.98965319575809685</v>
      </c>
      <c r="P14" s="260">
        <v>2.8000000000000007</v>
      </c>
      <c r="Q14" s="260">
        <v>0</v>
      </c>
      <c r="R14" s="260">
        <v>0</v>
      </c>
      <c r="S14" s="260">
        <v>0</v>
      </c>
      <c r="U14" s="154"/>
      <c r="V14" s="253"/>
      <c r="W14" s="154"/>
      <c r="X14" s="154"/>
      <c r="Y14" s="154"/>
    </row>
    <row r="15" spans="2:25" x14ac:dyDescent="0.25">
      <c r="B15" s="107" t="s">
        <v>216</v>
      </c>
      <c r="D15" s="107" t="s">
        <v>216</v>
      </c>
      <c r="F15" s="291" t="s">
        <v>360</v>
      </c>
      <c r="H15" s="109" t="s">
        <v>269</v>
      </c>
      <c r="I15" s="107" t="s">
        <v>216</v>
      </c>
      <c r="K15" s="107" t="s">
        <v>216</v>
      </c>
      <c r="L15" s="109" t="s">
        <v>2</v>
      </c>
      <c r="N15" s="183" t="s">
        <v>216</v>
      </c>
      <c r="O15" s="186">
        <v>16.679038884111971</v>
      </c>
      <c r="P15" s="260">
        <v>7</v>
      </c>
      <c r="Q15" s="260">
        <v>0</v>
      </c>
      <c r="R15" s="260">
        <v>0</v>
      </c>
      <c r="S15" s="260">
        <v>0</v>
      </c>
      <c r="U15" s="154"/>
      <c r="V15" s="253"/>
      <c r="W15" s="154"/>
      <c r="X15" s="154"/>
      <c r="Y15" s="154"/>
    </row>
    <row r="16" spans="2:25" x14ac:dyDescent="0.25">
      <c r="B16" s="107" t="s">
        <v>217</v>
      </c>
      <c r="D16" s="107" t="s">
        <v>217</v>
      </c>
      <c r="F16" s="291" t="s">
        <v>361</v>
      </c>
      <c r="H16" s="109" t="s">
        <v>172</v>
      </c>
      <c r="I16" s="107" t="s">
        <v>217</v>
      </c>
      <c r="K16" s="107" t="s">
        <v>217</v>
      </c>
      <c r="L16" s="109" t="s">
        <v>171</v>
      </c>
      <c r="N16" s="183" t="s">
        <v>217</v>
      </c>
      <c r="O16" s="106">
        <v>38.443464912280696</v>
      </c>
      <c r="P16" s="260">
        <v>4.55</v>
      </c>
      <c r="Q16" s="260">
        <v>0</v>
      </c>
      <c r="R16" s="260">
        <v>0</v>
      </c>
      <c r="S16" s="260">
        <v>0</v>
      </c>
      <c r="U16" s="154"/>
      <c r="V16" s="253"/>
      <c r="W16" s="154"/>
      <c r="X16" s="154"/>
      <c r="Y16" s="154"/>
    </row>
    <row r="17" spans="2:25" x14ac:dyDescent="0.25">
      <c r="B17" s="107" t="s">
        <v>222</v>
      </c>
      <c r="D17" s="107" t="s">
        <v>222</v>
      </c>
      <c r="F17" s="291" t="s">
        <v>362</v>
      </c>
      <c r="H17" s="109" t="s">
        <v>172</v>
      </c>
      <c r="I17" s="107" t="s">
        <v>222</v>
      </c>
      <c r="K17" s="107" t="s">
        <v>222</v>
      </c>
      <c r="L17" s="109" t="s">
        <v>173</v>
      </c>
      <c r="N17" s="183" t="s">
        <v>222</v>
      </c>
      <c r="O17" s="186">
        <v>25</v>
      </c>
      <c r="P17" s="260">
        <v>3.5</v>
      </c>
      <c r="Q17" s="260">
        <v>0</v>
      </c>
      <c r="R17" s="260">
        <v>0</v>
      </c>
      <c r="S17" s="260">
        <v>0</v>
      </c>
      <c r="U17" s="154"/>
      <c r="V17" s="253"/>
      <c r="W17" s="154"/>
      <c r="X17" s="154"/>
      <c r="Y17" s="154"/>
    </row>
    <row r="18" spans="2:25" x14ac:dyDescent="0.25">
      <c r="B18" s="107" t="s">
        <v>223</v>
      </c>
      <c r="D18" s="107" t="s">
        <v>223</v>
      </c>
      <c r="F18" s="291" t="s">
        <v>363</v>
      </c>
      <c r="H18" s="109" t="s">
        <v>172</v>
      </c>
      <c r="I18" s="107" t="s">
        <v>223</v>
      </c>
      <c r="K18" s="107" t="s">
        <v>223</v>
      </c>
      <c r="L18" s="109" t="s">
        <v>277</v>
      </c>
      <c r="N18" s="183" t="s">
        <v>223</v>
      </c>
      <c r="O18" s="186">
        <v>10.418508771929822</v>
      </c>
      <c r="P18" s="260">
        <v>2.8000000000000007</v>
      </c>
      <c r="Q18" s="260">
        <v>0</v>
      </c>
      <c r="R18" s="260">
        <v>0</v>
      </c>
      <c r="S18" s="260">
        <v>0</v>
      </c>
      <c r="U18" s="154"/>
      <c r="V18" s="253"/>
      <c r="W18" s="154"/>
      <c r="X18" s="154"/>
      <c r="Y18" s="154"/>
    </row>
    <row r="19" spans="2:25" x14ac:dyDescent="0.25">
      <c r="B19" s="107" t="s">
        <v>224</v>
      </c>
      <c r="D19" s="107" t="s">
        <v>224</v>
      </c>
      <c r="F19" s="291" t="s">
        <v>364</v>
      </c>
      <c r="H19" s="109" t="s">
        <v>175</v>
      </c>
      <c r="I19" s="107" t="s">
        <v>224</v>
      </c>
      <c r="K19" s="107" t="s">
        <v>224</v>
      </c>
      <c r="L19" s="109" t="s">
        <v>165</v>
      </c>
      <c r="N19" s="183" t="s">
        <v>224</v>
      </c>
      <c r="O19" s="186">
        <v>7.6842105263157885</v>
      </c>
      <c r="P19" s="260">
        <v>3.8500000000000005</v>
      </c>
      <c r="Q19" s="260">
        <v>0</v>
      </c>
      <c r="R19" s="260">
        <v>0</v>
      </c>
      <c r="S19" s="260">
        <v>0</v>
      </c>
      <c r="U19" s="154"/>
      <c r="V19" s="253"/>
      <c r="W19" s="103"/>
      <c r="X19" s="158"/>
      <c r="Y19" s="154"/>
    </row>
    <row r="20" spans="2:25" x14ac:dyDescent="0.25">
      <c r="B20" s="107" t="s">
        <v>225</v>
      </c>
      <c r="D20" s="107" t="s">
        <v>225</v>
      </c>
      <c r="F20" s="291" t="s">
        <v>365</v>
      </c>
      <c r="H20" s="109" t="s">
        <v>175</v>
      </c>
      <c r="I20" s="107" t="s">
        <v>225</v>
      </c>
      <c r="K20" s="107" t="s">
        <v>225</v>
      </c>
      <c r="L20" s="109" t="s">
        <v>166</v>
      </c>
      <c r="N20" s="183" t="s">
        <v>225</v>
      </c>
      <c r="O20" s="186">
        <v>3.2017543859649118</v>
      </c>
      <c r="P20" s="260">
        <v>3.5</v>
      </c>
      <c r="Q20" s="260">
        <v>0</v>
      </c>
      <c r="R20" s="260">
        <v>0</v>
      </c>
      <c r="S20" s="260">
        <v>0</v>
      </c>
      <c r="U20" s="154"/>
      <c r="V20" s="253"/>
      <c r="W20" s="154"/>
      <c r="X20" s="154"/>
      <c r="Y20" s="154"/>
    </row>
    <row r="21" spans="2:25" x14ac:dyDescent="0.25">
      <c r="B21" s="107" t="s">
        <v>226</v>
      </c>
      <c r="D21" s="107" t="s">
        <v>226</v>
      </c>
      <c r="F21" s="291" t="s">
        <v>366</v>
      </c>
      <c r="H21" s="109" t="s">
        <v>175</v>
      </c>
      <c r="I21" s="107" t="s">
        <v>226</v>
      </c>
      <c r="K21" s="107" t="s">
        <v>226</v>
      </c>
      <c r="L21" s="109" t="s">
        <v>167</v>
      </c>
      <c r="N21" s="183" t="s">
        <v>226</v>
      </c>
      <c r="O21" s="186">
        <v>21.709752005827834</v>
      </c>
      <c r="P21" s="260">
        <v>3.5</v>
      </c>
      <c r="Q21" s="260">
        <v>0</v>
      </c>
      <c r="R21" s="260">
        <v>0</v>
      </c>
      <c r="S21" s="260">
        <v>0</v>
      </c>
      <c r="U21" s="154"/>
      <c r="V21" s="253"/>
      <c r="W21" s="103"/>
      <c r="X21" s="156"/>
      <c r="Y21" s="154"/>
    </row>
    <row r="22" spans="2:25" x14ac:dyDescent="0.25">
      <c r="B22" s="107" t="s">
        <v>227</v>
      </c>
      <c r="D22" s="107" t="s">
        <v>227</v>
      </c>
      <c r="F22" s="292" t="s">
        <v>367</v>
      </c>
      <c r="H22" s="109" t="s">
        <v>270</v>
      </c>
      <c r="I22" s="107" t="s">
        <v>227</v>
      </c>
      <c r="K22" s="107" t="s">
        <v>227</v>
      </c>
      <c r="L22" s="109" t="s">
        <v>2</v>
      </c>
      <c r="N22" s="183" t="s">
        <v>227</v>
      </c>
      <c r="O22" s="186">
        <v>14.85614035087719</v>
      </c>
      <c r="P22" s="260">
        <v>7.3500000000000014</v>
      </c>
      <c r="Q22" s="260">
        <v>0</v>
      </c>
      <c r="R22" s="260">
        <v>0</v>
      </c>
      <c r="S22" s="260">
        <v>0</v>
      </c>
      <c r="U22" s="154"/>
      <c r="V22" s="253"/>
      <c r="W22" s="103"/>
      <c r="X22" s="154"/>
      <c r="Y22" s="154"/>
    </row>
    <row r="23" spans="2:25" x14ac:dyDescent="0.25">
      <c r="B23" s="107" t="s">
        <v>228</v>
      </c>
      <c r="D23" s="107" t="s">
        <v>228</v>
      </c>
      <c r="F23" s="292" t="s">
        <v>368</v>
      </c>
      <c r="H23" s="109" t="s">
        <v>169</v>
      </c>
      <c r="I23" s="107" t="s">
        <v>228</v>
      </c>
      <c r="K23" s="107" t="s">
        <v>228</v>
      </c>
      <c r="L23" s="109" t="s">
        <v>165</v>
      </c>
      <c r="N23" s="183" t="s">
        <v>228</v>
      </c>
      <c r="O23" s="186">
        <v>38.512085951084359</v>
      </c>
      <c r="P23" s="260">
        <v>3.1500000000000004</v>
      </c>
      <c r="Q23" s="260">
        <v>0</v>
      </c>
      <c r="R23" s="260">
        <v>0</v>
      </c>
      <c r="S23" s="260">
        <v>0</v>
      </c>
      <c r="U23" s="154"/>
      <c r="V23" s="253"/>
      <c r="W23" s="103"/>
      <c r="X23" s="154"/>
      <c r="Y23" s="154"/>
    </row>
    <row r="24" spans="2:25" x14ac:dyDescent="0.25">
      <c r="B24" s="107" t="s">
        <v>229</v>
      </c>
      <c r="D24" s="107" t="s">
        <v>229</v>
      </c>
      <c r="F24" s="291" t="s">
        <v>369</v>
      </c>
      <c r="H24" s="109" t="s">
        <v>169</v>
      </c>
      <c r="I24" s="107" t="s">
        <v>229</v>
      </c>
      <c r="K24" s="107" t="s">
        <v>229</v>
      </c>
      <c r="L24" s="109" t="s">
        <v>171</v>
      </c>
      <c r="N24" s="183" t="s">
        <v>229</v>
      </c>
      <c r="O24" s="186">
        <v>0.97640202541320331</v>
      </c>
      <c r="P24" s="260">
        <v>3.1500000000000004</v>
      </c>
      <c r="Q24" s="260">
        <v>0</v>
      </c>
      <c r="R24" s="260">
        <v>0</v>
      </c>
      <c r="S24" s="260">
        <v>0</v>
      </c>
      <c r="U24" s="154"/>
      <c r="V24" s="253"/>
      <c r="W24" s="103"/>
      <c r="X24" s="154"/>
      <c r="Y24" s="154"/>
    </row>
    <row r="25" spans="2:25" x14ac:dyDescent="0.25">
      <c r="B25" s="107" t="s">
        <v>230</v>
      </c>
      <c r="D25" s="107" t="s">
        <v>230</v>
      </c>
      <c r="F25" s="291" t="s">
        <v>370</v>
      </c>
      <c r="H25" s="109" t="s">
        <v>169</v>
      </c>
      <c r="I25" s="107" t="s">
        <v>230</v>
      </c>
      <c r="K25" s="107" t="s">
        <v>230</v>
      </c>
      <c r="L25" s="109" t="s">
        <v>170</v>
      </c>
      <c r="N25" s="183" t="s">
        <v>230</v>
      </c>
      <c r="O25" s="186">
        <v>24.298461832425716</v>
      </c>
      <c r="P25" s="260">
        <v>2.8000000000000007</v>
      </c>
      <c r="Q25" s="260">
        <v>0</v>
      </c>
      <c r="R25" s="260">
        <v>0</v>
      </c>
      <c r="S25" s="260">
        <v>0</v>
      </c>
      <c r="W25" s="103"/>
    </row>
    <row r="26" spans="2:25" x14ac:dyDescent="0.25">
      <c r="B26" s="107" t="s">
        <v>231</v>
      </c>
      <c r="D26" s="107" t="s">
        <v>231</v>
      </c>
      <c r="F26" s="291" t="s">
        <v>371</v>
      </c>
      <c r="H26" s="109" t="s">
        <v>165</v>
      </c>
      <c r="I26" s="107" t="s">
        <v>231</v>
      </c>
      <c r="K26" s="107" t="s">
        <v>231</v>
      </c>
      <c r="L26" s="109" t="s">
        <v>168</v>
      </c>
      <c r="N26" s="183" t="s">
        <v>231</v>
      </c>
      <c r="O26" s="186">
        <v>17.624056558708318</v>
      </c>
      <c r="P26" s="260">
        <v>3.8500000000000005</v>
      </c>
      <c r="Q26" s="260">
        <v>0</v>
      </c>
      <c r="R26" s="260">
        <v>0</v>
      </c>
      <c r="S26" s="260">
        <v>0</v>
      </c>
      <c r="W26" s="103"/>
    </row>
    <row r="27" spans="2:25" x14ac:dyDescent="0.25">
      <c r="B27" s="107" t="s">
        <v>232</v>
      </c>
      <c r="D27" s="107" t="s">
        <v>232</v>
      </c>
      <c r="F27" s="291" t="s">
        <v>372</v>
      </c>
      <c r="H27" s="109" t="s">
        <v>165</v>
      </c>
      <c r="I27" s="107" t="s">
        <v>232</v>
      </c>
      <c r="K27" s="107" t="s">
        <v>232</v>
      </c>
      <c r="L27" s="109" t="s">
        <v>174</v>
      </c>
      <c r="N27" s="183" t="s">
        <v>232</v>
      </c>
      <c r="O27" s="186">
        <v>13.631269704786472</v>
      </c>
      <c r="P27" s="260">
        <v>3.5</v>
      </c>
      <c r="Q27" s="260">
        <v>0</v>
      </c>
      <c r="R27" s="260">
        <v>0</v>
      </c>
      <c r="S27" s="260">
        <v>0</v>
      </c>
      <c r="W27" s="103"/>
    </row>
    <row r="28" spans="2:25" x14ac:dyDescent="0.25">
      <c r="B28" s="107" t="s">
        <v>233</v>
      </c>
      <c r="D28" s="107" t="s">
        <v>233</v>
      </c>
      <c r="F28" s="291" t="s">
        <v>373</v>
      </c>
      <c r="H28" s="109" t="s">
        <v>165</v>
      </c>
      <c r="I28" s="107" t="s">
        <v>233</v>
      </c>
      <c r="K28" s="107" t="s">
        <v>233</v>
      </c>
      <c r="L28" s="109" t="s">
        <v>175</v>
      </c>
      <c r="N28" s="183" t="s">
        <v>233</v>
      </c>
      <c r="O28" s="186">
        <v>20.294864813222507</v>
      </c>
      <c r="P28" s="260">
        <v>3.8500000000000005</v>
      </c>
      <c r="Q28" s="260">
        <v>0</v>
      </c>
      <c r="R28" s="260">
        <v>0</v>
      </c>
      <c r="S28" s="260">
        <v>0</v>
      </c>
      <c r="W28" s="103"/>
    </row>
    <row r="29" spans="2:25" x14ac:dyDescent="0.25">
      <c r="B29" s="107" t="s">
        <v>234</v>
      </c>
      <c r="D29" s="107" t="s">
        <v>234</v>
      </c>
      <c r="F29" s="291" t="s">
        <v>374</v>
      </c>
      <c r="H29" s="109" t="s">
        <v>165</v>
      </c>
      <c r="I29" s="107" t="s">
        <v>234</v>
      </c>
      <c r="K29" s="107" t="s">
        <v>234</v>
      </c>
      <c r="L29" s="109" t="s">
        <v>169</v>
      </c>
      <c r="N29" s="183" t="s">
        <v>234</v>
      </c>
      <c r="O29" s="186">
        <v>95.855227575809664</v>
      </c>
      <c r="P29" s="260">
        <v>3.1500000000000004</v>
      </c>
      <c r="Q29" s="260">
        <v>0</v>
      </c>
      <c r="R29" s="260">
        <v>0</v>
      </c>
      <c r="S29" s="260">
        <v>0</v>
      </c>
      <c r="W29" s="104"/>
    </row>
    <row r="30" spans="2:25" x14ac:dyDescent="0.25">
      <c r="B30" s="107" t="s">
        <v>235</v>
      </c>
      <c r="D30" s="107" t="s">
        <v>235</v>
      </c>
      <c r="F30" s="291" t="s">
        <v>375</v>
      </c>
      <c r="H30" s="109" t="s">
        <v>165</v>
      </c>
      <c r="I30" s="107" t="s">
        <v>235</v>
      </c>
      <c r="K30" s="107" t="s">
        <v>235</v>
      </c>
      <c r="L30" s="109" t="s">
        <v>179</v>
      </c>
      <c r="N30" s="183" t="s">
        <v>235</v>
      </c>
      <c r="O30" s="186">
        <v>3.5277684150186297</v>
      </c>
      <c r="P30" s="260">
        <v>4.1999999999999993</v>
      </c>
      <c r="Q30" s="260">
        <v>0</v>
      </c>
      <c r="R30" s="260">
        <v>0</v>
      </c>
      <c r="S30" s="260">
        <v>0</v>
      </c>
      <c r="W30" s="104"/>
    </row>
    <row r="31" spans="2:25" x14ac:dyDescent="0.25">
      <c r="B31" s="107" t="s">
        <v>236</v>
      </c>
      <c r="D31" s="107" t="s">
        <v>236</v>
      </c>
      <c r="F31" s="291" t="s">
        <v>376</v>
      </c>
      <c r="H31" s="109" t="s">
        <v>165</v>
      </c>
      <c r="I31" s="107" t="s">
        <v>236</v>
      </c>
      <c r="K31" s="107" t="s">
        <v>236</v>
      </c>
      <c r="L31" s="109" t="s">
        <v>166</v>
      </c>
      <c r="N31" s="183" t="s">
        <v>236</v>
      </c>
      <c r="O31" s="186">
        <v>20.124343173784276</v>
      </c>
      <c r="P31" s="260">
        <v>5.6000000000000014</v>
      </c>
      <c r="Q31" s="260">
        <v>0</v>
      </c>
      <c r="R31" s="260">
        <v>0</v>
      </c>
      <c r="S31" s="260">
        <v>0</v>
      </c>
      <c r="W31" s="54"/>
    </row>
    <row r="32" spans="2:25" x14ac:dyDescent="0.25">
      <c r="B32" s="107" t="s">
        <v>237</v>
      </c>
      <c r="D32" s="107" t="s">
        <v>237</v>
      </c>
      <c r="F32" s="291" t="s">
        <v>377</v>
      </c>
      <c r="H32" s="109" t="s">
        <v>165</v>
      </c>
      <c r="I32" s="107" t="s">
        <v>237</v>
      </c>
      <c r="K32" s="107" t="s">
        <v>237</v>
      </c>
      <c r="L32" s="109" t="s">
        <v>164</v>
      </c>
      <c r="N32" s="183" t="s">
        <v>237</v>
      </c>
      <c r="O32" s="186">
        <v>32.493579784083309</v>
      </c>
      <c r="P32" s="260">
        <v>2.8000000000000007</v>
      </c>
      <c r="Q32" s="260">
        <v>0</v>
      </c>
      <c r="R32" s="260">
        <v>0</v>
      </c>
      <c r="S32" s="260">
        <v>0</v>
      </c>
      <c r="W32" s="54"/>
    </row>
    <row r="33" spans="2:23" x14ac:dyDescent="0.25">
      <c r="B33" s="107" t="s">
        <v>238</v>
      </c>
      <c r="D33" s="107" t="s">
        <v>238</v>
      </c>
      <c r="F33" s="266" t="s">
        <v>530</v>
      </c>
      <c r="H33" s="109" t="s">
        <v>165</v>
      </c>
      <c r="I33" s="107" t="s">
        <v>238</v>
      </c>
      <c r="K33" s="107" t="s">
        <v>238</v>
      </c>
      <c r="L33" s="109" t="s">
        <v>171</v>
      </c>
      <c r="N33" s="183" t="s">
        <v>238</v>
      </c>
      <c r="O33" s="186">
        <v>7.4283271233400194</v>
      </c>
      <c r="P33" s="260">
        <v>4.8999999999999986</v>
      </c>
      <c r="Q33" s="260">
        <v>0</v>
      </c>
      <c r="R33" s="260">
        <v>0</v>
      </c>
      <c r="S33" s="260">
        <v>0</v>
      </c>
      <c r="W33" s="54"/>
    </row>
    <row r="34" spans="2:23" x14ac:dyDescent="0.25">
      <c r="B34" s="107" t="s">
        <v>239</v>
      </c>
      <c r="D34" s="107" t="s">
        <v>239</v>
      </c>
      <c r="F34" s="266" t="s">
        <v>531</v>
      </c>
      <c r="H34" s="109" t="s">
        <v>179</v>
      </c>
      <c r="I34" s="107" t="s">
        <v>239</v>
      </c>
      <c r="K34" s="107" t="s">
        <v>239</v>
      </c>
      <c r="L34" s="109" t="s">
        <v>165</v>
      </c>
      <c r="N34" s="183" t="s">
        <v>239</v>
      </c>
      <c r="O34" s="186">
        <v>3.174282984618324</v>
      </c>
      <c r="P34" s="260">
        <v>4.1999999999999993</v>
      </c>
      <c r="Q34" s="260">
        <v>0</v>
      </c>
      <c r="R34" s="260">
        <v>0</v>
      </c>
      <c r="S34" s="260">
        <v>0</v>
      </c>
      <c r="W34" s="54"/>
    </row>
    <row r="35" spans="2:23" x14ac:dyDescent="0.25">
      <c r="B35" s="107" t="s">
        <v>240</v>
      </c>
      <c r="D35" s="107" t="s">
        <v>240</v>
      </c>
      <c r="F35" s="266" t="s">
        <v>532</v>
      </c>
      <c r="H35" s="109" t="s">
        <v>179</v>
      </c>
      <c r="I35" s="107" t="s">
        <v>240</v>
      </c>
      <c r="K35" s="107" t="s">
        <v>240</v>
      </c>
      <c r="L35" s="109" t="s">
        <v>164</v>
      </c>
      <c r="N35" s="183" t="s">
        <v>240</v>
      </c>
      <c r="O35" s="186">
        <v>13.809114359415304</v>
      </c>
      <c r="P35" s="260">
        <v>3.8500000000000005</v>
      </c>
      <c r="Q35" s="260">
        <v>0</v>
      </c>
      <c r="R35" s="260">
        <v>0</v>
      </c>
      <c r="S35" s="260">
        <v>0</v>
      </c>
      <c r="W35" s="54"/>
    </row>
    <row r="36" spans="2:23" x14ac:dyDescent="0.25">
      <c r="B36" s="107" t="s">
        <v>241</v>
      </c>
      <c r="D36" s="107" t="s">
        <v>241</v>
      </c>
      <c r="F36" s="266" t="s">
        <v>533</v>
      </c>
      <c r="H36" s="109" t="s">
        <v>179</v>
      </c>
      <c r="I36" s="107" t="s">
        <v>241</v>
      </c>
      <c r="K36" s="107" t="s">
        <v>241</v>
      </c>
      <c r="L36" s="109" t="s">
        <v>195</v>
      </c>
      <c r="N36" s="183" t="s">
        <v>241</v>
      </c>
      <c r="O36" s="186">
        <v>3.0686920798700679</v>
      </c>
      <c r="P36" s="260">
        <v>2.8000000000000007</v>
      </c>
      <c r="Q36" s="260">
        <v>0</v>
      </c>
      <c r="R36" s="260">
        <v>0</v>
      </c>
      <c r="S36" s="260">
        <v>0</v>
      </c>
      <c r="W36" s="54"/>
    </row>
    <row r="37" spans="2:23" x14ac:dyDescent="0.25">
      <c r="B37" s="107" t="s">
        <v>242</v>
      </c>
      <c r="D37" s="107" t="s">
        <v>242</v>
      </c>
      <c r="F37" s="266" t="s">
        <v>534</v>
      </c>
      <c r="H37" s="109" t="s">
        <v>162</v>
      </c>
      <c r="I37" s="107" t="s">
        <v>242</v>
      </c>
      <c r="K37" s="107" t="s">
        <v>242</v>
      </c>
      <c r="L37" s="109" t="s">
        <v>272</v>
      </c>
      <c r="N37" s="183" t="s">
        <v>242</v>
      </c>
      <c r="O37" s="186">
        <v>24.758765644406228</v>
      </c>
      <c r="P37" s="260">
        <v>10.5</v>
      </c>
      <c r="Q37" s="260">
        <v>0</v>
      </c>
      <c r="R37" s="260">
        <v>0</v>
      </c>
      <c r="S37" s="260">
        <v>0</v>
      </c>
    </row>
    <row r="38" spans="2:23" x14ac:dyDescent="0.25">
      <c r="B38" s="107" t="s">
        <v>243</v>
      </c>
      <c r="D38" s="107" t="s">
        <v>243</v>
      </c>
      <c r="F38" s="266" t="s">
        <v>535</v>
      </c>
      <c r="H38" s="109" t="s">
        <v>162</v>
      </c>
      <c r="I38" s="107" t="s">
        <v>243</v>
      </c>
      <c r="K38" s="107" t="s">
        <v>243</v>
      </c>
      <c r="L38" s="109" t="s">
        <v>167</v>
      </c>
      <c r="N38" s="183" t="s">
        <v>243</v>
      </c>
      <c r="O38" s="186">
        <v>38.040043859649117</v>
      </c>
      <c r="P38" s="260">
        <v>15.400000000000002</v>
      </c>
      <c r="Q38" s="260">
        <v>0</v>
      </c>
      <c r="R38" s="260">
        <v>0</v>
      </c>
      <c r="S38" s="260">
        <v>0</v>
      </c>
    </row>
    <row r="39" spans="2:23" x14ac:dyDescent="0.25">
      <c r="B39" s="107" t="s">
        <v>244</v>
      </c>
      <c r="D39" s="107" t="s">
        <v>244</v>
      </c>
      <c r="F39" s="266" t="s">
        <v>536</v>
      </c>
      <c r="H39" s="109" t="s">
        <v>271</v>
      </c>
      <c r="I39" s="107" t="s">
        <v>244</v>
      </c>
      <c r="K39" s="107" t="s">
        <v>244</v>
      </c>
      <c r="L39" s="109" t="s">
        <v>278</v>
      </c>
      <c r="N39" s="183" t="s">
        <v>244</v>
      </c>
      <c r="O39" s="186">
        <v>6.9743001815228807</v>
      </c>
      <c r="P39" s="260">
        <v>2.0999999999999996</v>
      </c>
      <c r="Q39" s="260">
        <v>0</v>
      </c>
      <c r="R39" s="260">
        <v>0</v>
      </c>
      <c r="S39" s="260">
        <v>0</v>
      </c>
    </row>
    <row r="40" spans="2:23" x14ac:dyDescent="0.25">
      <c r="B40" s="107" t="s">
        <v>245</v>
      </c>
      <c r="D40" s="107" t="s">
        <v>245</v>
      </c>
      <c r="F40" s="266" t="s">
        <v>537</v>
      </c>
      <c r="H40" s="109" t="s">
        <v>271</v>
      </c>
      <c r="I40" s="107" t="s">
        <v>245</v>
      </c>
      <c r="K40" s="107" t="s">
        <v>245</v>
      </c>
      <c r="L40" s="109" t="s">
        <v>273</v>
      </c>
      <c r="N40" s="183" t="s">
        <v>245</v>
      </c>
      <c r="O40" s="186">
        <v>2.6</v>
      </c>
      <c r="P40" s="260">
        <v>3.5</v>
      </c>
      <c r="Q40" s="260">
        <v>0</v>
      </c>
      <c r="R40" s="260">
        <v>0</v>
      </c>
      <c r="S40" s="260">
        <v>0</v>
      </c>
    </row>
    <row r="41" spans="2:23" x14ac:dyDescent="0.25">
      <c r="B41" s="107" t="s">
        <v>246</v>
      </c>
      <c r="D41" s="107" t="s">
        <v>246</v>
      </c>
      <c r="F41" s="266" t="s">
        <v>538</v>
      </c>
      <c r="H41" s="109" t="s">
        <v>272</v>
      </c>
      <c r="I41" s="107" t="s">
        <v>246</v>
      </c>
      <c r="K41" s="107" t="s">
        <v>246</v>
      </c>
      <c r="L41" s="109" t="s">
        <v>166</v>
      </c>
      <c r="N41" s="183" t="s">
        <v>246</v>
      </c>
      <c r="O41" s="186">
        <v>7.8460877042132413</v>
      </c>
      <c r="P41" s="260">
        <v>7</v>
      </c>
      <c r="Q41" s="260">
        <v>0</v>
      </c>
      <c r="R41" s="260">
        <v>0</v>
      </c>
      <c r="S41" s="260">
        <v>0</v>
      </c>
    </row>
    <row r="42" spans="2:23" x14ac:dyDescent="0.25">
      <c r="B42" s="107" t="s">
        <v>247</v>
      </c>
      <c r="D42" s="107" t="s">
        <v>247</v>
      </c>
      <c r="F42" s="266" t="s">
        <v>539</v>
      </c>
      <c r="H42" s="109" t="s">
        <v>272</v>
      </c>
      <c r="I42" s="107" t="s">
        <v>247</v>
      </c>
      <c r="K42" s="107" t="s">
        <v>247</v>
      </c>
      <c r="L42" s="109" t="s">
        <v>279</v>
      </c>
      <c r="N42" s="183" t="s">
        <v>247</v>
      </c>
      <c r="O42" s="186">
        <v>5.021496130696474</v>
      </c>
      <c r="P42" s="260">
        <v>2.8000000000000007</v>
      </c>
      <c r="Q42" s="260">
        <v>0</v>
      </c>
      <c r="R42" s="260">
        <v>0</v>
      </c>
      <c r="S42" s="260">
        <v>0</v>
      </c>
    </row>
    <row r="43" spans="2:23" x14ac:dyDescent="0.25">
      <c r="B43" s="107" t="s">
        <v>248</v>
      </c>
      <c r="D43" s="107" t="s">
        <v>248</v>
      </c>
      <c r="F43" s="266" t="s">
        <v>540</v>
      </c>
      <c r="H43" s="109" t="s">
        <v>273</v>
      </c>
      <c r="I43" s="107" t="s">
        <v>248</v>
      </c>
      <c r="K43" s="107" t="s">
        <v>248</v>
      </c>
      <c r="L43" s="109" t="s">
        <v>271</v>
      </c>
      <c r="N43" s="183" t="s">
        <v>248</v>
      </c>
      <c r="O43" s="186">
        <v>2.6</v>
      </c>
      <c r="P43" s="260">
        <v>3.5</v>
      </c>
      <c r="Q43" s="260">
        <v>0</v>
      </c>
      <c r="R43" s="260">
        <v>0</v>
      </c>
      <c r="S43" s="260">
        <v>0</v>
      </c>
    </row>
    <row r="44" spans="2:23" x14ac:dyDescent="0.25">
      <c r="B44" s="107" t="s">
        <v>249</v>
      </c>
      <c r="D44" s="107" t="s">
        <v>249</v>
      </c>
      <c r="F44" s="266" t="s">
        <v>541</v>
      </c>
      <c r="H44" s="109" t="s">
        <v>166</v>
      </c>
      <c r="I44" s="107" t="s">
        <v>249</v>
      </c>
      <c r="K44" s="107" t="s">
        <v>249</v>
      </c>
      <c r="L44" s="109" t="s">
        <v>174</v>
      </c>
      <c r="N44" s="183" t="s">
        <v>249</v>
      </c>
      <c r="O44" s="186">
        <v>21.236744052737173</v>
      </c>
      <c r="P44" s="260">
        <v>3.5</v>
      </c>
      <c r="Q44" s="260">
        <v>0</v>
      </c>
      <c r="R44" s="260">
        <v>0</v>
      </c>
      <c r="S44" s="260">
        <v>0</v>
      </c>
    </row>
    <row r="45" spans="2:23" x14ac:dyDescent="0.25">
      <c r="B45" s="107" t="s">
        <v>250</v>
      </c>
      <c r="D45" s="107" t="s">
        <v>250</v>
      </c>
      <c r="F45" s="266" t="s">
        <v>542</v>
      </c>
      <c r="H45" s="109" t="s">
        <v>166</v>
      </c>
      <c r="I45" s="107" t="s">
        <v>250</v>
      </c>
      <c r="K45" s="107" t="s">
        <v>250</v>
      </c>
      <c r="L45" s="109" t="s">
        <v>175</v>
      </c>
      <c r="N45" s="183" t="s">
        <v>250</v>
      </c>
      <c r="O45" s="186">
        <v>9.0805388363427895</v>
      </c>
      <c r="P45" s="260">
        <v>3.5</v>
      </c>
      <c r="Q45" s="260">
        <v>0</v>
      </c>
      <c r="R45" s="260">
        <v>0</v>
      </c>
      <c r="S45" s="260">
        <v>0</v>
      </c>
    </row>
    <row r="46" spans="2:23" x14ac:dyDescent="0.25">
      <c r="B46" s="107" t="s">
        <v>251</v>
      </c>
      <c r="D46" s="107" t="s">
        <v>251</v>
      </c>
      <c r="F46" s="266" t="s">
        <v>543</v>
      </c>
      <c r="H46" s="109" t="s">
        <v>166</v>
      </c>
      <c r="I46" s="107" t="s">
        <v>251</v>
      </c>
      <c r="K46" s="107" t="s">
        <v>251</v>
      </c>
      <c r="L46" s="109" t="s">
        <v>165</v>
      </c>
      <c r="N46" s="183" t="s">
        <v>251</v>
      </c>
      <c r="O46" s="186">
        <v>19.78713576000764</v>
      </c>
      <c r="P46" s="260">
        <v>5.6000000000000014</v>
      </c>
      <c r="Q46" s="260">
        <v>0</v>
      </c>
      <c r="R46" s="260">
        <v>0</v>
      </c>
      <c r="S46" s="260">
        <v>0</v>
      </c>
    </row>
    <row r="47" spans="2:23" x14ac:dyDescent="0.25">
      <c r="B47" s="107" t="s">
        <v>252</v>
      </c>
      <c r="D47" s="107" t="s">
        <v>252</v>
      </c>
      <c r="F47" s="266" t="s">
        <v>544</v>
      </c>
      <c r="H47" s="109" t="s">
        <v>166</v>
      </c>
      <c r="I47" s="107" t="s">
        <v>252</v>
      </c>
      <c r="K47" s="107" t="s">
        <v>252</v>
      </c>
      <c r="L47" s="109" t="s">
        <v>272</v>
      </c>
      <c r="N47" s="183" t="s">
        <v>252</v>
      </c>
      <c r="O47" s="186">
        <v>5.7537976497563772</v>
      </c>
      <c r="P47" s="260">
        <v>7.3500000000000014</v>
      </c>
      <c r="Q47" s="260">
        <v>0</v>
      </c>
      <c r="R47" s="260">
        <v>0</v>
      </c>
      <c r="S47" s="260">
        <v>0</v>
      </c>
    </row>
    <row r="48" spans="2:23" x14ac:dyDescent="0.25">
      <c r="B48" s="107" t="s">
        <v>253</v>
      </c>
      <c r="D48" s="107" t="s">
        <v>253</v>
      </c>
      <c r="F48" s="266" t="s">
        <v>545</v>
      </c>
      <c r="H48" s="109" t="s">
        <v>274</v>
      </c>
      <c r="I48" s="107" t="s">
        <v>253</v>
      </c>
      <c r="K48" s="107" t="s">
        <v>253</v>
      </c>
      <c r="L48" s="109" t="s">
        <v>268</v>
      </c>
      <c r="N48" s="183" t="s">
        <v>253</v>
      </c>
      <c r="O48" s="186">
        <v>10</v>
      </c>
      <c r="P48" s="260">
        <v>3.5</v>
      </c>
      <c r="Q48" s="260">
        <v>0</v>
      </c>
      <c r="R48" s="260">
        <v>0</v>
      </c>
      <c r="S48" s="260">
        <v>0</v>
      </c>
    </row>
    <row r="49" spans="2:19" x14ac:dyDescent="0.25">
      <c r="B49" s="107" t="s">
        <v>254</v>
      </c>
      <c r="D49" s="107" t="s">
        <v>254</v>
      </c>
      <c r="F49" s="266" t="s">
        <v>546</v>
      </c>
      <c r="H49" s="109" t="s">
        <v>275</v>
      </c>
      <c r="I49" s="107" t="s">
        <v>254</v>
      </c>
      <c r="K49" s="107" t="s">
        <v>254</v>
      </c>
      <c r="L49" s="109" t="s">
        <v>177</v>
      </c>
      <c r="N49" s="183" t="s">
        <v>254</v>
      </c>
      <c r="O49" s="186">
        <v>2.6502340689786945</v>
      </c>
      <c r="P49" s="260">
        <v>3.1500000000000004</v>
      </c>
      <c r="Q49" s="260">
        <v>0</v>
      </c>
      <c r="R49" s="260">
        <v>0</v>
      </c>
      <c r="S49" s="260">
        <v>0</v>
      </c>
    </row>
    <row r="50" spans="2:19" x14ac:dyDescent="0.25">
      <c r="B50" s="107" t="s">
        <v>255</v>
      </c>
      <c r="D50" s="107" t="s">
        <v>255</v>
      </c>
      <c r="F50" s="266" t="s">
        <v>547</v>
      </c>
      <c r="H50" s="109" t="s">
        <v>177</v>
      </c>
      <c r="I50" s="107" t="s">
        <v>255</v>
      </c>
      <c r="K50" s="107" t="s">
        <v>255</v>
      </c>
      <c r="L50" s="109" t="s">
        <v>275</v>
      </c>
      <c r="N50" s="183" t="s">
        <v>255</v>
      </c>
      <c r="O50" s="186">
        <v>2.6746441196140252</v>
      </c>
      <c r="P50" s="260">
        <v>3.1500000000000004</v>
      </c>
      <c r="Q50" s="260">
        <v>0</v>
      </c>
      <c r="R50" s="260">
        <v>0</v>
      </c>
      <c r="S50" s="260">
        <v>0</v>
      </c>
    </row>
    <row r="51" spans="2:19" x14ac:dyDescent="0.25">
      <c r="B51" s="107" t="s">
        <v>256</v>
      </c>
      <c r="D51" s="107" t="s">
        <v>256</v>
      </c>
      <c r="F51" s="266" t="s">
        <v>548</v>
      </c>
      <c r="H51" s="109" t="s">
        <v>177</v>
      </c>
      <c r="I51" s="107" t="s">
        <v>256</v>
      </c>
      <c r="K51" s="107" t="s">
        <v>256</v>
      </c>
      <c r="L51" s="109" t="s">
        <v>178</v>
      </c>
      <c r="N51" s="183" t="s">
        <v>256</v>
      </c>
      <c r="O51" s="186">
        <v>1.7993694468329031</v>
      </c>
      <c r="P51" s="260">
        <v>3.8500000000000005</v>
      </c>
      <c r="Q51" s="260">
        <v>0</v>
      </c>
      <c r="R51" s="260">
        <v>0</v>
      </c>
      <c r="S51" s="260">
        <v>0</v>
      </c>
    </row>
    <row r="52" spans="2:19" x14ac:dyDescent="0.25">
      <c r="B52" s="107" t="s">
        <v>257</v>
      </c>
      <c r="D52" s="107" t="s">
        <v>257</v>
      </c>
      <c r="F52" s="266" t="s">
        <v>549</v>
      </c>
      <c r="H52" s="109" t="s">
        <v>177</v>
      </c>
      <c r="I52" s="107" t="s">
        <v>257</v>
      </c>
      <c r="K52" s="107" t="s">
        <v>257</v>
      </c>
      <c r="L52" s="109" t="s">
        <v>280</v>
      </c>
      <c r="N52" s="183" t="s">
        <v>257</v>
      </c>
      <c r="O52" s="186">
        <v>4.9540197764402398</v>
      </c>
      <c r="P52" s="260">
        <v>3.5</v>
      </c>
      <c r="Q52" s="260">
        <v>0</v>
      </c>
      <c r="R52" s="260">
        <v>0</v>
      </c>
      <c r="S52" s="260">
        <v>0</v>
      </c>
    </row>
    <row r="53" spans="2:19" x14ac:dyDescent="0.25">
      <c r="B53" s="107" t="s">
        <v>258</v>
      </c>
      <c r="D53" s="107" t="s">
        <v>258</v>
      </c>
      <c r="F53" s="266" t="s">
        <v>550</v>
      </c>
      <c r="H53" s="109" t="s">
        <v>177</v>
      </c>
      <c r="I53" s="107" t="s">
        <v>258</v>
      </c>
      <c r="K53" s="107" t="s">
        <v>258</v>
      </c>
      <c r="L53" s="109" t="s">
        <v>173</v>
      </c>
      <c r="N53" s="183" t="s">
        <v>258</v>
      </c>
      <c r="O53" s="186">
        <v>6.3814846660934359</v>
      </c>
      <c r="P53" s="260">
        <v>7.3500000000000014</v>
      </c>
      <c r="Q53" s="260">
        <v>0</v>
      </c>
      <c r="R53" s="260">
        <v>0</v>
      </c>
      <c r="S53" s="260">
        <v>0</v>
      </c>
    </row>
    <row r="54" spans="2:19" x14ac:dyDescent="0.25">
      <c r="B54" s="107" t="s">
        <v>259</v>
      </c>
      <c r="D54" s="107" t="s">
        <v>259</v>
      </c>
      <c r="F54" s="266" t="s">
        <v>551</v>
      </c>
      <c r="H54" s="109" t="s">
        <v>276</v>
      </c>
      <c r="I54" s="107" t="s">
        <v>259</v>
      </c>
      <c r="K54" s="107" t="s">
        <v>259</v>
      </c>
      <c r="L54" s="109" t="s">
        <v>176</v>
      </c>
      <c r="N54" s="183" t="s">
        <v>259</v>
      </c>
      <c r="O54" s="186">
        <v>15.029616891181806</v>
      </c>
      <c r="P54" s="260">
        <v>5.25</v>
      </c>
      <c r="Q54" s="260">
        <v>0</v>
      </c>
      <c r="R54" s="260">
        <v>0</v>
      </c>
      <c r="S54" s="260">
        <v>0</v>
      </c>
    </row>
    <row r="55" spans="2:19" x14ac:dyDescent="0.25">
      <c r="B55" s="107" t="s">
        <v>260</v>
      </c>
      <c r="D55" s="107" t="s">
        <v>260</v>
      </c>
      <c r="F55" s="266" t="s">
        <v>552</v>
      </c>
      <c r="H55" s="109" t="s">
        <v>167</v>
      </c>
      <c r="I55" s="107" t="s">
        <v>260</v>
      </c>
      <c r="K55" s="107" t="s">
        <v>260</v>
      </c>
      <c r="L55" s="109" t="s">
        <v>168</v>
      </c>
      <c r="N55" s="183" t="s">
        <v>260</v>
      </c>
      <c r="O55" s="186">
        <v>46.505197935893761</v>
      </c>
      <c r="P55" s="260">
        <v>5.25</v>
      </c>
      <c r="Q55" s="260">
        <v>0</v>
      </c>
      <c r="R55" s="260">
        <v>0</v>
      </c>
      <c r="S55" s="260">
        <v>0</v>
      </c>
    </row>
    <row r="56" spans="2:19" x14ac:dyDescent="0.25">
      <c r="B56" s="107" t="s">
        <v>261</v>
      </c>
      <c r="D56" s="107" t="s">
        <v>261</v>
      </c>
      <c r="F56" s="266" t="s">
        <v>553</v>
      </c>
      <c r="H56" s="109" t="s">
        <v>167</v>
      </c>
      <c r="I56" s="107" t="s">
        <v>261</v>
      </c>
      <c r="K56" s="107" t="s">
        <v>261</v>
      </c>
      <c r="L56" s="109" t="s">
        <v>175</v>
      </c>
      <c r="N56" s="183" t="s">
        <v>261</v>
      </c>
      <c r="O56" s="186">
        <v>34.704117703257857</v>
      </c>
      <c r="P56" s="260">
        <v>4.55</v>
      </c>
      <c r="Q56" s="260">
        <v>0</v>
      </c>
      <c r="R56" s="260">
        <v>0</v>
      </c>
      <c r="S56" s="260">
        <v>0</v>
      </c>
    </row>
    <row r="57" spans="2:19" x14ac:dyDescent="0.25">
      <c r="B57" s="107" t="s">
        <v>262</v>
      </c>
      <c r="D57" s="107" t="s">
        <v>262</v>
      </c>
      <c r="F57" s="266" t="s">
        <v>554</v>
      </c>
      <c r="H57" s="109" t="s">
        <v>167</v>
      </c>
      <c r="I57" s="107" t="s">
        <v>262</v>
      </c>
      <c r="K57" s="107" t="s">
        <v>262</v>
      </c>
      <c r="L57" s="109" t="s">
        <v>281</v>
      </c>
      <c r="N57" s="183" t="s">
        <v>262</v>
      </c>
      <c r="O57" s="186">
        <v>0.98686347568548771</v>
      </c>
      <c r="P57" s="260">
        <v>4.1999999999999993</v>
      </c>
      <c r="Q57" s="260">
        <v>0</v>
      </c>
      <c r="R57" s="260">
        <v>0</v>
      </c>
      <c r="S57" s="260">
        <v>0</v>
      </c>
    </row>
    <row r="58" spans="2:19" x14ac:dyDescent="0.25">
      <c r="B58" s="107" t="s">
        <v>263</v>
      </c>
      <c r="D58" s="107" t="s">
        <v>263</v>
      </c>
      <c r="F58" s="266" t="s">
        <v>555</v>
      </c>
      <c r="H58" s="109" t="s">
        <v>277</v>
      </c>
      <c r="I58" s="107" t="s">
        <v>263</v>
      </c>
      <c r="K58" s="107" t="s">
        <v>263</v>
      </c>
      <c r="L58" s="109" t="s">
        <v>278</v>
      </c>
      <c r="N58" s="183" t="s">
        <v>263</v>
      </c>
      <c r="O58" s="186">
        <v>2.3503391611732112</v>
      </c>
      <c r="P58" s="260">
        <v>2.0999999999999996</v>
      </c>
      <c r="Q58" s="260">
        <v>0</v>
      </c>
      <c r="R58" s="260">
        <v>0</v>
      </c>
      <c r="S58" s="260">
        <v>0</v>
      </c>
    </row>
    <row r="59" spans="2:19" x14ac:dyDescent="0.25">
      <c r="B59" s="107" t="s">
        <v>264</v>
      </c>
      <c r="D59" s="107" t="s">
        <v>264</v>
      </c>
      <c r="F59" s="266" t="s">
        <v>556</v>
      </c>
      <c r="H59" s="109" t="s">
        <v>278</v>
      </c>
      <c r="I59" s="107" t="s">
        <v>264</v>
      </c>
      <c r="K59" s="107" t="s">
        <v>264</v>
      </c>
      <c r="L59" s="109" t="s">
        <v>271</v>
      </c>
      <c r="N59" s="183" t="s">
        <v>264</v>
      </c>
      <c r="O59" s="186">
        <v>6.3814846660934359</v>
      </c>
      <c r="P59" s="260">
        <v>2.0999999999999996</v>
      </c>
      <c r="Q59" s="260">
        <v>0</v>
      </c>
      <c r="R59" s="260">
        <v>0</v>
      </c>
      <c r="S59" s="260">
        <v>0</v>
      </c>
    </row>
    <row r="60" spans="2:19" x14ac:dyDescent="0.25">
      <c r="B60" s="107" t="s">
        <v>265</v>
      </c>
      <c r="D60" s="107" t="s">
        <v>265</v>
      </c>
      <c r="F60" s="266" t="s">
        <v>557</v>
      </c>
      <c r="H60" s="109" t="s">
        <v>278</v>
      </c>
      <c r="I60" s="107" t="s">
        <v>265</v>
      </c>
      <c r="K60" s="107" t="s">
        <v>265</v>
      </c>
      <c r="L60" s="109" t="s">
        <v>277</v>
      </c>
      <c r="N60" s="183" t="s">
        <v>265</v>
      </c>
      <c r="O60" s="186">
        <v>2.266647558994936</v>
      </c>
      <c r="P60" s="260">
        <v>2.0999999999999996</v>
      </c>
      <c r="Q60" s="260">
        <v>0</v>
      </c>
      <c r="R60" s="260">
        <v>0</v>
      </c>
      <c r="S60" s="260">
        <v>0</v>
      </c>
    </row>
    <row r="61" spans="2:19" x14ac:dyDescent="0.25">
      <c r="B61" s="107" t="s">
        <v>266</v>
      </c>
      <c r="D61" s="107" t="s">
        <v>266</v>
      </c>
      <c r="F61" s="266" t="s">
        <v>558</v>
      </c>
      <c r="H61" s="109" t="s">
        <v>163</v>
      </c>
      <c r="I61" s="107" t="s">
        <v>266</v>
      </c>
      <c r="K61" s="107" t="s">
        <v>266</v>
      </c>
      <c r="L61" s="109" t="s">
        <v>167</v>
      </c>
      <c r="N61" s="183" t="s">
        <v>266</v>
      </c>
      <c r="O61" s="186">
        <v>13.486699157351676</v>
      </c>
      <c r="P61" s="260">
        <v>14</v>
      </c>
      <c r="Q61" s="260">
        <v>0</v>
      </c>
      <c r="R61" s="260">
        <v>0</v>
      </c>
      <c r="S61" s="260">
        <v>0</v>
      </c>
    </row>
    <row r="62" spans="2:19" x14ac:dyDescent="0.25">
      <c r="B62" s="107" t="s">
        <v>267</v>
      </c>
      <c r="D62" s="107" t="s">
        <v>267</v>
      </c>
      <c r="F62" s="266" t="s">
        <v>559</v>
      </c>
      <c r="H62" s="109" t="s">
        <v>164</v>
      </c>
      <c r="I62" s="107" t="s">
        <v>267</v>
      </c>
      <c r="K62" s="107" t="s">
        <v>267</v>
      </c>
      <c r="L62" s="109" t="s">
        <v>174</v>
      </c>
      <c r="N62" s="183" t="s">
        <v>267</v>
      </c>
      <c r="O62" s="186">
        <v>27.823970574185534</v>
      </c>
      <c r="P62" s="260">
        <v>1.75</v>
      </c>
      <c r="Q62" s="260">
        <v>0</v>
      </c>
      <c r="R62" s="260">
        <v>0</v>
      </c>
      <c r="S62" s="260">
        <v>0</v>
      </c>
    </row>
    <row r="63" spans="2:19" x14ac:dyDescent="0.25">
      <c r="B63" s="107" t="s">
        <v>301</v>
      </c>
      <c r="D63" s="107" t="s">
        <v>301</v>
      </c>
      <c r="F63" s="266" t="s">
        <v>560</v>
      </c>
      <c r="H63" s="109" t="s">
        <v>164</v>
      </c>
      <c r="I63" s="107" t="s">
        <v>301</v>
      </c>
      <c r="K63" s="107" t="s">
        <v>301</v>
      </c>
      <c r="L63" s="109" t="s">
        <v>165</v>
      </c>
      <c r="N63" s="183" t="s">
        <v>301</v>
      </c>
      <c r="O63" s="100">
        <v>64.2777222112353</v>
      </c>
      <c r="P63" s="100">
        <v>2.8000000000000007</v>
      </c>
      <c r="Q63" s="260">
        <v>0</v>
      </c>
      <c r="R63" s="260">
        <v>0</v>
      </c>
      <c r="S63" s="260">
        <v>0</v>
      </c>
    </row>
    <row r="64" spans="2:19" x14ac:dyDescent="0.25">
      <c r="B64" s="107" t="s">
        <v>302</v>
      </c>
      <c r="D64" s="107" t="s">
        <v>302</v>
      </c>
      <c r="F64" s="266" t="s">
        <v>561</v>
      </c>
      <c r="H64" s="109" t="s">
        <v>164</v>
      </c>
      <c r="I64" s="107" t="s">
        <v>302</v>
      </c>
      <c r="K64" s="107" t="s">
        <v>302</v>
      </c>
      <c r="L64" s="109" t="s">
        <v>176</v>
      </c>
      <c r="N64" s="183" t="s">
        <v>302</v>
      </c>
      <c r="O64" s="100">
        <v>17.226521448361513</v>
      </c>
      <c r="P64" s="100">
        <v>5.46</v>
      </c>
      <c r="Q64" s="260">
        <v>0</v>
      </c>
      <c r="R64" s="260">
        <v>0</v>
      </c>
      <c r="S64" s="260">
        <v>0</v>
      </c>
    </row>
    <row r="65" spans="2:19" x14ac:dyDescent="0.25">
      <c r="B65" s="107" t="s">
        <v>303</v>
      </c>
      <c r="D65" s="107" t="s">
        <v>303</v>
      </c>
      <c r="F65" s="266" t="s">
        <v>562</v>
      </c>
      <c r="H65" s="109" t="s">
        <v>39</v>
      </c>
      <c r="I65" s="107" t="s">
        <v>303</v>
      </c>
      <c r="K65" s="107" t="s">
        <v>303</v>
      </c>
      <c r="L65" s="109" t="s">
        <v>174</v>
      </c>
      <c r="N65" s="183" t="s">
        <v>303</v>
      </c>
      <c r="O65" s="100">
        <v>17.017292442915828</v>
      </c>
      <c r="P65" s="100">
        <v>12.600000000000001</v>
      </c>
      <c r="Q65" s="260">
        <v>0</v>
      </c>
      <c r="R65" s="260">
        <v>0</v>
      </c>
      <c r="S65" s="260">
        <v>0</v>
      </c>
    </row>
    <row r="66" spans="2:19" x14ac:dyDescent="0.25">
      <c r="B66" s="107" t="s">
        <v>304</v>
      </c>
      <c r="D66" s="107" t="s">
        <v>304</v>
      </c>
      <c r="F66" s="266" t="s">
        <v>563</v>
      </c>
      <c r="H66" s="109" t="s">
        <v>39</v>
      </c>
      <c r="I66" s="107" t="s">
        <v>304</v>
      </c>
      <c r="K66" s="107" t="s">
        <v>304</v>
      </c>
      <c r="L66" s="109" t="s">
        <v>165</v>
      </c>
      <c r="N66" s="183" t="s">
        <v>304</v>
      </c>
      <c r="O66" s="186">
        <v>59.675541198051008</v>
      </c>
      <c r="P66" s="186">
        <v>10.85</v>
      </c>
      <c r="Q66" s="260">
        <v>0</v>
      </c>
      <c r="R66" s="260">
        <v>0</v>
      </c>
      <c r="S66" s="260">
        <v>0</v>
      </c>
    </row>
    <row r="67" spans="2:19" x14ac:dyDescent="0.25">
      <c r="B67" s="107" t="s">
        <v>305</v>
      </c>
      <c r="D67" s="107" t="s">
        <v>305</v>
      </c>
      <c r="F67" s="266" t="s">
        <v>564</v>
      </c>
      <c r="H67" s="109" t="s">
        <v>39</v>
      </c>
      <c r="I67" s="107" t="s">
        <v>305</v>
      </c>
      <c r="K67" s="107" t="s">
        <v>305</v>
      </c>
      <c r="L67" s="109" t="s">
        <v>166</v>
      </c>
      <c r="N67" s="183" t="s">
        <v>305</v>
      </c>
      <c r="O67" s="186">
        <v>19.876755517340211</v>
      </c>
      <c r="P67" s="261">
        <v>15.400000000000002</v>
      </c>
      <c r="Q67" s="260">
        <v>0</v>
      </c>
      <c r="R67" s="260">
        <v>0</v>
      </c>
      <c r="S67" s="260">
        <v>0</v>
      </c>
    </row>
    <row r="68" spans="2:19" x14ac:dyDescent="0.25">
      <c r="B68" s="107" t="s">
        <v>306</v>
      </c>
      <c r="D68" s="107" t="s">
        <v>306</v>
      </c>
      <c r="F68" s="266" t="s">
        <v>565</v>
      </c>
      <c r="H68" s="109" t="s">
        <v>39</v>
      </c>
      <c r="I68" s="107" t="s">
        <v>306</v>
      </c>
      <c r="K68" s="107" t="s">
        <v>306</v>
      </c>
      <c r="L68" s="109" t="s">
        <v>176</v>
      </c>
      <c r="N68" s="183" t="s">
        <v>306</v>
      </c>
      <c r="O68" s="100">
        <v>52.275867010604749</v>
      </c>
      <c r="P68" s="100">
        <v>9.7999999999999972</v>
      </c>
      <c r="Q68" s="260">
        <v>0</v>
      </c>
      <c r="R68" s="260">
        <v>0</v>
      </c>
      <c r="S68" s="260">
        <v>0</v>
      </c>
    </row>
    <row r="69" spans="2:19" x14ac:dyDescent="0.25">
      <c r="B69" s="107" t="s">
        <v>307</v>
      </c>
      <c r="D69" s="107" t="s">
        <v>307</v>
      </c>
      <c r="F69" s="266" t="s">
        <v>566</v>
      </c>
      <c r="H69" s="109" t="s">
        <v>39</v>
      </c>
      <c r="I69" s="107" t="s">
        <v>307</v>
      </c>
      <c r="K69" s="107" t="s">
        <v>307</v>
      </c>
      <c r="L69" s="109" t="s">
        <v>164</v>
      </c>
      <c r="N69" s="183" t="s">
        <v>307</v>
      </c>
      <c r="O69" s="100">
        <v>18.447721410146173</v>
      </c>
      <c r="P69" s="100">
        <v>10.85</v>
      </c>
      <c r="Q69" s="260">
        <v>0</v>
      </c>
      <c r="R69" s="260">
        <v>0</v>
      </c>
      <c r="S69" s="260">
        <v>0</v>
      </c>
    </row>
    <row r="70" spans="2:19" x14ac:dyDescent="0.25">
      <c r="B70" s="107" t="s">
        <v>308</v>
      </c>
      <c r="D70" s="107" t="s">
        <v>308</v>
      </c>
      <c r="F70" s="266" t="s">
        <v>567</v>
      </c>
      <c r="H70" s="109" t="s">
        <v>171</v>
      </c>
      <c r="I70" s="107" t="s">
        <v>308</v>
      </c>
      <c r="K70" s="107" t="s">
        <v>308</v>
      </c>
      <c r="L70" s="109" t="s">
        <v>165</v>
      </c>
      <c r="N70" s="183" t="s">
        <v>308</v>
      </c>
      <c r="O70" s="100">
        <v>32.466762205025312</v>
      </c>
      <c r="P70" s="100">
        <v>4.8999999999999986</v>
      </c>
      <c r="Q70" s="260">
        <v>0</v>
      </c>
      <c r="R70" s="260">
        <v>0</v>
      </c>
      <c r="S70" s="260">
        <v>0</v>
      </c>
    </row>
    <row r="71" spans="2:19" x14ac:dyDescent="0.25">
      <c r="B71" s="107" t="s">
        <v>309</v>
      </c>
      <c r="D71" s="107" t="s">
        <v>309</v>
      </c>
      <c r="F71" s="266" t="s">
        <v>568</v>
      </c>
      <c r="H71" s="109" t="s">
        <v>171</v>
      </c>
      <c r="I71" s="107" t="s">
        <v>309</v>
      </c>
      <c r="K71" s="107" t="s">
        <v>309</v>
      </c>
      <c r="L71" s="109" t="s">
        <v>173</v>
      </c>
      <c r="N71" s="183" t="s">
        <v>309</v>
      </c>
      <c r="O71" s="100">
        <v>1.5793302761058563</v>
      </c>
      <c r="P71" s="100">
        <v>7</v>
      </c>
      <c r="Q71" s="260">
        <v>0</v>
      </c>
      <c r="R71" s="260">
        <v>0</v>
      </c>
      <c r="S71" s="260">
        <v>0</v>
      </c>
    </row>
    <row r="72" spans="2:19" x14ac:dyDescent="0.25">
      <c r="B72" s="107" t="s">
        <v>310</v>
      </c>
      <c r="D72" s="107" t="s">
        <v>310</v>
      </c>
      <c r="F72" s="266" t="s">
        <v>569</v>
      </c>
      <c r="H72" s="109" t="s">
        <v>279</v>
      </c>
      <c r="I72" s="107" t="s">
        <v>310</v>
      </c>
      <c r="K72" s="107" t="s">
        <v>310</v>
      </c>
      <c r="L72" s="109" t="s">
        <v>272</v>
      </c>
      <c r="N72" s="183" t="s">
        <v>310</v>
      </c>
      <c r="O72" s="100">
        <v>2.7897200726091524</v>
      </c>
      <c r="P72" s="100">
        <v>2.8000000000000007</v>
      </c>
      <c r="Q72" s="260">
        <v>0</v>
      </c>
      <c r="R72" s="260">
        <v>0</v>
      </c>
      <c r="S72" s="260">
        <v>0</v>
      </c>
    </row>
    <row r="73" spans="2:19" x14ac:dyDescent="0.25">
      <c r="B73" s="107" t="s">
        <v>311</v>
      </c>
      <c r="D73" s="107" t="s">
        <v>311</v>
      </c>
      <c r="F73" s="266" t="s">
        <v>570</v>
      </c>
      <c r="H73" s="109" t="s">
        <v>178</v>
      </c>
      <c r="I73" s="107" t="s">
        <v>311</v>
      </c>
      <c r="K73" s="107" t="s">
        <v>311</v>
      </c>
      <c r="L73" s="109" t="s">
        <v>269</v>
      </c>
      <c r="N73" s="183" t="s">
        <v>311</v>
      </c>
      <c r="O73" s="100">
        <v>25.912314894430111</v>
      </c>
      <c r="P73" s="100">
        <v>2.8000000000000007</v>
      </c>
      <c r="Q73" s="260">
        <v>0</v>
      </c>
      <c r="R73" s="260">
        <v>0</v>
      </c>
      <c r="S73" s="260">
        <v>0</v>
      </c>
    </row>
    <row r="74" spans="2:19" x14ac:dyDescent="0.25">
      <c r="B74" s="107" t="s">
        <v>312</v>
      </c>
      <c r="D74" s="107" t="s">
        <v>312</v>
      </c>
      <c r="F74" s="266" t="s">
        <v>571</v>
      </c>
      <c r="H74" s="109" t="s">
        <v>178</v>
      </c>
      <c r="I74" s="107" t="s">
        <v>312</v>
      </c>
      <c r="K74" s="107" t="s">
        <v>312</v>
      </c>
      <c r="L74" s="109" t="s">
        <v>177</v>
      </c>
      <c r="N74" s="183" t="s">
        <v>312</v>
      </c>
      <c r="O74" s="100">
        <v>8.7178752269036E-2</v>
      </c>
      <c r="P74" s="100">
        <v>3.1500000000000004</v>
      </c>
      <c r="Q74" s="260">
        <v>0</v>
      </c>
      <c r="R74" s="260">
        <v>0</v>
      </c>
      <c r="S74" s="260">
        <v>0</v>
      </c>
    </row>
    <row r="75" spans="2:19" x14ac:dyDescent="0.25">
      <c r="B75" s="107" t="s">
        <v>313</v>
      </c>
      <c r="D75" s="107" t="s">
        <v>313</v>
      </c>
      <c r="F75" s="266" t="s">
        <v>572</v>
      </c>
      <c r="H75" s="109" t="s">
        <v>1</v>
      </c>
      <c r="I75" s="107" t="s">
        <v>313</v>
      </c>
      <c r="K75" s="107" t="s">
        <v>313</v>
      </c>
      <c r="L75" s="109" t="s">
        <v>2</v>
      </c>
      <c r="N75" s="183" t="s">
        <v>313</v>
      </c>
      <c r="O75" s="100">
        <v>49.5</v>
      </c>
      <c r="P75" s="100">
        <v>10.5</v>
      </c>
      <c r="Q75" s="260">
        <v>0</v>
      </c>
      <c r="R75" s="260">
        <v>0</v>
      </c>
      <c r="S75" s="260">
        <v>0</v>
      </c>
    </row>
    <row r="76" spans="2:19" x14ac:dyDescent="0.25">
      <c r="B76" s="107" t="s">
        <v>314</v>
      </c>
      <c r="D76" s="107" t="s">
        <v>314</v>
      </c>
      <c r="F76" s="266" t="s">
        <v>573</v>
      </c>
      <c r="H76" s="109" t="s">
        <v>1</v>
      </c>
      <c r="I76" s="107" t="s">
        <v>314</v>
      </c>
      <c r="K76" s="107" t="s">
        <v>314</v>
      </c>
      <c r="L76" s="109" t="s">
        <v>173</v>
      </c>
      <c r="N76" s="183" t="s">
        <v>314</v>
      </c>
      <c r="O76" s="267">
        <v>40</v>
      </c>
      <c r="P76" s="334">
        <v>9.5</v>
      </c>
      <c r="Q76" s="260">
        <v>0</v>
      </c>
      <c r="R76" s="260">
        <v>0</v>
      </c>
      <c r="S76" s="260">
        <v>0</v>
      </c>
    </row>
    <row r="77" spans="2:19" x14ac:dyDescent="0.25">
      <c r="B77" s="107" t="s">
        <v>315</v>
      </c>
      <c r="D77" s="107" t="s">
        <v>315</v>
      </c>
      <c r="F77" s="266" t="s">
        <v>574</v>
      </c>
      <c r="H77" s="109" t="s">
        <v>1</v>
      </c>
      <c r="I77" s="107" t="s">
        <v>315</v>
      </c>
      <c r="K77" s="107" t="s">
        <v>315</v>
      </c>
      <c r="L77" s="109" t="s">
        <v>172</v>
      </c>
      <c r="N77" s="183" t="s">
        <v>315</v>
      </c>
      <c r="O77" s="100">
        <v>41.868467564727233</v>
      </c>
      <c r="P77" s="190">
        <v>8.0499999999999989</v>
      </c>
      <c r="Q77" s="260">
        <v>0</v>
      </c>
      <c r="R77" s="260">
        <v>0</v>
      </c>
      <c r="S77" s="260">
        <v>0</v>
      </c>
    </row>
    <row r="78" spans="2:19" x14ac:dyDescent="0.25">
      <c r="B78" s="107" t="s">
        <v>316</v>
      </c>
      <c r="D78" s="107" t="s">
        <v>316</v>
      </c>
      <c r="F78" s="266" t="s">
        <v>575</v>
      </c>
      <c r="H78" s="109" t="s">
        <v>1</v>
      </c>
      <c r="I78" s="107" t="s">
        <v>316</v>
      </c>
      <c r="K78" s="107" t="s">
        <v>316</v>
      </c>
      <c r="L78" s="109" t="s">
        <v>165</v>
      </c>
      <c r="N78" s="183" t="s">
        <v>316</v>
      </c>
      <c r="O78" s="267">
        <v>110</v>
      </c>
      <c r="P78" s="334">
        <v>17.5</v>
      </c>
      <c r="Q78" s="260">
        <v>0</v>
      </c>
      <c r="R78" s="260">
        <v>0</v>
      </c>
      <c r="S78" s="260">
        <v>0</v>
      </c>
    </row>
    <row r="79" spans="2:19" x14ac:dyDescent="0.25">
      <c r="B79" s="107" t="s">
        <v>317</v>
      </c>
      <c r="D79" s="107" t="s">
        <v>317</v>
      </c>
      <c r="F79" s="266" t="s">
        <v>576</v>
      </c>
      <c r="H79" s="109" t="s">
        <v>1</v>
      </c>
      <c r="I79" s="107" t="s">
        <v>317</v>
      </c>
      <c r="K79" s="107" t="s">
        <v>317</v>
      </c>
      <c r="L79" s="109" t="s">
        <v>271</v>
      </c>
      <c r="N79" s="183" t="s">
        <v>317</v>
      </c>
      <c r="O79" s="100">
        <v>6.6532456140350869</v>
      </c>
      <c r="P79" s="100">
        <v>6.6499999999999995</v>
      </c>
      <c r="Q79" s="260">
        <v>0</v>
      </c>
      <c r="R79" s="260">
        <v>0</v>
      </c>
      <c r="S79" s="260">
        <v>0</v>
      </c>
    </row>
    <row r="80" spans="2:19" x14ac:dyDescent="0.25">
      <c r="B80" s="107" t="s">
        <v>318</v>
      </c>
      <c r="D80" s="107" t="s">
        <v>318</v>
      </c>
      <c r="F80" s="266" t="s">
        <v>577</v>
      </c>
      <c r="H80" s="109" t="s">
        <v>1</v>
      </c>
      <c r="I80" s="107" t="s">
        <v>318</v>
      </c>
      <c r="K80" s="107" t="s">
        <v>318</v>
      </c>
      <c r="L80" s="109" t="s">
        <v>273</v>
      </c>
      <c r="N80" s="183" t="s">
        <v>318</v>
      </c>
      <c r="O80" s="100">
        <v>7.9723684210526304</v>
      </c>
      <c r="P80" s="100">
        <v>6.6499999999999995</v>
      </c>
      <c r="Q80" s="260">
        <v>0</v>
      </c>
      <c r="R80" s="260">
        <v>0</v>
      </c>
      <c r="S80" s="260">
        <v>0</v>
      </c>
    </row>
    <row r="81" spans="2:19" x14ac:dyDescent="0.25">
      <c r="B81" s="107" t="s">
        <v>319</v>
      </c>
      <c r="D81" s="107" t="s">
        <v>319</v>
      </c>
      <c r="F81" s="266" t="s">
        <v>578</v>
      </c>
      <c r="H81" s="109" t="s">
        <v>1</v>
      </c>
      <c r="I81" s="107" t="s">
        <v>319</v>
      </c>
      <c r="K81" s="107" t="s">
        <v>319</v>
      </c>
      <c r="L81" s="109" t="s">
        <v>278</v>
      </c>
      <c r="N81" s="183" t="s">
        <v>319</v>
      </c>
      <c r="O81" s="100">
        <v>7.3230151905990253</v>
      </c>
      <c r="P81" s="100">
        <v>7.7000000000000011</v>
      </c>
      <c r="Q81" s="260">
        <v>0</v>
      </c>
      <c r="R81" s="260">
        <v>0</v>
      </c>
      <c r="S81" s="260">
        <v>0</v>
      </c>
    </row>
    <row r="82" spans="2:19" x14ac:dyDescent="0.25">
      <c r="B82" s="107" t="s">
        <v>320</v>
      </c>
      <c r="D82" s="107" t="s">
        <v>320</v>
      </c>
      <c r="F82" s="266" t="s">
        <v>579</v>
      </c>
      <c r="H82" s="109" t="s">
        <v>281</v>
      </c>
      <c r="I82" s="107" t="s">
        <v>320</v>
      </c>
      <c r="K82" s="107" t="s">
        <v>320</v>
      </c>
      <c r="L82" s="109" t="s">
        <v>168</v>
      </c>
      <c r="N82" s="183" t="s">
        <v>320</v>
      </c>
      <c r="O82" s="100">
        <v>3.9404796025604276</v>
      </c>
      <c r="P82" s="100">
        <v>2.0999999999999996</v>
      </c>
      <c r="Q82" s="260">
        <v>0</v>
      </c>
      <c r="R82" s="260">
        <v>0</v>
      </c>
      <c r="S82" s="260">
        <v>0</v>
      </c>
    </row>
    <row r="83" spans="2:19" x14ac:dyDescent="0.25">
      <c r="B83" s="107" t="s">
        <v>321</v>
      </c>
      <c r="D83" s="107" t="s">
        <v>321</v>
      </c>
      <c r="F83" s="266" t="s">
        <v>580</v>
      </c>
      <c r="H83" s="109" t="s">
        <v>281</v>
      </c>
      <c r="I83" s="107" t="s">
        <v>321</v>
      </c>
      <c r="K83" s="107" t="s">
        <v>321</v>
      </c>
      <c r="L83" s="109" t="s">
        <v>275</v>
      </c>
      <c r="N83" s="183" t="s">
        <v>321</v>
      </c>
      <c r="O83" s="100">
        <v>1.8725995987388937</v>
      </c>
      <c r="P83" s="100">
        <v>1.0499999999999998</v>
      </c>
      <c r="Q83" s="260">
        <v>0</v>
      </c>
      <c r="R83" s="260">
        <v>0</v>
      </c>
      <c r="S83" s="260">
        <v>0</v>
      </c>
    </row>
    <row r="84" spans="2:19" x14ac:dyDescent="0.25">
      <c r="B84" s="107" t="s">
        <v>322</v>
      </c>
      <c r="D84" s="107" t="s">
        <v>322</v>
      </c>
      <c r="F84" s="266" t="s">
        <v>581</v>
      </c>
      <c r="H84" s="109" t="s">
        <v>281</v>
      </c>
      <c r="I84" s="107" t="s">
        <v>322</v>
      </c>
      <c r="K84" s="107" t="s">
        <v>322</v>
      </c>
      <c r="L84" s="109" t="s">
        <v>167</v>
      </c>
      <c r="N84" s="183" t="s">
        <v>322</v>
      </c>
      <c r="O84" s="100">
        <v>1.7224671515238366</v>
      </c>
      <c r="P84" s="100">
        <v>3.5</v>
      </c>
      <c r="Q84" s="260">
        <v>0</v>
      </c>
      <c r="R84" s="260">
        <v>0</v>
      </c>
      <c r="S84" s="260">
        <v>0</v>
      </c>
    </row>
    <row r="85" spans="2:19" x14ac:dyDescent="0.25">
      <c r="B85" s="107" t="s">
        <v>323</v>
      </c>
      <c r="D85" s="107" t="s">
        <v>323</v>
      </c>
      <c r="F85" s="266" t="s">
        <v>582</v>
      </c>
      <c r="H85" s="109" t="s">
        <v>170</v>
      </c>
      <c r="I85" s="107" t="s">
        <v>323</v>
      </c>
      <c r="K85" s="107" t="s">
        <v>323</v>
      </c>
      <c r="L85" s="109" t="s">
        <v>168</v>
      </c>
      <c r="N85" s="183" t="s">
        <v>323</v>
      </c>
      <c r="O85" s="100">
        <v>53.674214197000097</v>
      </c>
      <c r="P85" s="100">
        <v>3.1500000000000004</v>
      </c>
      <c r="Q85" s="260">
        <v>0</v>
      </c>
      <c r="R85" s="260">
        <v>0</v>
      </c>
      <c r="S85" s="260">
        <v>0</v>
      </c>
    </row>
    <row r="86" spans="2:19" x14ac:dyDescent="0.25">
      <c r="B86" s="107" t="s">
        <v>324</v>
      </c>
      <c r="D86" s="107" t="s">
        <v>324</v>
      </c>
      <c r="F86" s="266" t="s">
        <v>583</v>
      </c>
      <c r="H86" s="109" t="s">
        <v>170</v>
      </c>
      <c r="I86" s="107" t="s">
        <v>324</v>
      </c>
      <c r="K86" s="107" t="s">
        <v>324</v>
      </c>
      <c r="L86" s="109" t="s">
        <v>169</v>
      </c>
      <c r="N86" s="183" t="s">
        <v>324</v>
      </c>
      <c r="O86" s="100">
        <v>18.133180471959488</v>
      </c>
      <c r="P86" s="100">
        <v>2.4499999999999993</v>
      </c>
      <c r="Q86" s="260">
        <v>0</v>
      </c>
      <c r="R86" s="260">
        <v>0</v>
      </c>
      <c r="S86" s="260">
        <v>0</v>
      </c>
    </row>
    <row r="87" spans="2:19" x14ac:dyDescent="0.25">
      <c r="B87" s="107" t="s">
        <v>325</v>
      </c>
      <c r="D87" s="107" t="s">
        <v>325</v>
      </c>
      <c r="F87" s="266" t="s">
        <v>584</v>
      </c>
      <c r="H87" s="109" t="s">
        <v>170</v>
      </c>
      <c r="I87" s="107" t="s">
        <v>325</v>
      </c>
      <c r="K87" s="107" t="s">
        <v>325</v>
      </c>
      <c r="L87" s="109" t="s">
        <v>177</v>
      </c>
      <c r="N87" s="183" t="s">
        <v>325</v>
      </c>
      <c r="O87" s="100">
        <v>4.4274601127352629</v>
      </c>
      <c r="P87" s="100">
        <v>1.4000000000000004</v>
      </c>
      <c r="Q87" s="260">
        <v>0</v>
      </c>
      <c r="R87" s="260">
        <v>0</v>
      </c>
      <c r="S87" s="260">
        <v>0</v>
      </c>
    </row>
    <row r="88" spans="2:19" x14ac:dyDescent="0.25">
      <c r="B88" s="107" t="s">
        <v>326</v>
      </c>
      <c r="D88" s="107" t="s">
        <v>326</v>
      </c>
      <c r="F88" s="266" t="s">
        <v>585</v>
      </c>
      <c r="H88" s="109" t="s">
        <v>170</v>
      </c>
      <c r="I88" s="107" t="s">
        <v>326</v>
      </c>
      <c r="K88" s="107" t="s">
        <v>326</v>
      </c>
      <c r="L88" s="109" t="s">
        <v>173</v>
      </c>
      <c r="N88" s="183" t="s">
        <v>326</v>
      </c>
      <c r="O88" s="100">
        <v>14.506544377567593</v>
      </c>
      <c r="P88" s="100">
        <v>6.6499999999999995</v>
      </c>
      <c r="Q88" s="260">
        <v>0</v>
      </c>
      <c r="R88" s="260">
        <v>0</v>
      </c>
      <c r="S88" s="260">
        <v>0</v>
      </c>
    </row>
    <row r="89" spans="2:19" x14ac:dyDescent="0.25">
      <c r="B89" s="107" t="s">
        <v>327</v>
      </c>
      <c r="D89" s="107" t="s">
        <v>327</v>
      </c>
      <c r="F89" s="266" t="s">
        <v>586</v>
      </c>
      <c r="H89" s="109" t="s">
        <v>2</v>
      </c>
      <c r="I89" s="107" t="s">
        <v>327</v>
      </c>
      <c r="K89" s="107" t="s">
        <v>327</v>
      </c>
      <c r="L89" s="109" t="s">
        <v>269</v>
      </c>
      <c r="N89" s="183" t="s">
        <v>327</v>
      </c>
      <c r="O89" s="100">
        <v>3.3825355880385972</v>
      </c>
      <c r="P89" s="100">
        <v>7.7000000000000011</v>
      </c>
      <c r="Q89" s="260">
        <v>0</v>
      </c>
      <c r="R89" s="260">
        <v>0</v>
      </c>
      <c r="S89" s="260">
        <v>0</v>
      </c>
    </row>
    <row r="90" spans="2:19" x14ac:dyDescent="0.25">
      <c r="B90" s="107" t="s">
        <v>328</v>
      </c>
      <c r="D90" s="107" t="s">
        <v>328</v>
      </c>
      <c r="F90" s="266" t="s">
        <v>587</v>
      </c>
      <c r="H90" s="109" t="s">
        <v>2</v>
      </c>
      <c r="I90" s="107" t="s">
        <v>328</v>
      </c>
      <c r="K90" s="107" t="s">
        <v>328</v>
      </c>
      <c r="L90" s="109" t="s">
        <v>274</v>
      </c>
      <c r="N90" s="183" t="s">
        <v>328</v>
      </c>
      <c r="O90" s="100">
        <v>24.988568835387404</v>
      </c>
      <c r="P90" s="100">
        <v>10.85</v>
      </c>
      <c r="Q90" s="260">
        <v>0</v>
      </c>
      <c r="R90" s="260">
        <v>0</v>
      </c>
      <c r="S90" s="260">
        <v>0</v>
      </c>
    </row>
    <row r="91" spans="2:19" x14ac:dyDescent="0.25">
      <c r="B91" s="107" t="s">
        <v>329</v>
      </c>
      <c r="D91" s="107" t="s">
        <v>329</v>
      </c>
      <c r="F91" s="266" t="s">
        <v>588</v>
      </c>
      <c r="H91" s="109" t="s">
        <v>282</v>
      </c>
      <c r="I91" s="107" t="s">
        <v>329</v>
      </c>
      <c r="K91" s="107" t="s">
        <v>329</v>
      </c>
      <c r="L91" s="109" t="s">
        <v>167</v>
      </c>
      <c r="N91" s="183" t="s">
        <v>329</v>
      </c>
      <c r="O91" s="100">
        <v>36.299999999999997</v>
      </c>
      <c r="P91" s="100">
        <v>7.3500000000000014</v>
      </c>
      <c r="Q91" s="260">
        <v>0</v>
      </c>
      <c r="R91" s="260">
        <v>0</v>
      </c>
      <c r="S91" s="260">
        <v>0</v>
      </c>
    </row>
    <row r="92" spans="2:19" x14ac:dyDescent="0.25">
      <c r="B92" s="107" t="s">
        <v>330</v>
      </c>
      <c r="D92" s="107" t="s">
        <v>330</v>
      </c>
      <c r="F92" s="266" t="s">
        <v>589</v>
      </c>
      <c r="H92" s="109" t="s">
        <v>173</v>
      </c>
      <c r="I92" s="107" t="s">
        <v>330</v>
      </c>
      <c r="K92" s="107" t="s">
        <v>330</v>
      </c>
      <c r="L92" s="109" t="s">
        <v>177</v>
      </c>
      <c r="N92" s="183" t="s">
        <v>330</v>
      </c>
      <c r="O92" s="100">
        <v>20.933361994840926</v>
      </c>
      <c r="P92" s="100">
        <v>7.3500000000000014</v>
      </c>
      <c r="Q92" s="260">
        <v>0</v>
      </c>
      <c r="R92" s="260">
        <v>0</v>
      </c>
      <c r="S92" s="260">
        <v>0</v>
      </c>
    </row>
    <row r="93" spans="2:19" x14ac:dyDescent="0.25">
      <c r="B93" s="107" t="s">
        <v>331</v>
      </c>
      <c r="D93" s="107" t="s">
        <v>331</v>
      </c>
      <c r="F93" s="266" t="s">
        <v>590</v>
      </c>
      <c r="H93" s="109" t="s">
        <v>173</v>
      </c>
      <c r="I93" s="107" t="s">
        <v>331</v>
      </c>
      <c r="K93" s="107" t="s">
        <v>331</v>
      </c>
      <c r="L93" s="109" t="s">
        <v>171</v>
      </c>
      <c r="N93" s="183" t="s">
        <v>331</v>
      </c>
      <c r="O93" s="100">
        <v>4.7285755230725135</v>
      </c>
      <c r="P93" s="100">
        <v>7</v>
      </c>
      <c r="Q93" s="260">
        <v>0</v>
      </c>
      <c r="R93" s="260">
        <v>0</v>
      </c>
      <c r="S93" s="260">
        <v>0</v>
      </c>
    </row>
    <row r="94" spans="2:19" x14ac:dyDescent="0.25">
      <c r="B94" s="107" t="s">
        <v>332</v>
      </c>
      <c r="D94" s="107" t="s">
        <v>332</v>
      </c>
      <c r="F94" s="266" t="s">
        <v>591</v>
      </c>
      <c r="H94" s="109" t="s">
        <v>173</v>
      </c>
      <c r="I94" s="107" t="s">
        <v>332</v>
      </c>
      <c r="K94" s="107" t="s">
        <v>332</v>
      </c>
      <c r="L94" s="109" t="s">
        <v>178</v>
      </c>
      <c r="N94" s="183" t="s">
        <v>332</v>
      </c>
      <c r="O94" s="100">
        <v>33.250673545428484</v>
      </c>
      <c r="P94" s="100">
        <v>5.6000000000000014</v>
      </c>
      <c r="Q94" s="260">
        <v>0</v>
      </c>
      <c r="R94" s="260">
        <v>0</v>
      </c>
      <c r="S94" s="260">
        <v>0</v>
      </c>
    </row>
    <row r="95" spans="2:19" x14ac:dyDescent="0.25">
      <c r="B95" s="107" t="s">
        <v>333</v>
      </c>
      <c r="D95" s="107" t="s">
        <v>333</v>
      </c>
      <c r="F95" s="266" t="s">
        <v>592</v>
      </c>
      <c r="H95" s="109" t="s">
        <v>173</v>
      </c>
      <c r="I95" s="107" t="s">
        <v>333</v>
      </c>
      <c r="K95" s="107" t="s">
        <v>333</v>
      </c>
      <c r="L95" s="109" t="s">
        <v>170</v>
      </c>
      <c r="N95" s="183" t="s">
        <v>333</v>
      </c>
      <c r="O95" s="100">
        <v>79.785994076621762</v>
      </c>
      <c r="P95" s="100">
        <v>6.6499999999999995</v>
      </c>
      <c r="Q95" s="260">
        <v>0</v>
      </c>
      <c r="R95" s="260">
        <v>0</v>
      </c>
      <c r="S95" s="260">
        <v>0</v>
      </c>
    </row>
    <row r="96" spans="2:19" x14ac:dyDescent="0.25">
      <c r="B96" s="107" t="s">
        <v>334</v>
      </c>
      <c r="D96" s="107" t="s">
        <v>334</v>
      </c>
      <c r="F96" s="266" t="s">
        <v>593</v>
      </c>
      <c r="H96" s="109" t="s">
        <v>176</v>
      </c>
      <c r="I96" s="107" t="s">
        <v>334</v>
      </c>
      <c r="K96" s="107" t="s">
        <v>334</v>
      </c>
      <c r="L96" s="109" t="s">
        <v>174</v>
      </c>
      <c r="N96" s="183" t="s">
        <v>334</v>
      </c>
      <c r="O96" s="100">
        <v>21.972532721887834</v>
      </c>
      <c r="P96" s="100">
        <v>4.4800000000000004</v>
      </c>
      <c r="Q96" s="260">
        <v>0</v>
      </c>
      <c r="R96" s="260">
        <v>0</v>
      </c>
      <c r="S96" s="260">
        <v>0</v>
      </c>
    </row>
    <row r="97" spans="2:31" x14ac:dyDescent="0.25">
      <c r="B97" s="107" t="s">
        <v>335</v>
      </c>
      <c r="D97" s="107" t="s">
        <v>335</v>
      </c>
      <c r="F97" s="266" t="s">
        <v>594</v>
      </c>
      <c r="H97" s="109" t="s">
        <v>176</v>
      </c>
      <c r="I97" s="107" t="s">
        <v>335</v>
      </c>
      <c r="K97" s="107" t="s">
        <v>335</v>
      </c>
      <c r="L97" s="109" t="s">
        <v>276</v>
      </c>
      <c r="N97" s="183" t="s">
        <v>335</v>
      </c>
      <c r="O97" s="100">
        <v>11.926053310404125</v>
      </c>
      <c r="P97" s="100">
        <v>5.25</v>
      </c>
      <c r="Q97" s="260">
        <v>0</v>
      </c>
      <c r="R97" s="260">
        <v>0</v>
      </c>
      <c r="S97" s="260">
        <v>0</v>
      </c>
    </row>
    <row r="98" spans="2:31" x14ac:dyDescent="0.25">
      <c r="B98" s="107" t="s">
        <v>336</v>
      </c>
      <c r="D98" s="107" t="s">
        <v>336</v>
      </c>
      <c r="F98" s="266" t="s">
        <v>595</v>
      </c>
      <c r="H98" s="109" t="s">
        <v>176</v>
      </c>
      <c r="I98" s="107" t="s">
        <v>336</v>
      </c>
      <c r="K98" s="107" t="s">
        <v>336</v>
      </c>
      <c r="L98" s="109" t="s">
        <v>164</v>
      </c>
      <c r="N98" s="183" t="s">
        <v>336</v>
      </c>
      <c r="O98" s="100">
        <v>20.032631126397245</v>
      </c>
      <c r="P98" s="100">
        <v>5.46</v>
      </c>
      <c r="Q98" s="260">
        <v>0</v>
      </c>
      <c r="R98" s="260">
        <v>0</v>
      </c>
      <c r="S98" s="260">
        <v>0</v>
      </c>
    </row>
    <row r="99" spans="2:31" x14ac:dyDescent="0.25">
      <c r="B99" s="107" t="s">
        <v>337</v>
      </c>
      <c r="D99" s="107" t="s">
        <v>337</v>
      </c>
      <c r="F99" s="266" t="s">
        <v>596</v>
      </c>
      <c r="H99" s="109" t="s">
        <v>38</v>
      </c>
      <c r="I99" s="107" t="s">
        <v>337</v>
      </c>
      <c r="K99" s="107" t="s">
        <v>337</v>
      </c>
      <c r="L99" s="254" t="s">
        <v>174</v>
      </c>
      <c r="N99" s="183" t="s">
        <v>337</v>
      </c>
      <c r="O99" s="100">
        <v>9</v>
      </c>
      <c r="P99" s="100">
        <v>32.622097378277154</v>
      </c>
      <c r="Q99" s="260">
        <v>0</v>
      </c>
      <c r="R99" s="260">
        <v>0</v>
      </c>
      <c r="S99" s="260">
        <v>0</v>
      </c>
    </row>
    <row r="100" spans="2:31" x14ac:dyDescent="0.25">
      <c r="B100" s="107" t="s">
        <v>338</v>
      </c>
      <c r="D100" s="107" t="s">
        <v>338</v>
      </c>
      <c r="F100" s="266" t="s">
        <v>597</v>
      </c>
      <c r="H100" s="109" t="s">
        <v>38</v>
      </c>
      <c r="I100" s="107" t="s">
        <v>338</v>
      </c>
      <c r="K100" s="107" t="s">
        <v>338</v>
      </c>
      <c r="L100" s="109" t="s">
        <v>272</v>
      </c>
      <c r="N100" s="183" t="s">
        <v>338</v>
      </c>
      <c r="O100" s="100">
        <v>68.900000000000006</v>
      </c>
      <c r="P100" s="100">
        <v>27.386828963795256</v>
      </c>
      <c r="Q100" s="260">
        <v>0</v>
      </c>
      <c r="R100" s="260">
        <v>0</v>
      </c>
      <c r="S100" s="260">
        <v>0</v>
      </c>
    </row>
    <row r="101" spans="2:31" x14ac:dyDescent="0.25">
      <c r="B101" s="107" t="s">
        <v>339</v>
      </c>
      <c r="D101" s="107" t="s">
        <v>339</v>
      </c>
      <c r="F101" s="266" t="s">
        <v>598</v>
      </c>
      <c r="H101" s="109" t="s">
        <v>38</v>
      </c>
      <c r="I101" s="107" t="s">
        <v>339</v>
      </c>
      <c r="K101" s="107" t="s">
        <v>339</v>
      </c>
      <c r="L101" s="109" t="s">
        <v>166</v>
      </c>
      <c r="N101" s="183" t="s">
        <v>339</v>
      </c>
      <c r="O101" s="100">
        <v>34.299999999999997</v>
      </c>
      <c r="P101" s="100">
        <v>28.879463171036203</v>
      </c>
      <c r="Q101" s="260">
        <v>0</v>
      </c>
      <c r="R101" s="260">
        <v>0</v>
      </c>
      <c r="S101" s="260">
        <v>0</v>
      </c>
    </row>
    <row r="102" spans="2:31" x14ac:dyDescent="0.25">
      <c r="B102" s="107" t="s">
        <v>340</v>
      </c>
      <c r="D102" s="107" t="s">
        <v>340</v>
      </c>
      <c r="F102" s="266" t="s">
        <v>599</v>
      </c>
      <c r="H102" s="109" t="s">
        <v>38</v>
      </c>
      <c r="I102" s="107" t="s">
        <v>340</v>
      </c>
      <c r="K102" s="107" t="s">
        <v>340</v>
      </c>
      <c r="L102" s="109" t="s">
        <v>176</v>
      </c>
      <c r="N102" s="183" t="s">
        <v>340</v>
      </c>
      <c r="O102" s="100">
        <v>48.1</v>
      </c>
      <c r="P102" s="100">
        <v>36.145786516853931</v>
      </c>
      <c r="Q102" s="260">
        <v>0</v>
      </c>
      <c r="R102" s="260">
        <v>0</v>
      </c>
      <c r="S102" s="260">
        <v>0</v>
      </c>
    </row>
    <row r="103" spans="2:31" x14ac:dyDescent="0.25">
      <c r="B103" s="107" t="s">
        <v>341</v>
      </c>
      <c r="D103" s="107" t="s">
        <v>341</v>
      </c>
      <c r="F103" s="266" t="s">
        <v>600</v>
      </c>
      <c r="H103" s="109" t="s">
        <v>38</v>
      </c>
      <c r="I103" s="107" t="s">
        <v>341</v>
      </c>
      <c r="K103" s="107" t="s">
        <v>341</v>
      </c>
      <c r="L103" s="109" t="s">
        <v>274</v>
      </c>
      <c r="N103" s="183" t="s">
        <v>341</v>
      </c>
      <c r="O103" s="100">
        <v>5</v>
      </c>
      <c r="P103" s="100">
        <v>31.199126092384521</v>
      </c>
      <c r="Q103" s="260">
        <v>0</v>
      </c>
      <c r="R103" s="260">
        <v>0</v>
      </c>
      <c r="S103" s="260">
        <v>0</v>
      </c>
    </row>
    <row r="104" spans="2:31" x14ac:dyDescent="0.25">
      <c r="B104" s="107" t="s">
        <v>342</v>
      </c>
      <c r="D104" s="107" t="s">
        <v>342</v>
      </c>
      <c r="F104" s="266" t="s">
        <v>601</v>
      </c>
      <c r="H104" s="109" t="s">
        <v>38</v>
      </c>
      <c r="I104" s="107" t="s">
        <v>342</v>
      </c>
      <c r="K104" s="107" t="s">
        <v>342</v>
      </c>
      <c r="L104" s="109" t="s">
        <v>167</v>
      </c>
      <c r="N104" s="183" t="s">
        <v>342</v>
      </c>
      <c r="O104" s="100">
        <v>14.8</v>
      </c>
      <c r="P104" s="100">
        <v>29.360424469413232</v>
      </c>
      <c r="Q104" s="260">
        <v>0</v>
      </c>
      <c r="R104" s="260">
        <v>0</v>
      </c>
      <c r="S104" s="260">
        <v>0</v>
      </c>
    </row>
    <row r="105" spans="2:31" x14ac:dyDescent="0.25">
      <c r="B105" s="107" t="s">
        <v>343</v>
      </c>
      <c r="D105" s="107" t="s">
        <v>343</v>
      </c>
      <c r="F105" s="266" t="s">
        <v>609</v>
      </c>
      <c r="H105" s="109" t="s">
        <v>38</v>
      </c>
      <c r="I105" s="107" t="s">
        <v>343</v>
      </c>
      <c r="K105" s="107" t="s">
        <v>343</v>
      </c>
      <c r="L105" s="109" t="s">
        <v>277</v>
      </c>
      <c r="N105" s="183" t="s">
        <v>343</v>
      </c>
      <c r="O105" s="100">
        <v>4</v>
      </c>
      <c r="P105" s="100">
        <v>38.455555555555549</v>
      </c>
      <c r="Q105" s="260">
        <v>0</v>
      </c>
      <c r="R105" s="260">
        <v>0</v>
      </c>
      <c r="S105" s="260">
        <v>0</v>
      </c>
    </row>
    <row r="106" spans="2:31" x14ac:dyDescent="0.25">
      <c r="B106" s="107" t="s">
        <v>344</v>
      </c>
      <c r="D106" s="107" t="s">
        <v>344</v>
      </c>
      <c r="F106" s="266" t="s">
        <v>610</v>
      </c>
      <c r="H106" s="109" t="s">
        <v>38</v>
      </c>
      <c r="I106" s="107" t="s">
        <v>344</v>
      </c>
      <c r="K106" s="107" t="s">
        <v>344</v>
      </c>
      <c r="L106" s="109" t="s">
        <v>164</v>
      </c>
      <c r="N106" s="183" t="s">
        <v>344</v>
      </c>
      <c r="O106" s="100">
        <v>12</v>
      </c>
      <c r="P106" s="100">
        <v>32.492478152309609</v>
      </c>
      <c r="Q106" s="260">
        <v>0</v>
      </c>
      <c r="R106" s="260">
        <v>0</v>
      </c>
      <c r="S106" s="260">
        <v>0</v>
      </c>
    </row>
    <row r="107" spans="2:31" x14ac:dyDescent="0.25">
      <c r="B107" s="107" t="s">
        <v>345</v>
      </c>
      <c r="D107" s="107" t="s">
        <v>345</v>
      </c>
      <c r="F107" s="266" t="s">
        <v>611</v>
      </c>
      <c r="H107" s="109" t="s">
        <v>38</v>
      </c>
      <c r="I107" s="107" t="s">
        <v>345</v>
      </c>
      <c r="K107" s="107" t="s">
        <v>345</v>
      </c>
      <c r="L107" s="109" t="s">
        <v>171</v>
      </c>
      <c r="N107" s="183" t="s">
        <v>345</v>
      </c>
      <c r="O107" s="100">
        <v>7.5</v>
      </c>
      <c r="P107" s="100">
        <v>38.883114856429465</v>
      </c>
      <c r="Q107" s="260">
        <v>0</v>
      </c>
      <c r="R107" s="260">
        <v>0</v>
      </c>
      <c r="S107" s="260">
        <v>0</v>
      </c>
    </row>
    <row r="108" spans="2:31" x14ac:dyDescent="0.25">
      <c r="B108" s="107" t="s">
        <v>346</v>
      </c>
      <c r="D108" s="107" t="s">
        <v>346</v>
      </c>
      <c r="F108" s="266" t="s">
        <v>612</v>
      </c>
      <c r="H108" s="109" t="s">
        <v>38</v>
      </c>
      <c r="I108" s="107" t="s">
        <v>346</v>
      </c>
      <c r="K108" s="107" t="s">
        <v>346</v>
      </c>
      <c r="L108" s="109" t="s">
        <v>279</v>
      </c>
      <c r="N108" s="183" t="s">
        <v>346</v>
      </c>
      <c r="O108" s="100">
        <v>7.9</v>
      </c>
      <c r="P108" s="100">
        <v>26.028121098626713</v>
      </c>
      <c r="Q108" s="260">
        <v>0</v>
      </c>
      <c r="R108" s="260">
        <v>0</v>
      </c>
      <c r="S108" s="260">
        <v>0</v>
      </c>
      <c r="U108" s="343" t="s">
        <v>630</v>
      </c>
      <c r="V108" s="343"/>
      <c r="W108" s="343"/>
    </row>
    <row r="109" spans="2:31" ht="15.75" thickBot="1" x14ac:dyDescent="0.3">
      <c r="B109" s="268" t="s">
        <v>347</v>
      </c>
      <c r="C109" s="269"/>
      <c r="D109" s="268" t="s">
        <v>347</v>
      </c>
      <c r="E109" s="269"/>
      <c r="F109" s="290" t="s">
        <v>613</v>
      </c>
      <c r="G109" s="269"/>
      <c r="H109" s="109" t="s">
        <v>38</v>
      </c>
      <c r="I109" s="183" t="s">
        <v>347</v>
      </c>
      <c r="J109" s="174"/>
      <c r="K109" s="183" t="s">
        <v>347</v>
      </c>
      <c r="L109" s="109" t="s">
        <v>2</v>
      </c>
      <c r="M109" s="174"/>
      <c r="N109" s="183" t="s">
        <v>347</v>
      </c>
      <c r="O109" s="100">
        <v>17.2</v>
      </c>
      <c r="P109" s="100">
        <v>32.614169787765292</v>
      </c>
      <c r="Q109" s="260">
        <v>0</v>
      </c>
      <c r="R109" s="260">
        <v>0</v>
      </c>
      <c r="S109" s="260">
        <v>0</v>
      </c>
      <c r="U109" s="275" t="s">
        <v>28</v>
      </c>
      <c r="V109" s="276" t="s">
        <v>29</v>
      </c>
      <c r="W109" s="276" t="s">
        <v>67</v>
      </c>
      <c r="Y109" s="277" t="s">
        <v>652</v>
      </c>
      <c r="Z109" s="277" t="s">
        <v>653</v>
      </c>
      <c r="AA109" s="277" t="s">
        <v>654</v>
      </c>
      <c r="AB109" s="264"/>
      <c r="AC109" s="264"/>
      <c r="AD109" s="264"/>
      <c r="AE109" s="264"/>
    </row>
    <row r="110" spans="2:31" x14ac:dyDescent="0.25">
      <c r="B110" s="251" t="s">
        <v>348</v>
      </c>
      <c r="F110" s="266" t="s">
        <v>614</v>
      </c>
      <c r="H110" s="314" t="s">
        <v>171</v>
      </c>
      <c r="I110" s="315" t="s">
        <v>348</v>
      </c>
      <c r="J110" s="278"/>
      <c r="K110" s="315" t="s">
        <v>348</v>
      </c>
      <c r="L110" s="316" t="s">
        <v>277</v>
      </c>
      <c r="M110" s="278"/>
      <c r="N110" s="315" t="s">
        <v>348</v>
      </c>
      <c r="O110" s="317">
        <v>2.4</v>
      </c>
      <c r="P110" s="317">
        <v>5.25</v>
      </c>
      <c r="Q110" s="318">
        <v>17.599149950406417</v>
      </c>
      <c r="R110" s="319">
        <v>12.912809092142592</v>
      </c>
      <c r="S110" s="320">
        <v>8.8276103568765745</v>
      </c>
      <c r="U110" s="272">
        <f>Q110/$O110</f>
        <v>7.3329791460026739</v>
      </c>
      <c r="V110" s="273">
        <f t="shared" ref="V110:W110" si="0">R110/$O110</f>
        <v>5.3803371217260798</v>
      </c>
      <c r="W110" s="274">
        <f t="shared" si="0"/>
        <v>3.6781709820319062</v>
      </c>
      <c r="X110" s="227"/>
      <c r="Y110" s="344">
        <f>PERCENTILE(U110:U135,$AC$126)</f>
        <v>3.6851404721645862</v>
      </c>
      <c r="Z110" s="337">
        <f>PERCENTILE(V110:V135,$AC$126)</f>
        <v>2.7038530570444181</v>
      </c>
      <c r="AA110" s="339">
        <f>PERCENTILE(W110:W135,$AC$126)</f>
        <v>1.8484406514119107</v>
      </c>
      <c r="AB110" s="49"/>
      <c r="AC110" s="49"/>
      <c r="AD110" s="49"/>
      <c r="AE110" s="49"/>
    </row>
    <row r="111" spans="2:31" x14ac:dyDescent="0.25">
      <c r="B111" s="251" t="s">
        <v>349</v>
      </c>
      <c r="F111" s="266" t="s">
        <v>615</v>
      </c>
      <c r="H111" s="321" t="s">
        <v>277</v>
      </c>
      <c r="I111" s="183" t="s">
        <v>349</v>
      </c>
      <c r="J111" s="174"/>
      <c r="K111" s="183" t="s">
        <v>349</v>
      </c>
      <c r="L111" s="109" t="s">
        <v>171</v>
      </c>
      <c r="M111" s="174"/>
      <c r="N111" s="183" t="s">
        <v>349</v>
      </c>
      <c r="O111" s="282">
        <v>1.9</v>
      </c>
      <c r="P111" s="282">
        <v>5.25</v>
      </c>
      <c r="Q111" s="283">
        <v>13.93266037740508</v>
      </c>
      <c r="R111" s="284">
        <v>10.22264053127955</v>
      </c>
      <c r="S111" s="322">
        <v>6.9885248658606214</v>
      </c>
      <c r="U111" s="272">
        <f t="shared" ref="U111:U139" si="1">Q111/$O111</f>
        <v>7.3329791460026739</v>
      </c>
      <c r="V111" s="273">
        <f t="shared" ref="V111:V139" si="2">R111/$O111</f>
        <v>5.3803371217260789</v>
      </c>
      <c r="W111" s="274">
        <f t="shared" ref="W111:W139" si="3">S111/$O111</f>
        <v>3.6781709820319062</v>
      </c>
      <c r="X111" s="227"/>
      <c r="Y111" s="344"/>
      <c r="Z111" s="337"/>
      <c r="AA111" s="339"/>
    </row>
    <row r="112" spans="2:31" x14ac:dyDescent="0.25">
      <c r="B112" s="251" t="s">
        <v>350</v>
      </c>
      <c r="F112" s="266" t="s">
        <v>616</v>
      </c>
      <c r="H112" s="321" t="s">
        <v>171</v>
      </c>
      <c r="I112" s="183" t="s">
        <v>350</v>
      </c>
      <c r="J112" s="174"/>
      <c r="K112" s="183" t="s">
        <v>350</v>
      </c>
      <c r="L112" s="109" t="s">
        <v>179</v>
      </c>
      <c r="M112" s="174"/>
      <c r="N112" s="183" t="s">
        <v>350</v>
      </c>
      <c r="O112" s="282">
        <v>3.0902881040892192</v>
      </c>
      <c r="P112" s="282">
        <v>7</v>
      </c>
      <c r="Q112" s="283">
        <v>11.38814576302795</v>
      </c>
      <c r="R112" s="284">
        <v>8.3556849373896345</v>
      </c>
      <c r="S112" s="322">
        <v>5.7122141561731548</v>
      </c>
      <c r="U112" s="272">
        <f t="shared" si="1"/>
        <v>3.6851404721645866</v>
      </c>
      <c r="V112" s="273">
        <f t="shared" si="2"/>
        <v>2.7038530570444181</v>
      </c>
      <c r="W112" s="274">
        <f t="shared" si="3"/>
        <v>1.8484406514119107</v>
      </c>
      <c r="X112" s="227"/>
      <c r="Y112" s="344"/>
      <c r="Z112" s="337"/>
      <c r="AA112" s="339"/>
      <c r="AB112" s="264"/>
      <c r="AC112" s="264"/>
    </row>
    <row r="113" spans="2:31" x14ac:dyDescent="0.25">
      <c r="B113" s="251" t="s">
        <v>351</v>
      </c>
      <c r="F113" s="266" t="s">
        <v>617</v>
      </c>
      <c r="H113" s="321" t="s">
        <v>179</v>
      </c>
      <c r="I113" s="183" t="s">
        <v>351</v>
      </c>
      <c r="J113" s="174"/>
      <c r="K113" s="183" t="s">
        <v>351</v>
      </c>
      <c r="L113" s="109" t="s">
        <v>171</v>
      </c>
      <c r="M113" s="174"/>
      <c r="N113" s="183" t="s">
        <v>351</v>
      </c>
      <c r="O113" s="282">
        <v>10.40724907063197</v>
      </c>
      <c r="P113" s="282">
        <v>7</v>
      </c>
      <c r="Q113" s="283">
        <v>38.352174754083144</v>
      </c>
      <c r="R113" s="284">
        <v>28.139672215050929</v>
      </c>
      <c r="S113" s="322">
        <v>19.23718225152496</v>
      </c>
      <c r="U113" s="272">
        <f t="shared" si="1"/>
        <v>3.6851404721645857</v>
      </c>
      <c r="V113" s="273">
        <f t="shared" si="2"/>
        <v>2.7038530570444181</v>
      </c>
      <c r="W113" s="274">
        <f t="shared" si="3"/>
        <v>1.8484406514119107</v>
      </c>
      <c r="X113" s="227"/>
      <c r="Y113" s="344"/>
      <c r="Z113" s="337"/>
      <c r="AA113" s="339"/>
      <c r="AB113" s="224"/>
      <c r="AC113" s="224"/>
    </row>
    <row r="114" spans="2:31" x14ac:dyDescent="0.25">
      <c r="B114" s="251" t="s">
        <v>352</v>
      </c>
      <c r="F114" s="266" t="s">
        <v>618</v>
      </c>
      <c r="H114" s="321" t="s">
        <v>277</v>
      </c>
      <c r="I114" s="183" t="s">
        <v>352</v>
      </c>
      <c r="J114" s="174"/>
      <c r="K114" s="183" t="s">
        <v>352</v>
      </c>
      <c r="L114" s="109" t="s">
        <v>278</v>
      </c>
      <c r="M114" s="174"/>
      <c r="N114" s="183" t="s">
        <v>352</v>
      </c>
      <c r="O114" s="282">
        <v>1.9471189591078066</v>
      </c>
      <c r="P114" s="282">
        <v>2.1</v>
      </c>
      <c r="Q114" s="283">
        <v>1.1570313970372657</v>
      </c>
      <c r="R114" s="284">
        <v>0.84893449886266947</v>
      </c>
      <c r="S114" s="322">
        <v>0.58035884531352999</v>
      </c>
      <c r="U114" s="272">
        <f t="shared" si="1"/>
        <v>0.59422737970125428</v>
      </c>
      <c r="V114" s="273">
        <f t="shared" si="2"/>
        <v>0.43599518914430452</v>
      </c>
      <c r="W114" s="274">
        <f t="shared" si="3"/>
        <v>0.29806029189888705</v>
      </c>
      <c r="X114" s="227"/>
      <c r="Y114" s="344"/>
      <c r="Z114" s="337"/>
      <c r="AA114" s="339"/>
    </row>
    <row r="115" spans="2:31" x14ac:dyDescent="0.25">
      <c r="B115" s="251" t="s">
        <v>353</v>
      </c>
      <c r="F115" s="266" t="s">
        <v>619</v>
      </c>
      <c r="H115" s="321" t="s">
        <v>278</v>
      </c>
      <c r="I115" s="183" t="s">
        <v>353</v>
      </c>
      <c r="J115" s="174"/>
      <c r="K115" s="183" t="s">
        <v>353</v>
      </c>
      <c r="L115" s="109" t="s">
        <v>277</v>
      </c>
      <c r="M115" s="174"/>
      <c r="N115" s="183" t="s">
        <v>353</v>
      </c>
      <c r="O115" s="282">
        <v>2.0353159851301115</v>
      </c>
      <c r="P115" s="282">
        <v>2.1</v>
      </c>
      <c r="Q115" s="283">
        <v>1.209440484707943</v>
      </c>
      <c r="R115" s="284">
        <v>0.88738797790522927</v>
      </c>
      <c r="S115" s="322">
        <v>0.60664687663435191</v>
      </c>
      <c r="U115" s="272">
        <f t="shared" si="1"/>
        <v>0.59422737970125417</v>
      </c>
      <c r="V115" s="273">
        <f t="shared" si="2"/>
        <v>0.43599518914430446</v>
      </c>
      <c r="W115" s="274">
        <f t="shared" si="3"/>
        <v>0.29806029189888705</v>
      </c>
      <c r="X115" s="227"/>
      <c r="Y115" s="344"/>
      <c r="Z115" s="337"/>
      <c r="AA115" s="339"/>
    </row>
    <row r="116" spans="2:31" x14ac:dyDescent="0.25">
      <c r="B116" s="251" t="s">
        <v>354</v>
      </c>
      <c r="F116" s="266" t="s">
        <v>620</v>
      </c>
      <c r="H116" s="259" t="s">
        <v>280</v>
      </c>
      <c r="I116" s="183" t="s">
        <v>354</v>
      </c>
      <c r="J116" s="174"/>
      <c r="K116" s="183" t="s">
        <v>354</v>
      </c>
      <c r="L116" s="189" t="s">
        <v>269</v>
      </c>
      <c r="M116" s="174"/>
      <c r="N116" s="183" t="s">
        <v>354</v>
      </c>
      <c r="O116" s="282">
        <v>1.7300185873605947</v>
      </c>
      <c r="P116" s="282">
        <v>2.5</v>
      </c>
      <c r="Q116" s="283">
        <v>0.49876969749300964</v>
      </c>
      <c r="R116" s="284">
        <v>0.36595619122639572</v>
      </c>
      <c r="S116" s="322">
        <v>0.25017938705521459</v>
      </c>
      <c r="U116" s="272">
        <f t="shared" si="1"/>
        <v>0.2883030859535205</v>
      </c>
      <c r="V116" s="273">
        <f t="shared" si="2"/>
        <v>0.21153309791007349</v>
      </c>
      <c r="W116" s="274">
        <f t="shared" si="3"/>
        <v>0.14461080874102117</v>
      </c>
      <c r="X116" s="227"/>
      <c r="Y116" s="344"/>
      <c r="Z116" s="337"/>
      <c r="AA116" s="339"/>
    </row>
    <row r="117" spans="2:31" x14ac:dyDescent="0.25">
      <c r="B117" s="251" t="s">
        <v>355</v>
      </c>
      <c r="F117" s="266" t="s">
        <v>621</v>
      </c>
      <c r="H117" s="259" t="s">
        <v>269</v>
      </c>
      <c r="I117" s="183" t="s">
        <v>355</v>
      </c>
      <c r="J117" s="174"/>
      <c r="K117" s="183" t="s">
        <v>355</v>
      </c>
      <c r="L117" s="189" t="s">
        <v>280</v>
      </c>
      <c r="M117" s="174"/>
      <c r="N117" s="183" t="s">
        <v>355</v>
      </c>
      <c r="O117" s="282">
        <v>1.7300185873605947</v>
      </c>
      <c r="P117" s="282">
        <v>2.5</v>
      </c>
      <c r="Q117" s="283">
        <v>5.9852363699161151</v>
      </c>
      <c r="R117" s="284">
        <v>4.3914742947167484</v>
      </c>
      <c r="S117" s="322">
        <v>3.002152644662575</v>
      </c>
      <c r="U117" s="272">
        <f t="shared" si="1"/>
        <v>3.4596370314422455</v>
      </c>
      <c r="V117" s="273">
        <f t="shared" si="2"/>
        <v>2.538397174920882</v>
      </c>
      <c r="W117" s="274">
        <f t="shared" si="3"/>
        <v>1.735329704892254</v>
      </c>
      <c r="X117" s="227"/>
      <c r="Y117" s="344"/>
      <c r="Z117" s="337"/>
      <c r="AA117" s="339"/>
    </row>
    <row r="118" spans="2:31" x14ac:dyDescent="0.25">
      <c r="B118" s="251" t="s">
        <v>356</v>
      </c>
      <c r="F118" s="266" t="s">
        <v>622</v>
      </c>
      <c r="H118" s="259" t="s">
        <v>178</v>
      </c>
      <c r="I118" s="183" t="s">
        <v>356</v>
      </c>
      <c r="J118" s="174"/>
      <c r="K118" s="183" t="s">
        <v>356</v>
      </c>
      <c r="L118" s="189" t="s">
        <v>177</v>
      </c>
      <c r="M118" s="174"/>
      <c r="N118" s="183" t="s">
        <v>356</v>
      </c>
      <c r="O118" s="282">
        <v>4.4000000000000004</v>
      </c>
      <c r="P118" s="282">
        <v>3.15</v>
      </c>
      <c r="Q118" s="283">
        <v>17.364701180527177</v>
      </c>
      <c r="R118" s="284">
        <v>12.740789863039517</v>
      </c>
      <c r="S118" s="322">
        <v>8.7100124959017506</v>
      </c>
      <c r="U118" s="272">
        <f t="shared" si="1"/>
        <v>3.9465229955743584</v>
      </c>
      <c r="V118" s="273">
        <f t="shared" si="2"/>
        <v>2.8956340597817083</v>
      </c>
      <c r="W118" s="274">
        <f t="shared" si="3"/>
        <v>1.9795482945231251</v>
      </c>
      <c r="X118" s="227"/>
      <c r="Y118" s="344"/>
      <c r="Z118" s="337"/>
      <c r="AA118" s="339"/>
    </row>
    <row r="119" spans="2:31" x14ac:dyDescent="0.25">
      <c r="B119" s="251" t="s">
        <v>357</v>
      </c>
      <c r="F119" s="266" t="s">
        <v>623</v>
      </c>
      <c r="H119" s="259" t="s">
        <v>177</v>
      </c>
      <c r="I119" s="183" t="s">
        <v>357</v>
      </c>
      <c r="J119" s="174"/>
      <c r="K119" s="183" t="s">
        <v>357</v>
      </c>
      <c r="L119" s="189" t="s">
        <v>178</v>
      </c>
      <c r="M119" s="174"/>
      <c r="N119" s="183" t="s">
        <v>357</v>
      </c>
      <c r="O119" s="282">
        <v>4.4000000000000004</v>
      </c>
      <c r="P119" s="282">
        <v>3.15</v>
      </c>
      <c r="Q119" s="283">
        <v>17.364701180527177</v>
      </c>
      <c r="R119" s="284">
        <v>12.740789863039517</v>
      </c>
      <c r="S119" s="322">
        <v>8.7100124959017506</v>
      </c>
      <c r="U119" s="272">
        <f t="shared" si="1"/>
        <v>3.9465229955743584</v>
      </c>
      <c r="V119" s="273">
        <f t="shared" si="2"/>
        <v>2.8956340597817083</v>
      </c>
      <c r="W119" s="274">
        <f t="shared" si="3"/>
        <v>1.9795482945231251</v>
      </c>
      <c r="X119" s="227"/>
      <c r="Y119" s="344"/>
      <c r="Z119" s="337"/>
      <c r="AA119" s="339"/>
      <c r="AC119" t="s">
        <v>648</v>
      </c>
    </row>
    <row r="120" spans="2:31" x14ac:dyDescent="0.25">
      <c r="B120" s="251" t="s">
        <v>358</v>
      </c>
      <c r="F120" s="266" t="s">
        <v>624</v>
      </c>
      <c r="H120" s="259" t="s">
        <v>177</v>
      </c>
      <c r="I120" s="183" t="s">
        <v>358</v>
      </c>
      <c r="J120" s="174"/>
      <c r="K120" s="183" t="s">
        <v>358</v>
      </c>
      <c r="L120" s="189" t="s">
        <v>281</v>
      </c>
      <c r="M120" s="174"/>
      <c r="N120" s="183" t="s">
        <v>358</v>
      </c>
      <c r="O120" s="282">
        <v>1.4</v>
      </c>
      <c r="P120" s="282">
        <v>1.4000000000000001</v>
      </c>
      <c r="Q120" s="283">
        <v>3.2991028914410419</v>
      </c>
      <c r="R120" s="284">
        <v>2.4206104233761594</v>
      </c>
      <c r="S120" s="322">
        <v>1.6548069045922218</v>
      </c>
      <c r="U120" s="272">
        <f t="shared" si="1"/>
        <v>2.3565020653150301</v>
      </c>
      <c r="V120" s="273">
        <f t="shared" si="2"/>
        <v>1.7290074452686854</v>
      </c>
      <c r="W120" s="274">
        <f t="shared" si="3"/>
        <v>1.1820049318515871</v>
      </c>
      <c r="X120" s="227"/>
      <c r="Y120" s="344"/>
      <c r="Z120" s="337"/>
      <c r="AA120" s="339"/>
      <c r="AC120" s="3" t="s">
        <v>641</v>
      </c>
      <c r="AD120" s="3"/>
      <c r="AE120" s="3"/>
    </row>
    <row r="121" spans="2:31" x14ac:dyDescent="0.25">
      <c r="B121" s="251" t="s">
        <v>359</v>
      </c>
      <c r="F121" s="266" t="s">
        <v>625</v>
      </c>
      <c r="H121" s="259" t="s">
        <v>281</v>
      </c>
      <c r="I121" s="183" t="s">
        <v>359</v>
      </c>
      <c r="J121" s="174"/>
      <c r="K121" s="183" t="s">
        <v>359</v>
      </c>
      <c r="L121" s="189" t="s">
        <v>177</v>
      </c>
      <c r="M121" s="174"/>
      <c r="N121" s="183" t="s">
        <v>359</v>
      </c>
      <c r="O121" s="282">
        <v>1.4</v>
      </c>
      <c r="P121" s="282">
        <v>1.4000000000000001</v>
      </c>
      <c r="Q121" s="283">
        <v>3.2991028914410419</v>
      </c>
      <c r="R121" s="284">
        <v>2.4206104233761594</v>
      </c>
      <c r="S121" s="322">
        <v>1.6548069045922218</v>
      </c>
      <c r="U121" s="272">
        <f t="shared" si="1"/>
        <v>2.3565020653150301</v>
      </c>
      <c r="V121" s="273">
        <f t="shared" si="2"/>
        <v>1.7290074452686854</v>
      </c>
      <c r="W121" s="274">
        <f t="shared" si="3"/>
        <v>1.1820049318515871</v>
      </c>
      <c r="X121" s="227"/>
      <c r="Y121" s="344"/>
      <c r="Z121" s="337"/>
      <c r="AA121" s="339"/>
      <c r="AC121" t="s">
        <v>642</v>
      </c>
    </row>
    <row r="122" spans="2:31" x14ac:dyDescent="0.25">
      <c r="B122" s="251" t="s">
        <v>360</v>
      </c>
      <c r="F122" s="266" t="s">
        <v>626</v>
      </c>
      <c r="H122" s="259" t="s">
        <v>168</v>
      </c>
      <c r="I122" s="183" t="s">
        <v>360</v>
      </c>
      <c r="J122" s="174"/>
      <c r="K122" s="183" t="s">
        <v>360</v>
      </c>
      <c r="L122" s="189" t="s">
        <v>281</v>
      </c>
      <c r="M122" s="174"/>
      <c r="N122" s="183" t="s">
        <v>360</v>
      </c>
      <c r="O122" s="282">
        <v>2.6629999999999998</v>
      </c>
      <c r="P122" s="282">
        <v>2.1</v>
      </c>
      <c r="Q122" s="283">
        <v>4.507219639204715</v>
      </c>
      <c r="R122" s="284">
        <v>3.3070271519598173</v>
      </c>
      <c r="S122" s="322">
        <v>2.2607898040463152</v>
      </c>
      <c r="U122" s="272">
        <f t="shared" si="1"/>
        <v>1.6925345997764609</v>
      </c>
      <c r="V122" s="273">
        <f t="shared" si="2"/>
        <v>1.2418427157190453</v>
      </c>
      <c r="W122" s="274">
        <f t="shared" si="3"/>
        <v>0.8489635013316994</v>
      </c>
      <c r="X122" s="227"/>
      <c r="Y122" s="344"/>
      <c r="Z122" s="337"/>
      <c r="AA122" s="339"/>
    </row>
    <row r="123" spans="2:31" x14ac:dyDescent="0.25">
      <c r="B123" s="251" t="s">
        <v>361</v>
      </c>
      <c r="F123" s="266" t="s">
        <v>627</v>
      </c>
      <c r="H123" s="259" t="s">
        <v>281</v>
      </c>
      <c r="I123" s="183" t="s">
        <v>361</v>
      </c>
      <c r="J123" s="174"/>
      <c r="K123" s="183" t="s">
        <v>361</v>
      </c>
      <c r="L123" s="189" t="s">
        <v>168</v>
      </c>
      <c r="M123" s="174"/>
      <c r="N123" s="183" t="s">
        <v>361</v>
      </c>
      <c r="O123" s="282">
        <v>5.4950000000000001</v>
      </c>
      <c r="P123" s="282">
        <v>2.1</v>
      </c>
      <c r="Q123" s="283">
        <v>9.3004776257716539</v>
      </c>
      <c r="R123" s="284">
        <v>6.8239257228761536</v>
      </c>
      <c r="S123" s="322">
        <v>4.6650544398176885</v>
      </c>
      <c r="U123" s="272">
        <f t="shared" si="1"/>
        <v>1.6925345997764611</v>
      </c>
      <c r="V123" s="273">
        <f t="shared" si="2"/>
        <v>1.2418427157190453</v>
      </c>
      <c r="W123" s="274">
        <f t="shared" si="3"/>
        <v>0.8489635013316994</v>
      </c>
      <c r="X123" s="227"/>
      <c r="Y123" s="344"/>
      <c r="Z123" s="337"/>
      <c r="AA123" s="339"/>
    </row>
    <row r="124" spans="2:31" x14ac:dyDescent="0.25">
      <c r="B124" s="251" t="s">
        <v>362</v>
      </c>
      <c r="F124" s="266" t="s">
        <v>628</v>
      </c>
      <c r="H124" s="259" t="s">
        <v>177</v>
      </c>
      <c r="I124" s="183" t="s">
        <v>362</v>
      </c>
      <c r="J124" s="174"/>
      <c r="K124" s="183" t="s">
        <v>362</v>
      </c>
      <c r="L124" s="189" t="s">
        <v>170</v>
      </c>
      <c r="M124" s="174"/>
      <c r="N124" s="183" t="s">
        <v>362</v>
      </c>
      <c r="O124" s="282">
        <v>3.8</v>
      </c>
      <c r="P124" s="282">
        <v>0.70000000000000007</v>
      </c>
      <c r="Q124" s="283">
        <v>6.9634333914409723</v>
      </c>
      <c r="R124" s="284">
        <v>5.1091948340068454</v>
      </c>
      <c r="S124" s="322">
        <v>3.4928094197120561</v>
      </c>
      <c r="U124" s="272">
        <f t="shared" si="1"/>
        <v>1.8324824714318348</v>
      </c>
      <c r="V124" s="273">
        <f t="shared" si="2"/>
        <v>1.3445249563175909</v>
      </c>
      <c r="W124" s="274">
        <f t="shared" si="3"/>
        <v>0.91916037360843583</v>
      </c>
      <c r="X124" s="227"/>
      <c r="Y124" s="344"/>
      <c r="Z124" s="337"/>
      <c r="AA124" s="339"/>
      <c r="AC124" s="330"/>
    </row>
    <row r="125" spans="2:31" x14ac:dyDescent="0.25">
      <c r="B125" s="251" t="s">
        <v>363</v>
      </c>
      <c r="F125" s="266" t="s">
        <v>629</v>
      </c>
      <c r="H125" s="259" t="s">
        <v>170</v>
      </c>
      <c r="I125" s="183" t="s">
        <v>363</v>
      </c>
      <c r="J125" s="174"/>
      <c r="K125" s="183" t="s">
        <v>363</v>
      </c>
      <c r="L125" s="189" t="s">
        <v>177</v>
      </c>
      <c r="M125" s="174"/>
      <c r="N125" s="183" t="s">
        <v>363</v>
      </c>
      <c r="O125" s="282">
        <v>1</v>
      </c>
      <c r="P125" s="282">
        <v>0.70000000000000007</v>
      </c>
      <c r="Q125" s="283">
        <v>1.8324824714318351</v>
      </c>
      <c r="R125" s="284">
        <v>1.3445249563175912</v>
      </c>
      <c r="S125" s="322">
        <v>0.91916037360843594</v>
      </c>
      <c r="U125" s="272">
        <f t="shared" si="1"/>
        <v>1.8324824714318351</v>
      </c>
      <c r="V125" s="273">
        <f t="shared" si="2"/>
        <v>1.3445249563175912</v>
      </c>
      <c r="W125" s="274">
        <f t="shared" si="3"/>
        <v>0.91916037360843594</v>
      </c>
      <c r="X125" s="227"/>
      <c r="Y125" s="344"/>
      <c r="Z125" s="337"/>
      <c r="AA125" s="339"/>
      <c r="AC125" s="330" t="s">
        <v>659</v>
      </c>
    </row>
    <row r="126" spans="2:31" x14ac:dyDescent="0.25">
      <c r="B126" s="251" t="s">
        <v>364</v>
      </c>
      <c r="H126" s="259" t="s">
        <v>171</v>
      </c>
      <c r="I126" s="183" t="s">
        <v>364</v>
      </c>
      <c r="J126" s="174"/>
      <c r="K126" s="183" t="s">
        <v>364</v>
      </c>
      <c r="L126" s="189" t="s">
        <v>170</v>
      </c>
      <c r="M126" s="174"/>
      <c r="N126" s="183" t="s">
        <v>364</v>
      </c>
      <c r="O126" s="282">
        <v>4.7</v>
      </c>
      <c r="P126" s="282">
        <v>3.15</v>
      </c>
      <c r="Q126" s="283">
        <v>8.2288459509334704</v>
      </c>
      <c r="R126" s="284">
        <v>6.0376505179217848</v>
      </c>
      <c r="S126" s="322">
        <v>4.1275314970496444</v>
      </c>
      <c r="U126" s="272">
        <f t="shared" si="1"/>
        <v>1.7508182874326532</v>
      </c>
      <c r="V126" s="273">
        <f t="shared" si="2"/>
        <v>1.2846064931748478</v>
      </c>
      <c r="W126" s="274">
        <f t="shared" si="3"/>
        <v>0.87819819086162643</v>
      </c>
      <c r="X126" s="227"/>
      <c r="Y126" s="344"/>
      <c r="Z126" s="337"/>
      <c r="AA126" s="339"/>
      <c r="AC126" s="232">
        <v>0.75</v>
      </c>
    </row>
    <row r="127" spans="2:31" x14ac:dyDescent="0.25">
      <c r="B127" s="251" t="s">
        <v>365</v>
      </c>
      <c r="H127" s="259" t="s">
        <v>170</v>
      </c>
      <c r="I127" s="183" t="s">
        <v>365</v>
      </c>
      <c r="J127" s="174"/>
      <c r="K127" s="183" t="s">
        <v>365</v>
      </c>
      <c r="L127" s="189" t="s">
        <v>171</v>
      </c>
      <c r="M127" s="174"/>
      <c r="N127" s="183" t="s">
        <v>365</v>
      </c>
      <c r="O127" s="282">
        <v>5.7</v>
      </c>
      <c r="P127" s="282">
        <v>3.15</v>
      </c>
      <c r="Q127" s="283">
        <v>9.9796642383661265</v>
      </c>
      <c r="R127" s="284">
        <v>7.3222570110966343</v>
      </c>
      <c r="S127" s="322">
        <v>5.0057296879112716</v>
      </c>
      <c r="U127" s="272">
        <f t="shared" si="1"/>
        <v>1.7508182874326537</v>
      </c>
      <c r="V127" s="273">
        <f t="shared" si="2"/>
        <v>1.284606493174848</v>
      </c>
      <c r="W127" s="274">
        <f t="shared" si="3"/>
        <v>0.87819819086162654</v>
      </c>
      <c r="X127" s="227"/>
      <c r="Y127" s="344"/>
      <c r="Z127" s="337"/>
      <c r="AA127" s="339"/>
      <c r="AC127" s="330"/>
    </row>
    <row r="128" spans="2:31" x14ac:dyDescent="0.25">
      <c r="B128" s="251" t="s">
        <v>366</v>
      </c>
      <c r="H128" s="259" t="s">
        <v>281</v>
      </c>
      <c r="I128" s="183" t="s">
        <v>366</v>
      </c>
      <c r="J128" s="174"/>
      <c r="K128" s="183" t="s">
        <v>366</v>
      </c>
      <c r="L128" s="189" t="s">
        <v>275</v>
      </c>
      <c r="M128" s="174"/>
      <c r="N128" s="183" t="s">
        <v>366</v>
      </c>
      <c r="O128" s="282">
        <v>5</v>
      </c>
      <c r="P128" s="282">
        <v>1.05</v>
      </c>
      <c r="Q128" s="283">
        <v>6.9038486324881836</v>
      </c>
      <c r="R128" s="284">
        <v>5.0654764374179848</v>
      </c>
      <c r="S128" s="322">
        <v>3.4629221219320017</v>
      </c>
      <c r="U128" s="272">
        <f t="shared" si="1"/>
        <v>1.3807697264976366</v>
      </c>
      <c r="V128" s="273">
        <f t="shared" si="2"/>
        <v>1.013095287483597</v>
      </c>
      <c r="W128" s="274">
        <f t="shared" si="3"/>
        <v>0.69258442438640033</v>
      </c>
      <c r="X128" s="227"/>
      <c r="Y128" s="344"/>
      <c r="Z128" s="337"/>
      <c r="AA128" s="339"/>
      <c r="AC128" s="330"/>
    </row>
    <row r="129" spans="1:27" x14ac:dyDescent="0.25">
      <c r="B129" s="251" t="s">
        <v>367</v>
      </c>
      <c r="H129" s="259" t="s">
        <v>275</v>
      </c>
      <c r="I129" s="183" t="s">
        <v>367</v>
      </c>
      <c r="J129" s="174"/>
      <c r="K129" s="183" t="s">
        <v>367</v>
      </c>
      <c r="L129" s="189" t="s">
        <v>281</v>
      </c>
      <c r="M129" s="174"/>
      <c r="N129" s="183" t="s">
        <v>367</v>
      </c>
      <c r="O129" s="282">
        <v>5</v>
      </c>
      <c r="P129" s="282">
        <v>1.05</v>
      </c>
      <c r="Q129" s="283">
        <v>6.9038486324881836</v>
      </c>
      <c r="R129" s="284">
        <v>5.0654764374179848</v>
      </c>
      <c r="S129" s="322">
        <v>3.4629221219320017</v>
      </c>
      <c r="U129" s="272">
        <f t="shared" si="1"/>
        <v>1.3807697264976366</v>
      </c>
      <c r="V129" s="273">
        <f t="shared" si="2"/>
        <v>1.013095287483597</v>
      </c>
      <c r="W129" s="274">
        <f t="shared" si="3"/>
        <v>0.69258442438640033</v>
      </c>
      <c r="X129" s="227"/>
      <c r="Y129" s="344"/>
      <c r="Z129" s="337"/>
      <c r="AA129" s="339"/>
    </row>
    <row r="130" spans="1:27" x14ac:dyDescent="0.25">
      <c r="B130" s="251" t="s">
        <v>368</v>
      </c>
      <c r="H130" s="259" t="s">
        <v>274</v>
      </c>
      <c r="I130" s="183" t="s">
        <v>368</v>
      </c>
      <c r="J130" s="174"/>
      <c r="K130" s="183" t="s">
        <v>368</v>
      </c>
      <c r="L130" s="189" t="s">
        <v>269</v>
      </c>
      <c r="M130" s="174"/>
      <c r="N130" s="183" t="s">
        <v>368</v>
      </c>
      <c r="O130" s="282">
        <v>5</v>
      </c>
      <c r="P130" s="282">
        <v>3.15</v>
      </c>
      <c r="Q130" s="283">
        <v>7.6133143648639425</v>
      </c>
      <c r="R130" s="284">
        <v>5.5860240539449837</v>
      </c>
      <c r="S130" s="322">
        <v>3.8187851644435886</v>
      </c>
      <c r="U130" s="272">
        <f t="shared" si="1"/>
        <v>1.5226628729727885</v>
      </c>
      <c r="V130" s="273">
        <f t="shared" si="2"/>
        <v>1.1172048107889967</v>
      </c>
      <c r="W130" s="274">
        <f t="shared" si="3"/>
        <v>0.76375703288871777</v>
      </c>
      <c r="X130" s="227"/>
      <c r="Y130" s="344"/>
      <c r="Z130" s="337"/>
      <c r="AA130" s="339"/>
    </row>
    <row r="131" spans="1:27" x14ac:dyDescent="0.25">
      <c r="B131" s="251" t="s">
        <v>369</v>
      </c>
      <c r="H131" s="259" t="s">
        <v>269</v>
      </c>
      <c r="I131" s="183" t="s">
        <v>369</v>
      </c>
      <c r="J131" s="174"/>
      <c r="K131" s="183" t="s">
        <v>369</v>
      </c>
      <c r="L131" s="189" t="s">
        <v>274</v>
      </c>
      <c r="M131" s="174"/>
      <c r="N131" s="183" t="s">
        <v>369</v>
      </c>
      <c r="O131" s="282">
        <v>5</v>
      </c>
      <c r="P131" s="282">
        <v>3.15</v>
      </c>
      <c r="Q131" s="283">
        <v>7.6133143648639425</v>
      </c>
      <c r="R131" s="284">
        <v>5.5860240539449837</v>
      </c>
      <c r="S131" s="322">
        <v>3.8187851644435886</v>
      </c>
      <c r="U131" s="272">
        <f t="shared" si="1"/>
        <v>1.5226628729727885</v>
      </c>
      <c r="V131" s="273">
        <f t="shared" si="2"/>
        <v>1.1172048107889967</v>
      </c>
      <c r="W131" s="274">
        <f t="shared" si="3"/>
        <v>0.76375703288871777</v>
      </c>
      <c r="X131" s="227"/>
      <c r="Y131" s="344"/>
      <c r="Z131" s="337"/>
      <c r="AA131" s="339"/>
    </row>
    <row r="132" spans="1:27" x14ac:dyDescent="0.25">
      <c r="B132" s="251" t="s">
        <v>370</v>
      </c>
      <c r="H132" s="259" t="s">
        <v>274</v>
      </c>
      <c r="I132" s="183" t="s">
        <v>370</v>
      </c>
      <c r="J132" s="174"/>
      <c r="K132" s="183" t="s">
        <v>370</v>
      </c>
      <c r="L132" s="189" t="s">
        <v>167</v>
      </c>
      <c r="M132" s="174"/>
      <c r="N132" s="183" t="s">
        <v>370</v>
      </c>
      <c r="O132" s="282">
        <v>14</v>
      </c>
      <c r="P132" s="282">
        <v>4.2</v>
      </c>
      <c r="Q132" s="283">
        <v>66.489612119811767</v>
      </c>
      <c r="R132" s="284">
        <v>48.784610071119523</v>
      </c>
      <c r="S132" s="322">
        <v>33.350723769474008</v>
      </c>
      <c r="U132" s="272">
        <f t="shared" si="1"/>
        <v>4.749258008557983</v>
      </c>
      <c r="V132" s="273">
        <f t="shared" si="2"/>
        <v>3.484615005079966</v>
      </c>
      <c r="W132" s="274">
        <f t="shared" si="3"/>
        <v>2.382194554962429</v>
      </c>
      <c r="X132" s="227"/>
      <c r="Y132" s="344"/>
      <c r="Z132" s="337"/>
      <c r="AA132" s="339"/>
    </row>
    <row r="133" spans="1:27" x14ac:dyDescent="0.25">
      <c r="B133" s="251" t="s">
        <v>371</v>
      </c>
      <c r="H133" s="259" t="s">
        <v>167</v>
      </c>
      <c r="I133" s="183" t="s">
        <v>371</v>
      </c>
      <c r="J133" s="174"/>
      <c r="K133" s="183" t="s">
        <v>371</v>
      </c>
      <c r="L133" s="189" t="s">
        <v>274</v>
      </c>
      <c r="M133" s="174"/>
      <c r="N133" s="183" t="s">
        <v>371</v>
      </c>
      <c r="O133" s="282">
        <v>14</v>
      </c>
      <c r="P133" s="282">
        <v>4.2</v>
      </c>
      <c r="Q133" s="283">
        <v>66.489612119811767</v>
      </c>
      <c r="R133" s="284">
        <v>48.784610071119523</v>
      </c>
      <c r="S133" s="322">
        <v>33.350723769474008</v>
      </c>
      <c r="U133" s="272">
        <f t="shared" si="1"/>
        <v>4.749258008557983</v>
      </c>
      <c r="V133" s="273">
        <f t="shared" si="2"/>
        <v>3.484615005079966</v>
      </c>
      <c r="W133" s="274">
        <f t="shared" si="3"/>
        <v>2.382194554962429</v>
      </c>
      <c r="X133" s="227"/>
      <c r="Y133" s="344"/>
      <c r="Z133" s="337"/>
      <c r="AA133" s="339"/>
    </row>
    <row r="134" spans="1:27" x14ac:dyDescent="0.25">
      <c r="B134" s="251" t="s">
        <v>372</v>
      </c>
      <c r="H134" s="258" t="s">
        <v>2</v>
      </c>
      <c r="I134" s="183" t="s">
        <v>372</v>
      </c>
      <c r="J134" s="174"/>
      <c r="K134" s="183" t="s">
        <v>372</v>
      </c>
      <c r="L134" s="189" t="s">
        <v>269</v>
      </c>
      <c r="M134" s="174"/>
      <c r="N134" s="183" t="s">
        <v>372</v>
      </c>
      <c r="O134" s="282">
        <v>3.2904275092936803</v>
      </c>
      <c r="P134" s="282">
        <v>7.7</v>
      </c>
      <c r="Q134" s="283">
        <v>6.3444286373866188</v>
      </c>
      <c r="R134" s="284">
        <v>4.6550200449541528</v>
      </c>
      <c r="S134" s="322">
        <v>3.1823209703696573</v>
      </c>
      <c r="U134" s="272">
        <f t="shared" si="1"/>
        <v>1.9281472147515892</v>
      </c>
      <c r="V134" s="273">
        <f t="shared" si="2"/>
        <v>1.4147158786529215</v>
      </c>
      <c r="W134" s="274">
        <f t="shared" si="3"/>
        <v>0.96714513885545861</v>
      </c>
      <c r="X134" s="227"/>
      <c r="Y134" s="344"/>
      <c r="Z134" s="337"/>
      <c r="AA134" s="339"/>
    </row>
    <row r="135" spans="1:27" x14ac:dyDescent="0.25">
      <c r="B135" s="251" t="s">
        <v>373</v>
      </c>
      <c r="H135" s="258" t="s">
        <v>269</v>
      </c>
      <c r="I135" s="183" t="s">
        <v>373</v>
      </c>
      <c r="J135" s="174"/>
      <c r="K135" s="183" t="s">
        <v>373</v>
      </c>
      <c r="L135" s="189" t="s">
        <v>2</v>
      </c>
      <c r="M135" s="174"/>
      <c r="N135" s="183" t="s">
        <v>373</v>
      </c>
      <c r="O135" s="282">
        <v>3.2904275092936803</v>
      </c>
      <c r="P135" s="282">
        <v>7.7000000000000011</v>
      </c>
      <c r="Q135" s="283">
        <v>6.3444286373866188</v>
      </c>
      <c r="R135" s="284">
        <v>4.6550200449541528</v>
      </c>
      <c r="S135" s="322">
        <v>3.1823209703696573</v>
      </c>
      <c r="U135" s="272">
        <f t="shared" si="1"/>
        <v>1.9281472147515892</v>
      </c>
      <c r="V135" s="273">
        <f t="shared" si="2"/>
        <v>1.4147158786529215</v>
      </c>
      <c r="W135" s="274">
        <f t="shared" si="3"/>
        <v>0.96714513885545861</v>
      </c>
      <c r="X135" s="227"/>
      <c r="Y135" s="344"/>
      <c r="Z135" s="337"/>
      <c r="AA135" s="339"/>
    </row>
    <row r="136" spans="1:27" x14ac:dyDescent="0.25">
      <c r="B136" s="251" t="s">
        <v>374</v>
      </c>
      <c r="H136" s="259" t="s">
        <v>38</v>
      </c>
      <c r="I136" s="189" t="s">
        <v>374</v>
      </c>
      <c r="J136" s="174"/>
      <c r="K136" s="189" t="s">
        <v>374</v>
      </c>
      <c r="L136" s="189" t="s">
        <v>276</v>
      </c>
      <c r="M136" s="174"/>
      <c r="N136" s="189" t="s">
        <v>374</v>
      </c>
      <c r="O136" s="335">
        <v>2.8</v>
      </c>
      <c r="P136" s="282">
        <v>31.396067415730336</v>
      </c>
      <c r="Q136" s="283">
        <v>33.230767960337751</v>
      </c>
      <c r="R136" s="284">
        <v>25.261744662211097</v>
      </c>
      <c r="S136" s="322">
        <v>18.27787389867375</v>
      </c>
      <c r="U136" s="272">
        <f t="shared" si="1"/>
        <v>11.86813141440634</v>
      </c>
      <c r="V136" s="273">
        <f t="shared" si="2"/>
        <v>9.0220516650753915</v>
      </c>
      <c r="W136" s="274">
        <f t="shared" si="3"/>
        <v>6.527812106669197</v>
      </c>
      <c r="X136" s="227"/>
      <c r="Y136" s="341">
        <f>PERCENTILE(U136:U139,$AC$126)</f>
        <v>7.4455178894871032</v>
      </c>
      <c r="Z136" s="338">
        <f>PERCENTILE(V136:V139,$AC$126)</f>
        <v>5.6600188122837594</v>
      </c>
      <c r="AA136" s="340">
        <f>PERCENTILE(W136:W139,$AC$126)</f>
        <v>4.0952480320885618</v>
      </c>
    </row>
    <row r="137" spans="1:27" x14ac:dyDescent="0.25">
      <c r="B137" s="251" t="s">
        <v>375</v>
      </c>
      <c r="H137" s="259" t="s">
        <v>38</v>
      </c>
      <c r="I137" s="183" t="s">
        <v>375</v>
      </c>
      <c r="J137" s="174"/>
      <c r="K137" s="183" t="s">
        <v>375</v>
      </c>
      <c r="L137" s="189" t="s">
        <v>275</v>
      </c>
      <c r="M137" s="174"/>
      <c r="N137" s="183" t="s">
        <v>375</v>
      </c>
      <c r="O137" s="282">
        <v>2.6</v>
      </c>
      <c r="P137" s="282">
        <v>33.648314606741572</v>
      </c>
      <c r="Q137" s="283">
        <v>15.525414791069796</v>
      </c>
      <c r="R137" s="284">
        <v>11.802287106185025</v>
      </c>
      <c r="S137" s="322">
        <v>8.5394226854603765</v>
      </c>
      <c r="U137" s="272">
        <f t="shared" si="1"/>
        <v>5.9713133811806909</v>
      </c>
      <c r="V137" s="273">
        <f t="shared" si="2"/>
        <v>4.5393411946865481</v>
      </c>
      <c r="W137" s="274">
        <f t="shared" si="3"/>
        <v>3.284393340561683</v>
      </c>
      <c r="X137" s="227"/>
      <c r="Y137" s="341"/>
      <c r="Z137" s="338"/>
      <c r="AA137" s="340"/>
    </row>
    <row r="138" spans="1:27" x14ac:dyDescent="0.25">
      <c r="B138" s="251" t="s">
        <v>376</v>
      </c>
      <c r="H138" s="259" t="s">
        <v>38</v>
      </c>
      <c r="I138" s="183" t="s">
        <v>376</v>
      </c>
      <c r="J138" s="174"/>
      <c r="K138" s="183" t="s">
        <v>376</v>
      </c>
      <c r="L138" s="189" t="s">
        <v>171</v>
      </c>
      <c r="M138" s="174"/>
      <c r="N138" s="183" t="s">
        <v>376</v>
      </c>
      <c r="O138" s="282">
        <v>4</v>
      </c>
      <c r="P138" s="282">
        <v>38.883114856429465</v>
      </c>
      <c r="Q138" s="283">
        <v>13.026461040452396</v>
      </c>
      <c r="R138" s="284">
        <v>9.9026039075867498</v>
      </c>
      <c r="S138" s="322">
        <v>7.1649265682801104</v>
      </c>
      <c r="U138" s="272">
        <f t="shared" si="1"/>
        <v>3.2566152601130991</v>
      </c>
      <c r="V138" s="273">
        <f t="shared" si="2"/>
        <v>2.4756509768966874</v>
      </c>
      <c r="W138" s="274">
        <f t="shared" si="3"/>
        <v>1.7912316420700276</v>
      </c>
      <c r="X138" s="227"/>
      <c r="Y138" s="341"/>
      <c r="Z138" s="338"/>
      <c r="AA138" s="340"/>
    </row>
    <row r="139" spans="1:27" ht="15.75" thickBot="1" x14ac:dyDescent="0.3">
      <c r="A139" s="269"/>
      <c r="B139" s="270" t="s">
        <v>377</v>
      </c>
      <c r="C139" s="269"/>
      <c r="D139" s="271"/>
      <c r="E139" s="269"/>
      <c r="F139" s="271"/>
      <c r="G139" s="269"/>
      <c r="H139" s="323" t="s">
        <v>38</v>
      </c>
      <c r="I139" s="324" t="s">
        <v>377</v>
      </c>
      <c r="J139" s="280"/>
      <c r="K139" s="324" t="s">
        <v>377</v>
      </c>
      <c r="L139" s="325" t="s">
        <v>274</v>
      </c>
      <c r="M139" s="280"/>
      <c r="N139" s="324" t="s">
        <v>377</v>
      </c>
      <c r="O139" s="326">
        <v>6.1</v>
      </c>
      <c r="P139" s="326">
        <v>31.199126092384521</v>
      </c>
      <c r="Q139" s="327">
        <v>25.38830672169804</v>
      </c>
      <c r="R139" s="328">
        <v>19.299972921929278</v>
      </c>
      <c r="S139" s="329">
        <v>13.964295658586744</v>
      </c>
      <c r="U139" s="272">
        <f t="shared" si="1"/>
        <v>4.1620174953603346</v>
      </c>
      <c r="V139" s="273">
        <f t="shared" si="2"/>
        <v>3.1639299872015214</v>
      </c>
      <c r="W139" s="274">
        <f t="shared" si="3"/>
        <v>2.2892287964896303</v>
      </c>
      <c r="X139" s="227"/>
      <c r="Y139" s="341"/>
      <c r="Z139" s="338"/>
      <c r="AA139" s="340"/>
    </row>
    <row r="140" spans="1:27" x14ac:dyDescent="0.25">
      <c r="B140" s="266" t="s">
        <v>530</v>
      </c>
      <c r="H140" s="293" t="s">
        <v>268</v>
      </c>
      <c r="I140" s="294" t="s">
        <v>530</v>
      </c>
      <c r="J140" s="278"/>
      <c r="K140" s="294" t="s">
        <v>530</v>
      </c>
      <c r="L140" s="285" t="s">
        <v>167</v>
      </c>
      <c r="M140" s="278"/>
      <c r="N140" s="294" t="s">
        <v>530</v>
      </c>
      <c r="O140" s="256">
        <f>$X$143*O3</f>
        <v>2.32925</v>
      </c>
      <c r="P140" s="256">
        <f>P3</f>
        <v>4.8999999999999995</v>
      </c>
      <c r="Q140" s="300">
        <f t="shared" ref="Q140:Q158" si="4">O140*$Y$110</f>
        <v>8.5836134447893624</v>
      </c>
      <c r="R140" s="301">
        <f>O140*$Z$110</f>
        <v>6.2979497331207108</v>
      </c>
      <c r="S140" s="302">
        <f>O140*$AA$110</f>
        <v>4.3054803873011931</v>
      </c>
      <c r="U140" s="49"/>
      <c r="V140" s="49"/>
      <c r="W140" s="49"/>
      <c r="X140" s="1"/>
    </row>
    <row r="141" spans="1:27" x14ac:dyDescent="0.25">
      <c r="B141" s="266" t="s">
        <v>531</v>
      </c>
      <c r="H141" s="295" t="s">
        <v>168</v>
      </c>
      <c r="I141" s="296" t="s">
        <v>531</v>
      </c>
      <c r="J141" s="174"/>
      <c r="K141" s="296" t="s">
        <v>531</v>
      </c>
      <c r="L141" s="109" t="s">
        <v>165</v>
      </c>
      <c r="M141" s="174"/>
      <c r="N141" s="296" t="s">
        <v>531</v>
      </c>
      <c r="O141" s="100">
        <f t="shared" ref="O141:O158" si="5">$X$143*O4</f>
        <v>3.788788573612305</v>
      </c>
      <c r="P141" s="100">
        <f t="shared" ref="P141:P158" si="6">P4</f>
        <v>4.5500000000000052</v>
      </c>
      <c r="Q141" s="286">
        <f t="shared" si="4"/>
        <v>13.962218113093439</v>
      </c>
      <c r="R141" s="288">
        <f t="shared" ref="R141:R158" si="7">O141*$Z$110</f>
        <v>10.244327567256592</v>
      </c>
      <c r="S141" s="303">
        <f t="shared" ref="S141:S158" si="8">O141*$AA$110</f>
        <v>7.003350819069933</v>
      </c>
    </row>
    <row r="142" spans="1:27" x14ac:dyDescent="0.25">
      <c r="B142" s="266" t="s">
        <v>532</v>
      </c>
      <c r="H142" s="295" t="s">
        <v>168</v>
      </c>
      <c r="I142" s="296" t="s">
        <v>532</v>
      </c>
      <c r="J142" s="174"/>
      <c r="K142" s="296" t="s">
        <v>532</v>
      </c>
      <c r="L142" s="109" t="s">
        <v>177</v>
      </c>
      <c r="M142" s="174"/>
      <c r="N142" s="296" t="s">
        <v>532</v>
      </c>
      <c r="O142" s="100">
        <f t="shared" si="5"/>
        <v>1.1307868778064392</v>
      </c>
      <c r="P142" s="100">
        <f t="shared" si="6"/>
        <v>2.0999999999999996</v>
      </c>
      <c r="Q142" s="286">
        <f t="shared" si="4"/>
        <v>4.1671084887971395</v>
      </c>
      <c r="R142" s="288">
        <f t="shared" si="7"/>
        <v>3.0574815564226534</v>
      </c>
      <c r="S142" s="303">
        <f t="shared" si="8"/>
        <v>2.090192433020575</v>
      </c>
      <c r="U142" t="s">
        <v>631</v>
      </c>
    </row>
    <row r="143" spans="1:27" x14ac:dyDescent="0.25">
      <c r="B143" s="266" t="s">
        <v>533</v>
      </c>
      <c r="H143" s="295" t="s">
        <v>168</v>
      </c>
      <c r="I143" s="296" t="s">
        <v>533</v>
      </c>
      <c r="J143" s="174"/>
      <c r="K143" s="296" t="s">
        <v>533</v>
      </c>
      <c r="L143" s="109" t="s">
        <v>167</v>
      </c>
      <c r="M143" s="174"/>
      <c r="N143" s="296" t="s">
        <v>533</v>
      </c>
      <c r="O143" s="100">
        <f t="shared" si="5"/>
        <v>9.9786210660886603</v>
      </c>
      <c r="P143" s="100">
        <f t="shared" si="6"/>
        <v>3.5</v>
      </c>
      <c r="Q143" s="286">
        <f t="shared" si="4"/>
        <v>36.772620347037453</v>
      </c>
      <c r="R143" s="288">
        <f t="shared" si="7"/>
        <v>26.980725074631653</v>
      </c>
      <c r="S143" s="303">
        <f t="shared" si="8"/>
        <v>18.444888823593537</v>
      </c>
      <c r="U143" s="176" t="s">
        <v>632</v>
      </c>
      <c r="X143" s="255">
        <v>0.25</v>
      </c>
    </row>
    <row r="144" spans="1:27" x14ac:dyDescent="0.25">
      <c r="B144" s="266" t="s">
        <v>534</v>
      </c>
      <c r="H144" s="295" t="s">
        <v>168</v>
      </c>
      <c r="I144" s="296" t="s">
        <v>534</v>
      </c>
      <c r="J144" s="174"/>
      <c r="K144" s="296" t="s">
        <v>534</v>
      </c>
      <c r="L144" s="109" t="s">
        <v>170</v>
      </c>
      <c r="M144" s="174"/>
      <c r="N144" s="296" t="s">
        <v>534</v>
      </c>
      <c r="O144" s="100">
        <f t="shared" si="5"/>
        <v>2.1578484761631795</v>
      </c>
      <c r="P144" s="100">
        <f t="shared" si="6"/>
        <v>2.0999999999999996</v>
      </c>
      <c r="Q144" s="286">
        <f t="shared" si="4"/>
        <v>7.9519747523076125</v>
      </c>
      <c r="R144" s="288">
        <f t="shared" si="7"/>
        <v>5.8345051989124519</v>
      </c>
      <c r="S144" s="303">
        <f t="shared" si="8"/>
        <v>3.9886548429272666</v>
      </c>
    </row>
    <row r="145" spans="2:28" x14ac:dyDescent="0.25">
      <c r="B145" s="266" t="s">
        <v>535</v>
      </c>
      <c r="H145" s="295" t="s">
        <v>168</v>
      </c>
      <c r="I145" s="296" t="s">
        <v>535</v>
      </c>
      <c r="J145" s="174"/>
      <c r="K145" s="296" t="s">
        <v>535</v>
      </c>
      <c r="L145" s="109" t="s">
        <v>281</v>
      </c>
      <c r="M145" s="174"/>
      <c r="N145" s="296" t="s">
        <v>535</v>
      </c>
      <c r="O145" s="100">
        <f t="shared" si="5"/>
        <v>0.98076096302665516</v>
      </c>
      <c r="P145" s="100">
        <f t="shared" si="6"/>
        <v>2.0999999999999996</v>
      </c>
      <c r="Q145" s="286">
        <f t="shared" si="4"/>
        <v>3.6142419183686423</v>
      </c>
      <c r="R145" s="288">
        <f t="shared" si="7"/>
        <v>2.6518335281094489</v>
      </c>
      <c r="S145" s="303">
        <f t="shared" si="8"/>
        <v>1.8128784333763635</v>
      </c>
    </row>
    <row r="146" spans="2:28" x14ac:dyDescent="0.25">
      <c r="B146" s="266" t="s">
        <v>536</v>
      </c>
      <c r="H146" s="295" t="s">
        <v>174</v>
      </c>
      <c r="I146" s="296" t="s">
        <v>536</v>
      </c>
      <c r="J146" s="174"/>
      <c r="K146" s="296" t="s">
        <v>536</v>
      </c>
      <c r="L146" s="109" t="s">
        <v>165</v>
      </c>
      <c r="M146" s="174"/>
      <c r="N146" s="296" t="s">
        <v>536</v>
      </c>
      <c r="O146" s="100">
        <f t="shared" si="5"/>
        <v>2.729349832807872</v>
      </c>
      <c r="P146" s="100">
        <f t="shared" si="6"/>
        <v>2.8000000000000007</v>
      </c>
      <c r="Q146" s="286">
        <f t="shared" si="4"/>
        <v>10.058037531575936</v>
      </c>
      <c r="R146" s="288">
        <f t="shared" si="7"/>
        <v>7.3797608891812363</v>
      </c>
      <c r="S146" s="303">
        <f t="shared" si="8"/>
        <v>5.0450411828863722</v>
      </c>
      <c r="U146" t="s">
        <v>633</v>
      </c>
      <c r="W146" t="s">
        <v>635</v>
      </c>
      <c r="X146" s="263">
        <v>75</v>
      </c>
      <c r="Y146" s="263">
        <v>200</v>
      </c>
      <c r="Z146" s="263">
        <v>75</v>
      </c>
    </row>
    <row r="147" spans="2:28" x14ac:dyDescent="0.25">
      <c r="B147" s="266" t="s">
        <v>537</v>
      </c>
      <c r="H147" s="295" t="s">
        <v>174</v>
      </c>
      <c r="I147" s="296" t="s">
        <v>537</v>
      </c>
      <c r="J147" s="174"/>
      <c r="K147" s="296" t="s">
        <v>537</v>
      </c>
      <c r="L147" s="109" t="s">
        <v>166</v>
      </c>
      <c r="M147" s="174"/>
      <c r="N147" s="296" t="s">
        <v>537</v>
      </c>
      <c r="O147" s="100">
        <f t="shared" si="5"/>
        <v>7.584551447406132</v>
      </c>
      <c r="P147" s="100">
        <f t="shared" si="6"/>
        <v>3.5</v>
      </c>
      <c r="Q147" s="286">
        <f t="shared" si="4"/>
        <v>27.950137502050829</v>
      </c>
      <c r="R147" s="288">
        <f t="shared" si="7"/>
        <v>20.507512617379735</v>
      </c>
      <c r="S147" s="303">
        <f t="shared" si="8"/>
        <v>14.019593218110542</v>
      </c>
      <c r="W147" t="s">
        <v>634</v>
      </c>
    </row>
    <row r="148" spans="2:28" x14ac:dyDescent="0.25">
      <c r="B148" s="266" t="s">
        <v>538</v>
      </c>
      <c r="H148" s="295" t="s">
        <v>174</v>
      </c>
      <c r="I148" s="296" t="s">
        <v>538</v>
      </c>
      <c r="J148" s="174"/>
      <c r="K148" s="296" t="s">
        <v>538</v>
      </c>
      <c r="L148" s="109" t="s">
        <v>176</v>
      </c>
      <c r="M148" s="174"/>
      <c r="N148" s="296" t="s">
        <v>538</v>
      </c>
      <c r="O148" s="100">
        <f t="shared" si="5"/>
        <v>7.0039409572943532</v>
      </c>
      <c r="P148" s="100">
        <f t="shared" si="6"/>
        <v>4.4800000000000004</v>
      </c>
      <c r="Q148" s="286">
        <f t="shared" si="4"/>
        <v>25.810506286376597</v>
      </c>
      <c r="R148" s="288">
        <f t="shared" si="7"/>
        <v>18.937627168738945</v>
      </c>
      <c r="S148" s="303">
        <f t="shared" si="8"/>
        <v>12.946369185551736</v>
      </c>
    </row>
    <row r="149" spans="2:28" x14ac:dyDescent="0.25">
      <c r="B149" s="266" t="s">
        <v>539</v>
      </c>
      <c r="H149" s="295" t="s">
        <v>174</v>
      </c>
      <c r="I149" s="296" t="s">
        <v>539</v>
      </c>
      <c r="J149" s="174"/>
      <c r="K149" s="296" t="s">
        <v>539</v>
      </c>
      <c r="L149" s="109" t="s">
        <v>164</v>
      </c>
      <c r="M149" s="174"/>
      <c r="N149" s="296" t="s">
        <v>539</v>
      </c>
      <c r="O149" s="100">
        <f t="shared" si="5"/>
        <v>3.4278685392184958</v>
      </c>
      <c r="P149" s="100">
        <f t="shared" si="6"/>
        <v>1.75</v>
      </c>
      <c r="Q149" s="286">
        <f t="shared" si="4"/>
        <v>12.632177087133778</v>
      </c>
      <c r="R149" s="288">
        <f t="shared" si="7"/>
        <v>9.2684528289123129</v>
      </c>
      <c r="S149" s="303">
        <f t="shared" si="8"/>
        <v>6.3362115555874308</v>
      </c>
      <c r="W149" t="s">
        <v>636</v>
      </c>
      <c r="X149">
        <v>800</v>
      </c>
      <c r="Y149">
        <f>X149/1000</f>
        <v>0.8</v>
      </c>
    </row>
    <row r="150" spans="2:28" x14ac:dyDescent="0.25">
      <c r="B150" s="266" t="s">
        <v>540</v>
      </c>
      <c r="H150" s="295" t="s">
        <v>269</v>
      </c>
      <c r="I150" s="296" t="s">
        <v>540</v>
      </c>
      <c r="J150" s="174"/>
      <c r="K150" s="296" t="s">
        <v>540</v>
      </c>
      <c r="L150" s="109" t="s">
        <v>274</v>
      </c>
      <c r="M150" s="174"/>
      <c r="N150" s="296" t="s">
        <v>540</v>
      </c>
      <c r="O150" s="100">
        <f t="shared" si="5"/>
        <v>0.94937661220980218</v>
      </c>
      <c r="P150" s="100">
        <f t="shared" si="6"/>
        <v>4.1999999999999993</v>
      </c>
      <c r="Q150" s="286">
        <f t="shared" si="4"/>
        <v>3.4985861769808455</v>
      </c>
      <c r="R150" s="288">
        <f t="shared" si="7"/>
        <v>2.5669748552099465</v>
      </c>
      <c r="S150" s="303">
        <f t="shared" si="8"/>
        <v>1.7548663235083197</v>
      </c>
    </row>
    <row r="151" spans="2:28" x14ac:dyDescent="0.25">
      <c r="B151" s="266" t="s">
        <v>541</v>
      </c>
      <c r="H151" s="295" t="s">
        <v>269</v>
      </c>
      <c r="I151" s="296" t="s">
        <v>541</v>
      </c>
      <c r="J151" s="174"/>
      <c r="K151" s="296" t="s">
        <v>541</v>
      </c>
      <c r="L151" s="109" t="s">
        <v>178</v>
      </c>
      <c r="M151" s="174"/>
      <c r="N151" s="296" t="s">
        <v>541</v>
      </c>
      <c r="O151" s="100">
        <f t="shared" si="5"/>
        <v>0.24741329893952421</v>
      </c>
      <c r="P151" s="100">
        <f t="shared" si="6"/>
        <v>2.8000000000000007</v>
      </c>
      <c r="Q151" s="286">
        <f t="shared" si="4"/>
        <v>0.91175276127379612</v>
      </c>
      <c r="R151" s="288">
        <f t="shared" si="7"/>
        <v>0.66896920469107701</v>
      </c>
      <c r="S151" s="303">
        <f t="shared" si="8"/>
        <v>0.45732879945974392</v>
      </c>
      <c r="W151" t="s">
        <v>637</v>
      </c>
      <c r="Y151" s="263">
        <f>Z146*Y149</f>
        <v>60</v>
      </c>
      <c r="Z151" s="265">
        <f>AB151*Y151</f>
        <v>3.7125432909961029</v>
      </c>
      <c r="AA151" t="s">
        <v>393</v>
      </c>
      <c r="AB151">
        <f>data_info!D29</f>
        <v>6.1875721516601714E-2</v>
      </c>
    </row>
    <row r="152" spans="2:28" x14ac:dyDescent="0.25">
      <c r="B152" s="266" t="s">
        <v>542</v>
      </c>
      <c r="H152" s="295" t="s">
        <v>269</v>
      </c>
      <c r="I152" s="296" t="s">
        <v>542</v>
      </c>
      <c r="J152" s="174"/>
      <c r="K152" s="296" t="s">
        <v>542</v>
      </c>
      <c r="L152" s="109" t="s">
        <v>2</v>
      </c>
      <c r="M152" s="174"/>
      <c r="N152" s="296" t="s">
        <v>542</v>
      </c>
      <c r="O152" s="100">
        <f t="shared" si="5"/>
        <v>4.1697597210279929</v>
      </c>
      <c r="P152" s="100">
        <f t="shared" si="6"/>
        <v>7</v>
      </c>
      <c r="Q152" s="286">
        <f t="shared" si="4"/>
        <v>15.366150307161972</v>
      </c>
      <c r="R152" s="288">
        <f t="shared" si="7"/>
        <v>11.274417568842219</v>
      </c>
      <c r="S152" s="303">
        <f t="shared" si="8"/>
        <v>7.7075533749681302</v>
      </c>
      <c r="W152" t="s">
        <v>638</v>
      </c>
      <c r="AB152" s="264"/>
    </row>
    <row r="153" spans="2:28" x14ac:dyDescent="0.25">
      <c r="B153" s="266" t="s">
        <v>543</v>
      </c>
      <c r="H153" s="295" t="s">
        <v>172</v>
      </c>
      <c r="I153" s="296" t="s">
        <v>543</v>
      </c>
      <c r="J153" s="174"/>
      <c r="K153" s="296" t="s">
        <v>543</v>
      </c>
      <c r="L153" s="109" t="s">
        <v>171</v>
      </c>
      <c r="M153" s="174"/>
      <c r="N153" s="296" t="s">
        <v>543</v>
      </c>
      <c r="O153" s="100">
        <f t="shared" si="5"/>
        <v>9.610866228070174</v>
      </c>
      <c r="P153" s="100">
        <f t="shared" si="6"/>
        <v>4.55</v>
      </c>
      <c r="Q153" s="286">
        <f t="shared" si="4"/>
        <v>35.417392109621197</v>
      </c>
      <c r="R153" s="288">
        <f t="shared" si="7"/>
        <v>25.986370031612495</v>
      </c>
      <c r="S153" s="303">
        <f t="shared" si="8"/>
        <v>17.765115831246767</v>
      </c>
    </row>
    <row r="154" spans="2:28" x14ac:dyDescent="0.25">
      <c r="B154" s="266" t="s">
        <v>544</v>
      </c>
      <c r="H154" s="295" t="s">
        <v>172</v>
      </c>
      <c r="I154" s="296" t="s">
        <v>544</v>
      </c>
      <c r="J154" s="174"/>
      <c r="K154" s="296" t="s">
        <v>544</v>
      </c>
      <c r="L154" s="109" t="s">
        <v>173</v>
      </c>
      <c r="M154" s="174"/>
      <c r="N154" s="296" t="s">
        <v>544</v>
      </c>
      <c r="O154" s="100">
        <f t="shared" si="5"/>
        <v>6.25</v>
      </c>
      <c r="P154" s="100">
        <f t="shared" si="6"/>
        <v>3.5</v>
      </c>
      <c r="Q154" s="286">
        <f t="shared" si="4"/>
        <v>23.032127951028663</v>
      </c>
      <c r="R154" s="288">
        <f t="shared" si="7"/>
        <v>16.899081606527613</v>
      </c>
      <c r="S154" s="303">
        <f t="shared" si="8"/>
        <v>11.552754071324442</v>
      </c>
    </row>
    <row r="155" spans="2:28" x14ac:dyDescent="0.25">
      <c r="B155" s="266" t="s">
        <v>545</v>
      </c>
      <c r="H155" s="295" t="s">
        <v>172</v>
      </c>
      <c r="I155" s="296" t="s">
        <v>545</v>
      </c>
      <c r="J155" s="174"/>
      <c r="K155" s="296" t="s">
        <v>545</v>
      </c>
      <c r="L155" s="109" t="s">
        <v>277</v>
      </c>
      <c r="M155" s="174"/>
      <c r="N155" s="296" t="s">
        <v>545</v>
      </c>
      <c r="O155" s="100">
        <f t="shared" si="5"/>
        <v>2.6046271929824556</v>
      </c>
      <c r="P155" s="100">
        <f t="shared" si="6"/>
        <v>2.8000000000000007</v>
      </c>
      <c r="Q155" s="286">
        <f t="shared" si="4"/>
        <v>9.5984170837600864</v>
      </c>
      <c r="R155" s="288">
        <f t="shared" si="7"/>
        <v>7.0425291982066343</v>
      </c>
      <c r="S155" s="303">
        <f t="shared" si="8"/>
        <v>4.8144987852816667</v>
      </c>
    </row>
    <row r="156" spans="2:28" x14ac:dyDescent="0.25">
      <c r="B156" s="266" t="s">
        <v>546</v>
      </c>
      <c r="H156" s="295" t="s">
        <v>175</v>
      </c>
      <c r="I156" s="296" t="s">
        <v>546</v>
      </c>
      <c r="J156" s="174"/>
      <c r="K156" s="296" t="s">
        <v>546</v>
      </c>
      <c r="L156" s="109" t="s">
        <v>165</v>
      </c>
      <c r="M156" s="174"/>
      <c r="N156" s="296" t="s">
        <v>546</v>
      </c>
      <c r="O156" s="100">
        <f t="shared" si="5"/>
        <v>1.9210526315789471</v>
      </c>
      <c r="P156" s="100">
        <f t="shared" si="6"/>
        <v>3.8500000000000005</v>
      </c>
      <c r="Q156" s="286">
        <f t="shared" si="4"/>
        <v>7.0793488017898616</v>
      </c>
      <c r="R156" s="288">
        <f t="shared" si="7"/>
        <v>5.1942440306379609</v>
      </c>
      <c r="S156" s="303">
        <f t="shared" si="8"/>
        <v>3.5509517777123545</v>
      </c>
    </row>
    <row r="157" spans="2:28" x14ac:dyDescent="0.25">
      <c r="B157" s="266" t="s">
        <v>547</v>
      </c>
      <c r="H157" s="295" t="s">
        <v>175</v>
      </c>
      <c r="I157" s="296" t="s">
        <v>547</v>
      </c>
      <c r="J157" s="174"/>
      <c r="K157" s="296" t="s">
        <v>547</v>
      </c>
      <c r="L157" s="109" t="s">
        <v>166</v>
      </c>
      <c r="M157" s="174"/>
      <c r="N157" s="296" t="s">
        <v>547</v>
      </c>
      <c r="O157" s="100">
        <f t="shared" si="5"/>
        <v>0.80043859649122795</v>
      </c>
      <c r="P157" s="100">
        <f t="shared" si="6"/>
        <v>3.5</v>
      </c>
      <c r="Q157" s="286">
        <f t="shared" si="4"/>
        <v>2.9497286674124426</v>
      </c>
      <c r="R157" s="288">
        <f t="shared" si="7"/>
        <v>2.1642683460991501</v>
      </c>
      <c r="S157" s="303">
        <f t="shared" si="8"/>
        <v>1.4795632407134809</v>
      </c>
    </row>
    <row r="158" spans="2:28" x14ac:dyDescent="0.25">
      <c r="B158" s="266" t="s">
        <v>548</v>
      </c>
      <c r="H158" s="295" t="s">
        <v>175</v>
      </c>
      <c r="I158" s="296" t="s">
        <v>548</v>
      </c>
      <c r="J158" s="174"/>
      <c r="K158" s="296" t="s">
        <v>548</v>
      </c>
      <c r="L158" s="109" t="s">
        <v>167</v>
      </c>
      <c r="M158" s="174"/>
      <c r="N158" s="296" t="s">
        <v>548</v>
      </c>
      <c r="O158" s="100">
        <f t="shared" si="5"/>
        <v>5.4274380014569585</v>
      </c>
      <c r="P158" s="100">
        <f t="shared" si="6"/>
        <v>3.5</v>
      </c>
      <c r="Q158" s="286">
        <f t="shared" si="4"/>
        <v>20.000871439333114</v>
      </c>
      <c r="R158" s="288">
        <f t="shared" si="7"/>
        <v>14.674994832158445</v>
      </c>
      <c r="S158" s="303">
        <f t="shared" si="8"/>
        <v>10.03229703491086</v>
      </c>
    </row>
    <row r="159" spans="2:28" x14ac:dyDescent="0.25">
      <c r="B159" s="266" t="s">
        <v>549</v>
      </c>
      <c r="H159" s="295" t="s">
        <v>270</v>
      </c>
      <c r="I159" s="296" t="s">
        <v>549</v>
      </c>
      <c r="J159" s="174"/>
      <c r="K159" s="296" t="s">
        <v>549</v>
      </c>
      <c r="L159" s="109" t="s">
        <v>2</v>
      </c>
      <c r="M159" s="174"/>
      <c r="N159" s="296" t="s">
        <v>549</v>
      </c>
      <c r="O159" s="333">
        <v>0</v>
      </c>
      <c r="P159" s="100">
        <f t="shared" ref="P159:P190" si="9">P22</f>
        <v>7.3500000000000014</v>
      </c>
      <c r="Q159" s="286">
        <f t="shared" ref="Q159:Q171" si="10">O159*$Y$110</f>
        <v>0</v>
      </c>
      <c r="R159" s="288">
        <f t="shared" ref="R159:R204" si="11">O159*$Z$110</f>
        <v>0</v>
      </c>
      <c r="S159" s="303">
        <f t="shared" ref="S159:S204" si="12">O159*$AA$110</f>
        <v>0</v>
      </c>
    </row>
    <row r="160" spans="2:28" x14ac:dyDescent="0.25">
      <c r="B160" s="266" t="s">
        <v>550</v>
      </c>
      <c r="H160" s="295" t="s">
        <v>169</v>
      </c>
      <c r="I160" s="296" t="s">
        <v>550</v>
      </c>
      <c r="J160" s="174"/>
      <c r="K160" s="296" t="s">
        <v>550</v>
      </c>
      <c r="L160" s="109" t="s">
        <v>165</v>
      </c>
      <c r="M160" s="174"/>
      <c r="N160" s="296" t="s">
        <v>550</v>
      </c>
      <c r="O160" s="100">
        <f t="shared" ref="O160:O191" si="13">$X$143*O23</f>
        <v>9.6280214877710897</v>
      </c>
      <c r="P160" s="100">
        <f t="shared" si="9"/>
        <v>3.1500000000000004</v>
      </c>
      <c r="Q160" s="286">
        <f t="shared" si="10"/>
        <v>35.480611651455533</v>
      </c>
      <c r="R160" s="288">
        <f t="shared" si="11"/>
        <v>26.032755332999209</v>
      </c>
      <c r="S160" s="303">
        <f t="shared" si="12"/>
        <v>17.796826310663466</v>
      </c>
    </row>
    <row r="161" spans="2:19" x14ac:dyDescent="0.25">
      <c r="B161" s="266" t="s">
        <v>551</v>
      </c>
      <c r="H161" s="295" t="s">
        <v>169</v>
      </c>
      <c r="I161" s="296" t="s">
        <v>551</v>
      </c>
      <c r="J161" s="174"/>
      <c r="K161" s="296" t="s">
        <v>551</v>
      </c>
      <c r="L161" s="109" t="s">
        <v>171</v>
      </c>
      <c r="M161" s="174"/>
      <c r="N161" s="296" t="s">
        <v>551</v>
      </c>
      <c r="O161" s="100">
        <f t="shared" si="13"/>
        <v>0.24410050635330083</v>
      </c>
      <c r="P161" s="100">
        <f t="shared" si="9"/>
        <v>3.1500000000000004</v>
      </c>
      <c r="Q161" s="286">
        <f t="shared" si="10"/>
        <v>0.89954465523841753</v>
      </c>
      <c r="R161" s="288">
        <f t="shared" si="11"/>
        <v>0.66001190032946289</v>
      </c>
      <c r="S161" s="303">
        <f t="shared" si="12"/>
        <v>0.45120529897367262</v>
      </c>
    </row>
    <row r="162" spans="2:19" x14ac:dyDescent="0.25">
      <c r="B162" s="266" t="s">
        <v>552</v>
      </c>
      <c r="H162" s="295" t="s">
        <v>169</v>
      </c>
      <c r="I162" s="296" t="s">
        <v>552</v>
      </c>
      <c r="J162" s="174"/>
      <c r="K162" s="296" t="s">
        <v>552</v>
      </c>
      <c r="L162" s="109" t="s">
        <v>170</v>
      </c>
      <c r="M162" s="174"/>
      <c r="N162" s="296" t="s">
        <v>552</v>
      </c>
      <c r="O162" s="100">
        <f t="shared" si="13"/>
        <v>6.0746154581064289</v>
      </c>
      <c r="P162" s="100">
        <f t="shared" si="9"/>
        <v>2.8000000000000007</v>
      </c>
      <c r="Q162" s="286">
        <f t="shared" si="10"/>
        <v>22.385811277504619</v>
      </c>
      <c r="R162" s="288">
        <f t="shared" si="11"/>
        <v>16.424867576770346</v>
      </c>
      <c r="S162" s="303">
        <f t="shared" si="12"/>
        <v>11.228566154459109</v>
      </c>
    </row>
    <row r="163" spans="2:19" x14ac:dyDescent="0.25">
      <c r="B163" s="266" t="s">
        <v>553</v>
      </c>
      <c r="H163" s="295" t="s">
        <v>165</v>
      </c>
      <c r="I163" s="296" t="s">
        <v>553</v>
      </c>
      <c r="J163" s="174"/>
      <c r="K163" s="296" t="s">
        <v>553</v>
      </c>
      <c r="L163" s="109" t="s">
        <v>168</v>
      </c>
      <c r="M163" s="174"/>
      <c r="N163" s="296" t="s">
        <v>553</v>
      </c>
      <c r="O163" s="100">
        <f t="shared" si="13"/>
        <v>4.4060141396770796</v>
      </c>
      <c r="P163" s="100">
        <f t="shared" si="9"/>
        <v>3.8500000000000005</v>
      </c>
      <c r="Q163" s="286">
        <f t="shared" si="10"/>
        <v>16.236781027053436</v>
      </c>
      <c r="R163" s="288">
        <f t="shared" si="11"/>
        <v>11.913214800946804</v>
      </c>
      <c r="S163" s="303">
        <f t="shared" si="12"/>
        <v>8.1442556464747895</v>
      </c>
    </row>
    <row r="164" spans="2:19" x14ac:dyDescent="0.25">
      <c r="B164" s="266" t="s">
        <v>554</v>
      </c>
      <c r="H164" s="295" t="s">
        <v>165</v>
      </c>
      <c r="I164" s="296" t="s">
        <v>554</v>
      </c>
      <c r="J164" s="174"/>
      <c r="K164" s="296" t="s">
        <v>554</v>
      </c>
      <c r="L164" s="109" t="s">
        <v>174</v>
      </c>
      <c r="M164" s="174"/>
      <c r="N164" s="296" t="s">
        <v>554</v>
      </c>
      <c r="O164" s="100">
        <f t="shared" si="13"/>
        <v>3.4078174261966181</v>
      </c>
      <c r="P164" s="100">
        <f t="shared" si="9"/>
        <v>3.5</v>
      </c>
      <c r="Q164" s="286">
        <f t="shared" si="10"/>
        <v>12.558285919024909</v>
      </c>
      <c r="R164" s="288">
        <f t="shared" si="11"/>
        <v>9.2142375656709667</v>
      </c>
      <c r="S164" s="303">
        <f t="shared" si="12"/>
        <v>6.2991482631717375</v>
      </c>
    </row>
    <row r="165" spans="2:19" x14ac:dyDescent="0.25">
      <c r="B165" s="266" t="s">
        <v>555</v>
      </c>
      <c r="H165" s="295" t="s">
        <v>165</v>
      </c>
      <c r="I165" s="296" t="s">
        <v>555</v>
      </c>
      <c r="J165" s="174"/>
      <c r="K165" s="296" t="s">
        <v>555</v>
      </c>
      <c r="L165" s="109" t="s">
        <v>175</v>
      </c>
      <c r="M165" s="174"/>
      <c r="N165" s="296" t="s">
        <v>555</v>
      </c>
      <c r="O165" s="100">
        <f t="shared" si="13"/>
        <v>5.0737162033056267</v>
      </c>
      <c r="P165" s="100">
        <f t="shared" si="9"/>
        <v>3.8500000000000005</v>
      </c>
      <c r="Q165" s="286">
        <f t="shared" si="10"/>
        <v>18.697356925078807</v>
      </c>
      <c r="R165" s="288">
        <f t="shared" si="11"/>
        <v>13.718583066883717</v>
      </c>
      <c r="S165" s="303">
        <f t="shared" si="12"/>
        <v>9.3784632839174193</v>
      </c>
    </row>
    <row r="166" spans="2:19" x14ac:dyDescent="0.25">
      <c r="B166" s="266" t="s">
        <v>556</v>
      </c>
      <c r="H166" s="295" t="s">
        <v>165</v>
      </c>
      <c r="I166" s="296" t="s">
        <v>556</v>
      </c>
      <c r="J166" s="174"/>
      <c r="K166" s="296" t="s">
        <v>556</v>
      </c>
      <c r="L166" s="109" t="s">
        <v>169</v>
      </c>
      <c r="M166" s="174"/>
      <c r="N166" s="296" t="s">
        <v>556</v>
      </c>
      <c r="O166" s="100">
        <f t="shared" si="13"/>
        <v>23.963806893952416</v>
      </c>
      <c r="P166" s="100">
        <f t="shared" si="9"/>
        <v>3.1500000000000004</v>
      </c>
      <c r="Q166" s="286">
        <f t="shared" si="10"/>
        <v>88.309994652040771</v>
      </c>
      <c r="R166" s="288">
        <f t="shared" si="11"/>
        <v>64.794612528635341</v>
      </c>
      <c r="S166" s="303">
        <f t="shared" si="12"/>
        <v>44.295674825366639</v>
      </c>
    </row>
    <row r="167" spans="2:19" x14ac:dyDescent="0.25">
      <c r="B167" s="266" t="s">
        <v>557</v>
      </c>
      <c r="H167" s="295" t="s">
        <v>165</v>
      </c>
      <c r="I167" s="296" t="s">
        <v>557</v>
      </c>
      <c r="J167" s="174"/>
      <c r="K167" s="296" t="s">
        <v>557</v>
      </c>
      <c r="L167" s="109" t="s">
        <v>179</v>
      </c>
      <c r="M167" s="174"/>
      <c r="N167" s="296" t="s">
        <v>557</v>
      </c>
      <c r="O167" s="100">
        <f t="shared" si="13"/>
        <v>0.88194210375465742</v>
      </c>
      <c r="P167" s="100">
        <f t="shared" si="9"/>
        <v>4.1999999999999993</v>
      </c>
      <c r="Q167" s="286">
        <f t="shared" si="10"/>
        <v>3.2500805406522666</v>
      </c>
      <c r="R167" s="288">
        <f t="shared" si="11"/>
        <v>2.3846418533732159</v>
      </c>
      <c r="S167" s="303">
        <f t="shared" si="12"/>
        <v>1.6302176367718499</v>
      </c>
    </row>
    <row r="168" spans="2:19" x14ac:dyDescent="0.25">
      <c r="B168" s="266" t="s">
        <v>558</v>
      </c>
      <c r="H168" s="295" t="s">
        <v>165</v>
      </c>
      <c r="I168" s="296" t="s">
        <v>558</v>
      </c>
      <c r="J168" s="174"/>
      <c r="K168" s="296" t="s">
        <v>558</v>
      </c>
      <c r="L168" s="109" t="s">
        <v>166</v>
      </c>
      <c r="M168" s="174"/>
      <c r="N168" s="296" t="s">
        <v>558</v>
      </c>
      <c r="O168" s="100">
        <f t="shared" si="13"/>
        <v>5.0310857934460689</v>
      </c>
      <c r="P168" s="100">
        <f t="shared" si="9"/>
        <v>5.6000000000000014</v>
      </c>
      <c r="Q168" s="286">
        <f t="shared" si="10"/>
        <v>18.540257876360389</v>
      </c>
      <c r="R168" s="288">
        <f t="shared" si="11"/>
        <v>13.603316702861896</v>
      </c>
      <c r="S168" s="303">
        <f t="shared" si="12"/>
        <v>9.2996635013466609</v>
      </c>
    </row>
    <row r="169" spans="2:19" x14ac:dyDescent="0.25">
      <c r="B169" s="266" t="s">
        <v>559</v>
      </c>
      <c r="H169" s="295" t="s">
        <v>165</v>
      </c>
      <c r="I169" s="296" t="s">
        <v>559</v>
      </c>
      <c r="J169" s="174"/>
      <c r="K169" s="296" t="s">
        <v>559</v>
      </c>
      <c r="L169" s="109" t="s">
        <v>164</v>
      </c>
      <c r="M169" s="174"/>
      <c r="N169" s="296" t="s">
        <v>559</v>
      </c>
      <c r="O169" s="100">
        <f t="shared" si="13"/>
        <v>8.1233949460208272</v>
      </c>
      <c r="P169" s="100">
        <f t="shared" si="9"/>
        <v>2.8000000000000007</v>
      </c>
      <c r="Q169" s="286">
        <f t="shared" si="10"/>
        <v>29.935851486958605</v>
      </c>
      <c r="R169" s="288">
        <f t="shared" si="11"/>
        <v>21.964466258377591</v>
      </c>
      <c r="S169" s="303">
        <f t="shared" si="12"/>
        <v>15.015613445698961</v>
      </c>
    </row>
    <row r="170" spans="2:19" x14ac:dyDescent="0.25">
      <c r="B170" s="266" t="s">
        <v>560</v>
      </c>
      <c r="H170" s="295" t="s">
        <v>165</v>
      </c>
      <c r="I170" s="296" t="s">
        <v>560</v>
      </c>
      <c r="J170" s="174"/>
      <c r="K170" s="296" t="s">
        <v>560</v>
      </c>
      <c r="L170" s="109" t="s">
        <v>171</v>
      </c>
      <c r="M170" s="174"/>
      <c r="N170" s="296" t="s">
        <v>560</v>
      </c>
      <c r="O170" s="100">
        <f t="shared" si="13"/>
        <v>1.8570817808350049</v>
      </c>
      <c r="P170" s="100">
        <f t="shared" si="9"/>
        <v>4.8999999999999986</v>
      </c>
      <c r="Q170" s="286">
        <f t="shared" si="10"/>
        <v>6.8436072306745608</v>
      </c>
      <c r="R170" s="288">
        <f t="shared" si="11"/>
        <v>5.0212762502922201</v>
      </c>
      <c r="S170" s="303">
        <f t="shared" si="12"/>
        <v>3.4327054566918478</v>
      </c>
    </row>
    <row r="171" spans="2:19" x14ac:dyDescent="0.25">
      <c r="B171" s="266" t="s">
        <v>561</v>
      </c>
      <c r="H171" s="295" t="s">
        <v>179</v>
      </c>
      <c r="I171" s="296" t="s">
        <v>561</v>
      </c>
      <c r="J171" s="174"/>
      <c r="K171" s="296" t="s">
        <v>561</v>
      </c>
      <c r="L171" s="109" t="s">
        <v>165</v>
      </c>
      <c r="M171" s="174"/>
      <c r="N171" s="296" t="s">
        <v>561</v>
      </c>
      <c r="O171" s="100">
        <f t="shared" si="13"/>
        <v>0.79357074615458101</v>
      </c>
      <c r="P171" s="100">
        <f t="shared" si="9"/>
        <v>4.1999999999999993</v>
      </c>
      <c r="Q171" s="286">
        <f t="shared" si="10"/>
        <v>2.9244196741800956</v>
      </c>
      <c r="R171" s="288">
        <f t="shared" si="11"/>
        <v>2.145698687971084</v>
      </c>
      <c r="S171" s="303">
        <f t="shared" si="12"/>
        <v>1.4668684269634098</v>
      </c>
    </row>
    <row r="172" spans="2:19" x14ac:dyDescent="0.25">
      <c r="B172" s="266" t="s">
        <v>562</v>
      </c>
      <c r="H172" s="295" t="s">
        <v>179</v>
      </c>
      <c r="I172" s="296" t="s">
        <v>562</v>
      </c>
      <c r="J172" s="174"/>
      <c r="K172" s="296" t="s">
        <v>562</v>
      </c>
      <c r="L172" s="109" t="s">
        <v>164</v>
      </c>
      <c r="M172" s="174"/>
      <c r="N172" s="296" t="s">
        <v>562</v>
      </c>
      <c r="O172" s="100">
        <f t="shared" si="13"/>
        <v>3.452278589853826</v>
      </c>
      <c r="P172" s="100">
        <f t="shared" si="9"/>
        <v>3.8500000000000005</v>
      </c>
      <c r="Q172" s="286">
        <f t="shared" ref="Q172:Q203" si="14">O172*$Y$110</f>
        <v>12.72213155265762</v>
      </c>
      <c r="R172" s="288">
        <f t="shared" si="11"/>
        <v>9.3344540189452605</v>
      </c>
      <c r="S172" s="303">
        <f t="shared" si="12"/>
        <v>6.3813320854847984</v>
      </c>
    </row>
    <row r="173" spans="2:19" x14ac:dyDescent="0.25">
      <c r="B173" s="266" t="s">
        <v>563</v>
      </c>
      <c r="H173" s="295" t="s">
        <v>179</v>
      </c>
      <c r="I173" s="296" t="s">
        <v>563</v>
      </c>
      <c r="J173" s="174"/>
      <c r="K173" s="296" t="s">
        <v>563</v>
      </c>
      <c r="L173" s="109" t="s">
        <v>195</v>
      </c>
      <c r="M173" s="174"/>
      <c r="N173" s="296" t="s">
        <v>563</v>
      </c>
      <c r="O173" s="100">
        <f t="shared" si="13"/>
        <v>0.76717301996751697</v>
      </c>
      <c r="P173" s="100">
        <f t="shared" si="9"/>
        <v>2.8000000000000007</v>
      </c>
      <c r="Q173" s="286">
        <f t="shared" si="14"/>
        <v>2.8271403450350268</v>
      </c>
      <c r="R173" s="288">
        <f t="shared" si="11"/>
        <v>2.0743231153211692</v>
      </c>
      <c r="S173" s="303">
        <f t="shared" si="12"/>
        <v>1.4180737967743999</v>
      </c>
    </row>
    <row r="174" spans="2:19" x14ac:dyDescent="0.25">
      <c r="B174" s="266" t="s">
        <v>564</v>
      </c>
      <c r="H174" s="295" t="s">
        <v>162</v>
      </c>
      <c r="I174" s="296" t="s">
        <v>564</v>
      </c>
      <c r="J174" s="174"/>
      <c r="K174" s="296" t="s">
        <v>564</v>
      </c>
      <c r="L174" s="109" t="s">
        <v>272</v>
      </c>
      <c r="M174" s="174"/>
      <c r="N174" s="296" t="s">
        <v>564</v>
      </c>
      <c r="O174" s="100">
        <f t="shared" si="13"/>
        <v>6.1896914111015571</v>
      </c>
      <c r="P174" s="100">
        <f t="shared" si="9"/>
        <v>10.5</v>
      </c>
      <c r="Q174" s="286">
        <f t="shared" si="14"/>
        <v>22.809882329259874</v>
      </c>
      <c r="R174" s="288">
        <f t="shared" si="11"/>
        <v>16.736016044068524</v>
      </c>
      <c r="S174" s="303">
        <f t="shared" si="12"/>
        <v>11.441277223975272</v>
      </c>
    </row>
    <row r="175" spans="2:19" x14ac:dyDescent="0.25">
      <c r="B175" s="266" t="s">
        <v>565</v>
      </c>
      <c r="H175" s="295" t="s">
        <v>162</v>
      </c>
      <c r="I175" s="296" t="s">
        <v>565</v>
      </c>
      <c r="J175" s="174"/>
      <c r="K175" s="296" t="s">
        <v>565</v>
      </c>
      <c r="L175" s="109" t="s">
        <v>167</v>
      </c>
      <c r="M175" s="174"/>
      <c r="N175" s="296" t="s">
        <v>565</v>
      </c>
      <c r="O175" s="100">
        <f t="shared" si="13"/>
        <v>9.5100109649122793</v>
      </c>
      <c r="P175" s="100">
        <f t="shared" si="9"/>
        <v>15.400000000000002</v>
      </c>
      <c r="Q175" s="286">
        <f t="shared" si="14"/>
        <v>35.045726297527231</v>
      </c>
      <c r="R175" s="288">
        <f t="shared" si="11"/>
        <v>25.713672220004003</v>
      </c>
      <c r="S175" s="303">
        <f t="shared" si="12"/>
        <v>17.578690862916869</v>
      </c>
    </row>
    <row r="176" spans="2:19" x14ac:dyDescent="0.25">
      <c r="B176" s="266" t="s">
        <v>566</v>
      </c>
      <c r="H176" s="295" t="s">
        <v>271</v>
      </c>
      <c r="I176" s="296" t="s">
        <v>566</v>
      </c>
      <c r="J176" s="174"/>
      <c r="K176" s="296" t="s">
        <v>566</v>
      </c>
      <c r="L176" s="109" t="s">
        <v>278</v>
      </c>
      <c r="M176" s="174"/>
      <c r="N176" s="296" t="s">
        <v>566</v>
      </c>
      <c r="O176" s="100">
        <f t="shared" si="13"/>
        <v>1.7435750453807202</v>
      </c>
      <c r="P176" s="100">
        <f t="shared" si="9"/>
        <v>2.0999999999999996</v>
      </c>
      <c r="Q176" s="286">
        <f t="shared" si="14"/>
        <v>6.4253189659886969</v>
      </c>
      <c r="R176" s="288">
        <f t="shared" si="11"/>
        <v>4.7143707166390207</v>
      </c>
      <c r="S176" s="303">
        <f t="shared" si="12"/>
        <v>3.2228949926690902</v>
      </c>
    </row>
    <row r="177" spans="2:19" x14ac:dyDescent="0.25">
      <c r="B177" s="266" t="s">
        <v>567</v>
      </c>
      <c r="H177" s="295" t="s">
        <v>271</v>
      </c>
      <c r="I177" s="296" t="s">
        <v>567</v>
      </c>
      <c r="J177" s="174"/>
      <c r="K177" s="296" t="s">
        <v>567</v>
      </c>
      <c r="L177" s="109" t="s">
        <v>273</v>
      </c>
      <c r="M177" s="174"/>
      <c r="N177" s="296" t="s">
        <v>567</v>
      </c>
      <c r="O177" s="100">
        <f t="shared" si="13"/>
        <v>0.65</v>
      </c>
      <c r="P177" s="100">
        <f t="shared" si="9"/>
        <v>3.5</v>
      </c>
      <c r="Q177" s="286">
        <f t="shared" si="14"/>
        <v>2.3953413069069809</v>
      </c>
      <c r="R177" s="288">
        <f t="shared" si="11"/>
        <v>1.7575044870788719</v>
      </c>
      <c r="S177" s="303">
        <f t="shared" si="12"/>
        <v>1.201486423417742</v>
      </c>
    </row>
    <row r="178" spans="2:19" x14ac:dyDescent="0.25">
      <c r="B178" s="266" t="s">
        <v>568</v>
      </c>
      <c r="H178" s="295" t="s">
        <v>272</v>
      </c>
      <c r="I178" s="296" t="s">
        <v>568</v>
      </c>
      <c r="J178" s="174"/>
      <c r="K178" s="296" t="s">
        <v>568</v>
      </c>
      <c r="L178" s="109" t="s">
        <v>166</v>
      </c>
      <c r="M178" s="174"/>
      <c r="N178" s="296" t="s">
        <v>568</v>
      </c>
      <c r="O178" s="100">
        <f t="shared" si="13"/>
        <v>1.9615219260533103</v>
      </c>
      <c r="P178" s="100">
        <f t="shared" si="9"/>
        <v>7</v>
      </c>
      <c r="Q178" s="286">
        <f t="shared" si="14"/>
        <v>7.2284838367372846</v>
      </c>
      <c r="R178" s="288">
        <f t="shared" si="11"/>
        <v>5.3036670562188979</v>
      </c>
      <c r="S178" s="303">
        <f t="shared" si="12"/>
        <v>3.6257568667527269</v>
      </c>
    </row>
    <row r="179" spans="2:19" x14ac:dyDescent="0.25">
      <c r="B179" s="266" t="s">
        <v>569</v>
      </c>
      <c r="H179" s="295" t="s">
        <v>272</v>
      </c>
      <c r="I179" s="296" t="s">
        <v>569</v>
      </c>
      <c r="J179" s="174"/>
      <c r="K179" s="296" t="s">
        <v>569</v>
      </c>
      <c r="L179" s="109" t="s">
        <v>279</v>
      </c>
      <c r="M179" s="174"/>
      <c r="N179" s="296" t="s">
        <v>569</v>
      </c>
      <c r="O179" s="100">
        <f t="shared" si="13"/>
        <v>1.2553740326741185</v>
      </c>
      <c r="P179" s="100">
        <f t="shared" si="9"/>
        <v>2.8000000000000007</v>
      </c>
      <c r="Q179" s="286">
        <f t="shared" si="14"/>
        <v>4.626229655511862</v>
      </c>
      <c r="R179" s="288">
        <f t="shared" si="11"/>
        <v>3.3943469159800945</v>
      </c>
      <c r="S179" s="303">
        <f t="shared" si="12"/>
        <v>2.3204843947217451</v>
      </c>
    </row>
    <row r="180" spans="2:19" x14ac:dyDescent="0.25">
      <c r="B180" s="266" t="s">
        <v>570</v>
      </c>
      <c r="H180" s="295" t="s">
        <v>273</v>
      </c>
      <c r="I180" s="296" t="s">
        <v>570</v>
      </c>
      <c r="J180" s="174"/>
      <c r="K180" s="296" t="s">
        <v>570</v>
      </c>
      <c r="L180" s="109" t="s">
        <v>271</v>
      </c>
      <c r="M180" s="174"/>
      <c r="N180" s="296" t="s">
        <v>570</v>
      </c>
      <c r="O180" s="100">
        <f t="shared" si="13"/>
        <v>0.65</v>
      </c>
      <c r="P180" s="100">
        <f t="shared" si="9"/>
        <v>3.5</v>
      </c>
      <c r="Q180" s="286">
        <f t="shared" si="14"/>
        <v>2.3953413069069809</v>
      </c>
      <c r="R180" s="288">
        <f t="shared" si="11"/>
        <v>1.7575044870788719</v>
      </c>
      <c r="S180" s="303">
        <f t="shared" si="12"/>
        <v>1.201486423417742</v>
      </c>
    </row>
    <row r="181" spans="2:19" x14ac:dyDescent="0.25">
      <c r="B181" s="266" t="s">
        <v>571</v>
      </c>
      <c r="H181" s="295" t="s">
        <v>166</v>
      </c>
      <c r="I181" s="296" t="s">
        <v>571</v>
      </c>
      <c r="J181" s="174"/>
      <c r="K181" s="296" t="s">
        <v>571</v>
      </c>
      <c r="L181" s="109" t="s">
        <v>174</v>
      </c>
      <c r="M181" s="174"/>
      <c r="N181" s="296" t="s">
        <v>571</v>
      </c>
      <c r="O181" s="100">
        <f t="shared" si="13"/>
        <v>5.3091860131842932</v>
      </c>
      <c r="P181" s="100">
        <f t="shared" si="9"/>
        <v>3.5</v>
      </c>
      <c r="Q181" s="286">
        <f t="shared" si="14"/>
        <v>19.565096251435584</v>
      </c>
      <c r="R181" s="288">
        <f t="shared" si="11"/>
        <v>14.355258832165818</v>
      </c>
      <c r="S181" s="303">
        <f t="shared" si="12"/>
        <v>9.8137152526773797</v>
      </c>
    </row>
    <row r="182" spans="2:19" x14ac:dyDescent="0.25">
      <c r="B182" s="266" t="s">
        <v>572</v>
      </c>
      <c r="H182" s="295" t="s">
        <v>166</v>
      </c>
      <c r="I182" s="296" t="s">
        <v>572</v>
      </c>
      <c r="J182" s="174"/>
      <c r="K182" s="296" t="s">
        <v>572</v>
      </c>
      <c r="L182" s="109" t="s">
        <v>175</v>
      </c>
      <c r="M182" s="174"/>
      <c r="N182" s="296" t="s">
        <v>572</v>
      </c>
      <c r="O182" s="100">
        <f t="shared" si="13"/>
        <v>2.2701347090856974</v>
      </c>
      <c r="P182" s="100">
        <f t="shared" si="9"/>
        <v>3.5</v>
      </c>
      <c r="Q182" s="286">
        <f t="shared" si="14"/>
        <v>8.3657652937172831</v>
      </c>
      <c r="R182" s="288">
        <f t="shared" si="11"/>
        <v>6.1381106730640038</v>
      </c>
      <c r="S182" s="303">
        <f t="shared" si="12"/>
        <v>4.1962092804551547</v>
      </c>
    </row>
    <row r="183" spans="2:19" x14ac:dyDescent="0.25">
      <c r="B183" s="266" t="s">
        <v>573</v>
      </c>
      <c r="H183" s="295" t="s">
        <v>166</v>
      </c>
      <c r="I183" s="296" t="s">
        <v>573</v>
      </c>
      <c r="J183" s="174"/>
      <c r="K183" s="296" t="s">
        <v>573</v>
      </c>
      <c r="L183" s="109" t="s">
        <v>165</v>
      </c>
      <c r="M183" s="174"/>
      <c r="N183" s="296" t="s">
        <v>573</v>
      </c>
      <c r="O183" s="100">
        <f t="shared" si="13"/>
        <v>4.94678394000191</v>
      </c>
      <c r="P183" s="100">
        <f t="shared" si="9"/>
        <v>5.6000000000000014</v>
      </c>
      <c r="Q183" s="286">
        <f t="shared" si="14"/>
        <v>18.22959370435483</v>
      </c>
      <c r="R183" s="288">
        <f t="shared" si="11"/>
        <v>13.375376878712396</v>
      </c>
      <c r="S183" s="303">
        <f t="shared" si="12"/>
        <v>9.1438365284511089</v>
      </c>
    </row>
    <row r="184" spans="2:19" x14ac:dyDescent="0.25">
      <c r="B184" s="266" t="s">
        <v>574</v>
      </c>
      <c r="H184" s="295" t="s">
        <v>166</v>
      </c>
      <c r="I184" s="296" t="s">
        <v>574</v>
      </c>
      <c r="J184" s="174"/>
      <c r="K184" s="296" t="s">
        <v>574</v>
      </c>
      <c r="L184" s="109" t="s">
        <v>272</v>
      </c>
      <c r="M184" s="174"/>
      <c r="N184" s="296" t="s">
        <v>574</v>
      </c>
      <c r="O184" s="100">
        <f t="shared" si="13"/>
        <v>1.4384494124390943</v>
      </c>
      <c r="P184" s="100">
        <f t="shared" si="9"/>
        <v>7.3500000000000014</v>
      </c>
      <c r="Q184" s="286">
        <f t="shared" si="14"/>
        <v>5.3008881469406752</v>
      </c>
      <c r="R184" s="288">
        <f t="shared" si="11"/>
        <v>3.889355841227192</v>
      </c>
      <c r="S184" s="303">
        <f t="shared" si="12"/>
        <v>2.6588883689519998</v>
      </c>
    </row>
    <row r="185" spans="2:19" x14ac:dyDescent="0.25">
      <c r="B185" s="266" t="s">
        <v>575</v>
      </c>
      <c r="H185" s="295" t="s">
        <v>274</v>
      </c>
      <c r="I185" s="296" t="s">
        <v>575</v>
      </c>
      <c r="J185" s="174"/>
      <c r="K185" s="296" t="s">
        <v>575</v>
      </c>
      <c r="L185" s="109" t="s">
        <v>268</v>
      </c>
      <c r="M185" s="174"/>
      <c r="N185" s="296" t="s">
        <v>575</v>
      </c>
      <c r="O185" s="100">
        <f t="shared" si="13"/>
        <v>2.5</v>
      </c>
      <c r="P185" s="100">
        <f t="shared" si="9"/>
        <v>3.5</v>
      </c>
      <c r="Q185" s="286">
        <f t="shared" si="14"/>
        <v>9.2128511804114659</v>
      </c>
      <c r="R185" s="288">
        <f t="shared" si="11"/>
        <v>6.7596326426110451</v>
      </c>
      <c r="S185" s="303">
        <f t="shared" si="12"/>
        <v>4.621101628529777</v>
      </c>
    </row>
    <row r="186" spans="2:19" x14ac:dyDescent="0.25">
      <c r="B186" s="266" t="s">
        <v>576</v>
      </c>
      <c r="H186" s="295" t="s">
        <v>275</v>
      </c>
      <c r="I186" s="296" t="s">
        <v>576</v>
      </c>
      <c r="J186" s="174"/>
      <c r="K186" s="296" t="s">
        <v>576</v>
      </c>
      <c r="L186" s="109" t="s">
        <v>177</v>
      </c>
      <c r="M186" s="174"/>
      <c r="N186" s="296" t="s">
        <v>576</v>
      </c>
      <c r="O186" s="100">
        <f t="shared" si="13"/>
        <v>0.66255851724467363</v>
      </c>
      <c r="P186" s="100">
        <f t="shared" si="9"/>
        <v>3.1500000000000004</v>
      </c>
      <c r="Q186" s="286">
        <f t="shared" si="14"/>
        <v>2.4416212070757046</v>
      </c>
      <c r="R186" s="288">
        <f t="shared" si="11"/>
        <v>1.7914608723228276</v>
      </c>
      <c r="S186" s="303">
        <f t="shared" si="12"/>
        <v>1.2247000972142541</v>
      </c>
    </row>
    <row r="187" spans="2:19" x14ac:dyDescent="0.25">
      <c r="B187" s="266" t="s">
        <v>577</v>
      </c>
      <c r="H187" s="295" t="s">
        <v>177</v>
      </c>
      <c r="I187" s="296" t="s">
        <v>577</v>
      </c>
      <c r="J187" s="174"/>
      <c r="K187" s="296" t="s">
        <v>577</v>
      </c>
      <c r="L187" s="109" t="s">
        <v>275</v>
      </c>
      <c r="M187" s="174"/>
      <c r="N187" s="296" t="s">
        <v>577</v>
      </c>
      <c r="O187" s="100">
        <f t="shared" si="13"/>
        <v>0.66866102990350629</v>
      </c>
      <c r="P187" s="100">
        <f t="shared" si="9"/>
        <v>3.1500000000000004</v>
      </c>
      <c r="Q187" s="286">
        <f t="shared" si="14"/>
        <v>2.4641098234566656</v>
      </c>
      <c r="R187" s="288">
        <f t="shared" si="11"/>
        <v>1.8079611698310645</v>
      </c>
      <c r="S187" s="303">
        <f t="shared" si="12"/>
        <v>1.2359802296885962</v>
      </c>
    </row>
    <row r="188" spans="2:19" x14ac:dyDescent="0.25">
      <c r="B188" s="266" t="s">
        <v>578</v>
      </c>
      <c r="H188" s="295" t="s">
        <v>177</v>
      </c>
      <c r="I188" s="296" t="s">
        <v>578</v>
      </c>
      <c r="J188" s="174"/>
      <c r="K188" s="296" t="s">
        <v>578</v>
      </c>
      <c r="L188" s="109" t="s">
        <v>178</v>
      </c>
      <c r="M188" s="174"/>
      <c r="N188" s="296" t="s">
        <v>578</v>
      </c>
      <c r="O188" s="100">
        <f t="shared" si="13"/>
        <v>0.44984236170822578</v>
      </c>
      <c r="P188" s="100">
        <f t="shared" si="9"/>
        <v>3.8500000000000005</v>
      </c>
      <c r="Q188" s="286">
        <f t="shared" si="14"/>
        <v>1.6577322932250838</v>
      </c>
      <c r="R188" s="288">
        <f t="shared" si="11"/>
        <v>1.2163076448928671</v>
      </c>
      <c r="S188" s="303">
        <f t="shared" si="12"/>
        <v>0.83150690810862526</v>
      </c>
    </row>
    <row r="189" spans="2:19" x14ac:dyDescent="0.25">
      <c r="B189" s="266" t="s">
        <v>579</v>
      </c>
      <c r="H189" s="295" t="s">
        <v>177</v>
      </c>
      <c r="I189" s="296" t="s">
        <v>579</v>
      </c>
      <c r="J189" s="174"/>
      <c r="K189" s="296" t="s">
        <v>579</v>
      </c>
      <c r="L189" s="109" t="s">
        <v>280</v>
      </c>
      <c r="M189" s="174"/>
      <c r="N189" s="296" t="s">
        <v>579</v>
      </c>
      <c r="O189" s="100">
        <f t="shared" si="13"/>
        <v>1.23850494411006</v>
      </c>
      <c r="P189" s="100">
        <f t="shared" si="9"/>
        <v>3.5</v>
      </c>
      <c r="Q189" s="286">
        <f t="shared" si="14"/>
        <v>4.5640646945159205</v>
      </c>
      <c r="R189" s="288">
        <f t="shared" si="11"/>
        <v>3.3487353792966119</v>
      </c>
      <c r="S189" s="303">
        <f t="shared" si="12"/>
        <v>2.2893028856676714</v>
      </c>
    </row>
    <row r="190" spans="2:19" x14ac:dyDescent="0.25">
      <c r="B190" s="266" t="s">
        <v>580</v>
      </c>
      <c r="H190" s="295" t="s">
        <v>177</v>
      </c>
      <c r="I190" s="296" t="s">
        <v>580</v>
      </c>
      <c r="J190" s="174"/>
      <c r="K190" s="296" t="s">
        <v>580</v>
      </c>
      <c r="L190" s="109" t="s">
        <v>173</v>
      </c>
      <c r="M190" s="174"/>
      <c r="N190" s="296" t="s">
        <v>580</v>
      </c>
      <c r="O190" s="100">
        <f t="shared" si="13"/>
        <v>1.595371166523359</v>
      </c>
      <c r="P190" s="100">
        <f t="shared" si="9"/>
        <v>7.3500000000000014</v>
      </c>
      <c r="Q190" s="286">
        <f t="shared" si="14"/>
        <v>5.8791668538796573</v>
      </c>
      <c r="R190" s="288">
        <f t="shared" si="11"/>
        <v>4.3136492057247038</v>
      </c>
      <c r="S190" s="303">
        <f t="shared" si="12"/>
        <v>2.9489489182922175</v>
      </c>
    </row>
    <row r="191" spans="2:19" x14ac:dyDescent="0.25">
      <c r="B191" s="266" t="s">
        <v>581</v>
      </c>
      <c r="H191" s="295" t="s">
        <v>276</v>
      </c>
      <c r="I191" s="296" t="s">
        <v>581</v>
      </c>
      <c r="J191" s="174"/>
      <c r="K191" s="296" t="s">
        <v>581</v>
      </c>
      <c r="L191" s="109" t="s">
        <v>176</v>
      </c>
      <c r="M191" s="174"/>
      <c r="N191" s="296" t="s">
        <v>581</v>
      </c>
      <c r="O191" s="100">
        <f t="shared" si="13"/>
        <v>3.7574042227954516</v>
      </c>
      <c r="P191" s="100">
        <f t="shared" ref="P191:P211" si="15">P54</f>
        <v>5.25</v>
      </c>
      <c r="Q191" s="286">
        <f t="shared" si="14"/>
        <v>13.846562371705641</v>
      </c>
      <c r="R191" s="288">
        <f t="shared" si="11"/>
        <v>10.159468894357088</v>
      </c>
      <c r="S191" s="303">
        <f t="shared" si="12"/>
        <v>6.9453387092018888</v>
      </c>
    </row>
    <row r="192" spans="2:19" x14ac:dyDescent="0.25">
      <c r="B192" s="266" t="s">
        <v>582</v>
      </c>
      <c r="H192" s="295" t="s">
        <v>167</v>
      </c>
      <c r="I192" s="296" t="s">
        <v>582</v>
      </c>
      <c r="J192" s="174"/>
      <c r="K192" s="296" t="s">
        <v>582</v>
      </c>
      <c r="L192" s="109" t="s">
        <v>168</v>
      </c>
      <c r="M192" s="174"/>
      <c r="N192" s="296" t="s">
        <v>582</v>
      </c>
      <c r="O192" s="100">
        <f t="shared" ref="O192:O211" si="16">$X$143*O55</f>
        <v>11.62629948397344</v>
      </c>
      <c r="P192" s="100">
        <f t="shared" si="15"/>
        <v>5.25</v>
      </c>
      <c r="Q192" s="286">
        <f t="shared" si="14"/>
        <v>42.844546769896766</v>
      </c>
      <c r="R192" s="288">
        <f t="shared" si="11"/>
        <v>31.435805401855529</v>
      </c>
      <c r="S192" s="303">
        <f t="shared" si="12"/>
        <v>21.490524591665828</v>
      </c>
    </row>
    <row r="193" spans="2:19" x14ac:dyDescent="0.25">
      <c r="B193" s="266" t="s">
        <v>583</v>
      </c>
      <c r="H193" s="295" t="s">
        <v>167</v>
      </c>
      <c r="I193" s="296" t="s">
        <v>583</v>
      </c>
      <c r="J193" s="174"/>
      <c r="K193" s="296" t="s">
        <v>583</v>
      </c>
      <c r="L193" s="109" t="s">
        <v>175</v>
      </c>
      <c r="M193" s="174"/>
      <c r="N193" s="296" t="s">
        <v>583</v>
      </c>
      <c r="O193" s="100">
        <f t="shared" si="16"/>
        <v>8.6760294258144643</v>
      </c>
      <c r="P193" s="100">
        <f t="shared" si="15"/>
        <v>4.55</v>
      </c>
      <c r="Q193" s="286">
        <f t="shared" si="14"/>
        <v>31.97238717475976</v>
      </c>
      <c r="R193" s="288">
        <f t="shared" si="11"/>
        <v>23.458708685995767</v>
      </c>
      <c r="S193" s="303">
        <f t="shared" si="12"/>
        <v>16.037125483521393</v>
      </c>
    </row>
    <row r="194" spans="2:19" x14ac:dyDescent="0.25">
      <c r="B194" s="266" t="s">
        <v>584</v>
      </c>
      <c r="H194" s="295" t="s">
        <v>167</v>
      </c>
      <c r="I194" s="296" t="s">
        <v>584</v>
      </c>
      <c r="J194" s="174"/>
      <c r="K194" s="296" t="s">
        <v>584</v>
      </c>
      <c r="L194" s="109" t="s">
        <v>281</v>
      </c>
      <c r="M194" s="174"/>
      <c r="N194" s="296" t="s">
        <v>584</v>
      </c>
      <c r="O194" s="100">
        <f t="shared" si="16"/>
        <v>0.24671586892137193</v>
      </c>
      <c r="P194" s="100">
        <f t="shared" si="15"/>
        <v>4.1999999999999993</v>
      </c>
      <c r="Q194" s="286">
        <f t="shared" si="14"/>
        <v>0.90918263368740071</v>
      </c>
      <c r="R194" s="288">
        <f t="shared" si="11"/>
        <v>0.66708345640442146</v>
      </c>
      <c r="S194" s="303">
        <f t="shared" si="12"/>
        <v>0.45603964146267628</v>
      </c>
    </row>
    <row r="195" spans="2:19" x14ac:dyDescent="0.25">
      <c r="B195" s="266" t="s">
        <v>585</v>
      </c>
      <c r="H195" s="295" t="s">
        <v>277</v>
      </c>
      <c r="I195" s="296" t="s">
        <v>585</v>
      </c>
      <c r="J195" s="174"/>
      <c r="K195" s="296" t="s">
        <v>585</v>
      </c>
      <c r="L195" s="109" t="s">
        <v>278</v>
      </c>
      <c r="M195" s="174"/>
      <c r="N195" s="296" t="s">
        <v>585</v>
      </c>
      <c r="O195" s="100">
        <f t="shared" si="16"/>
        <v>0.58758479029330279</v>
      </c>
      <c r="P195" s="100">
        <f t="shared" si="15"/>
        <v>2.0999999999999996</v>
      </c>
      <c r="Q195" s="286">
        <f t="shared" si="14"/>
        <v>2.1653324915381913</v>
      </c>
      <c r="R195" s="288">
        <f t="shared" si="11"/>
        <v>1.58874293150735</v>
      </c>
      <c r="S195" s="303">
        <f t="shared" si="12"/>
        <v>1.0861156125294835</v>
      </c>
    </row>
    <row r="196" spans="2:19" x14ac:dyDescent="0.25">
      <c r="B196" s="266" t="s">
        <v>586</v>
      </c>
      <c r="H196" s="295" t="s">
        <v>278</v>
      </c>
      <c r="I196" s="296" t="s">
        <v>586</v>
      </c>
      <c r="J196" s="174"/>
      <c r="K196" s="296" t="s">
        <v>586</v>
      </c>
      <c r="L196" s="109" t="s">
        <v>271</v>
      </c>
      <c r="M196" s="174"/>
      <c r="N196" s="296" t="s">
        <v>586</v>
      </c>
      <c r="O196" s="100">
        <f t="shared" si="16"/>
        <v>1.595371166523359</v>
      </c>
      <c r="P196" s="100">
        <f t="shared" si="15"/>
        <v>2.0999999999999996</v>
      </c>
      <c r="Q196" s="286">
        <f t="shared" si="14"/>
        <v>5.8791668538796573</v>
      </c>
      <c r="R196" s="288">
        <f t="shared" si="11"/>
        <v>4.3136492057247038</v>
      </c>
      <c r="S196" s="303">
        <f t="shared" si="12"/>
        <v>2.9489489182922175</v>
      </c>
    </row>
    <row r="197" spans="2:19" x14ac:dyDescent="0.25">
      <c r="B197" s="266" t="s">
        <v>587</v>
      </c>
      <c r="H197" s="295" t="s">
        <v>278</v>
      </c>
      <c r="I197" s="296" t="s">
        <v>587</v>
      </c>
      <c r="J197" s="174"/>
      <c r="K197" s="296" t="s">
        <v>587</v>
      </c>
      <c r="L197" s="109" t="s">
        <v>277</v>
      </c>
      <c r="M197" s="174"/>
      <c r="N197" s="296" t="s">
        <v>587</v>
      </c>
      <c r="O197" s="100">
        <f t="shared" si="16"/>
        <v>0.56666188974873399</v>
      </c>
      <c r="P197" s="100">
        <f t="shared" si="15"/>
        <v>2.0999999999999996</v>
      </c>
      <c r="Q197" s="286">
        <f t="shared" si="14"/>
        <v>2.0882286639463263</v>
      </c>
      <c r="R197" s="288">
        <f t="shared" si="11"/>
        <v>1.5321704829076814</v>
      </c>
      <c r="S197" s="303">
        <f t="shared" si="12"/>
        <v>1.0474408726174542</v>
      </c>
    </row>
    <row r="198" spans="2:19" x14ac:dyDescent="0.25">
      <c r="B198" s="266" t="s">
        <v>588</v>
      </c>
      <c r="H198" s="295" t="s">
        <v>163</v>
      </c>
      <c r="I198" s="296" t="s">
        <v>588</v>
      </c>
      <c r="J198" s="174"/>
      <c r="K198" s="296" t="s">
        <v>588</v>
      </c>
      <c r="L198" s="109" t="s">
        <v>167</v>
      </c>
      <c r="M198" s="174"/>
      <c r="N198" s="296" t="s">
        <v>588</v>
      </c>
      <c r="O198" s="100">
        <f t="shared" si="16"/>
        <v>3.3716747893379191</v>
      </c>
      <c r="P198" s="100">
        <f t="shared" si="15"/>
        <v>14</v>
      </c>
      <c r="Q198" s="286">
        <f t="shared" si="14"/>
        <v>12.425095225166171</v>
      </c>
      <c r="R198" s="288">
        <f t="shared" si="11"/>
        <v>9.116513186510927</v>
      </c>
      <c r="S198" s="303">
        <f t="shared" si="12"/>
        <v>6.2323407439528999</v>
      </c>
    </row>
    <row r="199" spans="2:19" x14ac:dyDescent="0.25">
      <c r="B199" s="266" t="s">
        <v>589</v>
      </c>
      <c r="H199" s="295" t="s">
        <v>164</v>
      </c>
      <c r="I199" s="296" t="s">
        <v>589</v>
      </c>
      <c r="J199" s="174"/>
      <c r="K199" s="296" t="s">
        <v>589</v>
      </c>
      <c r="L199" s="109" t="s">
        <v>174</v>
      </c>
      <c r="M199" s="174"/>
      <c r="N199" s="296" t="s">
        <v>589</v>
      </c>
      <c r="O199" s="100">
        <f t="shared" si="16"/>
        <v>6.9559926435463835</v>
      </c>
      <c r="P199" s="100">
        <f t="shared" si="15"/>
        <v>1.75</v>
      </c>
      <c r="Q199" s="286">
        <f t="shared" si="14"/>
        <v>25.633810014811907</v>
      </c>
      <c r="R199" s="288">
        <f t="shared" si="11"/>
        <v>18.807981974031371</v>
      </c>
      <c r="S199" s="303">
        <f t="shared" si="12"/>
        <v>12.857739573253335</v>
      </c>
    </row>
    <row r="200" spans="2:19" x14ac:dyDescent="0.25">
      <c r="B200" s="266" t="s">
        <v>590</v>
      </c>
      <c r="H200" s="295" t="s">
        <v>164</v>
      </c>
      <c r="I200" s="296" t="s">
        <v>590</v>
      </c>
      <c r="J200" s="174"/>
      <c r="K200" s="296" t="s">
        <v>590</v>
      </c>
      <c r="L200" s="109" t="s">
        <v>165</v>
      </c>
      <c r="M200" s="174"/>
      <c r="N200" s="296" t="s">
        <v>590</v>
      </c>
      <c r="O200" s="100">
        <f t="shared" si="16"/>
        <v>16.069430552808825</v>
      </c>
      <c r="P200" s="100">
        <f t="shared" si="15"/>
        <v>2.8000000000000007</v>
      </c>
      <c r="Q200" s="286">
        <f t="shared" si="14"/>
        <v>59.218108894793943</v>
      </c>
      <c r="R200" s="288">
        <f t="shared" si="11"/>
        <v>43.449378925175118</v>
      </c>
      <c r="S200" s="303">
        <f t="shared" si="12"/>
        <v>29.703388678852406</v>
      </c>
    </row>
    <row r="201" spans="2:19" x14ac:dyDescent="0.25">
      <c r="B201" s="266" t="s">
        <v>591</v>
      </c>
      <c r="H201" s="295" t="s">
        <v>164</v>
      </c>
      <c r="I201" s="296" t="s">
        <v>591</v>
      </c>
      <c r="J201" s="174"/>
      <c r="K201" s="296" t="s">
        <v>591</v>
      </c>
      <c r="L201" s="109" t="s">
        <v>176</v>
      </c>
      <c r="M201" s="174"/>
      <c r="N201" s="296" t="s">
        <v>591</v>
      </c>
      <c r="O201" s="100">
        <f t="shared" si="16"/>
        <v>4.3066303620903783</v>
      </c>
      <c r="P201" s="100">
        <f t="shared" si="15"/>
        <v>5.46</v>
      </c>
      <c r="Q201" s="286">
        <f t="shared" si="14"/>
        <v>15.870537845992079</v>
      </c>
      <c r="R201" s="288">
        <f t="shared" si="11"/>
        <v>11.644495670098379</v>
      </c>
      <c r="S201" s="303">
        <f t="shared" si="12"/>
        <v>7.9605506318926516</v>
      </c>
    </row>
    <row r="202" spans="2:19" x14ac:dyDescent="0.25">
      <c r="B202" s="266" t="s">
        <v>592</v>
      </c>
      <c r="H202" s="295" t="s">
        <v>39</v>
      </c>
      <c r="I202" s="296" t="s">
        <v>592</v>
      </c>
      <c r="J202" s="174"/>
      <c r="K202" s="296" t="s">
        <v>592</v>
      </c>
      <c r="L202" s="109" t="s">
        <v>174</v>
      </c>
      <c r="M202" s="174"/>
      <c r="N202" s="296" t="s">
        <v>592</v>
      </c>
      <c r="O202" s="100">
        <f t="shared" si="16"/>
        <v>4.254323110728957</v>
      </c>
      <c r="P202" s="100">
        <f t="shared" si="15"/>
        <v>12.600000000000001</v>
      </c>
      <c r="Q202" s="286">
        <f t="shared" si="14"/>
        <v>15.67777827701242</v>
      </c>
      <c r="R202" s="288">
        <f t="shared" si="11"/>
        <v>11.503064548599209</v>
      </c>
      <c r="S202" s="303">
        <f t="shared" si="12"/>
        <v>7.8638637821125794</v>
      </c>
    </row>
    <row r="203" spans="2:19" x14ac:dyDescent="0.25">
      <c r="B203" s="266" t="s">
        <v>593</v>
      </c>
      <c r="H203" s="295" t="s">
        <v>39</v>
      </c>
      <c r="I203" s="296" t="s">
        <v>593</v>
      </c>
      <c r="J203" s="174"/>
      <c r="K203" s="296" t="s">
        <v>593</v>
      </c>
      <c r="L203" s="109" t="s">
        <v>165</v>
      </c>
      <c r="M203" s="174"/>
      <c r="N203" s="296" t="s">
        <v>593</v>
      </c>
      <c r="O203" s="100">
        <f t="shared" si="16"/>
        <v>14.918885299512752</v>
      </c>
      <c r="P203" s="100">
        <f t="shared" si="15"/>
        <v>10.85</v>
      </c>
      <c r="Q203" s="286">
        <f t="shared" si="14"/>
        <v>54.978188016815729</v>
      </c>
      <c r="R203" s="288">
        <f t="shared" si="11"/>
        <v>40.338473624782587</v>
      </c>
      <c r="S203" s="303">
        <f t="shared" si="12"/>
        <v>27.57667406137093</v>
      </c>
    </row>
    <row r="204" spans="2:19" x14ac:dyDescent="0.25">
      <c r="B204" s="266" t="s">
        <v>594</v>
      </c>
      <c r="H204" s="295" t="s">
        <v>39</v>
      </c>
      <c r="I204" s="296" t="s">
        <v>594</v>
      </c>
      <c r="J204" s="174"/>
      <c r="K204" s="296" t="s">
        <v>594</v>
      </c>
      <c r="L204" s="109" t="s">
        <v>166</v>
      </c>
      <c r="M204" s="174"/>
      <c r="N204" s="296" t="s">
        <v>594</v>
      </c>
      <c r="O204" s="100">
        <f t="shared" si="16"/>
        <v>4.9691888793350527</v>
      </c>
      <c r="P204" s="100">
        <f t="shared" si="15"/>
        <v>15.400000000000002</v>
      </c>
      <c r="Q204" s="286">
        <f t="shared" ref="Q204:Q228" si="17">O204*$Y$110</f>
        <v>18.312159053067788</v>
      </c>
      <c r="R204" s="288">
        <f t="shared" si="11"/>
        <v>13.435956542421209</v>
      </c>
      <c r="S204" s="303">
        <f t="shared" si="12"/>
        <v>9.1852507291069081</v>
      </c>
    </row>
    <row r="205" spans="2:19" x14ac:dyDescent="0.25">
      <c r="B205" s="266" t="s">
        <v>595</v>
      </c>
      <c r="H205" s="295" t="s">
        <v>39</v>
      </c>
      <c r="I205" s="296" t="s">
        <v>595</v>
      </c>
      <c r="J205" s="174"/>
      <c r="K205" s="296" t="s">
        <v>595</v>
      </c>
      <c r="L205" s="109" t="s">
        <v>176</v>
      </c>
      <c r="M205" s="174"/>
      <c r="N205" s="296" t="s">
        <v>595</v>
      </c>
      <c r="O205" s="100">
        <f t="shared" si="16"/>
        <v>13.068966752651187</v>
      </c>
      <c r="P205" s="100">
        <f t="shared" si="15"/>
        <v>9.7999999999999972</v>
      </c>
      <c r="Q205" s="286">
        <f t="shared" si="17"/>
        <v>48.160978309568272</v>
      </c>
      <c r="R205" s="288">
        <f t="shared" ref="R205:R228" si="18">O205*$Z$110</f>
        <v>35.336565706567775</v>
      </c>
      <c r="S205" s="303">
        <f t="shared" ref="S205:S228" si="19">O205*$AA$110</f>
        <v>24.157209417551165</v>
      </c>
    </row>
    <row r="206" spans="2:19" x14ac:dyDescent="0.25">
      <c r="B206" s="266" t="s">
        <v>596</v>
      </c>
      <c r="H206" s="295" t="s">
        <v>39</v>
      </c>
      <c r="I206" s="296" t="s">
        <v>596</v>
      </c>
      <c r="J206" s="174"/>
      <c r="K206" s="296" t="s">
        <v>596</v>
      </c>
      <c r="L206" s="109" t="s">
        <v>164</v>
      </c>
      <c r="M206" s="174"/>
      <c r="N206" s="296" t="s">
        <v>596</v>
      </c>
      <c r="O206" s="100">
        <f t="shared" si="16"/>
        <v>4.6119303525365432</v>
      </c>
      <c r="P206" s="100">
        <f t="shared" si="15"/>
        <v>10.85</v>
      </c>
      <c r="Q206" s="286">
        <f t="shared" si="17"/>
        <v>16.995611196936704</v>
      </c>
      <c r="R206" s="288">
        <f t="shared" si="18"/>
        <v>12.469981982581873</v>
      </c>
      <c r="S206" s="303">
        <f t="shared" si="19"/>
        <v>8.5248795451090107</v>
      </c>
    </row>
    <row r="207" spans="2:19" x14ac:dyDescent="0.25">
      <c r="B207" s="266" t="s">
        <v>597</v>
      </c>
      <c r="H207" s="295" t="s">
        <v>171</v>
      </c>
      <c r="I207" s="296" t="s">
        <v>597</v>
      </c>
      <c r="J207" s="174"/>
      <c r="K207" s="296" t="s">
        <v>597</v>
      </c>
      <c r="L207" s="109" t="s">
        <v>165</v>
      </c>
      <c r="M207" s="174"/>
      <c r="N207" s="296" t="s">
        <v>597</v>
      </c>
      <c r="O207" s="100">
        <f t="shared" si="16"/>
        <v>8.1166905512563279</v>
      </c>
      <c r="P207" s="100">
        <f t="shared" si="15"/>
        <v>4.8999999999999986</v>
      </c>
      <c r="Q207" s="286">
        <f t="shared" si="17"/>
        <v>29.911144850470578</v>
      </c>
      <c r="R207" s="288">
        <f t="shared" si="18"/>
        <v>21.946338560097967</v>
      </c>
      <c r="S207" s="303">
        <f t="shared" si="19"/>
        <v>15.003220769873147</v>
      </c>
    </row>
    <row r="208" spans="2:19" x14ac:dyDescent="0.25">
      <c r="B208" s="266" t="s">
        <v>598</v>
      </c>
      <c r="H208" s="295" t="s">
        <v>171</v>
      </c>
      <c r="I208" s="296" t="s">
        <v>598</v>
      </c>
      <c r="J208" s="174"/>
      <c r="K208" s="296" t="s">
        <v>598</v>
      </c>
      <c r="L208" s="109" t="s">
        <v>173</v>
      </c>
      <c r="M208" s="174"/>
      <c r="N208" s="296" t="s">
        <v>598</v>
      </c>
      <c r="O208" s="100">
        <f t="shared" si="16"/>
        <v>0.39483256902646408</v>
      </c>
      <c r="P208" s="100">
        <f t="shared" si="15"/>
        <v>7</v>
      </c>
      <c r="Q208" s="286">
        <f t="shared" si="17"/>
        <v>1.4550134798481404</v>
      </c>
      <c r="R208" s="288">
        <f t="shared" si="18"/>
        <v>1.067569248782906</v>
      </c>
      <c r="S208" s="303">
        <f t="shared" si="19"/>
        <v>0.7298245710899155</v>
      </c>
    </row>
    <row r="209" spans="2:19" x14ac:dyDescent="0.25">
      <c r="B209" s="266" t="s">
        <v>599</v>
      </c>
      <c r="H209" s="295" t="s">
        <v>279</v>
      </c>
      <c r="I209" s="296" t="s">
        <v>599</v>
      </c>
      <c r="J209" s="174"/>
      <c r="K209" s="296" t="s">
        <v>599</v>
      </c>
      <c r="L209" s="109" t="s">
        <v>272</v>
      </c>
      <c r="M209" s="174"/>
      <c r="N209" s="296" t="s">
        <v>599</v>
      </c>
      <c r="O209" s="100">
        <f t="shared" si="16"/>
        <v>0.69743001815228811</v>
      </c>
      <c r="P209" s="100">
        <f t="shared" si="15"/>
        <v>2.8000000000000007</v>
      </c>
      <c r="Q209" s="286">
        <f t="shared" si="17"/>
        <v>2.5701275863954791</v>
      </c>
      <c r="R209" s="288">
        <f t="shared" si="18"/>
        <v>1.8857482866556083</v>
      </c>
      <c r="S209" s="303">
        <f t="shared" si="19"/>
        <v>1.2891579970676361</v>
      </c>
    </row>
    <row r="210" spans="2:19" x14ac:dyDescent="0.25">
      <c r="B210" s="266" t="s">
        <v>600</v>
      </c>
      <c r="H210" s="295" t="s">
        <v>178</v>
      </c>
      <c r="I210" s="296" t="s">
        <v>600</v>
      </c>
      <c r="J210" s="174"/>
      <c r="K210" s="296" t="s">
        <v>600</v>
      </c>
      <c r="L210" s="109" t="s">
        <v>269</v>
      </c>
      <c r="M210" s="174"/>
      <c r="N210" s="296" t="s">
        <v>600</v>
      </c>
      <c r="O210" s="100">
        <f t="shared" si="16"/>
        <v>6.4780787236075277</v>
      </c>
      <c r="P210" s="100">
        <f t="shared" si="15"/>
        <v>2.8000000000000007</v>
      </c>
      <c r="Q210" s="286">
        <f t="shared" si="17"/>
        <v>23.872630086234405</v>
      </c>
      <c r="R210" s="288">
        <f t="shared" si="18"/>
        <v>17.515772960600614</v>
      </c>
      <c r="S210" s="303">
        <f t="shared" si="19"/>
        <v>11.974344055762737</v>
      </c>
    </row>
    <row r="211" spans="2:19" x14ac:dyDescent="0.25">
      <c r="B211" s="266" t="s">
        <v>601</v>
      </c>
      <c r="H211" s="295" t="s">
        <v>178</v>
      </c>
      <c r="I211" s="296" t="s">
        <v>601</v>
      </c>
      <c r="J211" s="174"/>
      <c r="K211" s="296" t="s">
        <v>601</v>
      </c>
      <c r="L211" s="109" t="s">
        <v>177</v>
      </c>
      <c r="M211" s="174"/>
      <c r="N211" s="296" t="s">
        <v>601</v>
      </c>
      <c r="O211" s="100">
        <f t="shared" si="16"/>
        <v>2.1794688067259E-2</v>
      </c>
      <c r="P211" s="100">
        <f t="shared" si="15"/>
        <v>3.1500000000000004</v>
      </c>
      <c r="Q211" s="286">
        <f t="shared" si="17"/>
        <v>8.0316487074858708E-2</v>
      </c>
      <c r="R211" s="288">
        <f t="shared" si="18"/>
        <v>5.8929633957987747E-2</v>
      </c>
      <c r="S211" s="303">
        <f t="shared" si="19"/>
        <v>4.0286187408363622E-2</v>
      </c>
    </row>
    <row r="212" spans="2:19" x14ac:dyDescent="0.25">
      <c r="B212" s="266" t="s">
        <v>602</v>
      </c>
      <c r="H212" s="295" t="s">
        <v>281</v>
      </c>
      <c r="I212" s="296" t="s">
        <v>609</v>
      </c>
      <c r="J212" s="174"/>
      <c r="K212" s="296" t="s">
        <v>609</v>
      </c>
      <c r="L212" s="109" t="s">
        <v>168</v>
      </c>
      <c r="M212" s="174"/>
      <c r="N212" s="296" t="s">
        <v>609</v>
      </c>
      <c r="O212" s="100">
        <f t="shared" ref="O212:O232" si="20">$X$143*O82</f>
        <v>0.9851199006401069</v>
      </c>
      <c r="P212" s="100">
        <f t="shared" ref="P212:P232" si="21">P82</f>
        <v>2.0999999999999996</v>
      </c>
      <c r="Q212" s="286">
        <f t="shared" si="17"/>
        <v>3.630305215783614</v>
      </c>
      <c r="R212" s="288">
        <f t="shared" si="18"/>
        <v>2.6636194549010463</v>
      </c>
      <c r="S212" s="303">
        <f t="shared" si="19"/>
        <v>1.820935670858036</v>
      </c>
    </row>
    <row r="213" spans="2:19" x14ac:dyDescent="0.25">
      <c r="B213" s="266" t="s">
        <v>603</v>
      </c>
      <c r="H213" s="295" t="s">
        <v>281</v>
      </c>
      <c r="I213" s="296" t="s">
        <v>610</v>
      </c>
      <c r="J213" s="174"/>
      <c r="K213" s="296" t="s">
        <v>610</v>
      </c>
      <c r="L213" s="109" t="s">
        <v>275</v>
      </c>
      <c r="M213" s="174"/>
      <c r="N213" s="296" t="s">
        <v>610</v>
      </c>
      <c r="O213" s="100">
        <f t="shared" si="20"/>
        <v>0.46814989968472343</v>
      </c>
      <c r="P213" s="100">
        <f t="shared" si="21"/>
        <v>1.0499999999999998</v>
      </c>
      <c r="Q213" s="286">
        <f t="shared" si="17"/>
        <v>1.7251981423679654</v>
      </c>
      <c r="R213" s="288">
        <f t="shared" si="18"/>
        <v>1.2658085374175772</v>
      </c>
      <c r="S213" s="303">
        <f t="shared" si="19"/>
        <v>0.86534730553165085</v>
      </c>
    </row>
    <row r="214" spans="2:19" x14ac:dyDescent="0.25">
      <c r="B214" s="266" t="s">
        <v>604</v>
      </c>
      <c r="H214" s="295" t="s">
        <v>281</v>
      </c>
      <c r="I214" s="296" t="s">
        <v>611</v>
      </c>
      <c r="J214" s="174"/>
      <c r="K214" s="296" t="s">
        <v>611</v>
      </c>
      <c r="L214" s="109" t="s">
        <v>167</v>
      </c>
      <c r="M214" s="174"/>
      <c r="N214" s="296" t="s">
        <v>611</v>
      </c>
      <c r="O214" s="100">
        <f t="shared" si="20"/>
        <v>0.43061678788095914</v>
      </c>
      <c r="P214" s="100">
        <f t="shared" si="21"/>
        <v>3.5</v>
      </c>
      <c r="Q214" s="286">
        <f t="shared" si="17"/>
        <v>1.5868833530136353</v>
      </c>
      <c r="R214" s="288">
        <f t="shared" si="18"/>
        <v>1.1643245183265791</v>
      </c>
      <c r="S214" s="303">
        <f t="shared" si="19"/>
        <v>0.79596957589958472</v>
      </c>
    </row>
    <row r="215" spans="2:19" x14ac:dyDescent="0.25">
      <c r="B215" s="266" t="s">
        <v>605</v>
      </c>
      <c r="H215" s="295" t="s">
        <v>170</v>
      </c>
      <c r="I215" s="296" t="s">
        <v>612</v>
      </c>
      <c r="J215" s="174"/>
      <c r="K215" s="296" t="s">
        <v>612</v>
      </c>
      <c r="L215" s="109" t="s">
        <v>168</v>
      </c>
      <c r="M215" s="174"/>
      <c r="N215" s="296" t="s">
        <v>612</v>
      </c>
      <c r="O215" s="100">
        <f t="shared" si="20"/>
        <v>13.418553549250024</v>
      </c>
      <c r="P215" s="100">
        <f t="shared" si="21"/>
        <v>3.1500000000000004</v>
      </c>
      <c r="Q215" s="286">
        <f t="shared" si="17"/>
        <v>49.449254762249019</v>
      </c>
      <c r="R215" s="288">
        <f t="shared" si="18"/>
        <v>36.281797035253902</v>
      </c>
      <c r="S215" s="303">
        <f t="shared" si="19"/>
        <v>24.803399863581323</v>
      </c>
    </row>
    <row r="216" spans="2:19" x14ac:dyDescent="0.25">
      <c r="B216" s="266" t="s">
        <v>606</v>
      </c>
      <c r="H216" s="295" t="s">
        <v>170</v>
      </c>
      <c r="I216" s="296" t="s">
        <v>613</v>
      </c>
      <c r="J216" s="174"/>
      <c r="K216" s="296" t="s">
        <v>613</v>
      </c>
      <c r="L216" s="109" t="s">
        <v>169</v>
      </c>
      <c r="M216" s="174"/>
      <c r="N216" s="296" t="s">
        <v>613</v>
      </c>
      <c r="O216" s="100">
        <f t="shared" si="20"/>
        <v>4.5332951179898719</v>
      </c>
      <c r="P216" s="100">
        <f t="shared" si="21"/>
        <v>2.4499999999999993</v>
      </c>
      <c r="Q216" s="286">
        <f t="shared" si="17"/>
        <v>16.705829311570611</v>
      </c>
      <c r="R216" s="288">
        <f t="shared" si="18"/>
        <v>12.257363863261451</v>
      </c>
      <c r="S216" s="303">
        <f t="shared" si="19"/>
        <v>8.3795269809396338</v>
      </c>
    </row>
    <row r="217" spans="2:19" x14ac:dyDescent="0.25">
      <c r="B217" s="266" t="s">
        <v>607</v>
      </c>
      <c r="H217" s="295" t="s">
        <v>170</v>
      </c>
      <c r="I217" s="296" t="s">
        <v>614</v>
      </c>
      <c r="J217" s="174"/>
      <c r="K217" s="296" t="s">
        <v>614</v>
      </c>
      <c r="L217" s="109" t="s">
        <v>177</v>
      </c>
      <c r="M217" s="174"/>
      <c r="N217" s="296" t="s">
        <v>614</v>
      </c>
      <c r="O217" s="100">
        <f t="shared" si="20"/>
        <v>1.1068650281838157</v>
      </c>
      <c r="P217" s="100">
        <f t="shared" si="21"/>
        <v>1.4000000000000004</v>
      </c>
      <c r="Q217" s="286">
        <f t="shared" si="17"/>
        <v>4.0789531125837746</v>
      </c>
      <c r="R217" s="288">
        <f t="shared" si="18"/>
        <v>2.9928003901903661</v>
      </c>
      <c r="S217" s="303">
        <f t="shared" si="19"/>
        <v>2.045974313721155</v>
      </c>
    </row>
    <row r="218" spans="2:19" x14ac:dyDescent="0.25">
      <c r="B218" s="266" t="s">
        <v>608</v>
      </c>
      <c r="H218" s="295" t="s">
        <v>170</v>
      </c>
      <c r="I218" s="296" t="s">
        <v>615</v>
      </c>
      <c r="J218" s="174"/>
      <c r="K218" s="296" t="s">
        <v>615</v>
      </c>
      <c r="L218" s="109" t="s">
        <v>173</v>
      </c>
      <c r="M218" s="174"/>
      <c r="N218" s="296" t="s">
        <v>615</v>
      </c>
      <c r="O218" s="100">
        <f t="shared" si="20"/>
        <v>3.6266360943918983</v>
      </c>
      <c r="P218" s="100">
        <f t="shared" si="21"/>
        <v>6.6499999999999995</v>
      </c>
      <c r="Q218" s="286">
        <f t="shared" si="17"/>
        <v>13.36466344925649</v>
      </c>
      <c r="R218" s="288">
        <f t="shared" si="18"/>
        <v>9.8058910906091636</v>
      </c>
      <c r="S218" s="303">
        <f t="shared" si="19"/>
        <v>6.7036215847517084</v>
      </c>
    </row>
    <row r="219" spans="2:19" x14ac:dyDescent="0.25">
      <c r="B219" s="266" t="s">
        <v>609</v>
      </c>
      <c r="H219" s="295" t="s">
        <v>2</v>
      </c>
      <c r="I219" s="296" t="s">
        <v>616</v>
      </c>
      <c r="J219" s="174"/>
      <c r="K219" s="296" t="s">
        <v>616</v>
      </c>
      <c r="L219" s="109" t="s">
        <v>269</v>
      </c>
      <c r="M219" s="174"/>
      <c r="N219" s="296" t="s">
        <v>616</v>
      </c>
      <c r="O219" s="100">
        <f t="shared" si="20"/>
        <v>0.8456338970096493</v>
      </c>
      <c r="P219" s="100">
        <f t="shared" si="21"/>
        <v>7.7000000000000011</v>
      </c>
      <c r="Q219" s="286">
        <f t="shared" si="17"/>
        <v>3.1162796985045182</v>
      </c>
      <c r="R219" s="288">
        <f t="shared" si="18"/>
        <v>2.2864697975699251</v>
      </c>
      <c r="S219" s="303">
        <f t="shared" si="19"/>
        <v>1.5631040714445088</v>
      </c>
    </row>
    <row r="220" spans="2:19" x14ac:dyDescent="0.25">
      <c r="B220" s="266" t="s">
        <v>610</v>
      </c>
      <c r="H220" s="295" t="s">
        <v>2</v>
      </c>
      <c r="I220" s="296" t="s">
        <v>617</v>
      </c>
      <c r="J220" s="174"/>
      <c r="K220" s="296" t="s">
        <v>617</v>
      </c>
      <c r="L220" s="109" t="s">
        <v>274</v>
      </c>
      <c r="M220" s="174"/>
      <c r="N220" s="296" t="s">
        <v>617</v>
      </c>
      <c r="O220" s="100">
        <f t="shared" si="20"/>
        <v>6.2471422088468511</v>
      </c>
      <c r="P220" s="100">
        <f t="shared" si="21"/>
        <v>10.85</v>
      </c>
      <c r="Q220" s="286">
        <f t="shared" si="17"/>
        <v>23.021596589189201</v>
      </c>
      <c r="R220" s="288">
        <f t="shared" si="18"/>
        <v>16.891354559181778</v>
      </c>
      <c r="S220" s="303">
        <f t="shared" si="19"/>
        <v>11.547471613983717</v>
      </c>
    </row>
    <row r="221" spans="2:19" x14ac:dyDescent="0.25">
      <c r="B221" s="266" t="s">
        <v>611</v>
      </c>
      <c r="H221" s="295" t="s">
        <v>282</v>
      </c>
      <c r="I221" s="296" t="s">
        <v>618</v>
      </c>
      <c r="J221" s="174"/>
      <c r="K221" s="296" t="s">
        <v>618</v>
      </c>
      <c r="L221" s="109" t="s">
        <v>167</v>
      </c>
      <c r="M221" s="174"/>
      <c r="N221" s="296" t="s">
        <v>618</v>
      </c>
      <c r="O221" s="100">
        <f t="shared" si="20"/>
        <v>9.0749999999999993</v>
      </c>
      <c r="P221" s="100">
        <f t="shared" si="21"/>
        <v>7.3500000000000014</v>
      </c>
      <c r="Q221" s="286">
        <f t="shared" si="17"/>
        <v>33.442649784893618</v>
      </c>
      <c r="R221" s="288">
        <f t="shared" si="18"/>
        <v>24.537466492678092</v>
      </c>
      <c r="S221" s="303">
        <f t="shared" si="19"/>
        <v>16.774598911563089</v>
      </c>
    </row>
    <row r="222" spans="2:19" x14ac:dyDescent="0.25">
      <c r="B222" s="266" t="s">
        <v>612</v>
      </c>
      <c r="H222" s="295" t="s">
        <v>173</v>
      </c>
      <c r="I222" s="296" t="s">
        <v>619</v>
      </c>
      <c r="J222" s="174"/>
      <c r="K222" s="296" t="s">
        <v>619</v>
      </c>
      <c r="L222" s="109" t="s">
        <v>177</v>
      </c>
      <c r="M222" s="174"/>
      <c r="N222" s="296" t="s">
        <v>619</v>
      </c>
      <c r="O222" s="100">
        <f t="shared" si="20"/>
        <v>5.2333404987102314</v>
      </c>
      <c r="P222" s="100">
        <f t="shared" si="21"/>
        <v>7.3500000000000014</v>
      </c>
      <c r="Q222" s="286">
        <f t="shared" si="17"/>
        <v>19.285594876415072</v>
      </c>
      <c r="R222" s="288">
        <f t="shared" si="18"/>
        <v>14.150183705992019</v>
      </c>
      <c r="S222" s="303">
        <f t="shared" si="19"/>
        <v>9.6735193204962737</v>
      </c>
    </row>
    <row r="223" spans="2:19" x14ac:dyDescent="0.25">
      <c r="B223" s="266" t="s">
        <v>613</v>
      </c>
      <c r="H223" s="295" t="s">
        <v>173</v>
      </c>
      <c r="I223" s="296" t="s">
        <v>620</v>
      </c>
      <c r="J223" s="174"/>
      <c r="K223" s="296" t="s">
        <v>620</v>
      </c>
      <c r="L223" s="109" t="s">
        <v>171</v>
      </c>
      <c r="M223" s="174"/>
      <c r="N223" s="296" t="s">
        <v>620</v>
      </c>
      <c r="O223" s="100">
        <f t="shared" si="20"/>
        <v>1.1821438807681284</v>
      </c>
      <c r="P223" s="100">
        <f t="shared" si="21"/>
        <v>7</v>
      </c>
      <c r="Q223" s="286">
        <f t="shared" si="17"/>
        <v>4.3563662589403371</v>
      </c>
      <c r="R223" s="288">
        <f t="shared" si="18"/>
        <v>3.1963433458812562</v>
      </c>
      <c r="S223" s="303">
        <f t="shared" si="19"/>
        <v>2.1851228050296432</v>
      </c>
    </row>
    <row r="224" spans="2:19" x14ac:dyDescent="0.25">
      <c r="B224" s="266" t="s">
        <v>614</v>
      </c>
      <c r="H224" s="295" t="s">
        <v>173</v>
      </c>
      <c r="I224" s="296" t="s">
        <v>621</v>
      </c>
      <c r="J224" s="174"/>
      <c r="K224" s="296" t="s">
        <v>621</v>
      </c>
      <c r="L224" s="109" t="s">
        <v>178</v>
      </c>
      <c r="M224" s="174"/>
      <c r="N224" s="296" t="s">
        <v>621</v>
      </c>
      <c r="O224" s="100">
        <f t="shared" si="20"/>
        <v>8.3126683863571209</v>
      </c>
      <c r="P224" s="100">
        <f t="shared" si="21"/>
        <v>5.6000000000000014</v>
      </c>
      <c r="Q224" s="286">
        <f t="shared" si="17"/>
        <v>30.633350702247711</v>
      </c>
      <c r="R224" s="288">
        <f t="shared" si="18"/>
        <v>22.476233828648191</v>
      </c>
      <c r="S224" s="303">
        <f t="shared" si="19"/>
        <v>15.365474167049154</v>
      </c>
    </row>
    <row r="225" spans="2:19" x14ac:dyDescent="0.25">
      <c r="B225" s="266" t="s">
        <v>615</v>
      </c>
      <c r="H225" s="295" t="s">
        <v>173</v>
      </c>
      <c r="I225" s="296" t="s">
        <v>622</v>
      </c>
      <c r="J225" s="174"/>
      <c r="K225" s="296" t="s">
        <v>622</v>
      </c>
      <c r="L225" s="109" t="s">
        <v>170</v>
      </c>
      <c r="M225" s="174"/>
      <c r="N225" s="296" t="s">
        <v>622</v>
      </c>
      <c r="O225" s="100">
        <f t="shared" si="20"/>
        <v>19.94649851915544</v>
      </c>
      <c r="P225" s="100">
        <f t="shared" si="21"/>
        <v>6.6499999999999995</v>
      </c>
      <c r="Q225" s="286">
        <f t="shared" si="17"/>
        <v>73.505648970910698</v>
      </c>
      <c r="R225" s="288">
        <f t="shared" si="18"/>
        <v>53.932400998350396</v>
      </c>
      <c r="S225" s="303">
        <f t="shared" si="19"/>
        <v>36.869918716134393</v>
      </c>
    </row>
    <row r="226" spans="2:19" x14ac:dyDescent="0.25">
      <c r="B226" s="266" t="s">
        <v>616</v>
      </c>
      <c r="H226" s="295" t="s">
        <v>176</v>
      </c>
      <c r="I226" s="296" t="s">
        <v>623</v>
      </c>
      <c r="J226" s="174"/>
      <c r="K226" s="296" t="s">
        <v>623</v>
      </c>
      <c r="L226" s="109" t="s">
        <v>174</v>
      </c>
      <c r="M226" s="174"/>
      <c r="N226" s="296" t="s">
        <v>623</v>
      </c>
      <c r="O226" s="100">
        <f t="shared" si="20"/>
        <v>5.4931331804719585</v>
      </c>
      <c r="P226" s="100">
        <f t="shared" si="21"/>
        <v>4.4800000000000004</v>
      </c>
      <c r="Q226" s="286">
        <f t="shared" si="17"/>
        <v>20.242967402347389</v>
      </c>
      <c r="R226" s="288">
        <f t="shared" si="18"/>
        <v>14.852624942771232</v>
      </c>
      <c r="S226" s="303">
        <f t="shared" si="19"/>
        <v>10.153730674403969</v>
      </c>
    </row>
    <row r="227" spans="2:19" x14ac:dyDescent="0.25">
      <c r="B227" s="266" t="s">
        <v>617</v>
      </c>
      <c r="H227" s="295" t="s">
        <v>176</v>
      </c>
      <c r="I227" s="296" t="s">
        <v>624</v>
      </c>
      <c r="J227" s="174"/>
      <c r="K227" s="296" t="s">
        <v>624</v>
      </c>
      <c r="L227" s="109" t="s">
        <v>276</v>
      </c>
      <c r="M227" s="174"/>
      <c r="N227" s="296" t="s">
        <v>624</v>
      </c>
      <c r="O227" s="100">
        <f t="shared" si="20"/>
        <v>2.9815133276010313</v>
      </c>
      <c r="P227" s="100">
        <f t="shared" si="21"/>
        <v>5.25</v>
      </c>
      <c r="Q227" s="286">
        <f t="shared" si="17"/>
        <v>10.987295431840671</v>
      </c>
      <c r="R227" s="288">
        <f t="shared" si="18"/>
        <v>8.0615739254527234</v>
      </c>
      <c r="S227" s="303">
        <f t="shared" si="19"/>
        <v>5.5111504374641438</v>
      </c>
    </row>
    <row r="228" spans="2:19" ht="15.75" thickBot="1" x14ac:dyDescent="0.3">
      <c r="B228" s="266" t="s">
        <v>618</v>
      </c>
      <c r="H228" s="297" t="s">
        <v>176</v>
      </c>
      <c r="I228" s="298" t="s">
        <v>625</v>
      </c>
      <c r="J228" s="280"/>
      <c r="K228" s="298" t="s">
        <v>625</v>
      </c>
      <c r="L228" s="281" t="s">
        <v>164</v>
      </c>
      <c r="M228" s="280"/>
      <c r="N228" s="298" t="s">
        <v>625</v>
      </c>
      <c r="O228" s="257">
        <f t="shared" si="20"/>
        <v>5.0081577815993112</v>
      </c>
      <c r="P228" s="257">
        <f t="shared" si="21"/>
        <v>5.46</v>
      </c>
      <c r="Q228" s="304">
        <f t="shared" si="17"/>
        <v>18.455764931957631</v>
      </c>
      <c r="R228" s="305">
        <f t="shared" si="18"/>
        <v>13.541322727938089</v>
      </c>
      <c r="S228" s="306">
        <f t="shared" si="19"/>
        <v>9.25728243219306</v>
      </c>
    </row>
    <row r="229" spans="2:19" x14ac:dyDescent="0.25">
      <c r="B229" s="266" t="s">
        <v>619</v>
      </c>
      <c r="H229" s="299" t="s">
        <v>38</v>
      </c>
      <c r="I229" s="294" t="s">
        <v>626</v>
      </c>
      <c r="J229" s="278"/>
      <c r="K229" s="294" t="s">
        <v>626</v>
      </c>
      <c r="L229" s="279" t="s">
        <v>174</v>
      </c>
      <c r="M229" s="278"/>
      <c r="N229" s="294" t="s">
        <v>626</v>
      </c>
      <c r="O229" s="256">
        <f t="shared" si="20"/>
        <v>2.25</v>
      </c>
      <c r="P229" s="256">
        <f t="shared" si="21"/>
        <v>32.622097378277154</v>
      </c>
      <c r="Q229" s="307">
        <f>O229*$Y$136</f>
        <v>16.752415251345983</v>
      </c>
      <c r="R229" s="308">
        <f>O229*$Z$136</f>
        <v>12.735042327638459</v>
      </c>
      <c r="S229" s="309">
        <f>O229*$AA$136</f>
        <v>9.2143080721992643</v>
      </c>
    </row>
    <row r="230" spans="2:19" x14ac:dyDescent="0.25">
      <c r="B230" s="266" t="s">
        <v>620</v>
      </c>
      <c r="H230" s="295" t="s">
        <v>38</v>
      </c>
      <c r="I230" s="296" t="s">
        <v>627</v>
      </c>
      <c r="J230" s="174"/>
      <c r="K230" s="296" t="s">
        <v>627</v>
      </c>
      <c r="L230" s="109" t="s">
        <v>272</v>
      </c>
      <c r="M230" s="174"/>
      <c r="N230" s="296" t="s">
        <v>627</v>
      </c>
      <c r="O230" s="100">
        <f t="shared" si="20"/>
        <v>17.225000000000001</v>
      </c>
      <c r="P230" s="100">
        <f t="shared" si="21"/>
        <v>27.386828963795256</v>
      </c>
      <c r="Q230" s="287">
        <f>O230*$Y$136</f>
        <v>128.24904564641537</v>
      </c>
      <c r="R230" s="289">
        <f t="shared" ref="R230:R232" si="22">O230*$Z$136</f>
        <v>97.493824041587757</v>
      </c>
      <c r="S230" s="310">
        <f t="shared" ref="S230:S232" si="23">O230*$AA$136</f>
        <v>70.540647352725486</v>
      </c>
    </row>
    <row r="231" spans="2:19" x14ac:dyDescent="0.25">
      <c r="B231" s="266" t="s">
        <v>621</v>
      </c>
      <c r="H231" s="295" t="s">
        <v>38</v>
      </c>
      <c r="I231" s="296" t="s">
        <v>628</v>
      </c>
      <c r="J231" s="174"/>
      <c r="K231" s="296" t="s">
        <v>628</v>
      </c>
      <c r="L231" s="109" t="s">
        <v>166</v>
      </c>
      <c r="M231" s="174"/>
      <c r="N231" s="296" t="s">
        <v>628</v>
      </c>
      <c r="O231" s="100">
        <f t="shared" si="20"/>
        <v>8.5749999999999993</v>
      </c>
      <c r="P231" s="100">
        <f t="shared" si="21"/>
        <v>28.879463171036203</v>
      </c>
      <c r="Q231" s="287">
        <f>O231*$Y$136</f>
        <v>63.845315902351906</v>
      </c>
      <c r="R231" s="289">
        <f t="shared" si="22"/>
        <v>48.534661315333231</v>
      </c>
      <c r="S231" s="310">
        <f t="shared" si="23"/>
        <v>35.116751875159416</v>
      </c>
    </row>
    <row r="232" spans="2:19" ht="15.75" thickBot="1" x14ac:dyDescent="0.3">
      <c r="B232" s="266" t="s">
        <v>622</v>
      </c>
      <c r="H232" s="297" t="s">
        <v>38</v>
      </c>
      <c r="I232" s="298" t="s">
        <v>629</v>
      </c>
      <c r="J232" s="280"/>
      <c r="K232" s="298" t="s">
        <v>629</v>
      </c>
      <c r="L232" s="281" t="s">
        <v>176</v>
      </c>
      <c r="M232" s="280"/>
      <c r="N232" s="298" t="s">
        <v>629</v>
      </c>
      <c r="O232" s="257">
        <f t="shared" si="20"/>
        <v>12.025</v>
      </c>
      <c r="P232" s="257">
        <f t="shared" si="21"/>
        <v>36.145786516853931</v>
      </c>
      <c r="Q232" s="311">
        <f>O232*$Y$136</f>
        <v>89.532352621082424</v>
      </c>
      <c r="R232" s="312">
        <f t="shared" si="22"/>
        <v>68.061726217712206</v>
      </c>
      <c r="S232" s="313">
        <f t="shared" si="23"/>
        <v>49.245357585864959</v>
      </c>
    </row>
    <row r="233" spans="2:19" x14ac:dyDescent="0.25">
      <c r="B233" s="266" t="s">
        <v>623</v>
      </c>
    </row>
    <row r="234" spans="2:19" x14ac:dyDescent="0.25">
      <c r="B234" s="266" t="s">
        <v>624</v>
      </c>
    </row>
    <row r="235" spans="2:19" x14ac:dyDescent="0.25">
      <c r="B235" s="266" t="s">
        <v>625</v>
      </c>
      <c r="O235" s="145" t="s">
        <v>403</v>
      </c>
      <c r="P235" s="145" t="s">
        <v>465</v>
      </c>
      <c r="Q235" s="105" t="s">
        <v>466</v>
      </c>
    </row>
    <row r="236" spans="2:19" x14ac:dyDescent="0.25">
      <c r="B236" s="266" t="s">
        <v>626</v>
      </c>
      <c r="P236" s="87" t="s">
        <v>468</v>
      </c>
    </row>
    <row r="237" spans="2:19" x14ac:dyDescent="0.25">
      <c r="B237" s="266" t="s">
        <v>627</v>
      </c>
    </row>
    <row r="238" spans="2:19" x14ac:dyDescent="0.25">
      <c r="B238" s="266" t="s">
        <v>628</v>
      </c>
    </row>
    <row r="239" spans="2:19" x14ac:dyDescent="0.25">
      <c r="B239" s="266" t="s">
        <v>629</v>
      </c>
    </row>
    <row r="240" spans="2:19" x14ac:dyDescent="0.25">
      <c r="B240" s="252"/>
    </row>
    <row r="241" spans="2:19" x14ac:dyDescent="0.25">
      <c r="B241" s="252"/>
    </row>
    <row r="242" spans="2:19" x14ac:dyDescent="0.25">
      <c r="B242" s="252"/>
    </row>
    <row r="243" spans="2:19" x14ac:dyDescent="0.25">
      <c r="B243" s="252"/>
    </row>
    <row r="244" spans="2:19" x14ac:dyDescent="0.25">
      <c r="B244" s="252"/>
      <c r="R244" s="105"/>
      <c r="S244" s="105"/>
    </row>
    <row r="245" spans="2:19" x14ac:dyDescent="0.25">
      <c r="B245" s="252"/>
    </row>
    <row r="246" spans="2:19" x14ac:dyDescent="0.25">
      <c r="B246" s="252"/>
    </row>
  </sheetData>
  <mergeCells count="10">
    <mergeCell ref="H1:I1"/>
    <mergeCell ref="K1:L1"/>
    <mergeCell ref="U108:W108"/>
    <mergeCell ref="Y110:Y135"/>
    <mergeCell ref="N1:S1"/>
    <mergeCell ref="Z110:Z135"/>
    <mergeCell ref="Z136:Z139"/>
    <mergeCell ref="AA110:AA135"/>
    <mergeCell ref="AA136:AA139"/>
    <mergeCell ref="Y136:Y139"/>
  </mergeCells>
  <phoneticPr fontId="15" type="noConversion"/>
  <pageMargins left="0.7" right="0.7" top="0.75" bottom="0.75" header="0.3" footer="0.3"/>
  <pageSetup paperSize="9"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5"/>
  </sheetPr>
  <dimension ref="A1:AO113"/>
  <sheetViews>
    <sheetView zoomScale="85" zoomScaleNormal="85" workbookViewId="0">
      <selection activeCell="D22" sqref="D22"/>
    </sheetView>
  </sheetViews>
  <sheetFormatPr defaultColWidth="9.140625" defaultRowHeight="15" x14ac:dyDescent="0.25"/>
  <cols>
    <col min="1" max="4" width="17.140625" customWidth="1"/>
    <col min="5" max="5" width="2.7109375" style="90" customWidth="1"/>
    <col min="6" max="6" width="18.85546875" customWidth="1"/>
    <col min="7" max="7" width="10.7109375" customWidth="1"/>
    <col min="8" max="9" width="10.5703125" bestFit="1" customWidth="1"/>
    <col min="10" max="16" width="9.5703125" bestFit="1" customWidth="1"/>
    <col min="17" max="18" width="10.5703125" bestFit="1" customWidth="1"/>
    <col min="19" max="19" width="2.7109375" style="90" customWidth="1"/>
  </cols>
  <sheetData>
    <row r="1" spans="1:35" ht="18" customHeight="1" x14ac:dyDescent="0.25">
      <c r="A1" s="117" t="s">
        <v>144</v>
      </c>
      <c r="B1" s="118" t="s">
        <v>159</v>
      </c>
      <c r="C1" s="84" t="s">
        <v>404</v>
      </c>
      <c r="D1" s="119" t="s">
        <v>160</v>
      </c>
      <c r="F1" s="91"/>
      <c r="G1" s="82" t="s">
        <v>409</v>
      </c>
      <c r="H1" s="82" t="s">
        <v>410</v>
      </c>
      <c r="I1" s="82" t="s">
        <v>411</v>
      </c>
      <c r="J1" s="82" t="s">
        <v>412</v>
      </c>
      <c r="K1" s="82" t="s">
        <v>413</v>
      </c>
      <c r="L1" s="82" t="s">
        <v>414</v>
      </c>
      <c r="M1" s="82" t="s">
        <v>415</v>
      </c>
      <c r="N1" s="82" t="s">
        <v>416</v>
      </c>
      <c r="O1" s="82" t="s">
        <v>417</v>
      </c>
      <c r="P1" s="82" t="s">
        <v>418</v>
      </c>
      <c r="Q1" s="82" t="s">
        <v>419</v>
      </c>
      <c r="R1" s="82" t="s">
        <v>420</v>
      </c>
      <c r="V1" s="241" t="s">
        <v>409</v>
      </c>
      <c r="W1" s="241" t="s">
        <v>410</v>
      </c>
      <c r="X1" s="241" t="s">
        <v>411</v>
      </c>
      <c r="Y1" s="241" t="s">
        <v>412</v>
      </c>
      <c r="Z1" s="241" t="s">
        <v>413</v>
      </c>
      <c r="AA1" s="241" t="s">
        <v>414</v>
      </c>
      <c r="AB1" s="241" t="s">
        <v>415</v>
      </c>
      <c r="AC1" s="241" t="s">
        <v>416</v>
      </c>
      <c r="AD1" s="241" t="s">
        <v>417</v>
      </c>
      <c r="AE1" s="241" t="s">
        <v>418</v>
      </c>
      <c r="AF1" s="241" t="s">
        <v>419</v>
      </c>
      <c r="AG1" s="241" t="s">
        <v>420</v>
      </c>
    </row>
    <row r="2" spans="1:35" x14ac:dyDescent="0.25">
      <c r="A2" s="111" t="s">
        <v>183</v>
      </c>
      <c r="B2" s="157">
        <v>6.9641837267579474</v>
      </c>
      <c r="C2" s="193">
        <f>D38</f>
        <v>0.50544135807867285</v>
      </c>
      <c r="D2" s="332">
        <v>2000</v>
      </c>
      <c r="F2" s="107" t="str">
        <f t="shared" ref="F2:F31" si="0">A2</f>
        <v>d_AT</v>
      </c>
      <c r="G2" s="150">
        <v>0.13300000000000001</v>
      </c>
      <c r="H2" s="150">
        <v>0.12</v>
      </c>
      <c r="I2" s="150">
        <v>0.107</v>
      </c>
      <c r="J2" s="150">
        <v>7.1999999999999995E-2</v>
      </c>
      <c r="K2" s="150">
        <v>5.8000000000000003E-2</v>
      </c>
      <c r="L2" s="150">
        <v>4.4999999999999998E-2</v>
      </c>
      <c r="M2" s="150">
        <v>4.4999999999999998E-2</v>
      </c>
      <c r="N2" s="150">
        <v>4.4999999999999998E-2</v>
      </c>
      <c r="O2" s="150">
        <v>5.6000000000000001E-2</v>
      </c>
      <c r="P2" s="150">
        <v>8.5000000000000006E-2</v>
      </c>
      <c r="Q2" s="150">
        <v>0.106</v>
      </c>
      <c r="R2" s="150">
        <v>0.126</v>
      </c>
      <c r="U2" s="111" t="s">
        <v>183</v>
      </c>
      <c r="V2" s="178">
        <f t="shared" ref="V2:V31" si="1">$B2*G2</f>
        <v>0.92623643565880709</v>
      </c>
      <c r="W2" s="178">
        <f t="shared" ref="W2:W31" si="2">$B2*H2</f>
        <v>0.83570204721095365</v>
      </c>
      <c r="X2" s="178">
        <f t="shared" ref="X2:X31" si="3">$B2*I2</f>
        <v>0.74516765876310032</v>
      </c>
      <c r="Y2" s="178">
        <f t="shared" ref="Y2:Y31" si="4">$B2*J2</f>
        <v>0.50142122832657221</v>
      </c>
      <c r="Z2" s="178">
        <f t="shared" ref="Z2:Z31" si="5">$B2*K2</f>
        <v>0.40392265615196099</v>
      </c>
      <c r="AA2" s="178">
        <f t="shared" ref="AA2:AA31" si="6">$B2*L2</f>
        <v>0.3133882677041076</v>
      </c>
      <c r="AB2" s="178">
        <f t="shared" ref="AB2:AB31" si="7">$B2*M2</f>
        <v>0.3133882677041076</v>
      </c>
      <c r="AC2" s="178">
        <f t="shared" ref="AC2:AC31" si="8">$B2*N2</f>
        <v>0.3133882677041076</v>
      </c>
      <c r="AD2" s="178">
        <f t="shared" ref="AD2:AD31" si="9">$B2*O2</f>
        <v>0.38999428869844505</v>
      </c>
      <c r="AE2" s="178">
        <f t="shared" ref="AE2:AE31" si="10">$B2*P2</f>
        <v>0.59195561677442554</v>
      </c>
      <c r="AF2" s="178">
        <f t="shared" ref="AF2:AF31" si="11">$B2*Q2</f>
        <v>0.73820347503634243</v>
      </c>
      <c r="AG2" s="244">
        <f t="shared" ref="AG2:AG31" si="12">$B2*R2</f>
        <v>0.87748714957150142</v>
      </c>
      <c r="AH2" s="245">
        <f>SUM(V2:AG2)</f>
        <v>6.9502553593044318</v>
      </c>
      <c r="AI2" s="192"/>
    </row>
    <row r="3" spans="1:35" x14ac:dyDescent="0.25">
      <c r="A3" s="111" t="s">
        <v>189</v>
      </c>
      <c r="B3" s="157">
        <v>17.149501424256506</v>
      </c>
      <c r="C3" s="193">
        <f t="shared" ref="C3:C31" si="13">D39</f>
        <v>1.2169704164202813</v>
      </c>
      <c r="D3" s="332">
        <v>2000</v>
      </c>
      <c r="F3" s="107" t="str">
        <f t="shared" si="0"/>
        <v>d_BE</v>
      </c>
      <c r="G3" s="150">
        <v>0.12710628598890633</v>
      </c>
      <c r="H3" s="150">
        <v>0.11043361129075518</v>
      </c>
      <c r="I3" s="150">
        <v>0.10087011520778094</v>
      </c>
      <c r="J3" s="150">
        <v>7.5283645438010804E-2</v>
      </c>
      <c r="K3" s="150">
        <v>6.2026753684018665E-2</v>
      </c>
      <c r="L3" s="150">
        <v>5.3247288867872423E-2</v>
      </c>
      <c r="M3" s="150">
        <v>5.090296268599926E-2</v>
      </c>
      <c r="N3" s="150">
        <v>5.2184516240961952E-2</v>
      </c>
      <c r="O3" s="150">
        <v>5.997998966682247E-2</v>
      </c>
      <c r="P3" s="150">
        <v>8.4349092607937146E-2</v>
      </c>
      <c r="Q3" s="150">
        <v>0.10590114848653538</v>
      </c>
      <c r="R3" s="150">
        <v>0.11771458983439946</v>
      </c>
      <c r="U3" s="111" t="s">
        <v>189</v>
      </c>
      <c r="V3" s="178">
        <f t="shared" si="1"/>
        <v>2.1798094325987041</v>
      </c>
      <c r="W3" s="178">
        <f t="shared" si="2"/>
        <v>1.8938813741165954</v>
      </c>
      <c r="X3" s="178">
        <f t="shared" si="3"/>
        <v>1.7298721844207572</v>
      </c>
      <c r="Y3" s="178">
        <f t="shared" si="4"/>
        <v>1.2910769846623882</v>
      </c>
      <c r="Z3" s="178">
        <f t="shared" si="5"/>
        <v>1.0637279006460856</v>
      </c>
      <c r="AA3" s="178">
        <f t="shared" si="6"/>
        <v>0.91316445627737575</v>
      </c>
      <c r="AB3" s="178">
        <f t="shared" si="7"/>
        <v>0.87296043108242016</v>
      </c>
      <c r="AC3" s="178">
        <f t="shared" si="8"/>
        <v>0.89493843559851383</v>
      </c>
      <c r="AD3" s="178">
        <f t="shared" si="9"/>
        <v>1.0286269182180625</v>
      </c>
      <c r="AE3" s="178">
        <f t="shared" si="10"/>
        <v>1.446544883814562</v>
      </c>
      <c r="AF3" s="178">
        <f t="shared" si="11"/>
        <v>1.8161518968002384</v>
      </c>
      <c r="AG3" s="244">
        <f t="shared" si="12"/>
        <v>2.018746526020804</v>
      </c>
      <c r="AH3" s="245">
        <f t="shared" ref="AH3:AH31" si="14">SUM(V3:AG3)</f>
        <v>17.149501424256506</v>
      </c>
      <c r="AI3" s="192"/>
    </row>
    <row r="4" spans="1:35" x14ac:dyDescent="0.25">
      <c r="A4" s="112" t="s">
        <v>288</v>
      </c>
      <c r="B4" s="157">
        <v>1.9874029992539382</v>
      </c>
      <c r="C4" s="193">
        <f t="shared" si="13"/>
        <v>0.21171222749192492</v>
      </c>
      <c r="D4" s="332">
        <v>2000</v>
      </c>
      <c r="F4" s="107" t="str">
        <f t="shared" si="0"/>
        <v>d_BG</v>
      </c>
      <c r="G4" s="150">
        <v>0.12894632594594205</v>
      </c>
      <c r="H4" s="150">
        <v>0.10593426848976066</v>
      </c>
      <c r="I4" s="150">
        <v>9.8023230332889053E-2</v>
      </c>
      <c r="J4" s="150">
        <v>7.7212638012420523E-2</v>
      </c>
      <c r="K4" s="150">
        <v>6.9142147556631825E-2</v>
      </c>
      <c r="L4" s="150">
        <v>6.0988493895257477E-2</v>
      </c>
      <c r="M4" s="150">
        <v>5.5842309259211735E-2</v>
      </c>
      <c r="N4" s="150">
        <v>5.3812914850903247E-2</v>
      </c>
      <c r="O4" s="150">
        <v>5.7683622876974927E-2</v>
      </c>
      <c r="P4" s="150">
        <v>7.4243667539584918E-2</v>
      </c>
      <c r="Q4" s="150">
        <v>9.834167716503335E-2</v>
      </c>
      <c r="R4" s="150">
        <v>0.11982870407539026</v>
      </c>
      <c r="U4" s="112" t="s">
        <v>288</v>
      </c>
      <c r="V4" s="178">
        <f t="shared" si="1"/>
        <v>0.2562683149277411</v>
      </c>
      <c r="W4" s="178">
        <f t="shared" si="2"/>
        <v>0.2105340829203223</v>
      </c>
      <c r="X4" s="178">
        <f t="shared" si="3"/>
        <v>0.19481166196014332</v>
      </c>
      <c r="Y4" s="178">
        <f t="shared" si="4"/>
        <v>0.15345262836619319</v>
      </c>
      <c r="Z4" s="178">
        <f t="shared" si="5"/>
        <v>0.13741331142890845</v>
      </c>
      <c r="AA4" s="178">
        <f t="shared" si="6"/>
        <v>0.1212087156874152</v>
      </c>
      <c r="AB4" s="178">
        <f t="shared" si="7"/>
        <v>0.11098117290702336</v>
      </c>
      <c r="AC4" s="178">
        <f t="shared" si="8"/>
        <v>0.10694794837328191</v>
      </c>
      <c r="AD4" s="178">
        <f t="shared" si="9"/>
        <v>0.11464060511353305</v>
      </c>
      <c r="AE4" s="178">
        <f t="shared" si="10"/>
        <v>0.14755208754378332</v>
      </c>
      <c r="AF4" s="178">
        <f t="shared" si="11"/>
        <v>0.19544454414944981</v>
      </c>
      <c r="AG4" s="244">
        <f t="shared" si="12"/>
        <v>0.2381479258761432</v>
      </c>
      <c r="AH4" s="245">
        <f t="shared" si="14"/>
        <v>1.9874029992539384</v>
      </c>
      <c r="AI4" s="192"/>
    </row>
    <row r="5" spans="1:35" x14ac:dyDescent="0.25">
      <c r="A5" s="111" t="s">
        <v>187</v>
      </c>
      <c r="B5" s="157">
        <v>25.304528259027251</v>
      </c>
      <c r="C5" s="193">
        <f t="shared" si="13"/>
        <v>0</v>
      </c>
      <c r="D5" s="332">
        <v>2000</v>
      </c>
      <c r="F5" s="107" t="str">
        <f t="shared" si="0"/>
        <v>d_BY</v>
      </c>
      <c r="G5" s="150">
        <v>0.11799999999999999</v>
      </c>
      <c r="H5" s="150">
        <v>0.105</v>
      </c>
      <c r="I5" s="150">
        <v>0.10100000000000001</v>
      </c>
      <c r="J5" s="150">
        <v>0.08</v>
      </c>
      <c r="K5" s="150">
        <v>6.5000000000000002E-2</v>
      </c>
      <c r="L5" s="150">
        <v>5.8000000000000003E-2</v>
      </c>
      <c r="M5" s="150">
        <v>5.7000000000000002E-2</v>
      </c>
      <c r="N5" s="150">
        <v>5.8000000000000003E-2</v>
      </c>
      <c r="O5" s="150">
        <v>6.4000000000000001E-2</v>
      </c>
      <c r="P5" s="150">
        <v>8.5000000000000006E-2</v>
      </c>
      <c r="Q5" s="150">
        <v>9.7000000000000003E-2</v>
      </c>
      <c r="R5" s="150">
        <v>0.112</v>
      </c>
      <c r="U5" s="111" t="s">
        <v>187</v>
      </c>
      <c r="V5" s="178">
        <f t="shared" si="1"/>
        <v>2.9859343345652154</v>
      </c>
      <c r="W5" s="178">
        <f t="shared" si="2"/>
        <v>2.6569754671978614</v>
      </c>
      <c r="X5" s="178">
        <f t="shared" si="3"/>
        <v>2.5557573541617526</v>
      </c>
      <c r="Y5" s="178">
        <f t="shared" si="4"/>
        <v>2.0243622607221803</v>
      </c>
      <c r="Z5" s="178">
        <f t="shared" si="5"/>
        <v>1.6447943368367715</v>
      </c>
      <c r="AA5" s="178">
        <f t="shared" si="6"/>
        <v>1.4676626390235805</v>
      </c>
      <c r="AB5" s="178">
        <f t="shared" si="7"/>
        <v>1.4423581107645533</v>
      </c>
      <c r="AC5" s="178">
        <f t="shared" si="8"/>
        <v>1.4676626390235805</v>
      </c>
      <c r="AD5" s="178">
        <f t="shared" si="9"/>
        <v>1.619489808577744</v>
      </c>
      <c r="AE5" s="178">
        <f t="shared" si="10"/>
        <v>2.1508849020173164</v>
      </c>
      <c r="AF5" s="178">
        <f t="shared" si="11"/>
        <v>2.4545392411256435</v>
      </c>
      <c r="AG5" s="244">
        <f t="shared" si="12"/>
        <v>2.8341071650110523</v>
      </c>
      <c r="AH5" s="245">
        <f t="shared" si="14"/>
        <v>25.304528259027251</v>
      </c>
      <c r="AI5" s="192"/>
    </row>
    <row r="6" spans="1:35" x14ac:dyDescent="0.25">
      <c r="A6" s="111" t="s">
        <v>190</v>
      </c>
      <c r="B6" s="157">
        <v>3.1886617100371746</v>
      </c>
      <c r="C6" s="193">
        <f t="shared" si="13"/>
        <v>8.6804910090656432E-4</v>
      </c>
      <c r="D6" s="332">
        <v>2000</v>
      </c>
      <c r="F6" s="107" t="str">
        <f t="shared" si="0"/>
        <v>d_CH</v>
      </c>
      <c r="G6" s="150">
        <v>0.122</v>
      </c>
      <c r="H6" s="150">
        <v>0.11</v>
      </c>
      <c r="I6" s="150">
        <v>0.108</v>
      </c>
      <c r="J6" s="150">
        <v>8.4000000000000005E-2</v>
      </c>
      <c r="K6" s="150">
        <v>6.7000000000000004E-2</v>
      </c>
      <c r="L6" s="150">
        <v>5.8000000000000003E-2</v>
      </c>
      <c r="M6" s="150">
        <v>5.6000000000000001E-2</v>
      </c>
      <c r="N6" s="150">
        <v>5.6000000000000001E-2</v>
      </c>
      <c r="O6" s="150">
        <v>6.2E-2</v>
      </c>
      <c r="P6" s="150">
        <v>8.3000000000000004E-2</v>
      </c>
      <c r="Q6" s="150">
        <v>9.5000000000000001E-2</v>
      </c>
      <c r="R6" s="150">
        <v>9.8000000000000004E-2</v>
      </c>
      <c r="U6" s="111" t="s">
        <v>190</v>
      </c>
      <c r="V6" s="178">
        <f t="shared" si="1"/>
        <v>0.38901672862453529</v>
      </c>
      <c r="W6" s="178">
        <f t="shared" si="2"/>
        <v>0.35075278810408922</v>
      </c>
      <c r="X6" s="178">
        <f t="shared" si="3"/>
        <v>0.34437546468401486</v>
      </c>
      <c r="Y6" s="178">
        <f t="shared" si="4"/>
        <v>0.26784758364312267</v>
      </c>
      <c r="Z6" s="178">
        <f t="shared" si="5"/>
        <v>0.21364033457249071</v>
      </c>
      <c r="AA6" s="178">
        <f t="shared" si="6"/>
        <v>0.18494237918215614</v>
      </c>
      <c r="AB6" s="178">
        <f t="shared" si="7"/>
        <v>0.17856505576208179</v>
      </c>
      <c r="AC6" s="178">
        <f t="shared" si="8"/>
        <v>0.17856505576208179</v>
      </c>
      <c r="AD6" s="178">
        <f t="shared" si="9"/>
        <v>0.19769702602230482</v>
      </c>
      <c r="AE6" s="178">
        <f t="shared" si="10"/>
        <v>0.26465892193308549</v>
      </c>
      <c r="AF6" s="178">
        <f t="shared" si="11"/>
        <v>0.30292286245353162</v>
      </c>
      <c r="AG6" s="244">
        <f t="shared" si="12"/>
        <v>0.31248884758364315</v>
      </c>
      <c r="AH6" s="245">
        <f t="shared" si="14"/>
        <v>3.1854730483271378</v>
      </c>
      <c r="AI6" s="192"/>
    </row>
    <row r="7" spans="1:35" x14ac:dyDescent="0.25">
      <c r="A7" s="111" t="s">
        <v>184</v>
      </c>
      <c r="B7" s="157">
        <v>7.1219098513011154</v>
      </c>
      <c r="C7" s="193">
        <f t="shared" si="13"/>
        <v>1.4093776080438343</v>
      </c>
      <c r="D7" s="332">
        <v>2000</v>
      </c>
      <c r="F7" s="107" t="str">
        <f t="shared" si="0"/>
        <v>d_CZ</v>
      </c>
      <c r="G7" s="150">
        <v>0.14505875345675953</v>
      </c>
      <c r="H7" s="150">
        <v>0.12117300089025634</v>
      </c>
      <c r="I7" s="150">
        <v>0.10825226098580389</v>
      </c>
      <c r="J7" s="150">
        <v>7.1586861821216555E-2</v>
      </c>
      <c r="K7" s="150">
        <v>5.3581456374860698E-2</v>
      </c>
      <c r="L7" s="150">
        <v>4.1868668602260815E-2</v>
      </c>
      <c r="M7" s="150">
        <v>4.0764318376210154E-2</v>
      </c>
      <c r="N7" s="150">
        <v>4.7142125733096306E-2</v>
      </c>
      <c r="O7" s="150">
        <v>5.0861507789065542E-2</v>
      </c>
      <c r="P7" s="150">
        <v>8.335811276068443E-2</v>
      </c>
      <c r="Q7" s="150">
        <v>0.10827790897606165</v>
      </c>
      <c r="R7" s="150">
        <v>0.12807502423372411</v>
      </c>
      <c r="U7" s="111" t="s">
        <v>184</v>
      </c>
      <c r="V7" s="178">
        <f t="shared" si="1"/>
        <v>1.0330953652611554</v>
      </c>
      <c r="W7" s="178">
        <f t="shared" si="2"/>
        <v>0.8629831887520355</v>
      </c>
      <c r="X7" s="178">
        <f t="shared" si="3"/>
        <v>0.77096284394041614</v>
      </c>
      <c r="Y7" s="178">
        <f t="shared" si="4"/>
        <v>0.50983517642825393</v>
      </c>
      <c r="Z7" s="178">
        <f t="shared" si="5"/>
        <v>0.38160230200318135</v>
      </c>
      <c r="AA7" s="178">
        <f t="shared" si="6"/>
        <v>0.29818488337930299</v>
      </c>
      <c r="AB7" s="178">
        <f t="shared" si="7"/>
        <v>0.29031980062510621</v>
      </c>
      <c r="AC7" s="178">
        <f t="shared" si="8"/>
        <v>0.3357419696698144</v>
      </c>
      <c r="AD7" s="178">
        <f t="shared" si="9"/>
        <v>0.36223107337497429</v>
      </c>
      <c r="AE7" s="178">
        <f t="shared" si="10"/>
        <v>0.59366896445618766</v>
      </c>
      <c r="AF7" s="178">
        <f t="shared" si="11"/>
        <v>0.771145506614899</v>
      </c>
      <c r="AG7" s="244">
        <f t="shared" si="12"/>
        <v>0.91213877679578881</v>
      </c>
      <c r="AH7" s="245">
        <f t="shared" si="14"/>
        <v>7.1219098513011163</v>
      </c>
      <c r="AI7" s="192"/>
    </row>
    <row r="8" spans="1:35" x14ac:dyDescent="0.25">
      <c r="A8" s="111" t="s">
        <v>180</v>
      </c>
      <c r="B8" s="157">
        <v>88.334572473048311</v>
      </c>
      <c r="C8" s="193">
        <f t="shared" si="13"/>
        <v>6.0927532550363308</v>
      </c>
      <c r="D8" s="332">
        <v>2000</v>
      </c>
      <c r="F8" s="107" t="str">
        <f t="shared" si="0"/>
        <v>d_DE</v>
      </c>
      <c r="G8" s="150">
        <v>0.13248756767010827</v>
      </c>
      <c r="H8" s="150">
        <v>0.11281437275919944</v>
      </c>
      <c r="I8" s="150">
        <v>0.10220705590212675</v>
      </c>
      <c r="J8" s="150">
        <v>7.1921621247315243E-2</v>
      </c>
      <c r="K8" s="150">
        <v>6.4636096957617697E-2</v>
      </c>
      <c r="L8" s="150">
        <v>5.0348332698141839E-2</v>
      </c>
      <c r="M8" s="150">
        <v>5.5514531708922267E-2</v>
      </c>
      <c r="N8" s="150">
        <v>4.8627329806993282E-2</v>
      </c>
      <c r="O8" s="150">
        <v>5.686771697182666E-2</v>
      </c>
      <c r="P8" s="150">
        <v>8.0323909874274138E-2</v>
      </c>
      <c r="Q8" s="150">
        <v>0.11062243294903322</v>
      </c>
      <c r="R8" s="150">
        <v>0.11362903145444116</v>
      </c>
      <c r="U8" s="111" t="s">
        <v>180</v>
      </c>
      <c r="V8" s="178">
        <f t="shared" si="1"/>
        <v>11.703232648133072</v>
      </c>
      <c r="W8" s="178">
        <f t="shared" si="2"/>
        <v>9.9654093864989903</v>
      </c>
      <c r="X8" s="178">
        <f t="shared" si="3"/>
        <v>9.0284165868433153</v>
      </c>
      <c r="Y8" s="178">
        <f t="shared" si="4"/>
        <v>6.3531656644501</v>
      </c>
      <c r="Z8" s="178">
        <f t="shared" si="5"/>
        <v>5.7096019910776583</v>
      </c>
      <c r="AA8" s="178">
        <f t="shared" si="6"/>
        <v>4.447498443621158</v>
      </c>
      <c r="AB8" s="178">
        <f t="shared" si="7"/>
        <v>4.9038524245491324</v>
      </c>
      <c r="AC8" s="178">
        <f t="shared" si="8"/>
        <v>4.29547438900667</v>
      </c>
      <c r="AD8" s="178">
        <f t="shared" si="9"/>
        <v>5.0233854662246218</v>
      </c>
      <c r="AE8" s="178">
        <f t="shared" si="10"/>
        <v>7.0953782381076698</v>
      </c>
      <c r="AF8" s="178">
        <f t="shared" si="11"/>
        <v>9.7717853204813032</v>
      </c>
      <c r="AG8" s="244">
        <f t="shared" si="12"/>
        <v>10.037371914054619</v>
      </c>
      <c r="AH8" s="245">
        <f t="shared" si="14"/>
        <v>88.334572473048311</v>
      </c>
      <c r="AI8" s="192"/>
    </row>
    <row r="9" spans="1:35" x14ac:dyDescent="0.25">
      <c r="A9" s="111" t="s">
        <v>194</v>
      </c>
      <c r="B9" s="157">
        <v>2.7096654256505577</v>
      </c>
      <c r="C9" s="193">
        <f t="shared" si="13"/>
        <v>0.51913742117293815</v>
      </c>
      <c r="D9" s="332">
        <v>2000</v>
      </c>
      <c r="F9" s="107" t="str">
        <f t="shared" si="0"/>
        <v>d_DK</v>
      </c>
      <c r="G9" s="150">
        <v>0.13715178825436183</v>
      </c>
      <c r="H9" s="150">
        <v>0.11778891181228597</v>
      </c>
      <c r="I9" s="150">
        <v>0.11132506113069897</v>
      </c>
      <c r="J9" s="150">
        <v>8.1271776952400093E-2</v>
      </c>
      <c r="K9" s="150">
        <v>6.2570783017235163E-2</v>
      </c>
      <c r="L9" s="150">
        <v>4.9613593381037872E-2</v>
      </c>
      <c r="M9" s="150">
        <v>4.3790390263104856E-2</v>
      </c>
      <c r="N9" s="150">
        <v>4.9501973282999205E-2</v>
      </c>
      <c r="O9" s="150">
        <v>5.5962900941600648E-2</v>
      </c>
      <c r="P9" s="150">
        <v>7.8488450406994772E-2</v>
      </c>
      <c r="Q9" s="150">
        <v>0.10280094780411446</v>
      </c>
      <c r="R9" s="150">
        <v>0.1097334227531661</v>
      </c>
      <c r="U9" s="111" t="s">
        <v>194</v>
      </c>
      <c r="V9" s="178">
        <f t="shared" si="1"/>
        <v>0.37163545869899051</v>
      </c>
      <c r="W9" s="178">
        <f t="shared" si="2"/>
        <v>0.31916854186275384</v>
      </c>
      <c r="X9" s="178">
        <f t="shared" si="3"/>
        <v>0.30165366915428976</v>
      </c>
      <c r="Y9" s="178">
        <f t="shared" si="4"/>
        <v>0.22021932408910239</v>
      </c>
      <c r="Z9" s="178">
        <f t="shared" si="5"/>
        <v>0.1695458873976852</v>
      </c>
      <c r="AA9" s="178">
        <f t="shared" si="6"/>
        <v>0.13443623862688367</v>
      </c>
      <c r="AB9" s="178">
        <f t="shared" si="7"/>
        <v>0.11865730647168006</v>
      </c>
      <c r="AC9" s="178">
        <f t="shared" si="8"/>
        <v>0.13413378550642058</v>
      </c>
      <c r="AD9" s="178">
        <f t="shared" si="9"/>
        <v>0.15164073780056231</v>
      </c>
      <c r="AE9" s="178">
        <f t="shared" si="10"/>
        <v>0.21267744038072217</v>
      </c>
      <c r="AF9" s="178">
        <f t="shared" si="11"/>
        <v>0.27855617398891658</v>
      </c>
      <c r="AG9" s="244">
        <f t="shared" si="12"/>
        <v>0.29734086167255042</v>
      </c>
      <c r="AH9" s="245">
        <f t="shared" si="14"/>
        <v>2.7096654256505577</v>
      </c>
      <c r="AI9" s="192"/>
    </row>
    <row r="10" spans="1:35" x14ac:dyDescent="0.25">
      <c r="A10" s="112" t="s">
        <v>289</v>
      </c>
      <c r="B10" s="157">
        <v>0.5122211895910781</v>
      </c>
      <c r="C10" s="193">
        <f t="shared" si="13"/>
        <v>3.1778894643194014E-2</v>
      </c>
      <c r="D10" s="332">
        <v>2000</v>
      </c>
      <c r="F10" s="107" t="str">
        <f t="shared" si="0"/>
        <v>d_EE</v>
      </c>
      <c r="G10" s="150">
        <v>0.1574179089396435</v>
      </c>
      <c r="H10" s="150">
        <v>0.1244982484029169</v>
      </c>
      <c r="I10" s="150">
        <v>0.12023780072758539</v>
      </c>
      <c r="J10" s="150">
        <v>7.9581761453528868E-2</v>
      </c>
      <c r="K10" s="150">
        <v>5.2526793631928824E-2</v>
      </c>
      <c r="L10" s="150">
        <v>3.6297598689407545E-2</v>
      </c>
      <c r="M10" s="150">
        <v>3.5634587497589743E-2</v>
      </c>
      <c r="N10" s="150">
        <v>4.0680325220537966E-2</v>
      </c>
      <c r="O10" s="150">
        <v>4.4816406857019743E-2</v>
      </c>
      <c r="P10" s="150">
        <v>8.2873197509566079E-2</v>
      </c>
      <c r="Q10" s="150">
        <v>0.10080265733223537</v>
      </c>
      <c r="R10" s="150">
        <v>0.12463271373804004</v>
      </c>
      <c r="U10" s="112" t="s">
        <v>289</v>
      </c>
      <c r="V10" s="178">
        <f t="shared" si="1"/>
        <v>8.0632788580004194E-2</v>
      </c>
      <c r="W10" s="178">
        <f t="shared" si="2"/>
        <v>6.3770640898947628E-2</v>
      </c>
      <c r="X10" s="178">
        <f t="shared" si="3"/>
        <v>6.1588349322498785E-2</v>
      </c>
      <c r="Y10" s="178">
        <f t="shared" si="4"/>
        <v>4.0763464521479963E-2</v>
      </c>
      <c r="Z10" s="178">
        <f t="shared" si="5"/>
        <v>2.6905336719551649E-2</v>
      </c>
      <c r="AA10" s="178">
        <f t="shared" si="6"/>
        <v>1.8592399179987892E-2</v>
      </c>
      <c r="AB10" s="178">
        <f t="shared" si="7"/>
        <v>1.8252790798602776E-2</v>
      </c>
      <c r="AC10" s="178">
        <f t="shared" si="8"/>
        <v>2.0837324577415894E-2</v>
      </c>
      <c r="AD10" s="178">
        <f t="shared" si="9"/>
        <v>2.2955913233500401E-2</v>
      </c>
      <c r="AE10" s="178">
        <f t="shared" si="10"/>
        <v>4.2449407813566306E-2</v>
      </c>
      <c r="AF10" s="178">
        <f t="shared" si="11"/>
        <v>5.1633257052659413E-2</v>
      </c>
      <c r="AG10" s="244">
        <f t="shared" si="12"/>
        <v>6.3839516892863171E-2</v>
      </c>
      <c r="AH10" s="245">
        <f t="shared" si="14"/>
        <v>0.5122211895910781</v>
      </c>
      <c r="AI10" s="192"/>
    </row>
    <row r="11" spans="1:35" x14ac:dyDescent="0.25">
      <c r="A11" s="112" t="s">
        <v>290</v>
      </c>
      <c r="B11" s="157">
        <v>27.131415214684015</v>
      </c>
      <c r="C11" s="193">
        <f t="shared" si="13"/>
        <v>2.6161943032423114</v>
      </c>
      <c r="D11" s="332">
        <v>2000</v>
      </c>
      <c r="F11" s="107" t="str">
        <f t="shared" si="0"/>
        <v>d_ES</v>
      </c>
      <c r="G11" s="150">
        <v>0.10423605347231853</v>
      </c>
      <c r="H11" s="150">
        <v>9.205703678921319E-2</v>
      </c>
      <c r="I11" s="150">
        <v>8.7016018344273041E-2</v>
      </c>
      <c r="J11" s="150">
        <v>7.5032643864478055E-2</v>
      </c>
      <c r="K11" s="150">
        <v>7.2716994748464575E-2</v>
      </c>
      <c r="L11" s="150">
        <v>7.1927636996247449E-2</v>
      </c>
      <c r="M11" s="150">
        <v>7.6987588034165347E-2</v>
      </c>
      <c r="N11" s="150">
        <v>7.0659815268507731E-2</v>
      </c>
      <c r="O11" s="150">
        <v>7.4197315243595061E-2</v>
      </c>
      <c r="P11" s="150">
        <v>8.0969966251127193E-2</v>
      </c>
      <c r="Q11" s="150">
        <v>9.4287781168820986E-2</v>
      </c>
      <c r="R11" s="150">
        <v>9.9911149818788847E-2</v>
      </c>
      <c r="U11" s="112" t="s">
        <v>290</v>
      </c>
      <c r="V11" s="178">
        <f t="shared" si="1"/>
        <v>2.8280716470974796</v>
      </c>
      <c r="W11" s="178">
        <f t="shared" si="2"/>
        <v>2.4976376885615847</v>
      </c>
      <c r="X11" s="178">
        <f t="shared" si="3"/>
        <v>2.3608677240270328</v>
      </c>
      <c r="Y11" s="178">
        <f t="shared" si="4"/>
        <v>2.035741815342667</v>
      </c>
      <c r="Z11" s="178">
        <f t="shared" si="5"/>
        <v>1.9729149776845893</v>
      </c>
      <c r="AA11" s="178">
        <f t="shared" si="6"/>
        <v>1.9514985847562569</v>
      </c>
      <c r="AB11" s="178">
        <f t="shared" si="7"/>
        <v>2.0887822173319788</v>
      </c>
      <c r="AC11" s="178">
        <f t="shared" si="8"/>
        <v>1.9171007870427526</v>
      </c>
      <c r="AD11" s="178">
        <f t="shared" si="9"/>
        <v>2.0130781676887812</v>
      </c>
      <c r="AE11" s="178">
        <f t="shared" si="10"/>
        <v>2.1968297742782834</v>
      </c>
      <c r="AF11" s="178">
        <f t="shared" si="11"/>
        <v>2.5581609405625465</v>
      </c>
      <c r="AG11" s="244">
        <f t="shared" si="12"/>
        <v>2.710730890310062</v>
      </c>
      <c r="AH11" s="245">
        <f t="shared" si="14"/>
        <v>27.131415214684019</v>
      </c>
      <c r="AI11" s="192"/>
    </row>
    <row r="12" spans="1:35" x14ac:dyDescent="0.25">
      <c r="A12" s="112" t="s">
        <v>291</v>
      </c>
      <c r="B12" s="157">
        <v>2.1608271375464687</v>
      </c>
      <c r="C12" s="193">
        <f t="shared" si="13"/>
        <v>0.6672759148720494</v>
      </c>
      <c r="D12" s="332">
        <v>2000</v>
      </c>
      <c r="F12" s="107" t="str">
        <f t="shared" si="0"/>
        <v>d_FI</v>
      </c>
      <c r="G12" s="150">
        <v>0.13942107298582176</v>
      </c>
      <c r="H12" s="150">
        <v>0.1124910865849354</v>
      </c>
      <c r="I12" s="150">
        <v>0.10879743470125901</v>
      </c>
      <c r="J12" s="150">
        <v>7.6858638084913833E-2</v>
      </c>
      <c r="K12" s="150">
        <v>5.9703857792021177E-2</v>
      </c>
      <c r="L12" s="150">
        <v>5.6478132627630073E-2</v>
      </c>
      <c r="M12" s="150">
        <v>5.5059519970046968E-2</v>
      </c>
      <c r="N12" s="150">
        <v>5.9039499323115779E-2</v>
      </c>
      <c r="O12" s="150">
        <v>6.50357502979068E-2</v>
      </c>
      <c r="P12" s="150">
        <v>7.7074843055880027E-2</v>
      </c>
      <c r="Q12" s="150">
        <v>8.8540559159405105E-2</v>
      </c>
      <c r="R12" s="150">
        <v>0.1014996054170641</v>
      </c>
      <c r="U12" s="112" t="s">
        <v>291</v>
      </c>
      <c r="V12" s="178">
        <f t="shared" si="1"/>
        <v>0.30126483805361054</v>
      </c>
      <c r="W12" s="178">
        <f t="shared" si="2"/>
        <v>0.24307379262481793</v>
      </c>
      <c r="X12" s="178">
        <f t="shared" si="3"/>
        <v>0.23509244939792034</v>
      </c>
      <c r="Y12" s="178">
        <f t="shared" si="4"/>
        <v>0.16607823092874435</v>
      </c>
      <c r="Z12" s="178">
        <f t="shared" si="5"/>
        <v>0.12900971613321455</v>
      </c>
      <c r="AA12" s="178">
        <f t="shared" si="6"/>
        <v>0.12203948165973171</v>
      </c>
      <c r="AB12" s="178">
        <f t="shared" si="7"/>
        <v>0.11897410493155922</v>
      </c>
      <c r="AC12" s="178">
        <f t="shared" si="8"/>
        <v>0.12757415232454494</v>
      </c>
      <c r="AD12" s="178">
        <f t="shared" si="9"/>
        <v>0.14053101415441285</v>
      </c>
      <c r="AE12" s="178">
        <f t="shared" si="10"/>
        <v>0.16654541249728055</v>
      </c>
      <c r="AF12" s="178">
        <f t="shared" si="11"/>
        <v>0.1913208430051811</v>
      </c>
      <c r="AG12" s="244">
        <f t="shared" si="12"/>
        <v>0.21932310183545067</v>
      </c>
      <c r="AH12" s="245">
        <f t="shared" si="14"/>
        <v>2.1608271375464687</v>
      </c>
      <c r="AI12" s="192"/>
    </row>
    <row r="13" spans="1:35" x14ac:dyDescent="0.25">
      <c r="A13" s="111" t="s">
        <v>181</v>
      </c>
      <c r="B13" s="157">
        <v>38.636757558550187</v>
      </c>
      <c r="C13" s="193">
        <f t="shared" si="13"/>
        <v>0.57317260152037131</v>
      </c>
      <c r="D13" s="332">
        <v>2000</v>
      </c>
      <c r="F13" s="107" t="str">
        <f t="shared" si="0"/>
        <v>d_FR</v>
      </c>
      <c r="G13" s="150">
        <v>0.14360660409087664</v>
      </c>
      <c r="H13" s="150">
        <v>0.12645511610012597</v>
      </c>
      <c r="I13" s="150">
        <v>0.11017709012866028</v>
      </c>
      <c r="J13" s="150">
        <v>7.2718153316839382E-2</v>
      </c>
      <c r="K13" s="150">
        <v>5.462218118289567E-2</v>
      </c>
      <c r="L13" s="150">
        <v>4.121345072402078E-2</v>
      </c>
      <c r="M13" s="150">
        <v>4.1491506667648802E-2</v>
      </c>
      <c r="N13" s="150">
        <v>3.7116011484276783E-2</v>
      </c>
      <c r="O13" s="150">
        <v>4.8364801146122016E-2</v>
      </c>
      <c r="P13" s="150">
        <v>7.6913189236076929E-2</v>
      </c>
      <c r="Q13" s="150">
        <v>0.11413426187237868</v>
      </c>
      <c r="R13" s="150">
        <v>0.13318763405007811</v>
      </c>
      <c r="U13" s="111" t="s">
        <v>181</v>
      </c>
      <c r="V13" s="178">
        <f t="shared" si="1"/>
        <v>5.5484935460659024</v>
      </c>
      <c r="W13" s="178">
        <f t="shared" si="2"/>
        <v>4.8858156627988834</v>
      </c>
      <c r="X13" s="178">
        <f t="shared" si="3"/>
        <v>4.2568855198075806</v>
      </c>
      <c r="Y13" s="178">
        <f t="shared" si="4"/>
        <v>2.8095936598082054</v>
      </c>
      <c r="Z13" s="178">
        <f t="shared" si="5"/>
        <v>2.1104239716827422</v>
      </c>
      <c r="AA13" s="178">
        <f t="shared" si="6"/>
        <v>1.5923541037752456</v>
      </c>
      <c r="AB13" s="178">
        <f t="shared" si="7"/>
        <v>1.6030972838569153</v>
      </c>
      <c r="AC13" s="178">
        <f t="shared" si="8"/>
        <v>1.4340423372583666</v>
      </c>
      <c r="AD13" s="178">
        <f t="shared" si="9"/>
        <v>1.8686590962502065</v>
      </c>
      <c r="AE13" s="178">
        <f t="shared" si="10"/>
        <v>2.9716762455691961</v>
      </c>
      <c r="AF13" s="178">
        <f t="shared" si="11"/>
        <v>4.4097778050871739</v>
      </c>
      <c r="AG13" s="244">
        <f t="shared" si="12"/>
        <v>5.1459383265897713</v>
      </c>
      <c r="AH13" s="245">
        <f t="shared" si="14"/>
        <v>38.636757558550187</v>
      </c>
      <c r="AI13" s="192"/>
    </row>
    <row r="14" spans="1:35" x14ac:dyDescent="0.25">
      <c r="A14" s="112" t="s">
        <v>292</v>
      </c>
      <c r="B14" s="157">
        <v>4.5187670701914682</v>
      </c>
      <c r="C14" s="193">
        <f t="shared" si="13"/>
        <v>0.6298866819115323</v>
      </c>
      <c r="D14" s="332">
        <v>2000</v>
      </c>
      <c r="F14" s="107" t="str">
        <f t="shared" si="0"/>
        <v>d_GR</v>
      </c>
      <c r="G14" s="150">
        <v>0.11492252634867321</v>
      </c>
      <c r="H14" s="150">
        <v>8.9146026509666479E-2</v>
      </c>
      <c r="I14" s="150">
        <v>7.4854401364133585E-2</v>
      </c>
      <c r="J14" s="150">
        <v>6.4175186524361563E-2</v>
      </c>
      <c r="K14" s="150">
        <v>6.0509126993244511E-2</v>
      </c>
      <c r="L14" s="150">
        <v>7.1459959174260484E-2</v>
      </c>
      <c r="M14" s="150">
        <v>8.4618303545113183E-2</v>
      </c>
      <c r="N14" s="150">
        <v>7.6565000862537744E-2</v>
      </c>
      <c r="O14" s="150">
        <v>7.7424100366304052E-2</v>
      </c>
      <c r="P14" s="150">
        <v>8.4091058103802463E-2</v>
      </c>
      <c r="Q14" s="150">
        <v>8.8671253374497452E-2</v>
      </c>
      <c r="R14" s="150">
        <v>0.11356305683340524</v>
      </c>
      <c r="U14" s="112" t="s">
        <v>292</v>
      </c>
      <c r="V14" s="178">
        <f t="shared" si="1"/>
        <v>0.51930812768759582</v>
      </c>
      <c r="W14" s="178">
        <f t="shared" si="2"/>
        <v>0.40283012903029652</v>
      </c>
      <c r="X14" s="178">
        <f t="shared" si="3"/>
        <v>0.33824960394314219</v>
      </c>
      <c r="Y14" s="178">
        <f t="shared" si="4"/>
        <v>0.28999271958968031</v>
      </c>
      <c r="Z14" s="178">
        <f t="shared" si="5"/>
        <v>0.27342665050310699</v>
      </c>
      <c r="AA14" s="178">
        <f t="shared" si="6"/>
        <v>0.32291091035387498</v>
      </c>
      <c r="AB14" s="178">
        <f t="shared" si="7"/>
        <v>0.38237040359512342</v>
      </c>
      <c r="AC14" s="178">
        <f t="shared" si="8"/>
        <v>0.34597940462681692</v>
      </c>
      <c r="AD14" s="178">
        <f t="shared" si="9"/>
        <v>0.34986147517445393</v>
      </c>
      <c r="AE14" s="178">
        <f t="shared" si="10"/>
        <v>0.37998790425701995</v>
      </c>
      <c r="AF14" s="178">
        <f t="shared" si="11"/>
        <v>0.40068473982128316</v>
      </c>
      <c r="AG14" s="244">
        <f t="shared" si="12"/>
        <v>0.51316500160907375</v>
      </c>
      <c r="AH14" s="245">
        <f t="shared" si="14"/>
        <v>4.5187670701914673</v>
      </c>
      <c r="AI14" s="192"/>
    </row>
    <row r="15" spans="1:35" x14ac:dyDescent="0.25">
      <c r="A15" s="112" t="s">
        <v>293</v>
      </c>
      <c r="B15" s="157">
        <v>1.9456718110480071</v>
      </c>
      <c r="C15" s="193">
        <f t="shared" si="13"/>
        <v>0.33414954718602979</v>
      </c>
      <c r="D15" s="332">
        <v>2000</v>
      </c>
      <c r="F15" s="107" t="str">
        <f t="shared" si="0"/>
        <v>d_HR</v>
      </c>
      <c r="G15" s="150">
        <v>0.12323602237980481</v>
      </c>
      <c r="H15" s="150">
        <v>0.10924823216328007</v>
      </c>
      <c r="I15" s="150">
        <v>9.447753542777669E-2</v>
      </c>
      <c r="J15" s="150">
        <v>6.9382168410434777E-2</v>
      </c>
      <c r="K15" s="150">
        <v>6.0326704787761178E-2</v>
      </c>
      <c r="L15" s="150">
        <v>4.9968783572216825E-2</v>
      </c>
      <c r="M15" s="150">
        <v>5.1105489287049756E-2</v>
      </c>
      <c r="N15" s="150">
        <v>5.8685333912313946E-2</v>
      </c>
      <c r="O15" s="150">
        <v>6.2186945749961725E-2</v>
      </c>
      <c r="P15" s="150">
        <v>9.0273277350032141E-2</v>
      </c>
      <c r="Q15" s="150">
        <v>0.10727337172052936</v>
      </c>
      <c r="R15" s="150">
        <v>0.12383613523883873</v>
      </c>
      <c r="U15" s="112" t="s">
        <v>293</v>
      </c>
      <c r="V15" s="178">
        <f t="shared" si="1"/>
        <v>0.23977685485006756</v>
      </c>
      <c r="W15" s="178">
        <f t="shared" si="2"/>
        <v>0.21256120572692228</v>
      </c>
      <c r="X15" s="178">
        <f t="shared" si="3"/>
        <v>0.18382227745911453</v>
      </c>
      <c r="Y15" s="178">
        <f t="shared" si="4"/>
        <v>0.13499492926556847</v>
      </c>
      <c r="Z15" s="178">
        <f t="shared" si="5"/>
        <v>0.11737596895896177</v>
      </c>
      <c r="AA15" s="178">
        <f t="shared" si="6"/>
        <v>9.7222853628821021E-2</v>
      </c>
      <c r="AB15" s="178">
        <f t="shared" si="7"/>
        <v>9.9434509895628631E-2</v>
      </c>
      <c r="AC15" s="178">
        <f t="shared" si="8"/>
        <v>0.11418239991512891</v>
      </c>
      <c r="AD15" s="178">
        <f t="shared" si="9"/>
        <v>0.1209953873608722</v>
      </c>
      <c r="AE15" s="178">
        <f t="shared" si="10"/>
        <v>0.17564217103087607</v>
      </c>
      <c r="AF15" s="178">
        <f t="shared" si="11"/>
        <v>0.20871877543270845</v>
      </c>
      <c r="AG15" s="244">
        <f t="shared" si="12"/>
        <v>0.24094447752333728</v>
      </c>
      <c r="AH15" s="245">
        <f t="shared" si="14"/>
        <v>1.9456718110480073</v>
      </c>
      <c r="AI15" s="192"/>
    </row>
    <row r="16" spans="1:35" x14ac:dyDescent="0.25">
      <c r="A16" s="111" t="s">
        <v>192</v>
      </c>
      <c r="B16" s="157">
        <v>6.9768898272063176</v>
      </c>
      <c r="C16" s="193">
        <f t="shared" si="13"/>
        <v>1.0148949212069731</v>
      </c>
      <c r="D16" s="332">
        <v>2000</v>
      </c>
      <c r="F16" s="107" t="str">
        <f t="shared" si="0"/>
        <v>d_HU</v>
      </c>
      <c r="G16" s="150">
        <v>0.1551282117821273</v>
      </c>
      <c r="H16" s="150">
        <v>0.12303004432188763</v>
      </c>
      <c r="I16" s="150">
        <v>0.10332312328928976</v>
      </c>
      <c r="J16" s="150">
        <v>6.7238273033213655E-2</v>
      </c>
      <c r="K16" s="150">
        <v>4.9884548491618809E-2</v>
      </c>
      <c r="L16" s="150">
        <v>3.9837234736119838E-2</v>
      </c>
      <c r="M16" s="150">
        <v>4.2255414456434208E-2</v>
      </c>
      <c r="N16" s="150">
        <v>4.0783107002127929E-2</v>
      </c>
      <c r="O16" s="150">
        <v>4.8078116889608176E-2</v>
      </c>
      <c r="P16" s="150">
        <v>7.9731523169407972E-2</v>
      </c>
      <c r="Q16" s="150">
        <v>0.10989321594560925</v>
      </c>
      <c r="R16" s="150">
        <v>0.14081718688255543</v>
      </c>
      <c r="U16" s="111" t="s">
        <v>192</v>
      </c>
      <c r="V16" s="178">
        <f t="shared" si="1"/>
        <v>1.0823124426954311</v>
      </c>
      <c r="W16" s="178">
        <f t="shared" si="2"/>
        <v>0.85836706467012025</v>
      </c>
      <c r="X16" s="178">
        <f t="shared" si="3"/>
        <v>0.72087404779222986</v>
      </c>
      <c r="Y16" s="178">
        <f t="shared" si="4"/>
        <v>0.46911402312434924</v>
      </c>
      <c r="Z16" s="178">
        <f t="shared" si="5"/>
        <v>0.34803899890595552</v>
      </c>
      <c r="AA16" s="178">
        <f t="shared" si="6"/>
        <v>0.27793999777446465</v>
      </c>
      <c r="AB16" s="178">
        <f t="shared" si="7"/>
        <v>0.29481137126548257</v>
      </c>
      <c r="AC16" s="178">
        <f t="shared" si="8"/>
        <v>0.2845392443650131</v>
      </c>
      <c r="AD16" s="178">
        <f t="shared" si="9"/>
        <v>0.33543572463834354</v>
      </c>
      <c r="AE16" s="178">
        <f t="shared" si="10"/>
        <v>0.55627805290830734</v>
      </c>
      <c r="AF16" s="178">
        <f t="shared" si="11"/>
        <v>0.76671286040990827</v>
      </c>
      <c r="AG16" s="244">
        <f t="shared" si="12"/>
        <v>0.98246599865671191</v>
      </c>
      <c r="AH16" s="245">
        <f t="shared" si="14"/>
        <v>6.9768898272063193</v>
      </c>
      <c r="AI16" s="192"/>
    </row>
    <row r="17" spans="1:41" x14ac:dyDescent="0.25">
      <c r="A17" s="112" t="s">
        <v>294</v>
      </c>
      <c r="B17" s="157">
        <v>4.957899737767284</v>
      </c>
      <c r="C17" s="193">
        <f t="shared" si="13"/>
        <v>0.11969550082456749</v>
      </c>
      <c r="D17" s="332">
        <v>2000</v>
      </c>
      <c r="F17" s="107" t="str">
        <f t="shared" si="0"/>
        <v>d_IE</v>
      </c>
      <c r="G17" s="150">
        <v>9.4869242599538758E-2</v>
      </c>
      <c r="H17" s="150">
        <v>8.7171489029801555E-2</v>
      </c>
      <c r="I17" s="150">
        <v>9.2581732903718003E-2</v>
      </c>
      <c r="J17" s="150">
        <v>8.4695752499743884E-2</v>
      </c>
      <c r="K17" s="150">
        <v>8.1245188055433057E-2</v>
      </c>
      <c r="L17" s="150">
        <v>7.5496613078886318E-2</v>
      </c>
      <c r="M17" s="150">
        <v>6.293295225559993E-2</v>
      </c>
      <c r="N17" s="150">
        <v>7.5151445293376057E-2</v>
      </c>
      <c r="O17" s="150">
        <v>7.7606620516481928E-2</v>
      </c>
      <c r="P17" s="150">
        <v>8.3523230019912478E-2</v>
      </c>
      <c r="Q17" s="150">
        <v>9.3189659521254131E-2</v>
      </c>
      <c r="R17" s="150">
        <v>9.1536074226253927E-2</v>
      </c>
      <c r="U17" s="112" t="s">
        <v>294</v>
      </c>
      <c r="V17" s="178">
        <f t="shared" si="1"/>
        <v>0.47035219300643405</v>
      </c>
      <c r="W17" s="178">
        <f t="shared" si="2"/>
        <v>0.4321875026016368</v>
      </c>
      <c r="X17" s="178">
        <f t="shared" si="3"/>
        <v>0.45901094928538422</v>
      </c>
      <c r="Y17" s="178">
        <f t="shared" si="4"/>
        <v>0.41991304910848298</v>
      </c>
      <c r="Z17" s="178">
        <f t="shared" si="5"/>
        <v>0.40280549655488523</v>
      </c>
      <c r="AA17" s="178">
        <f t="shared" si="6"/>
        <v>0.37430463818612858</v>
      </c>
      <c r="AB17" s="178">
        <f t="shared" si="7"/>
        <v>0.31201526748495989</v>
      </c>
      <c r="AC17" s="178">
        <f t="shared" si="8"/>
        <v>0.37259333091286156</v>
      </c>
      <c r="AD17" s="178">
        <f t="shared" si="9"/>
        <v>0.38476584350767085</v>
      </c>
      <c r="AE17" s="178">
        <f t="shared" si="10"/>
        <v>0.41409980021320064</v>
      </c>
      <c r="AF17" s="178">
        <f t="shared" si="11"/>
        <v>0.46202498850304835</v>
      </c>
      <c r="AG17" s="244">
        <f t="shared" si="12"/>
        <v>0.453826678402591</v>
      </c>
      <c r="AH17" s="245">
        <f t="shared" si="14"/>
        <v>4.9578997377672849</v>
      </c>
      <c r="AI17" s="192"/>
    </row>
    <row r="18" spans="1:41" x14ac:dyDescent="0.25">
      <c r="A18" s="111" t="s">
        <v>182</v>
      </c>
      <c r="B18" s="157">
        <v>52.047262925650557</v>
      </c>
      <c r="C18" s="193">
        <f t="shared" si="13"/>
        <v>8.0784936113038963</v>
      </c>
      <c r="D18" s="332">
        <v>2000</v>
      </c>
      <c r="F18" s="107" t="str">
        <f t="shared" si="0"/>
        <v>d_IT</v>
      </c>
      <c r="G18" s="150">
        <v>0.13444537469552212</v>
      </c>
      <c r="H18" s="150">
        <v>0.11295667945909177</v>
      </c>
      <c r="I18" s="150">
        <v>9.9021575403646978E-2</v>
      </c>
      <c r="J18" s="150">
        <v>6.643874176435631E-2</v>
      </c>
      <c r="K18" s="150">
        <v>5.9278690638592237E-2</v>
      </c>
      <c r="L18" s="150">
        <v>5.5812179902228733E-2</v>
      </c>
      <c r="M18" s="150">
        <v>6.3054946054749886E-2</v>
      </c>
      <c r="N18" s="150">
        <v>5.2472297093345222E-2</v>
      </c>
      <c r="O18" s="150">
        <v>6.3085643230903404E-2</v>
      </c>
      <c r="P18" s="150">
        <v>7.2396738499360611E-2</v>
      </c>
      <c r="Q18" s="150">
        <v>9.7505433628323299E-2</v>
      </c>
      <c r="R18" s="150">
        <v>0.12353169962987946</v>
      </c>
      <c r="U18" s="111" t="s">
        <v>182</v>
      </c>
      <c r="V18" s="178">
        <f t="shared" si="1"/>
        <v>6.9975137659154463</v>
      </c>
      <c r="W18" s="178">
        <f t="shared" si="2"/>
        <v>5.8790859950157808</v>
      </c>
      <c r="X18" s="178">
        <f t="shared" si="3"/>
        <v>5.1538019703457465</v>
      </c>
      <c r="Y18" s="178">
        <f t="shared" si="4"/>
        <v>3.4579546610588534</v>
      </c>
      <c r="Z18" s="178">
        <f t="shared" si="5"/>
        <v>3.0852935975551103</v>
      </c>
      <c r="AA18" s="178">
        <f t="shared" si="6"/>
        <v>2.9048712018250087</v>
      </c>
      <c r="AB18" s="178">
        <f t="shared" si="7"/>
        <v>3.2818373560742797</v>
      </c>
      <c r="AC18" s="178">
        <f t="shared" si="8"/>
        <v>2.7310394431301881</v>
      </c>
      <c r="AD18" s="178">
        <f t="shared" si="9"/>
        <v>3.283435060072617</v>
      </c>
      <c r="AE18" s="178">
        <f t="shared" si="10"/>
        <v>3.7680520836357898</v>
      </c>
      <c r="AF18" s="178">
        <f t="shared" si="11"/>
        <v>5.0748909407329119</v>
      </c>
      <c r="AG18" s="244">
        <f t="shared" si="12"/>
        <v>6.4294868502888258</v>
      </c>
      <c r="AH18" s="245">
        <f t="shared" si="14"/>
        <v>52.047262925650564</v>
      </c>
      <c r="AI18" s="192"/>
    </row>
    <row r="19" spans="1:41" x14ac:dyDescent="0.25">
      <c r="A19" s="112" t="s">
        <v>295</v>
      </c>
      <c r="B19" s="40">
        <v>1.8434279344005777</v>
      </c>
      <c r="C19" s="193">
        <f t="shared" si="13"/>
        <v>7.4154952147596279E-2</v>
      </c>
      <c r="D19" s="332">
        <v>2000</v>
      </c>
      <c r="F19" s="107" t="str">
        <f t="shared" si="0"/>
        <v>d_LT</v>
      </c>
      <c r="G19" s="150">
        <v>0.125529253175623</v>
      </c>
      <c r="H19" s="150">
        <v>0.10224529730996633</v>
      </c>
      <c r="I19" s="150">
        <v>0.10103857139433492</v>
      </c>
      <c r="J19" s="150">
        <v>8.3599581801875614E-2</v>
      </c>
      <c r="K19" s="150">
        <v>6.8056477937450968E-2</v>
      </c>
      <c r="L19" s="150">
        <v>6.2689688883433001E-2</v>
      </c>
      <c r="M19" s="150">
        <v>4.7480429982451368E-2</v>
      </c>
      <c r="N19" s="150">
        <v>4.9281371393884991E-2</v>
      </c>
      <c r="O19" s="150">
        <v>7.2601420855184007E-2</v>
      </c>
      <c r="P19" s="150">
        <v>8.9120368742880929E-2</v>
      </c>
      <c r="Q19" s="150">
        <v>8.7491384175683917E-2</v>
      </c>
      <c r="R19" s="150">
        <v>0.11086615434723095</v>
      </c>
      <c r="U19" s="112" t="s">
        <v>295</v>
      </c>
      <c r="V19" s="178">
        <f t="shared" si="1"/>
        <v>0.23140413188838585</v>
      </c>
      <c r="W19" s="178">
        <f t="shared" si="2"/>
        <v>0.18848183722228418</v>
      </c>
      <c r="X19" s="178">
        <f t="shared" si="3"/>
        <v>0.18625732496024411</v>
      </c>
      <c r="Y19" s="178">
        <f t="shared" si="4"/>
        <v>0.15410980439778368</v>
      </c>
      <c r="Z19" s="178">
        <f t="shared" si="5"/>
        <v>0.12545721254681372</v>
      </c>
      <c r="AA19" s="178">
        <f t="shared" si="6"/>
        <v>0.11556392368660176</v>
      </c>
      <c r="AB19" s="178">
        <f t="shared" si="7"/>
        <v>8.752675096700159E-2</v>
      </c>
      <c r="AC19" s="178">
        <f t="shared" si="8"/>
        <v>9.0846656673057136E-2</v>
      </c>
      <c r="AD19" s="178">
        <f t="shared" si="9"/>
        <v>0.13383548728161887</v>
      </c>
      <c r="AE19" s="178">
        <f t="shared" si="10"/>
        <v>0.16428697726470681</v>
      </c>
      <c r="AF19" s="178">
        <f t="shared" si="11"/>
        <v>0.16128406160882838</v>
      </c>
      <c r="AG19" s="244">
        <f t="shared" si="12"/>
        <v>0.20437376590325157</v>
      </c>
      <c r="AH19" s="245">
        <f t="shared" si="14"/>
        <v>1.8434279344005779</v>
      </c>
      <c r="AI19" s="192"/>
    </row>
    <row r="20" spans="1:41" x14ac:dyDescent="0.25">
      <c r="A20" s="112" t="s">
        <v>296</v>
      </c>
      <c r="B20" s="40">
        <v>1.1073256022304832</v>
      </c>
      <c r="C20" s="193">
        <f t="shared" si="13"/>
        <v>0.24786194239061704</v>
      </c>
      <c r="D20" s="332">
        <v>2000</v>
      </c>
      <c r="F20" s="107" t="str">
        <f t="shared" si="0"/>
        <v>d_LV</v>
      </c>
      <c r="G20" s="150">
        <v>0.14728083527459349</v>
      </c>
      <c r="H20" s="150">
        <v>0.11604820319113002</v>
      </c>
      <c r="I20" s="150">
        <v>0.10160270737772648</v>
      </c>
      <c r="J20" s="150">
        <v>6.6057177696202882E-2</v>
      </c>
      <c r="K20" s="150">
        <v>4.3567301410612963E-2</v>
      </c>
      <c r="L20" s="150">
        <v>4.4057684236258395E-2</v>
      </c>
      <c r="M20" s="150">
        <v>4.691940523940169E-2</v>
      </c>
      <c r="N20" s="150">
        <v>5.7054071390981786E-2</v>
      </c>
      <c r="O20" s="150">
        <v>5.6382274504281342E-2</v>
      </c>
      <c r="P20" s="150">
        <v>8.9724747164155502E-2</v>
      </c>
      <c r="Q20" s="150">
        <v>0.11572945811473519</v>
      </c>
      <c r="R20" s="150">
        <v>0.11557613439992025</v>
      </c>
      <c r="U20" s="112" t="s">
        <v>296</v>
      </c>
      <c r="V20" s="178">
        <f t="shared" si="1"/>
        <v>0.16308783961744783</v>
      </c>
      <c r="W20" s="178">
        <f t="shared" si="2"/>
        <v>0.12850314648638353</v>
      </c>
      <c r="X20" s="178">
        <f t="shared" si="3"/>
        <v>0.11250727913528852</v>
      </c>
      <c r="Y20" s="178">
        <f t="shared" si="4"/>
        <v>7.3146804074093894E-2</v>
      </c>
      <c r="Z20" s="178">
        <f t="shared" si="5"/>
        <v>4.8243188272063975E-2</v>
      </c>
      <c r="AA20" s="178">
        <f t="shared" si="6"/>
        <v>4.8786201729795288E-2</v>
      </c>
      <c r="AB20" s="178">
        <f t="shared" si="7"/>
        <v>5.1955058663016564E-2</v>
      </c>
      <c r="AC20" s="178">
        <f t="shared" si="8"/>
        <v>6.3177433962719881E-2</v>
      </c>
      <c r="AD20" s="178">
        <f t="shared" si="9"/>
        <v>6.243353607057775E-2</v>
      </c>
      <c r="AE20" s="178">
        <f t="shared" si="10"/>
        <v>9.9354509688526327E-2</v>
      </c>
      <c r="AF20" s="178">
        <f t="shared" si="11"/>
        <v>0.12815019190270663</v>
      </c>
      <c r="AG20" s="244">
        <f t="shared" si="12"/>
        <v>0.12798041262786294</v>
      </c>
      <c r="AH20" s="245">
        <f t="shared" si="14"/>
        <v>1.1073256022304832</v>
      </c>
      <c r="AI20" s="192"/>
    </row>
    <row r="21" spans="1:41" x14ac:dyDescent="0.25">
      <c r="A21" s="111" t="s">
        <v>196</v>
      </c>
      <c r="B21" s="157">
        <v>26.895346721242067</v>
      </c>
      <c r="C21" s="193">
        <f t="shared" si="13"/>
        <v>0.8424235163324072</v>
      </c>
      <c r="D21" s="332">
        <v>2000</v>
      </c>
      <c r="F21" s="107" t="str">
        <f t="shared" si="0"/>
        <v>d_NL</v>
      </c>
      <c r="G21" s="97">
        <v>0.12752922446453066</v>
      </c>
      <c r="H21" s="97">
        <v>0.10853361549583514</v>
      </c>
      <c r="I21" s="97">
        <v>9.3554080874628812E-2</v>
      </c>
      <c r="J21" s="97">
        <v>7.5744506602066747E-2</v>
      </c>
      <c r="K21" s="97">
        <v>6.3117399835181318E-2</v>
      </c>
      <c r="L21" s="97">
        <v>5.4846680118680026E-2</v>
      </c>
      <c r="M21" s="97">
        <v>5.6495574293065731E-2</v>
      </c>
      <c r="N21" s="97">
        <v>5.8673086904158366E-2</v>
      </c>
      <c r="O21" s="97">
        <v>6.3128047304466028E-2</v>
      </c>
      <c r="P21" s="97">
        <v>8.1527856310067523E-2</v>
      </c>
      <c r="Q21" s="97">
        <v>0.10227572996292755</v>
      </c>
      <c r="R21" s="97">
        <v>0.11457419783439204</v>
      </c>
      <c r="U21" s="111" t="s">
        <v>196</v>
      </c>
      <c r="V21" s="178">
        <f t="shared" si="1"/>
        <v>3.4299427090646581</v>
      </c>
      <c r="W21" s="178">
        <f t="shared" si="2"/>
        <v>2.9190492196704567</v>
      </c>
      <c r="X21" s="178">
        <f t="shared" si="3"/>
        <v>2.5161694423102632</v>
      </c>
      <c r="Y21" s="178">
        <f t="shared" si="4"/>
        <v>2.0371747672919938</v>
      </c>
      <c r="Z21" s="178">
        <f t="shared" si="5"/>
        <v>1.6975643527104685</v>
      </c>
      <c r="AA21" s="178">
        <f t="shared" si="6"/>
        <v>1.4751204783009533</v>
      </c>
      <c r="AB21" s="178">
        <f t="shared" si="7"/>
        <v>1.519468058827693</v>
      </c>
      <c r="AC21" s="178">
        <f t="shared" si="8"/>
        <v>1.5780330154929065</v>
      </c>
      <c r="AD21" s="178">
        <f t="shared" si="9"/>
        <v>1.6978507200885844</v>
      </c>
      <c r="AE21" s="178">
        <f t="shared" si="10"/>
        <v>2.1927199628988689</v>
      </c>
      <c r="AF21" s="178">
        <f t="shared" si="11"/>
        <v>2.7507412185210627</v>
      </c>
      <c r="AG21" s="244">
        <f t="shared" si="12"/>
        <v>3.0815127760641561</v>
      </c>
      <c r="AH21" s="245">
        <f t="shared" si="14"/>
        <v>26.895346721242067</v>
      </c>
      <c r="AI21" s="192"/>
    </row>
    <row r="22" spans="1:41" x14ac:dyDescent="0.25">
      <c r="A22" s="111" t="s">
        <v>186</v>
      </c>
      <c r="B22" s="157">
        <v>19.216657044609661</v>
      </c>
      <c r="C22" s="193">
        <f t="shared" si="13"/>
        <v>4.7386923982102331</v>
      </c>
      <c r="D22" s="332">
        <v>2000</v>
      </c>
      <c r="F22" s="107" t="str">
        <f t="shared" si="0"/>
        <v>d_PL</v>
      </c>
      <c r="G22" s="150">
        <v>0.11759850861010608</v>
      </c>
      <c r="H22" s="150">
        <v>0.10116031635924062</v>
      </c>
      <c r="I22" s="150">
        <v>9.96644463303447E-2</v>
      </c>
      <c r="J22" s="150">
        <v>7.9793017696763349E-2</v>
      </c>
      <c r="K22" s="150">
        <v>6.733692372251969E-2</v>
      </c>
      <c r="L22" s="150">
        <v>5.7572312530886988E-2</v>
      </c>
      <c r="M22" s="150">
        <v>5.9306423453649337E-2</v>
      </c>
      <c r="N22" s="150">
        <v>6.1001136450727432E-2</v>
      </c>
      <c r="O22" s="150">
        <v>6.2977884467074821E-2</v>
      </c>
      <c r="P22" s="150">
        <v>8.4808756034657595E-2</v>
      </c>
      <c r="Q22" s="150">
        <v>9.7583233267523842E-2</v>
      </c>
      <c r="R22" s="150">
        <v>0.11119704107650556</v>
      </c>
      <c r="U22" s="111" t="s">
        <v>186</v>
      </c>
      <c r="V22" s="178">
        <f t="shared" si="1"/>
        <v>2.2598502089179848</v>
      </c>
      <c r="W22" s="178">
        <f t="shared" si="2"/>
        <v>1.9439631059997433</v>
      </c>
      <c r="X22" s="178">
        <f t="shared" si="3"/>
        <v>1.9152174846711401</v>
      </c>
      <c r="Y22" s="178">
        <f t="shared" si="4"/>
        <v>1.5333550556331708</v>
      </c>
      <c r="Z22" s="178">
        <f t="shared" si="5"/>
        <v>1.2939905696147014</v>
      </c>
      <c r="AA22" s="178">
        <f t="shared" si="6"/>
        <v>1.1063473851711385</v>
      </c>
      <c r="AB22" s="178">
        <f t="shared" si="7"/>
        <v>1.1396712000511742</v>
      </c>
      <c r="AC22" s="178">
        <f t="shared" si="8"/>
        <v>1.1722379185050664</v>
      </c>
      <c r="AD22" s="178">
        <f t="shared" si="9"/>
        <v>1.2102244071988266</v>
      </c>
      <c r="AE22" s="178">
        <f t="shared" si="10"/>
        <v>1.629740779097985</v>
      </c>
      <c r="AF22" s="178">
        <f t="shared" si="11"/>
        <v>1.8752235270061499</v>
      </c>
      <c r="AG22" s="244">
        <f t="shared" si="12"/>
        <v>2.1368354027425807</v>
      </c>
      <c r="AH22" s="245">
        <f t="shared" si="14"/>
        <v>19.216657044609658</v>
      </c>
      <c r="AI22" s="192"/>
    </row>
    <row r="23" spans="1:41" x14ac:dyDescent="0.25">
      <c r="A23" s="112" t="s">
        <v>297</v>
      </c>
      <c r="B23" s="40">
        <v>4.2183701042325374</v>
      </c>
      <c r="C23" s="193">
        <f t="shared" si="13"/>
        <v>0.40702655681643007</v>
      </c>
      <c r="D23" s="332">
        <v>2000</v>
      </c>
      <c r="F23" s="107" t="str">
        <f t="shared" si="0"/>
        <v>d_PT</v>
      </c>
      <c r="G23" s="150">
        <v>8.5157044664723028E-2</v>
      </c>
      <c r="H23" s="150">
        <v>7.5485884815064588E-2</v>
      </c>
      <c r="I23" s="150">
        <v>7.1351072181865954E-2</v>
      </c>
      <c r="J23" s="150">
        <v>7.0598142878933998E-2</v>
      </c>
      <c r="K23" s="150">
        <v>7.7717138033672931E-2</v>
      </c>
      <c r="L23" s="150">
        <v>8.7099844134476856E-2</v>
      </c>
      <c r="M23" s="150">
        <v>9.5240197457861497E-2</v>
      </c>
      <c r="N23" s="150">
        <v>8.8125827510521573E-2</v>
      </c>
      <c r="O23" s="150">
        <v>9.5015659273324948E-2</v>
      </c>
      <c r="P23" s="150">
        <v>8.6068814774915514E-2</v>
      </c>
      <c r="Q23" s="150">
        <v>8.5634415521222473E-2</v>
      </c>
      <c r="R23" s="150">
        <v>8.2505958753416611E-2</v>
      </c>
      <c r="U23" s="112" t="s">
        <v>297</v>
      </c>
      <c r="V23" s="178">
        <f t="shared" si="1"/>
        <v>0.35922393137846254</v>
      </c>
      <c r="W23" s="178">
        <f t="shared" si="2"/>
        <v>0.31842739979540935</v>
      </c>
      <c r="X23" s="178">
        <f t="shared" si="3"/>
        <v>0.30098522979692116</v>
      </c>
      <c r="Y23" s="178">
        <f t="shared" si="4"/>
        <v>0.29780909533483235</v>
      </c>
      <c r="Z23" s="178">
        <f t="shared" si="5"/>
        <v>0.32783965166775936</v>
      </c>
      <c r="AA23" s="178">
        <f t="shared" si="6"/>
        <v>0.36741937858019091</v>
      </c>
      <c r="AB23" s="178">
        <f t="shared" si="7"/>
        <v>0.40175840167744664</v>
      </c>
      <c r="AC23" s="178">
        <f t="shared" si="8"/>
        <v>0.37174735618113752</v>
      </c>
      <c r="AD23" s="178">
        <f t="shared" si="9"/>
        <v>0.40081121651253904</v>
      </c>
      <c r="AE23" s="178">
        <f t="shared" si="10"/>
        <v>0.36307011515323134</v>
      </c>
      <c r="AF23" s="178">
        <f t="shared" si="11"/>
        <v>0.36123765832815169</v>
      </c>
      <c r="AG23" s="244">
        <f t="shared" si="12"/>
        <v>0.34804066982645548</v>
      </c>
      <c r="AH23" s="245">
        <f t="shared" si="14"/>
        <v>4.2183701042325374</v>
      </c>
      <c r="AI23" s="192"/>
    </row>
    <row r="24" spans="1:41" x14ac:dyDescent="0.25">
      <c r="A24" s="111" t="s">
        <v>193</v>
      </c>
      <c r="B24" s="157">
        <v>9.1957628928285917</v>
      </c>
      <c r="C24" s="193">
        <f t="shared" si="13"/>
        <v>0.92669143693467848</v>
      </c>
      <c r="D24" s="332">
        <v>2000</v>
      </c>
      <c r="F24" s="107" t="str">
        <f t="shared" si="0"/>
        <v>d_RO</v>
      </c>
      <c r="G24" s="150">
        <v>0.13185499003113552</v>
      </c>
      <c r="H24" s="150">
        <v>0.1207936234886824</v>
      </c>
      <c r="I24" s="150">
        <v>8.5672406195900941E-2</v>
      </c>
      <c r="J24" s="150">
        <v>7.2577950040031952E-2</v>
      </c>
      <c r="K24" s="150">
        <v>5.8055717287347097E-2</v>
      </c>
      <c r="L24" s="150">
        <v>5.6102650626359531E-2</v>
      </c>
      <c r="M24" s="150">
        <v>5.4446874033449812E-2</v>
      </c>
      <c r="N24" s="150">
        <v>5.6058733919806675E-2</v>
      </c>
      <c r="O24" s="150">
        <v>5.9734166947342966E-2</v>
      </c>
      <c r="P24" s="150">
        <v>7.6260373993885508E-2</v>
      </c>
      <c r="Q24" s="150">
        <v>0.10426309346426514</v>
      </c>
      <c r="R24" s="150">
        <v>0.12417941997179249</v>
      </c>
      <c r="U24" s="111" t="s">
        <v>193</v>
      </c>
      <c r="V24" s="178">
        <f t="shared" si="1"/>
        <v>1.2125072245625999</v>
      </c>
      <c r="W24" s="178">
        <f t="shared" si="2"/>
        <v>1.1107895205675338</v>
      </c>
      <c r="X24" s="178">
        <f t="shared" si="3"/>
        <v>0.78782313383560421</v>
      </c>
      <c r="Y24" s="178">
        <f t="shared" si="4"/>
        <v>0.66740961981569324</v>
      </c>
      <c r="Z24" s="178">
        <f t="shared" si="5"/>
        <v>0.53386661074753383</v>
      </c>
      <c r="AA24" s="178">
        <f t="shared" si="6"/>
        <v>0.51590667281920377</v>
      </c>
      <c r="AB24" s="178">
        <f t="shared" si="7"/>
        <v>0.50068054386731042</v>
      </c>
      <c r="AC24" s="178">
        <f t="shared" si="8"/>
        <v>0.51550282519870971</v>
      </c>
      <c r="AD24" s="178">
        <f t="shared" si="9"/>
        <v>0.54930123584840462</v>
      </c>
      <c r="AE24" s="178">
        <f t="shared" si="10"/>
        <v>0.70127231736620288</v>
      </c>
      <c r="AF24" s="178">
        <f t="shared" si="11"/>
        <v>0.95877868597020866</v>
      </c>
      <c r="AG24" s="244">
        <f t="shared" si="12"/>
        <v>1.1419245022295872</v>
      </c>
      <c r="AH24" s="245">
        <f t="shared" si="14"/>
        <v>9.1957628928285935</v>
      </c>
      <c r="AI24" s="192"/>
    </row>
    <row r="25" spans="1:41" x14ac:dyDescent="0.25">
      <c r="A25" s="113" t="s">
        <v>298</v>
      </c>
      <c r="B25" s="121">
        <v>3.1462797634890749</v>
      </c>
      <c r="C25" s="193">
        <f t="shared" si="13"/>
        <v>0.1630638160381872</v>
      </c>
      <c r="D25" s="332">
        <v>2000</v>
      </c>
      <c r="F25" s="107" t="str">
        <f t="shared" si="0"/>
        <v>d_SB</v>
      </c>
      <c r="G25" s="150">
        <v>0.15096099292969622</v>
      </c>
      <c r="H25" s="150">
        <v>0.12293674184266962</v>
      </c>
      <c r="I25" s="150">
        <v>0.1012782767558104</v>
      </c>
      <c r="J25" s="150">
        <v>6.5986486087843008E-2</v>
      </c>
      <c r="K25" s="150">
        <v>5.7317500270984867E-2</v>
      </c>
      <c r="L25" s="150">
        <v>4.8806560371997043E-2</v>
      </c>
      <c r="M25" s="150">
        <v>5.2009198392476641E-2</v>
      </c>
      <c r="N25" s="150">
        <v>4.6882181956387214E-2</v>
      </c>
      <c r="O25" s="150">
        <v>5.2762210440669415E-2</v>
      </c>
      <c r="P25" s="150">
        <v>6.9335550263918674E-2</v>
      </c>
      <c r="Q25" s="150">
        <v>0.10193601532882469</v>
      </c>
      <c r="R25" s="150">
        <v>0.12978828535872219</v>
      </c>
      <c r="U25" s="113" t="s">
        <v>298</v>
      </c>
      <c r="V25" s="178">
        <f t="shared" si="1"/>
        <v>0.47496551713092056</v>
      </c>
      <c r="W25" s="178">
        <f t="shared" si="2"/>
        <v>0.38679338304887201</v>
      </c>
      <c r="X25" s="178">
        <f t="shared" si="3"/>
        <v>0.3186497926378522</v>
      </c>
      <c r="Y25" s="178">
        <f t="shared" si="4"/>
        <v>0.20761194584193382</v>
      </c>
      <c r="Z25" s="178">
        <f t="shared" si="5"/>
        <v>0.18033689119637925</v>
      </c>
      <c r="AA25" s="178">
        <f t="shared" si="6"/>
        <v>0.15355909322392211</v>
      </c>
      <c r="AB25" s="178">
        <f t="shared" si="7"/>
        <v>0.16363548841753778</v>
      </c>
      <c r="AC25" s="178">
        <f t="shared" si="8"/>
        <v>0.14750446035759374</v>
      </c>
      <c r="AD25" s="178">
        <f t="shared" si="9"/>
        <v>0.16600467498643015</v>
      </c>
      <c r="AE25" s="178">
        <f t="shared" si="10"/>
        <v>0.21814903868574692</v>
      </c>
      <c r="AF25" s="178">
        <f t="shared" si="11"/>
        <v>0.32071922219979326</v>
      </c>
      <c r="AG25" s="244">
        <f t="shared" si="12"/>
        <v>0.40835025576209305</v>
      </c>
      <c r="AH25" s="245">
        <f t="shared" si="14"/>
        <v>3.1462797634890753</v>
      </c>
      <c r="AI25" s="192"/>
    </row>
    <row r="26" spans="1:41" x14ac:dyDescent="0.25">
      <c r="A26" s="111" t="s">
        <v>197</v>
      </c>
      <c r="B26" s="157">
        <v>1.349753717472119</v>
      </c>
      <c r="C26" s="193">
        <f t="shared" si="13"/>
        <v>0.5860388362081721</v>
      </c>
      <c r="D26" s="332">
        <v>2000</v>
      </c>
      <c r="F26" s="107" t="str">
        <f t="shared" si="0"/>
        <v>d_SE</v>
      </c>
      <c r="G26" s="97">
        <v>0.13105204656660779</v>
      </c>
      <c r="H26" s="97">
        <v>0.11571024524247193</v>
      </c>
      <c r="I26" s="97">
        <v>0.14643938942649457</v>
      </c>
      <c r="J26" s="97">
        <v>6.8789907954309018E-2</v>
      </c>
      <c r="K26" s="97">
        <v>6.4194377291591012E-2</v>
      </c>
      <c r="L26" s="97">
        <v>4.6014034355464702E-2</v>
      </c>
      <c r="M26" s="97">
        <v>4.5620110975104523E-2</v>
      </c>
      <c r="N26" s="97">
        <v>5.4105340244597455E-2</v>
      </c>
      <c r="O26" s="97">
        <v>5.2509516115633592E-2</v>
      </c>
      <c r="P26" s="97">
        <v>6.8916929454814854E-2</v>
      </c>
      <c r="Q26" s="97">
        <v>9.5656084618997494E-2</v>
      </c>
      <c r="R26" s="97">
        <v>0.11099201775391306</v>
      </c>
      <c r="U26" s="111" t="s">
        <v>197</v>
      </c>
      <c r="V26" s="178">
        <f t="shared" si="1"/>
        <v>0.17688798703560812</v>
      </c>
      <c r="W26" s="178">
        <f t="shared" si="2"/>
        <v>0.15618033366563708</v>
      </c>
      <c r="X26" s="178">
        <f t="shared" si="3"/>
        <v>0.19765711026275837</v>
      </c>
      <c r="Y26" s="178">
        <f t="shared" si="4"/>
        <v>9.2849433985893487E-2</v>
      </c>
      <c r="Z26" s="178">
        <f t="shared" si="5"/>
        <v>8.664659939013275E-2</v>
      </c>
      <c r="AA26" s="178">
        <f t="shared" si="6"/>
        <v>6.2107613927178285E-2</v>
      </c>
      <c r="AB26" s="178">
        <f t="shared" si="7"/>
        <v>6.1575914380137944E-2</v>
      </c>
      <c r="AC26" s="178">
        <f t="shared" si="8"/>
        <v>7.3028884130239266E-2</v>
      </c>
      <c r="AD26" s="178">
        <f t="shared" si="9"/>
        <v>7.0874914579738588E-2</v>
      </c>
      <c r="AE26" s="178">
        <f t="shared" si="10"/>
        <v>9.3020881728400132E-2</v>
      </c>
      <c r="AF26" s="178">
        <f t="shared" si="11"/>
        <v>0.12911215581331945</v>
      </c>
      <c r="AG26" s="244">
        <f t="shared" si="12"/>
        <v>0.14981188857307559</v>
      </c>
      <c r="AH26" s="245">
        <f t="shared" si="14"/>
        <v>1.3497537174721193</v>
      </c>
    </row>
    <row r="27" spans="1:41" x14ac:dyDescent="0.25">
      <c r="A27" s="112" t="s">
        <v>299</v>
      </c>
      <c r="B27" s="40">
        <v>1.3297397769516728</v>
      </c>
      <c r="C27" s="193">
        <f t="shared" si="13"/>
        <v>3.0093556304569689E-2</v>
      </c>
      <c r="D27" s="332">
        <v>2000</v>
      </c>
      <c r="F27" s="107" t="str">
        <f t="shared" si="0"/>
        <v>d_SI</v>
      </c>
      <c r="G27" s="97">
        <v>0.13071687841503588</v>
      </c>
      <c r="H27" s="97">
        <v>0.11353047740777968</v>
      </c>
      <c r="I27" s="97">
        <v>0.10429195882435531</v>
      </c>
      <c r="J27" s="97">
        <v>7.6549843305311116E-2</v>
      </c>
      <c r="K27" s="97">
        <v>6.6381589213390643E-2</v>
      </c>
      <c r="L27" s="97">
        <v>5.6660912807473623E-2</v>
      </c>
      <c r="M27" s="97">
        <v>5.6310131632787606E-2</v>
      </c>
      <c r="N27" s="97">
        <v>5.4246697309417106E-2</v>
      </c>
      <c r="O27" s="97">
        <v>6.0527713427548563E-2</v>
      </c>
      <c r="P27" s="97">
        <v>7.726580980718549E-2</v>
      </c>
      <c r="Q27" s="97">
        <v>9.3266286560030845E-2</v>
      </c>
      <c r="R27" s="97">
        <v>0.11025170128968413</v>
      </c>
      <c r="S27" s="33"/>
      <c r="U27" s="112" t="s">
        <v>299</v>
      </c>
      <c r="V27" s="178">
        <f t="shared" si="1"/>
        <v>0.17381943274742873</v>
      </c>
      <c r="W27" s="178">
        <f t="shared" si="2"/>
        <v>0.15096599170543787</v>
      </c>
      <c r="X27" s="178">
        <f t="shared" si="3"/>
        <v>0.13868116606495126</v>
      </c>
      <c r="Y27" s="178">
        <f t="shared" si="4"/>
        <v>0.10179137156248991</v>
      </c>
      <c r="Z27" s="178">
        <f t="shared" si="5"/>
        <v>8.8270239634311645E-2</v>
      </c>
      <c r="AA27" s="178">
        <f t="shared" si="6"/>
        <v>7.534426955848815E-2</v>
      </c>
      <c r="AB27" s="178">
        <f t="shared" si="7"/>
        <v>7.4877821877502332E-2</v>
      </c>
      <c r="AC27" s="178">
        <f t="shared" si="8"/>
        <v>7.2133991180589205E-2</v>
      </c>
      <c r="AD27" s="178">
        <f t="shared" si="9"/>
        <v>8.0486108152543201E-2</v>
      </c>
      <c r="AE27" s="178">
        <f t="shared" si="10"/>
        <v>0.10274342069899721</v>
      </c>
      <c r="AF27" s="178">
        <f t="shared" si="11"/>
        <v>0.12401989108744621</v>
      </c>
      <c r="AG27" s="244">
        <f t="shared" si="12"/>
        <v>0.14660607268148704</v>
      </c>
      <c r="AH27" s="245">
        <f t="shared" si="14"/>
        <v>1.3297397769516728</v>
      </c>
      <c r="AI27" s="192"/>
    </row>
    <row r="28" spans="1:41" x14ac:dyDescent="0.25">
      <c r="A28" s="111" t="s">
        <v>185</v>
      </c>
      <c r="B28" s="157">
        <v>4.7952070325250062</v>
      </c>
      <c r="C28" s="193">
        <f t="shared" si="13"/>
        <v>0.3451620834309832</v>
      </c>
      <c r="D28" s="332">
        <v>2000</v>
      </c>
      <c r="F28" s="107" t="str">
        <f t="shared" si="0"/>
        <v>d_SK</v>
      </c>
      <c r="G28" s="150">
        <v>0.1621600107348404</v>
      </c>
      <c r="H28" s="150">
        <v>0.13040347741037969</v>
      </c>
      <c r="I28" s="150">
        <v>0.12296662684318516</v>
      </c>
      <c r="J28" s="150">
        <v>6.6133721705697882E-2</v>
      </c>
      <c r="K28" s="150">
        <v>3.6547208570688487E-2</v>
      </c>
      <c r="L28" s="150">
        <v>3.1042792963293989E-2</v>
      </c>
      <c r="M28" s="150">
        <v>3.7043085204013233E-2</v>
      </c>
      <c r="N28" s="150">
        <v>4.3719350978905412E-2</v>
      </c>
      <c r="O28" s="150">
        <v>4.658805943227088E-2</v>
      </c>
      <c r="P28" s="150">
        <v>8.3037381575007521E-2</v>
      </c>
      <c r="Q28" s="150">
        <v>0.1129377756714466</v>
      </c>
      <c r="R28" s="150">
        <v>0.12742050891027074</v>
      </c>
      <c r="S28" s="98"/>
      <c r="U28" s="111" t="s">
        <v>185</v>
      </c>
      <c r="V28" s="178">
        <f t="shared" si="1"/>
        <v>0.7775908238700372</v>
      </c>
      <c r="W28" s="178">
        <f t="shared" si="2"/>
        <v>0.62531167194396853</v>
      </c>
      <c r="X28" s="178">
        <f t="shared" si="3"/>
        <v>0.5896504338043197</v>
      </c>
      <c r="Y28" s="178">
        <f t="shared" si="4"/>
        <v>0.31712488741021411</v>
      </c>
      <c r="Z28" s="178">
        <f t="shared" si="5"/>
        <v>0.17525143155732362</v>
      </c>
      <c r="AA28" s="178">
        <f t="shared" si="6"/>
        <v>0.14885661912680512</v>
      </c>
      <c r="AB28" s="178">
        <f t="shared" si="7"/>
        <v>0.17762926267670726</v>
      </c>
      <c r="AC28" s="178">
        <f t="shared" si="8"/>
        <v>0.20964333927147624</v>
      </c>
      <c r="AD28" s="178">
        <f t="shared" si="9"/>
        <v>0.22339939022131827</v>
      </c>
      <c r="AE28" s="178">
        <f t="shared" si="10"/>
        <v>0.39818143609093842</v>
      </c>
      <c r="AF28" s="178">
        <f t="shared" si="11"/>
        <v>0.5415600161374523</v>
      </c>
      <c r="AG28" s="244">
        <f t="shared" si="12"/>
        <v>0.6110077204144454</v>
      </c>
      <c r="AH28" s="245">
        <f t="shared" si="14"/>
        <v>4.7952070325250062</v>
      </c>
      <c r="AI28" s="192"/>
    </row>
    <row r="29" spans="1:41" x14ac:dyDescent="0.25">
      <c r="A29" s="111" t="s">
        <v>300</v>
      </c>
      <c r="B29" s="122">
        <v>62.855651368612342</v>
      </c>
      <c r="C29" s="193">
        <f t="shared" si="13"/>
        <v>0</v>
      </c>
      <c r="D29" s="332">
        <v>2000</v>
      </c>
      <c r="F29" s="107" t="str">
        <f t="shared" si="0"/>
        <v>d_TR</v>
      </c>
      <c r="G29" s="150">
        <v>0.12181803115000889</v>
      </c>
      <c r="H29" s="150">
        <v>0.10235982335348609</v>
      </c>
      <c r="I29" s="150">
        <v>9.4991080339088443E-2</v>
      </c>
      <c r="J29" s="150">
        <v>7.5770947844885181E-2</v>
      </c>
      <c r="K29" s="150">
        <v>6.2852849969963584E-2</v>
      </c>
      <c r="L29" s="150">
        <v>5.7339972225106346E-2</v>
      </c>
      <c r="M29" s="150">
        <v>6.8293659014454014E-2</v>
      </c>
      <c r="N29" s="150">
        <v>6.6999877442080011E-2</v>
      </c>
      <c r="O29" s="150">
        <v>6.2843029453344718E-2</v>
      </c>
      <c r="P29" s="150">
        <v>6.9937440402502618E-2</v>
      </c>
      <c r="Q29" s="150">
        <v>9.6435340199759703E-2</v>
      </c>
      <c r="R29" s="150">
        <v>0.12035794860532038</v>
      </c>
      <c r="S29" s="98"/>
      <c r="U29" s="111" t="s">
        <v>300</v>
      </c>
      <c r="V29" s="178">
        <f t="shared" si="1"/>
        <v>7.6569516963757174</v>
      </c>
      <c r="W29" s="178">
        <f t="shared" si="2"/>
        <v>6.4338933708594652</v>
      </c>
      <c r="X29" s="178">
        <f t="shared" si="3"/>
        <v>5.9707262289215892</v>
      </c>
      <c r="Y29" s="178">
        <f t="shared" si="4"/>
        <v>4.762632281607412</v>
      </c>
      <c r="Z29" s="178">
        <f t="shared" si="5"/>
        <v>3.9506568252357277</v>
      </c>
      <c r="AA29" s="178">
        <f t="shared" si="6"/>
        <v>3.6041413036671992</v>
      </c>
      <c r="AB29" s="178">
        <f t="shared" si="7"/>
        <v>4.2926424216994112</v>
      </c>
      <c r="AC29" s="178">
        <f t="shared" si="8"/>
        <v>4.2113209382391359</v>
      </c>
      <c r="AD29" s="178">
        <f t="shared" si="9"/>
        <v>3.9500395502668728</v>
      </c>
      <c r="AE29" s="178">
        <f t="shared" si="10"/>
        <v>4.3959633715528081</v>
      </c>
      <c r="AF29" s="178">
        <f t="shared" si="11"/>
        <v>6.0615061232096226</v>
      </c>
      <c r="AG29" s="244">
        <f t="shared" si="12"/>
        <v>7.5651772569773801</v>
      </c>
      <c r="AH29" s="245">
        <f t="shared" si="14"/>
        <v>62.855651368612342</v>
      </c>
      <c r="AI29" s="192"/>
    </row>
    <row r="30" spans="1:41" x14ac:dyDescent="0.25">
      <c r="A30" s="111" t="s">
        <v>188</v>
      </c>
      <c r="B30" s="159">
        <v>46.63019946006866</v>
      </c>
      <c r="C30" s="193">
        <f t="shared" si="13"/>
        <v>0</v>
      </c>
      <c r="D30" s="332">
        <v>2000</v>
      </c>
      <c r="F30" s="107" t="str">
        <f t="shared" si="0"/>
        <v>d_UA</v>
      </c>
      <c r="G30" s="150">
        <v>0.11799999999999999</v>
      </c>
      <c r="H30" s="150">
        <v>0.105</v>
      </c>
      <c r="I30" s="150">
        <v>0.10100000000000001</v>
      </c>
      <c r="J30" s="150">
        <v>0.08</v>
      </c>
      <c r="K30" s="150">
        <v>6.5000000000000002E-2</v>
      </c>
      <c r="L30" s="150">
        <v>5.8000000000000003E-2</v>
      </c>
      <c r="M30" s="150">
        <v>5.7000000000000002E-2</v>
      </c>
      <c r="N30" s="150">
        <v>5.8000000000000003E-2</v>
      </c>
      <c r="O30" s="150">
        <v>6.4000000000000001E-2</v>
      </c>
      <c r="P30" s="150">
        <v>8.5000000000000006E-2</v>
      </c>
      <c r="Q30" s="150">
        <v>9.7000000000000003E-2</v>
      </c>
      <c r="R30" s="150">
        <v>0.112</v>
      </c>
      <c r="S30" s="98"/>
      <c r="U30" s="111" t="s">
        <v>188</v>
      </c>
      <c r="V30" s="178">
        <f t="shared" si="1"/>
        <v>5.5023635362881018</v>
      </c>
      <c r="W30" s="178">
        <f t="shared" si="2"/>
        <v>4.8961709433072089</v>
      </c>
      <c r="X30" s="178">
        <f t="shared" si="3"/>
        <v>4.7096501454669353</v>
      </c>
      <c r="Y30" s="178">
        <f t="shared" si="4"/>
        <v>3.7304159568054929</v>
      </c>
      <c r="Z30" s="178">
        <f t="shared" si="5"/>
        <v>3.0309629649044632</v>
      </c>
      <c r="AA30" s="178">
        <f t="shared" si="6"/>
        <v>2.7045515686839825</v>
      </c>
      <c r="AB30" s="178">
        <f t="shared" si="7"/>
        <v>2.6579213692239136</v>
      </c>
      <c r="AC30" s="178">
        <f t="shared" si="8"/>
        <v>2.7045515686839825</v>
      </c>
      <c r="AD30" s="178">
        <f t="shared" si="9"/>
        <v>2.9843327654443943</v>
      </c>
      <c r="AE30" s="178">
        <f t="shared" si="10"/>
        <v>3.9635669541058363</v>
      </c>
      <c r="AF30" s="178">
        <f t="shared" si="11"/>
        <v>4.5231293476266599</v>
      </c>
      <c r="AG30" s="244">
        <f t="shared" si="12"/>
        <v>5.2225823395276896</v>
      </c>
      <c r="AH30" s="245">
        <f t="shared" si="14"/>
        <v>46.63019946006866</v>
      </c>
      <c r="AI30" s="192"/>
      <c r="AJ30" s="176"/>
      <c r="AK30" s="176"/>
      <c r="AL30" s="176"/>
      <c r="AM30" s="176"/>
      <c r="AN30" s="176"/>
      <c r="AO30" s="176"/>
    </row>
    <row r="31" spans="1:41" x14ac:dyDescent="0.25">
      <c r="A31" s="111" t="s">
        <v>191</v>
      </c>
      <c r="B31" s="159">
        <v>48.814213653810405</v>
      </c>
      <c r="C31" s="193">
        <f t="shared" si="13"/>
        <v>5.7864492018952856</v>
      </c>
      <c r="D31" s="332">
        <v>2000</v>
      </c>
      <c r="F31" s="107" t="str">
        <f t="shared" si="0"/>
        <v>d_UK</v>
      </c>
      <c r="G31" s="150">
        <v>0.1235404733567043</v>
      </c>
      <c r="H31" s="150">
        <v>0.10858021754869181</v>
      </c>
      <c r="I31" s="150">
        <v>0.10424430516634574</v>
      </c>
      <c r="J31" s="150">
        <v>8.147888476732755E-2</v>
      </c>
      <c r="K31" s="150">
        <v>6.6486164003342216E-2</v>
      </c>
      <c r="L31" s="150">
        <v>5.6013205095445683E-2</v>
      </c>
      <c r="M31" s="150">
        <v>5.3675644321273169E-2</v>
      </c>
      <c r="N31" s="150">
        <v>5.2119358762019015E-2</v>
      </c>
      <c r="O31" s="150">
        <v>5.6979896074845347E-2</v>
      </c>
      <c r="P31" s="150">
        <v>7.9932647170060198E-2</v>
      </c>
      <c r="Q31" s="150">
        <v>0.10398263987735717</v>
      </c>
      <c r="R31" s="150">
        <v>0.11296656385658778</v>
      </c>
      <c r="S31" s="98"/>
      <c r="U31" s="111" t="s">
        <v>191</v>
      </c>
      <c r="V31" s="195">
        <f t="shared" si="1"/>
        <v>6.0305310613270358</v>
      </c>
      <c r="W31" s="195">
        <f t="shared" si="2"/>
        <v>5.3002579379990555</v>
      </c>
      <c r="X31" s="195">
        <f t="shared" si="3"/>
        <v>5.0886037845830128</v>
      </c>
      <c r="Y31" s="195">
        <f t="shared" si="4"/>
        <v>3.977327689306525</v>
      </c>
      <c r="Z31" s="195">
        <f t="shared" si="5"/>
        <v>3.2454698146814254</v>
      </c>
      <c r="AA31" s="195">
        <f t="shared" si="6"/>
        <v>2.7342405609637872</v>
      </c>
      <c r="AB31" s="195">
        <f t="shared" si="7"/>
        <v>2.6201343699045636</v>
      </c>
      <c r="AC31" s="195">
        <f t="shared" si="8"/>
        <v>2.5441655141087915</v>
      </c>
      <c r="AD31" s="195">
        <f t="shared" si="9"/>
        <v>2.7814288209694138</v>
      </c>
      <c r="AE31" s="195">
        <f t="shared" si="10"/>
        <v>3.9018493168739621</v>
      </c>
      <c r="AF31" s="195">
        <f t="shared" si="11"/>
        <v>5.0758307992605394</v>
      </c>
      <c r="AG31" s="246">
        <f t="shared" si="12"/>
        <v>5.514373983832292</v>
      </c>
      <c r="AH31" s="245">
        <f t="shared" si="14"/>
        <v>48.814213653810398</v>
      </c>
      <c r="AI31" s="178">
        <f>SUM(AH2:AH31)</f>
        <v>523.0289563848778</v>
      </c>
      <c r="AJ31" s="176"/>
      <c r="AK31" s="176"/>
      <c r="AL31" s="176"/>
      <c r="AM31" s="176"/>
      <c r="AN31" s="176"/>
      <c r="AO31" s="176"/>
    </row>
    <row r="32" spans="1:41" x14ac:dyDescent="0.25">
      <c r="A32" s="54"/>
      <c r="B32" s="54"/>
      <c r="C32" s="54"/>
      <c r="D32" s="89"/>
      <c r="F32" s="107"/>
      <c r="S32" s="98"/>
      <c r="V32" s="245">
        <f>SUM(V2:V31)</f>
        <v>66.362081022624579</v>
      </c>
      <c r="W32" s="245">
        <f t="shared" ref="W32:AG32" si="15">SUM(W2:W31)</f>
        <v>57.129524420864051</v>
      </c>
      <c r="X32" s="245">
        <f t="shared" si="15"/>
        <v>52.273788871759329</v>
      </c>
      <c r="Y32" s="245">
        <f t="shared" si="15"/>
        <v>39.098286116503473</v>
      </c>
      <c r="Z32" s="245">
        <f t="shared" si="15"/>
        <v>32.974999786971971</v>
      </c>
      <c r="AA32" s="245">
        <f t="shared" si="15"/>
        <v>28.654165264080742</v>
      </c>
      <c r="AB32" s="245">
        <f t="shared" si="15"/>
        <v>30.180134537334055</v>
      </c>
      <c r="AC32" s="245">
        <f t="shared" si="15"/>
        <v>28.828634816782962</v>
      </c>
      <c r="AD32" s="245">
        <f t="shared" si="15"/>
        <v>31.718446433732371</v>
      </c>
      <c r="AE32" s="245">
        <f t="shared" si="15"/>
        <v>41.398800988437486</v>
      </c>
      <c r="AF32" s="245">
        <f t="shared" si="15"/>
        <v>53.46396706992968</v>
      </c>
      <c r="AG32" s="245">
        <f t="shared" si="15"/>
        <v>60.946127055857154</v>
      </c>
      <c r="AH32" s="178"/>
      <c r="AI32" s="178"/>
      <c r="AJ32" s="176"/>
      <c r="AK32" s="176"/>
      <c r="AL32" s="176"/>
      <c r="AM32" s="176"/>
      <c r="AN32" s="176"/>
      <c r="AO32" s="176"/>
    </row>
    <row r="33" spans="1:41" x14ac:dyDescent="0.25">
      <c r="A33" s="54"/>
      <c r="B33" s="54"/>
      <c r="C33" s="54"/>
      <c r="D33" s="184" t="s">
        <v>467</v>
      </c>
      <c r="G33" s="217"/>
      <c r="S33" s="98"/>
      <c r="V33" s="192"/>
      <c r="W33" s="192"/>
      <c r="X33" s="192"/>
      <c r="Y33" s="192"/>
      <c r="Z33" s="192"/>
      <c r="AA33" s="192"/>
      <c r="AB33" s="192"/>
      <c r="AC33" s="192"/>
      <c r="AD33" s="192"/>
      <c r="AE33" s="192"/>
      <c r="AF33" s="178"/>
      <c r="AG33" s="178">
        <f>SUM(V32:AG32)</f>
        <v>523.0289563848778</v>
      </c>
      <c r="AH33" s="242"/>
      <c r="AI33" s="178"/>
      <c r="AJ33" s="176"/>
      <c r="AK33" s="176"/>
      <c r="AL33" s="176"/>
      <c r="AM33" s="176"/>
      <c r="AN33" s="176"/>
      <c r="AO33" s="176"/>
    </row>
    <row r="34" spans="1:41" x14ac:dyDescent="0.25">
      <c r="A34" s="111"/>
      <c r="B34" s="54"/>
      <c r="C34" s="146"/>
      <c r="F34" s="151"/>
      <c r="G34" s="148" t="s">
        <v>409</v>
      </c>
      <c r="H34" s="148" t="s">
        <v>410</v>
      </c>
      <c r="I34" s="148" t="s">
        <v>411</v>
      </c>
      <c r="J34" s="148" t="s">
        <v>412</v>
      </c>
      <c r="K34" s="148" t="s">
        <v>413</v>
      </c>
      <c r="L34" s="148" t="s">
        <v>414</v>
      </c>
      <c r="M34" s="148" t="s">
        <v>415</v>
      </c>
      <c r="N34" s="148" t="s">
        <v>416</v>
      </c>
      <c r="O34" s="148" t="s">
        <v>417</v>
      </c>
      <c r="P34" s="148" t="s">
        <v>418</v>
      </c>
      <c r="Q34" s="148" t="s">
        <v>419</v>
      </c>
      <c r="R34" s="148" t="s">
        <v>420</v>
      </c>
      <c r="S34" s="98"/>
      <c r="V34" s="192"/>
      <c r="W34" s="192"/>
      <c r="X34" s="192"/>
      <c r="Y34" s="192"/>
      <c r="Z34" s="192"/>
      <c r="AA34" s="192"/>
      <c r="AB34" s="192"/>
      <c r="AC34" s="192"/>
      <c r="AD34" s="192"/>
      <c r="AE34" s="192"/>
      <c r="AF34" s="178"/>
      <c r="AG34" s="178"/>
      <c r="AH34" s="178"/>
      <c r="AI34" s="178"/>
      <c r="AJ34" s="176"/>
      <c r="AK34" s="176"/>
      <c r="AL34" s="176"/>
      <c r="AM34" s="176"/>
      <c r="AN34" s="176"/>
      <c r="AO34" s="176"/>
    </row>
    <row r="35" spans="1:41" x14ac:dyDescent="0.25">
      <c r="A35" s="111"/>
      <c r="B35" s="54"/>
      <c r="C35" s="153"/>
      <c r="F35" s="152" t="s">
        <v>183</v>
      </c>
      <c r="G35" s="219">
        <v>0.21861145888899999</v>
      </c>
      <c r="H35" s="219">
        <v>0.20213282825222578</v>
      </c>
      <c r="I35" s="219">
        <v>0.20913513436014153</v>
      </c>
      <c r="J35" s="219">
        <v>0</v>
      </c>
      <c r="K35" s="219">
        <v>0</v>
      </c>
      <c r="L35" s="219">
        <v>0</v>
      </c>
      <c r="M35" s="219">
        <v>0</v>
      </c>
      <c r="N35" s="219">
        <v>0</v>
      </c>
      <c r="O35" s="219">
        <v>0</v>
      </c>
      <c r="P35" s="219">
        <v>0</v>
      </c>
      <c r="Q35" s="219">
        <v>0.18393153991919189</v>
      </c>
      <c r="R35" s="219">
        <v>0.18618903857944061</v>
      </c>
      <c r="S35" s="98"/>
      <c r="T35" s="152"/>
      <c r="U35" s="217"/>
      <c r="V35" s="217"/>
      <c r="W35" s="217"/>
      <c r="X35" s="217"/>
      <c r="Y35" s="217">
        <f t="shared" ref="Y35:AF50" si="16">K35*K2*$B$2</f>
        <v>0</v>
      </c>
      <c r="Z35" s="217">
        <f t="shared" si="16"/>
        <v>0</v>
      </c>
      <c r="AA35" s="217">
        <f t="shared" si="16"/>
        <v>0</v>
      </c>
      <c r="AB35" s="217">
        <f t="shared" si="16"/>
        <v>0</v>
      </c>
      <c r="AC35" s="217">
        <f t="shared" si="16"/>
        <v>0</v>
      </c>
      <c r="AD35" s="217">
        <f t="shared" si="16"/>
        <v>0</v>
      </c>
      <c r="AE35" s="217">
        <f t="shared" si="16"/>
        <v>0.13577890193713318</v>
      </c>
      <c r="AF35" s="217">
        <f t="shared" si="16"/>
        <v>0.16337848874453165</v>
      </c>
      <c r="AG35" s="217"/>
      <c r="AH35" s="192"/>
      <c r="AI35" s="192"/>
      <c r="AJ35" s="176"/>
      <c r="AK35" s="176"/>
      <c r="AL35" s="176"/>
      <c r="AM35" s="176"/>
      <c r="AN35" s="176"/>
      <c r="AO35" s="176"/>
    </row>
    <row r="36" spans="1:41" x14ac:dyDescent="0.25">
      <c r="A36" s="160"/>
      <c r="F36" s="152" t="s">
        <v>189</v>
      </c>
      <c r="G36" s="219">
        <v>0.20179059404210622</v>
      </c>
      <c r="H36" s="219">
        <v>0.20781049679783301</v>
      </c>
      <c r="I36" s="219">
        <v>0.20488527324495562</v>
      </c>
      <c r="J36" s="219">
        <v>0</v>
      </c>
      <c r="K36" s="219">
        <v>0</v>
      </c>
      <c r="L36" s="219">
        <v>0</v>
      </c>
      <c r="M36" s="219">
        <v>0</v>
      </c>
      <c r="N36" s="219">
        <v>0</v>
      </c>
      <c r="O36" s="219">
        <v>0</v>
      </c>
      <c r="P36" s="219">
        <v>0</v>
      </c>
      <c r="Q36" s="219">
        <v>0.19539005457447192</v>
      </c>
      <c r="R36" s="219">
        <v>0.19012358134063312</v>
      </c>
      <c r="S36" s="98"/>
      <c r="T36" s="152"/>
      <c r="U36" s="217"/>
      <c r="V36" s="217"/>
      <c r="W36" s="217"/>
      <c r="X36" s="217"/>
      <c r="Y36" s="217">
        <f t="shared" si="16"/>
        <v>0</v>
      </c>
      <c r="Z36" s="217">
        <f t="shared" si="16"/>
        <v>0</v>
      </c>
      <c r="AA36" s="217">
        <f t="shared" si="16"/>
        <v>0</v>
      </c>
      <c r="AB36" s="217">
        <f t="shared" si="16"/>
        <v>0</v>
      </c>
      <c r="AC36" s="217">
        <f t="shared" si="16"/>
        <v>0</v>
      </c>
      <c r="AD36" s="217">
        <f t="shared" si="16"/>
        <v>0</v>
      </c>
      <c r="AE36" s="217">
        <f t="shared" si="16"/>
        <v>0.14410310683322608</v>
      </c>
      <c r="AF36" s="217">
        <f t="shared" si="16"/>
        <v>0.15586065613280936</v>
      </c>
      <c r="AG36" s="217"/>
      <c r="AJ36" s="176"/>
      <c r="AK36" s="176"/>
      <c r="AL36" s="176"/>
      <c r="AM36" s="176"/>
      <c r="AN36" s="176"/>
      <c r="AO36" s="176"/>
    </row>
    <row r="37" spans="1:41" x14ac:dyDescent="0.25">
      <c r="B37" s="215" t="s">
        <v>408</v>
      </c>
      <c r="C37" s="180" t="s">
        <v>404</v>
      </c>
      <c r="D37" s="216" t="s">
        <v>511</v>
      </c>
      <c r="F37" s="152" t="s">
        <v>288</v>
      </c>
      <c r="G37" s="219">
        <v>0.21228643418163809</v>
      </c>
      <c r="H37" s="219">
        <v>0.19840249480347677</v>
      </c>
      <c r="I37" s="219">
        <v>0.19590374080185305</v>
      </c>
      <c r="J37" s="219">
        <v>0</v>
      </c>
      <c r="K37" s="219">
        <v>0</v>
      </c>
      <c r="L37" s="219">
        <v>0</v>
      </c>
      <c r="M37" s="219">
        <v>0</v>
      </c>
      <c r="N37" s="219">
        <v>0</v>
      </c>
      <c r="O37" s="219">
        <v>0</v>
      </c>
      <c r="P37" s="219">
        <v>0</v>
      </c>
      <c r="Q37" s="219">
        <v>0.19553459661269582</v>
      </c>
      <c r="R37" s="219">
        <v>0.19541520957977374</v>
      </c>
      <c r="S37" s="98"/>
      <c r="T37" s="152"/>
      <c r="U37" s="217"/>
      <c r="V37" s="217"/>
      <c r="W37" s="217"/>
      <c r="X37" s="217"/>
      <c r="Y37" s="217">
        <f t="shared" si="16"/>
        <v>0</v>
      </c>
      <c r="Z37" s="217">
        <f t="shared" si="16"/>
        <v>0</v>
      </c>
      <c r="AA37" s="217">
        <f t="shared" si="16"/>
        <v>0</v>
      </c>
      <c r="AB37" s="217">
        <f t="shared" si="16"/>
        <v>0</v>
      </c>
      <c r="AC37" s="217">
        <f t="shared" si="16"/>
        <v>0</v>
      </c>
      <c r="AD37" s="217">
        <f t="shared" si="16"/>
        <v>0</v>
      </c>
      <c r="AE37" s="217">
        <f t="shared" si="16"/>
        <v>0.1339156829350828</v>
      </c>
      <c r="AF37" s="217">
        <f t="shared" si="16"/>
        <v>0.16307577280672625</v>
      </c>
      <c r="AG37" s="217"/>
      <c r="AJ37" s="176"/>
      <c r="AK37" s="176"/>
      <c r="AL37" s="176"/>
      <c r="AM37" s="176"/>
      <c r="AN37" s="176"/>
      <c r="AO37" s="176"/>
    </row>
    <row r="38" spans="1:41" x14ac:dyDescent="0.25">
      <c r="A38" s="162" t="s">
        <v>183</v>
      </c>
      <c r="B38" s="153">
        <v>0.58524437236429994</v>
      </c>
      <c r="C38" s="157">
        <v>0.86364155205246185</v>
      </c>
      <c r="D38" s="193">
        <f>C38*B38</f>
        <v>0.50544135807867285</v>
      </c>
      <c r="F38" s="152" t="s">
        <v>187</v>
      </c>
      <c r="G38" s="219">
        <v>0.19934552555093488</v>
      </c>
      <c r="H38" s="219">
        <v>0.20613389683626621</v>
      </c>
      <c r="I38" s="219">
        <v>0.21184600992384156</v>
      </c>
      <c r="J38" s="219">
        <v>0</v>
      </c>
      <c r="K38" s="219">
        <v>0</v>
      </c>
      <c r="L38" s="219">
        <v>0</v>
      </c>
      <c r="M38" s="219">
        <v>0</v>
      </c>
      <c r="N38" s="219">
        <v>0</v>
      </c>
      <c r="O38" s="219">
        <v>0</v>
      </c>
      <c r="P38" s="219">
        <v>0</v>
      </c>
      <c r="Q38" s="219">
        <v>0.18970478129304191</v>
      </c>
      <c r="R38" s="219">
        <v>0.19296978639591547</v>
      </c>
      <c r="S38" s="98"/>
      <c r="T38" s="152"/>
      <c r="U38" s="217"/>
      <c r="V38" s="217"/>
      <c r="W38" s="217"/>
      <c r="X38" s="217"/>
      <c r="Y38" s="217">
        <f t="shared" si="16"/>
        <v>0</v>
      </c>
      <c r="Z38" s="217">
        <f t="shared" si="16"/>
        <v>0</v>
      </c>
      <c r="AA38" s="217">
        <f t="shared" si="16"/>
        <v>0</v>
      </c>
      <c r="AB38" s="217">
        <f t="shared" si="16"/>
        <v>0</v>
      </c>
      <c r="AC38" s="217">
        <f t="shared" si="16"/>
        <v>0</v>
      </c>
      <c r="AD38" s="217">
        <f t="shared" si="16"/>
        <v>0</v>
      </c>
      <c r="AE38" s="217">
        <f t="shared" si="16"/>
        <v>0.12815047822461026</v>
      </c>
      <c r="AF38" s="217">
        <f t="shared" si="16"/>
        <v>0.15051422917153187</v>
      </c>
      <c r="AG38" s="217"/>
      <c r="AJ38" s="176"/>
      <c r="AK38" s="176"/>
      <c r="AL38" s="176"/>
      <c r="AM38" s="176"/>
      <c r="AN38" s="176"/>
      <c r="AO38" s="176"/>
    </row>
    <row r="39" spans="1:41" x14ac:dyDescent="0.25">
      <c r="A39" s="162" t="s">
        <v>189</v>
      </c>
      <c r="B39" s="153">
        <v>0.56202575080837724</v>
      </c>
      <c r="C39" s="157">
        <v>2.1653285719913704</v>
      </c>
      <c r="D39" s="193">
        <f t="shared" ref="D39:D67" si="17">C39*B39</f>
        <v>1.2169704164202813</v>
      </c>
      <c r="F39" s="152" t="s">
        <v>190</v>
      </c>
      <c r="G39" s="219">
        <v>0.20179059404210622</v>
      </c>
      <c r="H39" s="219">
        <v>0.20781049679783301</v>
      </c>
      <c r="I39" s="219">
        <v>0.20488527324495562</v>
      </c>
      <c r="J39" s="219">
        <v>0</v>
      </c>
      <c r="K39" s="219">
        <v>0</v>
      </c>
      <c r="L39" s="219">
        <v>0</v>
      </c>
      <c r="M39" s="219">
        <v>0</v>
      </c>
      <c r="N39" s="219">
        <v>0</v>
      </c>
      <c r="O39" s="219">
        <v>0</v>
      </c>
      <c r="P39" s="219">
        <v>0</v>
      </c>
      <c r="Q39" s="219">
        <v>0.19539005457447192</v>
      </c>
      <c r="R39" s="219">
        <v>0.19012358134063312</v>
      </c>
      <c r="S39" s="98"/>
      <c r="T39" s="152"/>
      <c r="U39" s="217"/>
      <c r="V39" s="217"/>
      <c r="W39" s="217"/>
      <c r="X39" s="217"/>
      <c r="Y39" s="217">
        <f t="shared" si="16"/>
        <v>0</v>
      </c>
      <c r="Z39" s="217">
        <f t="shared" si="16"/>
        <v>0</v>
      </c>
      <c r="AA39" s="217">
        <f t="shared" si="16"/>
        <v>0</v>
      </c>
      <c r="AB39" s="217">
        <f t="shared" si="16"/>
        <v>0</v>
      </c>
      <c r="AC39" s="217">
        <f t="shared" si="16"/>
        <v>0</v>
      </c>
      <c r="AD39" s="217">
        <f t="shared" si="16"/>
        <v>0</v>
      </c>
      <c r="AE39" s="217">
        <f t="shared" si="16"/>
        <v>0.12926956265159903</v>
      </c>
      <c r="AF39" s="217">
        <f t="shared" si="16"/>
        <v>0.12975744402204706</v>
      </c>
      <c r="AG39" s="217"/>
      <c r="AJ39" s="176"/>
      <c r="AK39" s="176"/>
      <c r="AL39" s="176"/>
      <c r="AM39" s="176"/>
      <c r="AN39" s="176"/>
      <c r="AO39" s="176"/>
    </row>
    <row r="40" spans="1:41" x14ac:dyDescent="0.25">
      <c r="A40" s="162" t="s">
        <v>288</v>
      </c>
      <c r="B40" s="153">
        <v>0.55107420600901535</v>
      </c>
      <c r="C40" s="157">
        <v>0.38418097813937857</v>
      </c>
      <c r="D40" s="193">
        <f t="shared" si="17"/>
        <v>0.21171222749192492</v>
      </c>
      <c r="F40" s="152" t="s">
        <v>184</v>
      </c>
      <c r="G40" s="219">
        <v>0.21705883260152772</v>
      </c>
      <c r="H40" s="219">
        <v>0.20514643644705299</v>
      </c>
      <c r="I40" s="219">
        <v>0.21870033591362054</v>
      </c>
      <c r="J40" s="219">
        <v>0</v>
      </c>
      <c r="K40" s="219">
        <v>0</v>
      </c>
      <c r="L40" s="219">
        <v>0</v>
      </c>
      <c r="M40" s="219">
        <v>0</v>
      </c>
      <c r="N40" s="219">
        <v>0</v>
      </c>
      <c r="O40" s="219">
        <v>0</v>
      </c>
      <c r="P40" s="219">
        <v>0</v>
      </c>
      <c r="Q40" s="219">
        <v>0.19689649162788253</v>
      </c>
      <c r="R40" s="219">
        <v>0.19264851045089418</v>
      </c>
      <c r="S40" s="98"/>
      <c r="T40" s="152"/>
      <c r="U40" s="217"/>
      <c r="V40" s="217"/>
      <c r="W40" s="217"/>
      <c r="X40" s="217"/>
      <c r="Y40" s="217">
        <f t="shared" si="16"/>
        <v>0</v>
      </c>
      <c r="Z40" s="217">
        <f t="shared" si="16"/>
        <v>0</v>
      </c>
      <c r="AA40" s="217">
        <f t="shared" si="16"/>
        <v>0</v>
      </c>
      <c r="AB40" s="217">
        <f t="shared" si="16"/>
        <v>0</v>
      </c>
      <c r="AC40" s="217">
        <f t="shared" si="16"/>
        <v>0</v>
      </c>
      <c r="AD40" s="217">
        <f t="shared" si="16"/>
        <v>0</v>
      </c>
      <c r="AE40" s="217">
        <f t="shared" si="16"/>
        <v>0.14847319630303171</v>
      </c>
      <c r="AF40" s="217">
        <f t="shared" si="16"/>
        <v>0.17183052703221768</v>
      </c>
      <c r="AG40" s="217"/>
      <c r="AJ40" s="176"/>
      <c r="AK40" s="176"/>
      <c r="AL40" s="176"/>
      <c r="AM40" s="176"/>
      <c r="AN40" s="176"/>
      <c r="AO40" s="176"/>
    </row>
    <row r="41" spans="1:41" x14ac:dyDescent="0.25">
      <c r="A41" s="162" t="s">
        <v>187</v>
      </c>
      <c r="B41" s="163">
        <v>0.53299999999999992</v>
      </c>
      <c r="C41" s="157">
        <v>0</v>
      </c>
      <c r="D41" s="193">
        <f t="shared" si="17"/>
        <v>0</v>
      </c>
      <c r="F41" s="152" t="s">
        <v>180</v>
      </c>
      <c r="G41" s="219">
        <v>0.20628043066655516</v>
      </c>
      <c r="H41" s="219">
        <v>0.20848901640033946</v>
      </c>
      <c r="I41" s="219">
        <v>0.20552231537380811</v>
      </c>
      <c r="J41" s="219">
        <v>0</v>
      </c>
      <c r="K41" s="219">
        <v>0</v>
      </c>
      <c r="L41" s="219">
        <v>0</v>
      </c>
      <c r="M41" s="219">
        <v>0</v>
      </c>
      <c r="N41" s="219">
        <v>0</v>
      </c>
      <c r="O41" s="219">
        <v>0</v>
      </c>
      <c r="P41" s="219">
        <v>0</v>
      </c>
      <c r="Q41" s="219">
        <v>0.18791582369560902</v>
      </c>
      <c r="R41" s="219">
        <v>0.20028277008125245</v>
      </c>
      <c r="S41" s="98"/>
      <c r="T41" s="152"/>
      <c r="U41" s="217"/>
      <c r="V41" s="217"/>
      <c r="W41" s="217"/>
      <c r="X41" s="217"/>
      <c r="Y41" s="217">
        <f t="shared" si="16"/>
        <v>0</v>
      </c>
      <c r="Z41" s="217">
        <f t="shared" si="16"/>
        <v>0</v>
      </c>
      <c r="AA41" s="217">
        <f t="shared" si="16"/>
        <v>0</v>
      </c>
      <c r="AB41" s="217">
        <f t="shared" si="16"/>
        <v>0</v>
      </c>
      <c r="AC41" s="217">
        <f t="shared" si="16"/>
        <v>0</v>
      </c>
      <c r="AD41" s="217">
        <f t="shared" si="16"/>
        <v>0</v>
      </c>
      <c r="AE41" s="217">
        <f t="shared" si="16"/>
        <v>0.14476940110371944</v>
      </c>
      <c r="AF41" s="217">
        <f t="shared" si="16"/>
        <v>0.15849045577290416</v>
      </c>
      <c r="AG41" s="217"/>
      <c r="AJ41" s="176"/>
      <c r="AK41" s="176"/>
      <c r="AL41" s="176"/>
      <c r="AM41" s="176"/>
      <c r="AN41" s="176"/>
      <c r="AO41" s="176"/>
    </row>
    <row r="42" spans="1:41" x14ac:dyDescent="0.25">
      <c r="A42" s="162" t="s">
        <v>190</v>
      </c>
      <c r="B42" s="163">
        <v>0.53299999999999992</v>
      </c>
      <c r="C42" s="157">
        <v>1.6286099454156933E-3</v>
      </c>
      <c r="D42" s="193">
        <f t="shared" si="17"/>
        <v>8.6804910090656432E-4</v>
      </c>
      <c r="F42" s="152" t="s">
        <v>194</v>
      </c>
      <c r="G42" s="219">
        <v>0.20337552209339999</v>
      </c>
      <c r="H42" s="219">
        <v>0.20252661186242774</v>
      </c>
      <c r="I42" s="219">
        <v>0.21781992637844533</v>
      </c>
      <c r="J42" s="219">
        <v>0</v>
      </c>
      <c r="K42" s="219">
        <v>0</v>
      </c>
      <c r="L42" s="219">
        <v>0</v>
      </c>
      <c r="M42" s="219">
        <v>0</v>
      </c>
      <c r="N42" s="219">
        <v>0</v>
      </c>
      <c r="O42" s="219">
        <v>0</v>
      </c>
      <c r="P42" s="219">
        <v>0</v>
      </c>
      <c r="Q42" s="219">
        <v>0.21824595034042968</v>
      </c>
      <c r="R42" s="219">
        <v>0.19574333627392776</v>
      </c>
      <c r="S42" s="98"/>
      <c r="T42" s="152"/>
      <c r="U42" s="217"/>
      <c r="V42" s="217"/>
      <c r="W42" s="217"/>
      <c r="X42" s="217"/>
      <c r="Y42" s="217">
        <f t="shared" si="16"/>
        <v>0</v>
      </c>
      <c r="Z42" s="217">
        <f t="shared" si="16"/>
        <v>0</v>
      </c>
      <c r="AA42" s="217">
        <f t="shared" si="16"/>
        <v>0</v>
      </c>
      <c r="AB42" s="217">
        <f t="shared" si="16"/>
        <v>0</v>
      </c>
      <c r="AC42" s="217">
        <f t="shared" si="16"/>
        <v>0</v>
      </c>
      <c r="AD42" s="217">
        <f t="shared" si="16"/>
        <v>0</v>
      </c>
      <c r="AE42" s="217">
        <f t="shared" si="16"/>
        <v>0.15624766385949476</v>
      </c>
      <c r="AF42" s="217">
        <f t="shared" si="16"/>
        <v>0.14958778516224536</v>
      </c>
      <c r="AG42" s="217"/>
    </row>
    <row r="43" spans="1:41" x14ac:dyDescent="0.25">
      <c r="A43" s="162" t="s">
        <v>184</v>
      </c>
      <c r="B43" s="153">
        <v>0.61083694854260551</v>
      </c>
      <c r="C43" s="157">
        <v>2.3072893861552828</v>
      </c>
      <c r="D43" s="193">
        <f t="shared" si="17"/>
        <v>1.4093776080438343</v>
      </c>
      <c r="F43" s="152" t="s">
        <v>289</v>
      </c>
      <c r="G43" s="219">
        <v>0.23015406846360459</v>
      </c>
      <c r="H43" s="219">
        <v>0.21569777670916707</v>
      </c>
      <c r="I43" s="219">
        <v>0.21904303822713556</v>
      </c>
      <c r="J43" s="219">
        <v>0</v>
      </c>
      <c r="K43" s="219">
        <v>0</v>
      </c>
      <c r="L43" s="219">
        <v>0</v>
      </c>
      <c r="M43" s="219">
        <v>0</v>
      </c>
      <c r="N43" s="219">
        <v>0</v>
      </c>
      <c r="O43" s="219">
        <v>0</v>
      </c>
      <c r="P43" s="219">
        <v>0</v>
      </c>
      <c r="Q43" s="219">
        <v>0.20884979195368011</v>
      </c>
      <c r="R43" s="219">
        <v>0.18268003962837251</v>
      </c>
      <c r="S43" s="98"/>
      <c r="T43" s="152"/>
      <c r="U43" s="217"/>
      <c r="V43" s="217"/>
      <c r="W43" s="217"/>
      <c r="X43" s="217"/>
      <c r="Y43" s="217">
        <f t="shared" si="16"/>
        <v>0</v>
      </c>
      <c r="Z43" s="217">
        <f t="shared" si="16"/>
        <v>0</v>
      </c>
      <c r="AA43" s="217">
        <f t="shared" si="16"/>
        <v>0</v>
      </c>
      <c r="AB43" s="217">
        <f t="shared" si="16"/>
        <v>0</v>
      </c>
      <c r="AC43" s="217">
        <f t="shared" si="16"/>
        <v>0</v>
      </c>
      <c r="AD43" s="217">
        <f t="shared" si="16"/>
        <v>0</v>
      </c>
      <c r="AE43" s="217">
        <f t="shared" si="16"/>
        <v>0.14661427190958728</v>
      </c>
      <c r="AF43" s="217">
        <f t="shared" si="16"/>
        <v>0.15855990193967104</v>
      </c>
      <c r="AG43" s="217"/>
    </row>
    <row r="44" spans="1:41" x14ac:dyDescent="0.25">
      <c r="A44" s="162" t="s">
        <v>180</v>
      </c>
      <c r="B44" s="153">
        <v>0.57176046073490883</v>
      </c>
      <c r="C44" s="157">
        <v>10.656129049576194</v>
      </c>
      <c r="D44" s="193">
        <f t="shared" si="17"/>
        <v>6.0927532550363308</v>
      </c>
      <c r="F44" s="152" t="s">
        <v>290</v>
      </c>
      <c r="G44" s="219">
        <v>0.19910271236254051</v>
      </c>
      <c r="H44" s="219">
        <v>0.19619326139117452</v>
      </c>
      <c r="I44" s="219">
        <v>0.19056582364920829</v>
      </c>
      <c r="J44" s="219">
        <v>0</v>
      </c>
      <c r="K44" s="219">
        <v>0</v>
      </c>
      <c r="L44" s="219">
        <v>0</v>
      </c>
      <c r="M44" s="219">
        <v>0</v>
      </c>
      <c r="N44" s="219">
        <v>0</v>
      </c>
      <c r="O44" s="219">
        <v>0</v>
      </c>
      <c r="P44" s="219">
        <v>0</v>
      </c>
      <c r="Q44" s="219">
        <v>0.20255141562262155</v>
      </c>
      <c r="R44" s="219">
        <v>0.19951117880313701</v>
      </c>
      <c r="S44" s="98"/>
      <c r="T44" s="152"/>
      <c r="U44" s="217"/>
      <c r="V44" s="217"/>
      <c r="W44" s="217"/>
      <c r="X44" s="217"/>
      <c r="Y44" s="217">
        <f t="shared" si="16"/>
        <v>0</v>
      </c>
      <c r="Z44" s="217">
        <f t="shared" si="16"/>
        <v>0</v>
      </c>
      <c r="AA44" s="217">
        <f t="shared" si="16"/>
        <v>0</v>
      </c>
      <c r="AB44" s="217">
        <f t="shared" si="16"/>
        <v>0</v>
      </c>
      <c r="AC44" s="217">
        <f t="shared" si="16"/>
        <v>0</v>
      </c>
      <c r="AD44" s="217">
        <f t="shared" si="16"/>
        <v>0</v>
      </c>
      <c r="AE44" s="217">
        <f t="shared" si="16"/>
        <v>0.13300284125008779</v>
      </c>
      <c r="AF44" s="217">
        <f t="shared" si="16"/>
        <v>0.13881979914288453</v>
      </c>
      <c r="AG44" s="217"/>
    </row>
    <row r="45" spans="1:41" x14ac:dyDescent="0.25">
      <c r="A45" s="162" t="s">
        <v>194</v>
      </c>
      <c r="B45" s="153">
        <v>0.5788001317546273</v>
      </c>
      <c r="C45" s="157">
        <v>0.89692001209325545</v>
      </c>
      <c r="D45" s="193">
        <f t="shared" si="17"/>
        <v>0.51913742117293815</v>
      </c>
      <c r="F45" s="152" t="s">
        <v>291</v>
      </c>
      <c r="G45" s="219">
        <v>0.20883495459094664</v>
      </c>
      <c r="H45" s="219">
        <v>0.19359705683981979</v>
      </c>
      <c r="I45" s="219">
        <v>0.19983254013474414</v>
      </c>
      <c r="J45" s="219">
        <v>0</v>
      </c>
      <c r="K45" s="219">
        <v>0</v>
      </c>
      <c r="L45" s="219">
        <v>0</v>
      </c>
      <c r="M45" s="219">
        <v>0</v>
      </c>
      <c r="N45" s="219">
        <v>0</v>
      </c>
      <c r="O45" s="219">
        <v>0</v>
      </c>
      <c r="P45" s="219">
        <v>0</v>
      </c>
      <c r="Q45" s="219">
        <v>0.20514029747316556</v>
      </c>
      <c r="R45" s="219">
        <v>0.19259515096132401</v>
      </c>
      <c r="S45" s="98"/>
      <c r="T45" s="152"/>
      <c r="U45" s="217"/>
      <c r="V45" s="217"/>
      <c r="W45" s="217"/>
      <c r="X45" s="217"/>
      <c r="Y45" s="217">
        <f t="shared" si="16"/>
        <v>0</v>
      </c>
      <c r="Z45" s="217">
        <f t="shared" si="16"/>
        <v>0</v>
      </c>
      <c r="AA45" s="217">
        <f t="shared" si="16"/>
        <v>0</v>
      </c>
      <c r="AB45" s="217">
        <f t="shared" si="16"/>
        <v>0</v>
      </c>
      <c r="AC45" s="217">
        <f t="shared" si="16"/>
        <v>0</v>
      </c>
      <c r="AD45" s="217">
        <f t="shared" si="16"/>
        <v>0</v>
      </c>
      <c r="AE45" s="217">
        <f t="shared" si="16"/>
        <v>0.12649211706418953</v>
      </c>
      <c r="AF45" s="217">
        <f t="shared" si="16"/>
        <v>0.13613817440052867</v>
      </c>
      <c r="AG45" s="217"/>
    </row>
    <row r="46" spans="1:41" x14ac:dyDescent="0.25">
      <c r="A46" s="162" t="s">
        <v>289</v>
      </c>
      <c r="B46" s="153">
        <v>0.6275893291404212</v>
      </c>
      <c r="C46" s="157">
        <v>5.0636448339107409E-2</v>
      </c>
      <c r="D46" s="193">
        <f t="shared" si="17"/>
        <v>3.1778894643194014E-2</v>
      </c>
      <c r="F46" s="152" t="s">
        <v>181</v>
      </c>
      <c r="G46" s="219">
        <v>0.21639739705472921</v>
      </c>
      <c r="H46" s="219">
        <v>0.21484119427376808</v>
      </c>
      <c r="I46" s="219">
        <v>0.20517753228463978</v>
      </c>
      <c r="J46" s="219">
        <v>0</v>
      </c>
      <c r="K46" s="219">
        <v>0</v>
      </c>
      <c r="L46" s="219">
        <v>0</v>
      </c>
      <c r="M46" s="219">
        <v>0</v>
      </c>
      <c r="N46" s="219">
        <v>0</v>
      </c>
      <c r="O46" s="219">
        <v>0</v>
      </c>
      <c r="P46" s="219">
        <v>0</v>
      </c>
      <c r="Q46" s="219">
        <v>0.19653107191781471</v>
      </c>
      <c r="R46" s="219">
        <v>0.19464013762259044</v>
      </c>
      <c r="S46" s="98"/>
      <c r="T46" s="152"/>
      <c r="U46" s="217"/>
      <c r="V46" s="217"/>
      <c r="W46" s="217"/>
      <c r="X46" s="217"/>
      <c r="Y46" s="217">
        <f t="shared" si="16"/>
        <v>0</v>
      </c>
      <c r="Z46" s="217">
        <f t="shared" si="16"/>
        <v>0</v>
      </c>
      <c r="AA46" s="217">
        <f t="shared" si="16"/>
        <v>0</v>
      </c>
      <c r="AB46" s="217">
        <f t="shared" si="16"/>
        <v>0</v>
      </c>
      <c r="AC46" s="217">
        <f t="shared" si="16"/>
        <v>0</v>
      </c>
      <c r="AD46" s="217">
        <f t="shared" si="16"/>
        <v>0</v>
      </c>
      <c r="AE46" s="217">
        <f t="shared" si="16"/>
        <v>0.15621310952230166</v>
      </c>
      <c r="AF46" s="217">
        <f t="shared" si="16"/>
        <v>0.18053712707867967</v>
      </c>
      <c r="AG46" s="217"/>
    </row>
    <row r="47" spans="1:41" x14ac:dyDescent="0.25">
      <c r="A47" s="162" t="s">
        <v>290</v>
      </c>
      <c r="B47" s="153">
        <v>0.47750803959341459</v>
      </c>
      <c r="C47" s="157">
        <v>5.4788487026730088</v>
      </c>
      <c r="D47" s="193">
        <f t="shared" si="17"/>
        <v>2.6161943032423114</v>
      </c>
      <c r="F47" s="152" t="s">
        <v>292</v>
      </c>
      <c r="G47" s="219">
        <v>0.23996766157356475</v>
      </c>
      <c r="H47" s="219">
        <v>0.2273648360644103</v>
      </c>
      <c r="I47" s="219">
        <v>0.24662484605304233</v>
      </c>
      <c r="J47" s="219">
        <v>0</v>
      </c>
      <c r="K47" s="219">
        <v>0</v>
      </c>
      <c r="L47" s="219">
        <v>0</v>
      </c>
      <c r="M47" s="219">
        <v>0</v>
      </c>
      <c r="N47" s="219">
        <v>0</v>
      </c>
      <c r="O47" s="219">
        <v>0</v>
      </c>
      <c r="P47" s="219">
        <v>0</v>
      </c>
      <c r="Q47" s="219">
        <v>0.22763134008406669</v>
      </c>
      <c r="R47" s="219">
        <v>0.18573387770638805</v>
      </c>
      <c r="T47" s="152"/>
      <c r="U47" s="217"/>
      <c r="V47" s="217"/>
      <c r="W47" s="217"/>
      <c r="X47" s="217"/>
      <c r="Y47" s="217">
        <f t="shared" si="16"/>
        <v>0</v>
      </c>
      <c r="Z47" s="217">
        <f t="shared" si="16"/>
        <v>0</v>
      </c>
      <c r="AA47" s="217">
        <f t="shared" si="16"/>
        <v>0</v>
      </c>
      <c r="AB47" s="217">
        <f t="shared" si="16"/>
        <v>0</v>
      </c>
      <c r="AC47" s="217">
        <f t="shared" si="16"/>
        <v>0</v>
      </c>
      <c r="AD47" s="217">
        <f t="shared" si="16"/>
        <v>0</v>
      </c>
      <c r="AE47" s="217">
        <f t="shared" si="16"/>
        <v>0.14056756520995406</v>
      </c>
      <c r="AF47" s="217">
        <f t="shared" si="16"/>
        <v>0.14689209337817161</v>
      </c>
      <c r="AG47" s="217"/>
    </row>
    <row r="48" spans="1:41" x14ac:dyDescent="0.25">
      <c r="A48" s="162" t="s">
        <v>291</v>
      </c>
      <c r="B48" s="153">
        <v>0.55074975884848543</v>
      </c>
      <c r="C48" s="157">
        <v>1.2115773164698216</v>
      </c>
      <c r="D48" s="193">
        <f t="shared" si="17"/>
        <v>0.6672759148720494</v>
      </c>
      <c r="F48" s="152" t="s">
        <v>293</v>
      </c>
      <c r="G48" s="219">
        <v>0.2324154986351003</v>
      </c>
      <c r="H48" s="219">
        <v>0.20993828953002219</v>
      </c>
      <c r="I48" s="219">
        <v>0.21410941569125183</v>
      </c>
      <c r="J48" s="219">
        <v>0</v>
      </c>
      <c r="K48" s="219">
        <v>0</v>
      </c>
      <c r="L48" s="219">
        <v>0</v>
      </c>
      <c r="M48" s="219">
        <v>0</v>
      </c>
      <c r="N48" s="219">
        <v>0</v>
      </c>
      <c r="O48" s="219">
        <v>0</v>
      </c>
      <c r="P48" s="219">
        <v>0</v>
      </c>
      <c r="Q48" s="219">
        <v>0.19746724639984342</v>
      </c>
      <c r="R48" s="219">
        <v>0.19051609904098082</v>
      </c>
      <c r="T48" s="152"/>
      <c r="U48" s="217"/>
      <c r="V48" s="217"/>
      <c r="W48" s="217"/>
      <c r="X48" s="217"/>
      <c r="Y48" s="217">
        <f t="shared" si="16"/>
        <v>0</v>
      </c>
      <c r="Z48" s="217">
        <f t="shared" si="16"/>
        <v>0</v>
      </c>
      <c r="AA48" s="217">
        <f t="shared" si="16"/>
        <v>0</v>
      </c>
      <c r="AB48" s="217">
        <f t="shared" si="16"/>
        <v>0</v>
      </c>
      <c r="AC48" s="217">
        <f t="shared" si="16"/>
        <v>0</v>
      </c>
      <c r="AD48" s="217">
        <f t="shared" si="16"/>
        <v>0</v>
      </c>
      <c r="AE48" s="217">
        <f t="shared" si="16"/>
        <v>0.14752214597578162</v>
      </c>
      <c r="AF48" s="217">
        <f t="shared" si="16"/>
        <v>0.16430443647999152</v>
      </c>
      <c r="AG48" s="217"/>
    </row>
    <row r="49" spans="1:33" x14ac:dyDescent="0.25">
      <c r="A49" s="162" t="s">
        <v>181</v>
      </c>
      <c r="B49" s="153">
        <v>0.62756070624211968</v>
      </c>
      <c r="C49" s="157">
        <v>0.91333411384624696</v>
      </c>
      <c r="D49" s="193">
        <f t="shared" si="17"/>
        <v>0.57317260152037131</v>
      </c>
      <c r="F49" s="152" t="s">
        <v>192</v>
      </c>
      <c r="G49" s="219">
        <v>0.21035853044028074</v>
      </c>
      <c r="H49" s="219">
        <v>0.19830021217241209</v>
      </c>
      <c r="I49" s="219">
        <v>0.2172591649377453</v>
      </c>
      <c r="J49" s="219">
        <v>0</v>
      </c>
      <c r="K49" s="219">
        <v>0</v>
      </c>
      <c r="L49" s="219">
        <v>0</v>
      </c>
      <c r="M49" s="219">
        <v>0</v>
      </c>
      <c r="N49" s="219">
        <v>0</v>
      </c>
      <c r="O49" s="219">
        <v>0</v>
      </c>
      <c r="P49" s="219">
        <v>0</v>
      </c>
      <c r="Q49" s="219">
        <v>0.18651286808726247</v>
      </c>
      <c r="R49" s="219">
        <v>0.18756922436229928</v>
      </c>
      <c r="T49" s="152"/>
      <c r="U49" s="217"/>
      <c r="V49" s="217"/>
      <c r="W49" s="217"/>
      <c r="X49" s="217"/>
      <c r="Y49" s="217">
        <f t="shared" si="16"/>
        <v>0</v>
      </c>
      <c r="Z49" s="217">
        <f t="shared" si="16"/>
        <v>0</v>
      </c>
      <c r="AA49" s="217">
        <f t="shared" si="16"/>
        <v>0</v>
      </c>
      <c r="AB49" s="217">
        <f t="shared" si="16"/>
        <v>0</v>
      </c>
      <c r="AC49" s="217">
        <f t="shared" si="16"/>
        <v>0</v>
      </c>
      <c r="AD49" s="217">
        <f t="shared" si="16"/>
        <v>0</v>
      </c>
      <c r="AE49" s="217">
        <f t="shared" si="16"/>
        <v>0.14274138402071293</v>
      </c>
      <c r="AF49" s="217">
        <f t="shared" si="16"/>
        <v>0.18394477947379864</v>
      </c>
      <c r="AG49" s="217"/>
    </row>
    <row r="50" spans="1:33" x14ac:dyDescent="0.25">
      <c r="A50" s="162" t="s">
        <v>292</v>
      </c>
      <c r="B50" s="153">
        <v>0.48115726443037593</v>
      </c>
      <c r="C50" s="157">
        <v>1.3091077044367845</v>
      </c>
      <c r="D50" s="193">
        <f t="shared" si="17"/>
        <v>0.6298866819115323</v>
      </c>
      <c r="F50" s="152" t="s">
        <v>294</v>
      </c>
      <c r="G50" s="219">
        <v>0.19162496135440138</v>
      </c>
      <c r="H50" s="219">
        <v>0.1910486613804428</v>
      </c>
      <c r="I50" s="219">
        <v>0.19358544914157488</v>
      </c>
      <c r="J50" s="219">
        <v>0</v>
      </c>
      <c r="K50" s="219">
        <v>0</v>
      </c>
      <c r="L50" s="219">
        <v>0</v>
      </c>
      <c r="M50" s="219">
        <v>0</v>
      </c>
      <c r="N50" s="219">
        <v>0</v>
      </c>
      <c r="O50" s="219">
        <v>0</v>
      </c>
      <c r="P50" s="219">
        <v>0</v>
      </c>
      <c r="Q50" s="219">
        <v>0.19881386944055343</v>
      </c>
      <c r="R50" s="219">
        <v>0.19785774057332378</v>
      </c>
      <c r="T50" s="152"/>
      <c r="U50" s="217"/>
      <c r="V50" s="217"/>
      <c r="W50" s="217"/>
      <c r="X50" s="217"/>
      <c r="Y50" s="217">
        <f t="shared" si="16"/>
        <v>0</v>
      </c>
      <c r="Z50" s="217">
        <f t="shared" si="16"/>
        <v>0</v>
      </c>
      <c r="AA50" s="217">
        <f t="shared" si="16"/>
        <v>0</v>
      </c>
      <c r="AB50" s="217">
        <f t="shared" si="16"/>
        <v>0</v>
      </c>
      <c r="AC50" s="217">
        <f t="shared" si="16"/>
        <v>0</v>
      </c>
      <c r="AD50" s="217">
        <f t="shared" si="16"/>
        <v>0</v>
      </c>
      <c r="AE50" s="217">
        <f t="shared" si="16"/>
        <v>0.12902819530257956</v>
      </c>
      <c r="AF50" s="217">
        <f t="shared" si="16"/>
        <v>0.12612917293923812</v>
      </c>
      <c r="AG50" s="217"/>
    </row>
    <row r="51" spans="1:33" x14ac:dyDescent="0.25">
      <c r="A51" s="162" t="s">
        <v>293</v>
      </c>
      <c r="B51" s="153">
        <v>0.55807129693022961</v>
      </c>
      <c r="C51" s="157">
        <v>0.59875780930515288</v>
      </c>
      <c r="D51" s="193">
        <f t="shared" si="17"/>
        <v>0.33414954718602979</v>
      </c>
      <c r="F51" s="152" t="s">
        <v>182</v>
      </c>
      <c r="G51" s="219">
        <v>0.20808093071161629</v>
      </c>
      <c r="H51" s="219">
        <v>0.20199593944123601</v>
      </c>
      <c r="I51" s="219">
        <v>0.21165281521060417</v>
      </c>
      <c r="J51" s="219">
        <v>0</v>
      </c>
      <c r="K51" s="219">
        <v>0</v>
      </c>
      <c r="L51" s="219">
        <v>0</v>
      </c>
      <c r="M51" s="219">
        <v>0</v>
      </c>
      <c r="N51" s="219">
        <v>0</v>
      </c>
      <c r="O51" s="219">
        <v>0</v>
      </c>
      <c r="P51" s="219">
        <v>0</v>
      </c>
      <c r="Q51" s="219">
        <v>0.20485681219007443</v>
      </c>
      <c r="R51" s="219">
        <v>0.19345616644631372</v>
      </c>
      <c r="T51" s="152"/>
      <c r="U51" s="217"/>
      <c r="V51" s="217"/>
      <c r="W51" s="217"/>
      <c r="X51" s="217"/>
      <c r="Y51" s="217">
        <f t="shared" ref="Y51:Y64" si="18">K51*K18*$B$2</f>
        <v>0</v>
      </c>
      <c r="Z51" s="217">
        <f t="shared" ref="Z51:Z64" si="19">L51*L18*$B$2</f>
        <v>0</v>
      </c>
      <c r="AA51" s="217">
        <f t="shared" ref="AA51:AA64" si="20">M51*M18*$B$2</f>
        <v>0</v>
      </c>
      <c r="AB51" s="217">
        <f t="shared" ref="AB51:AB64" si="21">N51*N18*$B$2</f>
        <v>0</v>
      </c>
      <c r="AC51" s="217">
        <f t="shared" ref="AC51:AC64" si="22">O51*O18*$B$2</f>
        <v>0</v>
      </c>
      <c r="AD51" s="217">
        <f t="shared" ref="AD51:AD64" si="23">P51*P18*$B$2</f>
        <v>0</v>
      </c>
      <c r="AE51" s="217">
        <f t="shared" ref="AE51:AE64" si="24">Q51*Q18*$B$2</f>
        <v>0.13910714852531822</v>
      </c>
      <c r="AF51" s="217">
        <f t="shared" ref="AF51:AF64" si="25">R51*R18*$B$2</f>
        <v>0.16642984712571232</v>
      </c>
      <c r="AG51" s="217"/>
    </row>
    <row r="52" spans="1:33" x14ac:dyDescent="0.25">
      <c r="A52" s="162" t="s">
        <v>192</v>
      </c>
      <c r="B52" s="153">
        <v>0.63219178222146932</v>
      </c>
      <c r="C52" s="157">
        <v>1.6053592434256529</v>
      </c>
      <c r="D52" s="193">
        <f t="shared" si="17"/>
        <v>1.0148949212069731</v>
      </c>
      <c r="F52" s="152" t="s">
        <v>295</v>
      </c>
      <c r="G52" s="219">
        <v>0.20535255791868207</v>
      </c>
      <c r="H52" s="219">
        <v>0.1909230091102618</v>
      </c>
      <c r="I52" s="219">
        <v>0.19618141876816364</v>
      </c>
      <c r="J52" s="219">
        <v>0</v>
      </c>
      <c r="K52" s="219">
        <v>0</v>
      </c>
      <c r="L52" s="219">
        <v>0</v>
      </c>
      <c r="M52" s="219">
        <v>0</v>
      </c>
      <c r="N52" s="219">
        <v>0</v>
      </c>
      <c r="O52" s="219">
        <v>0</v>
      </c>
      <c r="P52" s="219">
        <v>0</v>
      </c>
      <c r="Q52" s="219">
        <v>0.21510517358771777</v>
      </c>
      <c r="R52" s="219">
        <v>0.1924378406151748</v>
      </c>
      <c r="T52" s="152"/>
      <c r="U52" s="217"/>
      <c r="V52" s="217"/>
      <c r="W52" s="217"/>
      <c r="X52" s="217"/>
      <c r="Y52" s="217">
        <f t="shared" si="18"/>
        <v>0</v>
      </c>
      <c r="Z52" s="217">
        <f t="shared" si="19"/>
        <v>0</v>
      </c>
      <c r="AA52" s="217">
        <f t="shared" si="20"/>
        <v>0</v>
      </c>
      <c r="AB52" s="217">
        <f t="shared" si="21"/>
        <v>0</v>
      </c>
      <c r="AC52" s="217">
        <f t="shared" si="22"/>
        <v>0</v>
      </c>
      <c r="AD52" s="217">
        <f t="shared" si="23"/>
        <v>0</v>
      </c>
      <c r="AE52" s="217">
        <f t="shared" si="24"/>
        <v>0.13106488879599365</v>
      </c>
      <c r="AF52" s="217">
        <f t="shared" si="25"/>
        <v>0.14857976880059071</v>
      </c>
      <c r="AG52" s="217"/>
    </row>
    <row r="53" spans="1:33" x14ac:dyDescent="0.25">
      <c r="A53" s="162" t="s">
        <v>294</v>
      </c>
      <c r="B53" s="153">
        <v>0.45934819828056639</v>
      </c>
      <c r="C53" s="157">
        <v>0.26057683751152627</v>
      </c>
      <c r="D53" s="193">
        <f t="shared" si="17"/>
        <v>0.11969550082456749</v>
      </c>
      <c r="F53" s="152" t="s">
        <v>296</v>
      </c>
      <c r="G53" s="219">
        <v>0.22791101685735168</v>
      </c>
      <c r="H53" s="219">
        <v>0.23989117135708793</v>
      </c>
      <c r="I53" s="219">
        <v>0.24681993442118949</v>
      </c>
      <c r="J53" s="219">
        <v>0</v>
      </c>
      <c r="K53" s="219">
        <v>0</v>
      </c>
      <c r="L53" s="219">
        <v>0</v>
      </c>
      <c r="M53" s="219">
        <v>0</v>
      </c>
      <c r="N53" s="219">
        <v>0</v>
      </c>
      <c r="O53" s="219">
        <v>0</v>
      </c>
      <c r="P53" s="219">
        <v>0</v>
      </c>
      <c r="Q53" s="219">
        <v>0.20831654878647982</v>
      </c>
      <c r="R53" s="219">
        <v>0.1831647700608692</v>
      </c>
      <c r="T53" s="152"/>
      <c r="U53" s="217"/>
      <c r="V53" s="217"/>
      <c r="W53" s="217"/>
      <c r="X53" s="217"/>
      <c r="Y53" s="217">
        <f t="shared" si="18"/>
        <v>0</v>
      </c>
      <c r="Z53" s="217">
        <f t="shared" si="19"/>
        <v>0</v>
      </c>
      <c r="AA53" s="217">
        <f t="shared" si="20"/>
        <v>0</v>
      </c>
      <c r="AB53" s="217">
        <f t="shared" si="21"/>
        <v>0</v>
      </c>
      <c r="AC53" s="217">
        <f t="shared" si="22"/>
        <v>0</v>
      </c>
      <c r="AD53" s="217">
        <f t="shared" si="23"/>
        <v>0</v>
      </c>
      <c r="AE53" s="217">
        <f t="shared" si="24"/>
        <v>0.16789505749573408</v>
      </c>
      <c r="AF53" s="217">
        <f t="shared" si="25"/>
        <v>0.14742812083345866</v>
      </c>
      <c r="AG53" s="217"/>
    </row>
    <row r="54" spans="1:33" x14ac:dyDescent="0.25">
      <c r="A54" s="162" t="s">
        <v>182</v>
      </c>
      <c r="B54" s="153">
        <v>0.56746076281646363</v>
      </c>
      <c r="C54" s="157">
        <v>14.236215330921056</v>
      </c>
      <c r="D54" s="193">
        <f t="shared" si="17"/>
        <v>8.0784936113038963</v>
      </c>
      <c r="F54" s="152" t="s">
        <v>196</v>
      </c>
      <c r="G54" s="219">
        <v>0.19539088693433238</v>
      </c>
      <c r="H54" s="219">
        <v>0.20834594436085377</v>
      </c>
      <c r="I54" s="219">
        <v>0.2157922259131462</v>
      </c>
      <c r="J54" s="219">
        <v>0</v>
      </c>
      <c r="K54" s="219">
        <v>0</v>
      </c>
      <c r="L54" s="219">
        <v>0</v>
      </c>
      <c r="M54" s="219">
        <v>0</v>
      </c>
      <c r="N54" s="219">
        <v>0</v>
      </c>
      <c r="O54" s="219">
        <v>0</v>
      </c>
      <c r="P54" s="219">
        <v>0</v>
      </c>
      <c r="Q54" s="219">
        <v>0.18867213001123856</v>
      </c>
      <c r="R54" s="219">
        <v>0.19179881278042918</v>
      </c>
      <c r="T54" s="152"/>
      <c r="U54" s="217"/>
      <c r="V54" s="217"/>
      <c r="W54" s="217"/>
      <c r="X54" s="217"/>
      <c r="Y54" s="217">
        <f t="shared" si="18"/>
        <v>0</v>
      </c>
      <c r="Z54" s="217">
        <f t="shared" si="19"/>
        <v>0</v>
      </c>
      <c r="AA54" s="217">
        <f t="shared" si="20"/>
        <v>0</v>
      </c>
      <c r="AB54" s="217">
        <f t="shared" si="21"/>
        <v>0</v>
      </c>
      <c r="AC54" s="217">
        <f t="shared" si="22"/>
        <v>0</v>
      </c>
      <c r="AD54" s="217">
        <f t="shared" si="23"/>
        <v>0</v>
      </c>
      <c r="AE54" s="217">
        <f t="shared" si="24"/>
        <v>0.13438492716842831</v>
      </c>
      <c r="AF54" s="217">
        <f t="shared" si="25"/>
        <v>0.15303929624638291</v>
      </c>
      <c r="AG54" s="217"/>
    </row>
    <row r="55" spans="1:33" x14ac:dyDescent="0.25">
      <c r="A55" s="162" t="s">
        <v>295</v>
      </c>
      <c r="B55" s="153">
        <v>0.52717066040283911</v>
      </c>
      <c r="C55" s="40">
        <v>0.14066593177042619</v>
      </c>
      <c r="D55" s="193">
        <f t="shared" si="17"/>
        <v>7.4154952147596279E-2</v>
      </c>
      <c r="F55" s="152" t="s">
        <v>186</v>
      </c>
      <c r="G55" s="219">
        <v>0.19934552555093488</v>
      </c>
      <c r="H55" s="219">
        <v>0.20613389683626621</v>
      </c>
      <c r="I55" s="219">
        <v>0.21184600992384156</v>
      </c>
      <c r="J55" s="219">
        <v>0</v>
      </c>
      <c r="K55" s="219">
        <v>0</v>
      </c>
      <c r="L55" s="219">
        <v>0</v>
      </c>
      <c r="M55" s="219">
        <v>0</v>
      </c>
      <c r="N55" s="219">
        <v>0</v>
      </c>
      <c r="O55" s="219">
        <v>0</v>
      </c>
      <c r="P55" s="219">
        <v>0</v>
      </c>
      <c r="Q55" s="219">
        <v>0.18970478129304191</v>
      </c>
      <c r="R55" s="219">
        <v>0.19296978639591547</v>
      </c>
      <c r="T55" s="152"/>
      <c r="U55" s="217"/>
      <c r="V55" s="217"/>
      <c r="W55" s="217"/>
      <c r="X55" s="217"/>
      <c r="Y55" s="217">
        <f t="shared" si="18"/>
        <v>0</v>
      </c>
      <c r="Z55" s="217">
        <f t="shared" si="19"/>
        <v>0</v>
      </c>
      <c r="AA55" s="217">
        <f t="shared" si="20"/>
        <v>0</v>
      </c>
      <c r="AB55" s="217">
        <f t="shared" si="21"/>
        <v>0</v>
      </c>
      <c r="AC55" s="217">
        <f t="shared" si="22"/>
        <v>0</v>
      </c>
      <c r="AD55" s="217">
        <f t="shared" si="23"/>
        <v>0</v>
      </c>
      <c r="AE55" s="217">
        <f t="shared" si="24"/>
        <v>0.12892101041172038</v>
      </c>
      <c r="AF55" s="217">
        <f t="shared" si="25"/>
        <v>0.14943515110522679</v>
      </c>
      <c r="AG55" s="217"/>
    </row>
    <row r="56" spans="1:33" x14ac:dyDescent="0.25">
      <c r="A56" s="162" t="s">
        <v>296</v>
      </c>
      <c r="B56" s="153">
        <v>0.59623733835810544</v>
      </c>
      <c r="C56" s="40">
        <v>0.41571019868223846</v>
      </c>
      <c r="D56" s="193">
        <f t="shared" si="17"/>
        <v>0.24786194239061704</v>
      </c>
      <c r="F56" s="152" t="s">
        <v>297</v>
      </c>
      <c r="G56" s="219">
        <v>0.20284938761405413</v>
      </c>
      <c r="H56" s="219">
        <v>0.20427295744535362</v>
      </c>
      <c r="I56" s="219">
        <v>0.21021654569415002</v>
      </c>
      <c r="J56" s="219">
        <v>0</v>
      </c>
      <c r="K56" s="219">
        <v>0</v>
      </c>
      <c r="L56" s="219">
        <v>0</v>
      </c>
      <c r="M56" s="219">
        <v>0</v>
      </c>
      <c r="N56" s="219">
        <v>0</v>
      </c>
      <c r="O56" s="219">
        <v>0</v>
      </c>
      <c r="P56" s="219">
        <v>0</v>
      </c>
      <c r="Q56" s="219">
        <v>0.19100101087867813</v>
      </c>
      <c r="R56" s="219">
        <v>0.1916600983677641</v>
      </c>
      <c r="T56" s="152"/>
      <c r="U56" s="217"/>
      <c r="V56" s="217"/>
      <c r="W56" s="217"/>
      <c r="X56" s="217"/>
      <c r="Y56" s="217">
        <f t="shared" si="18"/>
        <v>0</v>
      </c>
      <c r="Z56" s="217">
        <f t="shared" si="19"/>
        <v>0</v>
      </c>
      <c r="AA56" s="217">
        <f t="shared" si="20"/>
        <v>0</v>
      </c>
      <c r="AB56" s="217">
        <f t="shared" si="21"/>
        <v>0</v>
      </c>
      <c r="AC56" s="217">
        <f t="shared" si="22"/>
        <v>0</v>
      </c>
      <c r="AD56" s="217">
        <f t="shared" si="23"/>
        <v>0</v>
      </c>
      <c r="AE56" s="217">
        <f t="shared" si="24"/>
        <v>0.11390799923901689</v>
      </c>
      <c r="AF56" s="217">
        <f t="shared" si="25"/>
        <v>0.11012533487773121</v>
      </c>
      <c r="AG56" s="217"/>
    </row>
    <row r="57" spans="1:33" x14ac:dyDescent="0.25">
      <c r="A57" s="162" t="s">
        <v>196</v>
      </c>
      <c r="B57" s="153">
        <v>0.54646684863231421</v>
      </c>
      <c r="C57" s="157">
        <v>1.5415821077542162</v>
      </c>
      <c r="D57" s="193">
        <f t="shared" si="17"/>
        <v>0.8424235163324072</v>
      </c>
      <c r="F57" s="152" t="s">
        <v>193</v>
      </c>
      <c r="G57" s="219">
        <v>0.19084092878066361</v>
      </c>
      <c r="H57" s="219">
        <v>0.20972857215211954</v>
      </c>
      <c r="I57" s="219">
        <v>0.22934815188043695</v>
      </c>
      <c r="J57" s="219">
        <v>0</v>
      </c>
      <c r="K57" s="219">
        <v>0</v>
      </c>
      <c r="L57" s="219">
        <v>0</v>
      </c>
      <c r="M57" s="219">
        <v>0</v>
      </c>
      <c r="N57" s="219">
        <v>0</v>
      </c>
      <c r="O57" s="219">
        <v>0</v>
      </c>
      <c r="P57" s="219">
        <v>0</v>
      </c>
      <c r="Q57" s="219">
        <v>0.17412228291437828</v>
      </c>
      <c r="R57" s="219">
        <v>0.19596006427240167</v>
      </c>
      <c r="T57" s="152"/>
      <c r="U57" s="217"/>
      <c r="V57" s="217"/>
      <c r="W57" s="217"/>
      <c r="X57" s="217"/>
      <c r="Y57" s="217">
        <f t="shared" si="18"/>
        <v>0</v>
      </c>
      <c r="Z57" s="217">
        <f t="shared" si="19"/>
        <v>0</v>
      </c>
      <c r="AA57" s="217">
        <f t="shared" si="20"/>
        <v>0</v>
      </c>
      <c r="AB57" s="217">
        <f t="shared" si="21"/>
        <v>0</v>
      </c>
      <c r="AC57" s="217">
        <f t="shared" si="22"/>
        <v>0</v>
      </c>
      <c r="AD57" s="217">
        <f t="shared" si="23"/>
        <v>0</v>
      </c>
      <c r="AE57" s="217">
        <f t="shared" si="24"/>
        <v>0.12643146747365896</v>
      </c>
      <c r="AF57" s="217">
        <f t="shared" si="25"/>
        <v>0.16946788922157194</v>
      </c>
      <c r="AG57" s="217"/>
    </row>
    <row r="58" spans="1:33" x14ac:dyDescent="0.25">
      <c r="A58" s="162" t="s">
        <v>186</v>
      </c>
      <c r="B58" s="153">
        <v>0.52720354564372074</v>
      </c>
      <c r="C58" s="157">
        <v>8.9883545688681643</v>
      </c>
      <c r="D58" s="193">
        <f t="shared" si="17"/>
        <v>4.7386923982102331</v>
      </c>
      <c r="F58" s="152" t="s">
        <v>298</v>
      </c>
      <c r="G58" s="219">
        <v>0.1998869029466209</v>
      </c>
      <c r="H58" s="219">
        <v>0.19883062274487448</v>
      </c>
      <c r="I58" s="219">
        <v>0.22040471050989116</v>
      </c>
      <c r="J58" s="219">
        <v>0</v>
      </c>
      <c r="K58" s="219">
        <v>0</v>
      </c>
      <c r="L58" s="219">
        <v>0</v>
      </c>
      <c r="M58" s="219">
        <v>0</v>
      </c>
      <c r="N58" s="219">
        <v>0</v>
      </c>
      <c r="O58" s="219">
        <v>0</v>
      </c>
      <c r="P58" s="219">
        <v>0</v>
      </c>
      <c r="Q58" s="219">
        <v>0.1932578803253216</v>
      </c>
      <c r="R58" s="219">
        <v>0.18761988347329189</v>
      </c>
      <c r="T58" s="152"/>
      <c r="U58" s="217"/>
      <c r="V58" s="217"/>
      <c r="W58" s="217"/>
      <c r="X58" s="217"/>
      <c r="Y58" s="217">
        <f t="shared" si="18"/>
        <v>0</v>
      </c>
      <c r="Z58" s="217">
        <f t="shared" si="19"/>
        <v>0</v>
      </c>
      <c r="AA58" s="217">
        <f t="shared" si="20"/>
        <v>0</v>
      </c>
      <c r="AB58" s="217">
        <f t="shared" si="21"/>
        <v>0</v>
      </c>
      <c r="AC58" s="217">
        <f t="shared" si="22"/>
        <v>0</v>
      </c>
      <c r="AD58" s="217">
        <f t="shared" si="23"/>
        <v>0</v>
      </c>
      <c r="AE58" s="217">
        <f t="shared" si="24"/>
        <v>0.13719398938754843</v>
      </c>
      <c r="AF58" s="217">
        <f t="shared" si="25"/>
        <v>0.1695838836644131</v>
      </c>
      <c r="AG58" s="217"/>
    </row>
    <row r="59" spans="1:33" x14ac:dyDescent="0.25">
      <c r="A59" s="162" t="s">
        <v>297</v>
      </c>
      <c r="B59" s="153">
        <v>0.40013437593629264</v>
      </c>
      <c r="C59" s="40">
        <v>1.0172246657488753</v>
      </c>
      <c r="D59" s="193">
        <f t="shared" si="17"/>
        <v>0.40702655681643007</v>
      </c>
      <c r="F59" s="152" t="s">
        <v>197</v>
      </c>
      <c r="G59" s="219">
        <v>0.16171904780236496</v>
      </c>
      <c r="H59" s="219">
        <v>0.16074076106037236</v>
      </c>
      <c r="I59" s="219">
        <v>0.37048913846327347</v>
      </c>
      <c r="J59" s="219">
        <v>0</v>
      </c>
      <c r="K59" s="219">
        <v>0</v>
      </c>
      <c r="L59" s="219">
        <v>0</v>
      </c>
      <c r="M59" s="219">
        <v>0</v>
      </c>
      <c r="N59" s="219">
        <v>0</v>
      </c>
      <c r="O59" s="219">
        <v>0</v>
      </c>
      <c r="P59" s="219">
        <v>0</v>
      </c>
      <c r="Q59" s="219">
        <v>0.16136332376443122</v>
      </c>
      <c r="R59" s="219">
        <v>0.145687728909558</v>
      </c>
      <c r="T59" s="152"/>
      <c r="U59" s="217"/>
      <c r="V59" s="217"/>
      <c r="W59" s="217"/>
      <c r="X59" s="217"/>
      <c r="Y59" s="217">
        <f t="shared" si="18"/>
        <v>0</v>
      </c>
      <c r="Z59" s="217">
        <f t="shared" si="19"/>
        <v>0</v>
      </c>
      <c r="AA59" s="217">
        <f t="shared" si="20"/>
        <v>0</v>
      </c>
      <c r="AB59" s="217">
        <f t="shared" si="21"/>
        <v>0</v>
      </c>
      <c r="AC59" s="217">
        <f t="shared" si="22"/>
        <v>0</v>
      </c>
      <c r="AD59" s="217">
        <f t="shared" si="23"/>
        <v>0</v>
      </c>
      <c r="AE59" s="217">
        <f t="shared" si="24"/>
        <v>0.10749484834481948</v>
      </c>
      <c r="AF59" s="217">
        <f t="shared" si="25"/>
        <v>0.11261206954965391</v>
      </c>
      <c r="AG59" s="217"/>
    </row>
    <row r="60" spans="1:33" x14ac:dyDescent="0.25">
      <c r="A60" s="162" t="s">
        <v>193</v>
      </c>
      <c r="B60" s="153">
        <v>0.56676353315177652</v>
      </c>
      <c r="C60" s="157">
        <v>1.6350583316137861</v>
      </c>
      <c r="D60" s="193">
        <f t="shared" si="17"/>
        <v>0.92669143693467848</v>
      </c>
      <c r="F60" s="152" t="s">
        <v>299</v>
      </c>
      <c r="G60" s="219">
        <v>0.2058061075324028</v>
      </c>
      <c r="H60" s="219">
        <v>0.19580176913392824</v>
      </c>
      <c r="I60" s="219">
        <v>0.2028306735660364</v>
      </c>
      <c r="J60" s="219">
        <v>0</v>
      </c>
      <c r="K60" s="219">
        <v>0</v>
      </c>
      <c r="L60" s="219">
        <v>0</v>
      </c>
      <c r="M60" s="219">
        <v>0</v>
      </c>
      <c r="N60" s="219">
        <v>0</v>
      </c>
      <c r="O60" s="219">
        <v>0</v>
      </c>
      <c r="P60" s="219">
        <v>0</v>
      </c>
      <c r="Q60" s="219">
        <v>0.19564623360095354</v>
      </c>
      <c r="R60" s="219">
        <v>0.19991521616667912</v>
      </c>
      <c r="T60" s="152"/>
      <c r="U60" s="217"/>
      <c r="V60" s="217"/>
      <c r="W60" s="217"/>
      <c r="X60" s="217"/>
      <c r="Y60" s="217">
        <f t="shared" si="18"/>
        <v>0</v>
      </c>
      <c r="Z60" s="217">
        <f t="shared" si="19"/>
        <v>0</v>
      </c>
      <c r="AA60" s="217">
        <f t="shared" si="20"/>
        <v>0</v>
      </c>
      <c r="AB60" s="217">
        <f t="shared" si="21"/>
        <v>0</v>
      </c>
      <c r="AC60" s="217">
        <f t="shared" si="22"/>
        <v>0</v>
      </c>
      <c r="AD60" s="217">
        <f t="shared" si="23"/>
        <v>0</v>
      </c>
      <c r="AE60" s="217">
        <f t="shared" si="24"/>
        <v>0.1270768371936466</v>
      </c>
      <c r="AF60" s="217">
        <f t="shared" si="25"/>
        <v>0.15349752265557079</v>
      </c>
      <c r="AG60" s="217"/>
    </row>
    <row r="61" spans="1:33" x14ac:dyDescent="0.25">
      <c r="A61" s="162" t="s">
        <v>298</v>
      </c>
      <c r="B61" s="153">
        <v>0.60690031221572316</v>
      </c>
      <c r="C61" s="121">
        <v>0.26868303204995891</v>
      </c>
      <c r="D61" s="193">
        <f t="shared" si="17"/>
        <v>0.1630638160381872</v>
      </c>
      <c r="F61" s="152" t="s">
        <v>185</v>
      </c>
      <c r="G61" s="219">
        <v>0.20899383467341937</v>
      </c>
      <c r="H61" s="219">
        <v>0.20263888911457525</v>
      </c>
      <c r="I61" s="219">
        <v>0.21515251241090169</v>
      </c>
      <c r="J61" s="219">
        <v>0</v>
      </c>
      <c r="K61" s="219">
        <v>0</v>
      </c>
      <c r="L61" s="219">
        <v>0</v>
      </c>
      <c r="M61" s="219">
        <v>0</v>
      </c>
      <c r="N61" s="219">
        <v>0</v>
      </c>
      <c r="O61" s="219">
        <v>0</v>
      </c>
      <c r="P61" s="219">
        <v>0</v>
      </c>
      <c r="Q61" s="219">
        <v>0.18376485079686725</v>
      </c>
      <c r="R61" s="219">
        <v>0.1894499130042365</v>
      </c>
      <c r="T61" s="152"/>
      <c r="U61" s="217"/>
      <c r="V61" s="217"/>
      <c r="W61" s="217"/>
      <c r="X61" s="217"/>
      <c r="Y61" s="217">
        <f t="shared" si="18"/>
        <v>0</v>
      </c>
      <c r="Z61" s="217">
        <f t="shared" si="19"/>
        <v>0</v>
      </c>
      <c r="AA61" s="217">
        <f t="shared" si="20"/>
        <v>0</v>
      </c>
      <c r="AB61" s="217">
        <f t="shared" si="21"/>
        <v>0</v>
      </c>
      <c r="AC61" s="217">
        <f t="shared" si="22"/>
        <v>0</v>
      </c>
      <c r="AD61" s="217">
        <f t="shared" si="23"/>
        <v>0</v>
      </c>
      <c r="AE61" s="217">
        <f t="shared" si="24"/>
        <v>0.14453462376725218</v>
      </c>
      <c r="AF61" s="217">
        <f t="shared" si="25"/>
        <v>0.16811403246822276</v>
      </c>
      <c r="AG61" s="217"/>
    </row>
    <row r="62" spans="1:33" x14ac:dyDescent="0.25">
      <c r="A62" s="162" t="s">
        <v>197</v>
      </c>
      <c r="B62" s="153">
        <v>0.59984978360848484</v>
      </c>
      <c r="C62" s="157">
        <v>0.97697599002665148</v>
      </c>
      <c r="D62" s="193">
        <f t="shared" si="17"/>
        <v>0.5860388362081721</v>
      </c>
      <c r="F62" s="152" t="s">
        <v>300</v>
      </c>
      <c r="G62" s="219">
        <v>0.19842433428790995</v>
      </c>
      <c r="H62" s="219">
        <v>0.19534797051250025</v>
      </c>
      <c r="I62" s="219">
        <v>0.19396089914776055</v>
      </c>
      <c r="J62" s="219">
        <v>0</v>
      </c>
      <c r="K62" s="219">
        <v>0</v>
      </c>
      <c r="L62" s="219">
        <v>0</v>
      </c>
      <c r="M62" s="219">
        <v>0</v>
      </c>
      <c r="N62" s="219">
        <v>0</v>
      </c>
      <c r="O62" s="219">
        <v>0</v>
      </c>
      <c r="P62" s="219">
        <v>0</v>
      </c>
      <c r="Q62" s="219">
        <v>0.22192144213151802</v>
      </c>
      <c r="R62" s="219">
        <v>0.19034535392031121</v>
      </c>
      <c r="T62" s="152"/>
      <c r="U62" s="217"/>
      <c r="V62" s="217"/>
      <c r="W62" s="217"/>
      <c r="X62" s="217"/>
      <c r="Y62" s="217">
        <f t="shared" si="18"/>
        <v>0</v>
      </c>
      <c r="Z62" s="217">
        <f t="shared" si="19"/>
        <v>0</v>
      </c>
      <c r="AA62" s="217">
        <f t="shared" si="20"/>
        <v>0</v>
      </c>
      <c r="AB62" s="217">
        <f t="shared" si="21"/>
        <v>0</v>
      </c>
      <c r="AC62" s="217">
        <f t="shared" si="22"/>
        <v>0</v>
      </c>
      <c r="AD62" s="217">
        <f t="shared" si="23"/>
        <v>0</v>
      </c>
      <c r="AE62" s="217">
        <f t="shared" si="24"/>
        <v>0.14904098182448028</v>
      </c>
      <c r="AF62" s="217">
        <f t="shared" si="25"/>
        <v>0.15954649862532189</v>
      </c>
      <c r="AG62" s="217"/>
    </row>
    <row r="63" spans="1:33" x14ac:dyDescent="0.25">
      <c r="A63" s="162" t="s">
        <v>299</v>
      </c>
      <c r="B63" s="153">
        <v>0.55205730249688578</v>
      </c>
      <c r="C63" s="40">
        <v>5.4511653352759426E-2</v>
      </c>
      <c r="D63" s="193">
        <f t="shared" si="17"/>
        <v>3.0093556304569689E-2</v>
      </c>
      <c r="F63" s="152" t="s">
        <v>188</v>
      </c>
      <c r="G63" s="219">
        <v>0.19934552555093488</v>
      </c>
      <c r="H63" s="219">
        <v>0.20613389683626621</v>
      </c>
      <c r="I63" s="219">
        <v>0.21184600992384156</v>
      </c>
      <c r="J63" s="219">
        <v>0</v>
      </c>
      <c r="K63" s="219">
        <v>0</v>
      </c>
      <c r="L63" s="219">
        <v>0</v>
      </c>
      <c r="M63" s="219">
        <v>0</v>
      </c>
      <c r="N63" s="219">
        <v>0</v>
      </c>
      <c r="O63" s="219">
        <v>0</v>
      </c>
      <c r="P63" s="219">
        <v>0</v>
      </c>
      <c r="Q63" s="219">
        <v>0.18970478129304191</v>
      </c>
      <c r="R63" s="219">
        <v>0.19296978639591547</v>
      </c>
      <c r="T63" s="152"/>
      <c r="U63" s="217"/>
      <c r="V63" s="217"/>
      <c r="W63" s="217"/>
      <c r="X63" s="217"/>
      <c r="Y63" s="217">
        <f t="shared" si="18"/>
        <v>0</v>
      </c>
      <c r="Z63" s="217">
        <f t="shared" si="19"/>
        <v>0</v>
      </c>
      <c r="AA63" s="217">
        <f t="shared" si="20"/>
        <v>0</v>
      </c>
      <c r="AB63" s="217">
        <f t="shared" si="21"/>
        <v>0</v>
      </c>
      <c r="AC63" s="217">
        <f t="shared" si="22"/>
        <v>0</v>
      </c>
      <c r="AD63" s="217">
        <f t="shared" si="23"/>
        <v>0</v>
      </c>
      <c r="AE63" s="217">
        <f t="shared" si="24"/>
        <v>0.12815047822461026</v>
      </c>
      <c r="AF63" s="217">
        <f t="shared" si="25"/>
        <v>0.15051422917153187</v>
      </c>
      <c r="AG63" s="217"/>
    </row>
    <row r="64" spans="1:33" x14ac:dyDescent="0.25">
      <c r="A64" s="162" t="s">
        <v>185</v>
      </c>
      <c r="B64" s="153">
        <v>0.65588839957012257</v>
      </c>
      <c r="C64" s="157">
        <v>0.52625123977982646</v>
      </c>
      <c r="D64" s="193">
        <f t="shared" si="17"/>
        <v>0.3451620834309832</v>
      </c>
      <c r="F64" s="152" t="s">
        <v>191</v>
      </c>
      <c r="G64" s="219">
        <v>0.19753524658236507</v>
      </c>
      <c r="H64" s="219">
        <v>0.20094158081144775</v>
      </c>
      <c r="I64" s="219">
        <v>0.20597639853550337</v>
      </c>
      <c r="J64" s="219">
        <v>0</v>
      </c>
      <c r="K64" s="219">
        <v>0</v>
      </c>
      <c r="L64" s="219">
        <v>0</v>
      </c>
      <c r="M64" s="219">
        <v>0</v>
      </c>
      <c r="N64" s="219">
        <v>0</v>
      </c>
      <c r="O64" s="219">
        <v>0</v>
      </c>
      <c r="P64" s="219">
        <v>0</v>
      </c>
      <c r="Q64" s="219">
        <v>0.19687426981174641</v>
      </c>
      <c r="R64" s="219">
        <v>0.1986725042589374</v>
      </c>
      <c r="T64" s="152"/>
      <c r="U64" s="217"/>
      <c r="V64" s="217"/>
      <c r="W64" s="217"/>
      <c r="X64" s="217"/>
      <c r="Y64" s="217">
        <f t="shared" si="18"/>
        <v>0</v>
      </c>
      <c r="Z64" s="217">
        <f t="shared" si="19"/>
        <v>0</v>
      </c>
      <c r="AA64" s="217">
        <f t="shared" si="20"/>
        <v>0</v>
      </c>
      <c r="AB64" s="217">
        <f t="shared" si="21"/>
        <v>0</v>
      </c>
      <c r="AC64" s="217">
        <f t="shared" si="22"/>
        <v>0</v>
      </c>
      <c r="AD64" s="217">
        <f t="shared" si="23"/>
        <v>0</v>
      </c>
      <c r="AE64" s="217">
        <f t="shared" si="24"/>
        <v>0.14256733102938765</v>
      </c>
      <c r="AF64" s="217">
        <f t="shared" si="25"/>
        <v>0.15629961381136576</v>
      </c>
      <c r="AG64" s="217"/>
    </row>
    <row r="65" spans="1:32" x14ac:dyDescent="0.25">
      <c r="A65" s="162" t="s">
        <v>300</v>
      </c>
      <c r="B65" s="153">
        <v>0.53596222364766344</v>
      </c>
      <c r="C65" s="122">
        <v>0</v>
      </c>
      <c r="D65" s="193">
        <f t="shared" si="17"/>
        <v>0</v>
      </c>
    </row>
    <row r="66" spans="1:32" x14ac:dyDescent="0.25">
      <c r="A66" s="162" t="s">
        <v>188</v>
      </c>
      <c r="B66" s="163">
        <v>0.53299999999999992</v>
      </c>
      <c r="C66" s="159">
        <v>0</v>
      </c>
      <c r="D66" s="193">
        <f t="shared" si="17"/>
        <v>0</v>
      </c>
      <c r="T66" s="176"/>
    </row>
    <row r="67" spans="1:32" x14ac:dyDescent="0.25">
      <c r="A67" s="162" t="s">
        <v>191</v>
      </c>
      <c r="B67" s="153">
        <v>0.55331419980568686</v>
      </c>
      <c r="C67" s="159">
        <v>10.45779993343271</v>
      </c>
      <c r="D67" s="193">
        <f t="shared" si="17"/>
        <v>5.7864492018952856</v>
      </c>
      <c r="T67" s="217"/>
      <c r="U67" s="217"/>
      <c r="V67" s="217"/>
      <c r="W67" s="217"/>
      <c r="X67" s="217"/>
      <c r="Y67" s="217"/>
      <c r="Z67" s="217"/>
      <c r="AA67" s="217"/>
      <c r="AB67" s="217"/>
      <c r="AC67" s="217"/>
      <c r="AD67" s="217"/>
      <c r="AE67" s="217"/>
      <c r="AF67" s="217"/>
    </row>
    <row r="68" spans="1:32" x14ac:dyDescent="0.25">
      <c r="C68" s="49"/>
      <c r="G68" s="343" t="s">
        <v>518</v>
      </c>
      <c r="H68" s="343"/>
      <c r="I68" s="343"/>
      <c r="J68" s="343"/>
      <c r="K68" s="343"/>
      <c r="L68" s="343"/>
      <c r="M68" s="343"/>
      <c r="N68" s="343"/>
      <c r="O68" s="343"/>
      <c r="P68" s="343"/>
      <c r="Q68" s="343"/>
      <c r="R68" s="343"/>
      <c r="T68" s="217"/>
      <c r="U68" s="217"/>
      <c r="V68" s="217"/>
      <c r="W68" s="217"/>
      <c r="X68" s="217"/>
      <c r="Y68" s="217"/>
      <c r="Z68" s="217"/>
      <c r="AA68" s="217"/>
      <c r="AB68" s="217"/>
      <c r="AC68" s="217"/>
      <c r="AD68" s="217"/>
      <c r="AE68" s="217"/>
      <c r="AF68" s="217"/>
    </row>
    <row r="69" spans="1:32" x14ac:dyDescent="0.25">
      <c r="C69" s="49"/>
      <c r="G69" s="175" t="s">
        <v>409</v>
      </c>
      <c r="H69" s="175" t="s">
        <v>410</v>
      </c>
      <c r="I69" s="175" t="s">
        <v>411</v>
      </c>
      <c r="J69" s="175" t="s">
        <v>412</v>
      </c>
      <c r="K69" s="175" t="s">
        <v>413</v>
      </c>
      <c r="L69" s="175" t="s">
        <v>414</v>
      </c>
      <c r="M69" s="175" t="s">
        <v>415</v>
      </c>
      <c r="N69" s="175" t="s">
        <v>416</v>
      </c>
      <c r="O69" s="175" t="s">
        <v>417</v>
      </c>
      <c r="P69" s="175" t="s">
        <v>418</v>
      </c>
      <c r="Q69" s="175" t="s">
        <v>419</v>
      </c>
      <c r="R69" s="175" t="s">
        <v>420</v>
      </c>
      <c r="S69" s="182"/>
      <c r="T69" s="217"/>
      <c r="U69" s="217"/>
      <c r="V69" s="217"/>
      <c r="W69" s="217"/>
      <c r="X69" s="217"/>
      <c r="Y69" s="217"/>
      <c r="Z69" s="217"/>
      <c r="AA69" s="217"/>
      <c r="AB69" s="217"/>
      <c r="AC69" s="217"/>
      <c r="AD69" s="217"/>
      <c r="AE69" s="217"/>
      <c r="AF69" s="217"/>
    </row>
    <row r="70" spans="1:32" x14ac:dyDescent="0.25">
      <c r="A70" s="160" t="s">
        <v>429</v>
      </c>
      <c r="C70" s="49"/>
      <c r="F70" t="s">
        <v>513</v>
      </c>
      <c r="G70" s="159">
        <f t="shared" ref="G70:R70" si="26">$B$8*G8</f>
        <v>11.703232648133072</v>
      </c>
      <c r="H70" s="159">
        <f t="shared" si="26"/>
        <v>9.9654093864989903</v>
      </c>
      <c r="I70" s="159">
        <f t="shared" si="26"/>
        <v>9.0284165868433153</v>
      </c>
      <c r="J70" s="159">
        <f t="shared" si="26"/>
        <v>6.3531656644501</v>
      </c>
      <c r="K70" s="159">
        <f t="shared" si="26"/>
        <v>5.7096019910776583</v>
      </c>
      <c r="L70" s="159">
        <f t="shared" si="26"/>
        <v>4.447498443621158</v>
      </c>
      <c r="M70" s="159">
        <f t="shared" si="26"/>
        <v>4.9038524245491324</v>
      </c>
      <c r="N70" s="159">
        <f t="shared" si="26"/>
        <v>4.29547438900667</v>
      </c>
      <c r="O70" s="159">
        <f t="shared" si="26"/>
        <v>5.0233854662246218</v>
      </c>
      <c r="P70" s="159">
        <f t="shared" si="26"/>
        <v>7.0953782381076698</v>
      </c>
      <c r="Q70" s="159">
        <f t="shared" si="26"/>
        <v>9.7717853204813032</v>
      </c>
      <c r="R70" s="159">
        <f t="shared" si="26"/>
        <v>10.037371914054619</v>
      </c>
      <c r="S70" s="182"/>
      <c r="T70" s="217"/>
      <c r="U70" s="217"/>
      <c r="V70" s="217"/>
      <c r="W70" s="217"/>
      <c r="X70" s="217"/>
      <c r="Y70" s="217"/>
      <c r="Z70" s="217"/>
      <c r="AA70" s="217"/>
      <c r="AB70" s="217"/>
      <c r="AC70" s="217"/>
      <c r="AD70" s="217"/>
      <c r="AE70" s="217"/>
      <c r="AF70" s="217"/>
    </row>
    <row r="71" spans="1:32" x14ac:dyDescent="0.25">
      <c r="C71" s="146"/>
      <c r="F71" t="s">
        <v>514</v>
      </c>
      <c r="G71" s="159">
        <f t="shared" ref="G71:R71" si="27">$C$8*G41</f>
        <v>1.25681576539395</v>
      </c>
      <c r="H71" s="159">
        <f t="shared" si="27"/>
        <v>1.2702721333124911</v>
      </c>
      <c r="I71" s="159">
        <f t="shared" si="27"/>
        <v>1.2521967559763727</v>
      </c>
      <c r="J71" s="159">
        <f t="shared" si="27"/>
        <v>0</v>
      </c>
      <c r="K71" s="159">
        <f t="shared" si="27"/>
        <v>0</v>
      </c>
      <c r="L71" s="159">
        <f t="shared" si="27"/>
        <v>0</v>
      </c>
      <c r="M71" s="159">
        <f t="shared" si="27"/>
        <v>0</v>
      </c>
      <c r="N71" s="159">
        <f t="shared" si="27"/>
        <v>0</v>
      </c>
      <c r="O71" s="159">
        <f t="shared" si="27"/>
        <v>0</v>
      </c>
      <c r="P71" s="159">
        <f t="shared" si="27"/>
        <v>0</v>
      </c>
      <c r="Q71" s="159">
        <f t="shared" si="27"/>
        <v>1.1449247464942551</v>
      </c>
      <c r="R71" s="159">
        <f t="shared" si="27"/>
        <v>1.220273499340244</v>
      </c>
      <c r="S71" s="182"/>
      <c r="T71" s="217"/>
      <c r="U71" s="217"/>
      <c r="V71" s="217"/>
      <c r="W71" s="217"/>
      <c r="X71" s="217"/>
      <c r="Y71" s="217"/>
      <c r="Z71" s="217"/>
      <c r="AA71" s="217"/>
      <c r="AB71" s="217"/>
      <c r="AC71" s="217"/>
      <c r="AD71" s="217"/>
      <c r="AE71" s="217"/>
      <c r="AF71" s="217"/>
    </row>
    <row r="72" spans="1:32" x14ac:dyDescent="0.25">
      <c r="C72" s="146"/>
      <c r="F72" t="s">
        <v>515</v>
      </c>
      <c r="G72" s="159">
        <f>SUM(G70:G71)</f>
        <v>12.960048413527023</v>
      </c>
      <c r="H72" s="159">
        <f t="shared" ref="H72:R72" si="28">SUM(H70:H71)</f>
        <v>11.235681519811482</v>
      </c>
      <c r="I72" s="159">
        <f t="shared" si="28"/>
        <v>10.280613342819688</v>
      </c>
      <c r="J72" s="159">
        <f t="shared" si="28"/>
        <v>6.3531656644501</v>
      </c>
      <c r="K72" s="159">
        <f t="shared" si="28"/>
        <v>5.7096019910776583</v>
      </c>
      <c r="L72" s="159">
        <f t="shared" si="28"/>
        <v>4.447498443621158</v>
      </c>
      <c r="M72" s="159">
        <f t="shared" si="28"/>
        <v>4.9038524245491324</v>
      </c>
      <c r="N72" s="159">
        <f t="shared" si="28"/>
        <v>4.29547438900667</v>
      </c>
      <c r="O72" s="159">
        <f t="shared" si="28"/>
        <v>5.0233854662246218</v>
      </c>
      <c r="P72" s="159">
        <f t="shared" si="28"/>
        <v>7.0953782381076698</v>
      </c>
      <c r="Q72" s="159">
        <f t="shared" si="28"/>
        <v>10.916710066975558</v>
      </c>
      <c r="R72" s="159">
        <f t="shared" si="28"/>
        <v>11.257645413394863</v>
      </c>
      <c r="S72" s="182"/>
      <c r="T72" s="217"/>
      <c r="U72" s="217"/>
      <c r="V72" s="217"/>
      <c r="W72" s="217"/>
      <c r="X72" s="217"/>
      <c r="Y72" s="217"/>
      <c r="Z72" s="217"/>
      <c r="AA72" s="217"/>
      <c r="AB72" s="217"/>
      <c r="AC72" s="217"/>
      <c r="AD72" s="217"/>
      <c r="AE72" s="217"/>
      <c r="AF72" s="217"/>
    </row>
    <row r="73" spans="1:32" x14ac:dyDescent="0.25">
      <c r="C73" s="146"/>
      <c r="F73" t="s">
        <v>516</v>
      </c>
      <c r="G73" s="159">
        <f t="shared" ref="G73:R73" si="29">$C$8*G8</f>
        <v>0.80721405917389832</v>
      </c>
      <c r="H73" s="159">
        <f t="shared" si="29"/>
        <v>0.68735013684349433</v>
      </c>
      <c r="I73" s="159">
        <f t="shared" si="29"/>
        <v>0.622722372535363</v>
      </c>
      <c r="J73" s="159">
        <f t="shared" si="29"/>
        <v>0.43820069196207007</v>
      </c>
      <c r="K73" s="159">
        <f t="shared" si="29"/>
        <v>0.39381179013136908</v>
      </c>
      <c r="L73" s="159">
        <f t="shared" si="29"/>
        <v>0.30675996793225579</v>
      </c>
      <c r="M73" s="159">
        <f t="shared" si="29"/>
        <v>0.33823634377135375</v>
      </c>
      <c r="N73" s="159">
        <f t="shared" si="29"/>
        <v>0.29627432196528353</v>
      </c>
      <c r="O73" s="159">
        <f t="shared" si="29"/>
        <v>0.34648096768658165</v>
      </c>
      <c r="P73" s="159">
        <f t="shared" si="29"/>
        <v>0.48939376334372864</v>
      </c>
      <c r="Q73" s="159">
        <f t="shared" si="29"/>
        <v>0.67399518843026041</v>
      </c>
      <c r="R73" s="159">
        <f t="shared" si="29"/>
        <v>0.69231365126067201</v>
      </c>
      <c r="S73" s="182"/>
      <c r="T73" s="217"/>
      <c r="U73" s="217"/>
      <c r="V73" s="217"/>
      <c r="W73" s="217"/>
      <c r="X73" s="217"/>
      <c r="Y73" s="217"/>
      <c r="Z73" s="217"/>
      <c r="AA73" s="217"/>
      <c r="AB73" s="217"/>
      <c r="AC73" s="217"/>
      <c r="AD73" s="217"/>
      <c r="AE73" s="217"/>
      <c r="AF73" s="217"/>
    </row>
    <row r="74" spans="1:32" x14ac:dyDescent="0.25">
      <c r="C74" s="146"/>
      <c r="F74" s="220" t="s">
        <v>517</v>
      </c>
      <c r="G74" s="159">
        <f>G70+G73</f>
        <v>12.51044670730697</v>
      </c>
      <c r="H74" s="159">
        <f t="shared" ref="H74:R74" si="30">H70+H73</f>
        <v>10.652759523342485</v>
      </c>
      <c r="I74" s="159">
        <f t="shared" si="30"/>
        <v>9.6511389593786774</v>
      </c>
      <c r="J74" s="159">
        <f t="shared" si="30"/>
        <v>6.79136635641217</v>
      </c>
      <c r="K74" s="159">
        <f t="shared" si="30"/>
        <v>6.103413781209027</v>
      </c>
      <c r="L74" s="159">
        <f t="shared" si="30"/>
        <v>4.7542584115534137</v>
      </c>
      <c r="M74" s="159">
        <f t="shared" si="30"/>
        <v>5.2420887683204862</v>
      </c>
      <c r="N74" s="159">
        <f t="shared" si="30"/>
        <v>4.5917487109719533</v>
      </c>
      <c r="O74" s="159">
        <f t="shared" si="30"/>
        <v>5.3698664339112039</v>
      </c>
      <c r="P74" s="159">
        <f t="shared" si="30"/>
        <v>7.5847720014513982</v>
      </c>
      <c r="Q74" s="159">
        <f t="shared" si="30"/>
        <v>10.445780508911565</v>
      </c>
      <c r="R74" s="159">
        <f t="shared" si="30"/>
        <v>10.729685565315291</v>
      </c>
      <c r="T74" s="217"/>
      <c r="U74" s="217"/>
      <c r="V74" s="217"/>
      <c r="W74" s="217"/>
      <c r="X74" s="217"/>
      <c r="Y74" s="217"/>
      <c r="Z74" s="217"/>
      <c r="AA74" s="217"/>
      <c r="AB74" s="217"/>
      <c r="AC74" s="217"/>
      <c r="AD74" s="217"/>
      <c r="AE74" s="217"/>
      <c r="AF74" s="217"/>
    </row>
    <row r="75" spans="1:32" x14ac:dyDescent="0.25">
      <c r="C75" s="146"/>
      <c r="F75" s="220" t="s">
        <v>512</v>
      </c>
      <c r="G75" s="159">
        <f>G70*G41+G70</f>
        <v>14.117380518980852</v>
      </c>
      <c r="H75" s="159">
        <f t="shared" ref="H75:R75" si="31">H70*H41+H70</f>
        <v>12.043087787516875</v>
      </c>
      <c r="I75" s="159">
        <f t="shared" si="31"/>
        <v>10.883957667930648</v>
      </c>
      <c r="J75" s="159">
        <f t="shared" si="31"/>
        <v>6.3531656644501</v>
      </c>
      <c r="K75" s="159">
        <f t="shared" si="31"/>
        <v>5.7096019910776583</v>
      </c>
      <c r="L75" s="159">
        <f t="shared" si="31"/>
        <v>4.447498443621158</v>
      </c>
      <c r="M75" s="159">
        <f t="shared" si="31"/>
        <v>4.9038524245491324</v>
      </c>
      <c r="N75" s="159">
        <f t="shared" si="31"/>
        <v>4.29547438900667</v>
      </c>
      <c r="O75" s="159">
        <f t="shared" si="31"/>
        <v>5.0233854662246218</v>
      </c>
      <c r="P75" s="159">
        <f t="shared" si="31"/>
        <v>7.0953782381076698</v>
      </c>
      <c r="Q75" s="159">
        <f t="shared" si="31"/>
        <v>11.608058407956207</v>
      </c>
      <c r="R75" s="159">
        <f t="shared" si="31"/>
        <v>12.04768456533724</v>
      </c>
      <c r="T75" s="217"/>
      <c r="U75" s="217"/>
      <c r="V75" s="217"/>
      <c r="W75" s="217"/>
      <c r="X75" s="217"/>
      <c r="Y75" s="217"/>
      <c r="Z75" s="217"/>
      <c r="AA75" s="217"/>
      <c r="AB75" s="217"/>
      <c r="AC75" s="217"/>
      <c r="AD75" s="217"/>
      <c r="AE75" s="217"/>
      <c r="AF75" s="217"/>
    </row>
    <row r="76" spans="1:32" x14ac:dyDescent="0.25">
      <c r="C76" s="146"/>
      <c r="G76" s="159"/>
      <c r="H76" s="159"/>
      <c r="I76" s="159"/>
      <c r="J76" s="159"/>
      <c r="K76" s="159"/>
      <c r="L76" s="159"/>
      <c r="M76" s="159"/>
      <c r="N76" s="159"/>
      <c r="O76" s="159"/>
      <c r="P76" s="159"/>
      <c r="Q76" s="159"/>
      <c r="R76" s="159"/>
      <c r="T76" s="217"/>
      <c r="U76" s="217"/>
      <c r="V76" s="217"/>
      <c r="W76" s="217"/>
      <c r="X76" s="217"/>
      <c r="Y76" s="217"/>
      <c r="Z76" s="217"/>
      <c r="AA76" s="217"/>
      <c r="AB76" s="217"/>
      <c r="AC76" s="217"/>
      <c r="AD76" s="217"/>
      <c r="AE76" s="217"/>
      <c r="AF76" s="217"/>
    </row>
    <row r="77" spans="1:32" x14ac:dyDescent="0.25">
      <c r="C77" s="146"/>
      <c r="G77" s="159"/>
      <c r="H77" s="159"/>
      <c r="I77" s="159"/>
      <c r="J77" s="159"/>
      <c r="K77" s="159"/>
      <c r="L77" s="159"/>
      <c r="M77" s="159"/>
      <c r="N77" s="159"/>
      <c r="O77" s="159"/>
      <c r="P77" s="159"/>
      <c r="Q77" s="159"/>
      <c r="R77" s="159"/>
      <c r="T77" s="217"/>
      <c r="U77" s="217"/>
      <c r="V77" s="217"/>
      <c r="W77" s="217"/>
      <c r="X77" s="217"/>
      <c r="Y77" s="217"/>
      <c r="Z77" s="217"/>
      <c r="AA77" s="217"/>
      <c r="AB77" s="217"/>
      <c r="AC77" s="217"/>
      <c r="AD77" s="217"/>
      <c r="AE77" s="217"/>
      <c r="AF77" s="217"/>
    </row>
    <row r="78" spans="1:32" x14ac:dyDescent="0.25">
      <c r="C78" s="146"/>
      <c r="F78" t="str">
        <f>F70</f>
        <v>DE lower ENTSOG</v>
      </c>
      <c r="G78" s="159">
        <f>G70</f>
        <v>11.703232648133072</v>
      </c>
      <c r="H78" s="159">
        <f t="shared" ref="H78:R78" si="32">H70</f>
        <v>9.9654093864989903</v>
      </c>
      <c r="I78" s="159">
        <f t="shared" si="32"/>
        <v>9.0284165868433153</v>
      </c>
      <c r="J78" s="159">
        <f t="shared" si="32"/>
        <v>6.3531656644501</v>
      </c>
      <c r="K78" s="159">
        <f t="shared" si="32"/>
        <v>5.7096019910776583</v>
      </c>
      <c r="L78" s="159">
        <f t="shared" si="32"/>
        <v>4.447498443621158</v>
      </c>
      <c r="M78" s="159">
        <f t="shared" si="32"/>
        <v>4.9038524245491324</v>
      </c>
      <c r="N78" s="159">
        <f t="shared" si="32"/>
        <v>4.29547438900667</v>
      </c>
      <c r="O78" s="159">
        <f t="shared" si="32"/>
        <v>5.0233854662246218</v>
      </c>
      <c r="P78" s="159">
        <f t="shared" si="32"/>
        <v>7.0953782381076698</v>
      </c>
      <c r="Q78" s="159">
        <f t="shared" si="32"/>
        <v>9.7717853204813032</v>
      </c>
      <c r="R78" s="159">
        <f t="shared" si="32"/>
        <v>10.037371914054619</v>
      </c>
      <c r="T78" s="217"/>
      <c r="U78" s="217"/>
      <c r="V78" s="217"/>
      <c r="W78" s="217"/>
      <c r="X78" s="217"/>
      <c r="Y78" s="217"/>
      <c r="Z78" s="217"/>
      <c r="AA78" s="217"/>
      <c r="AB78" s="217"/>
      <c r="AC78" s="217"/>
      <c r="AD78" s="217"/>
      <c r="AE78" s="217"/>
      <c r="AF78" s="217"/>
    </row>
    <row r="79" spans="1:32" x14ac:dyDescent="0.25">
      <c r="C79" s="146"/>
      <c r="F79" t="s">
        <v>517</v>
      </c>
      <c r="G79" s="159">
        <v>12.51044670730697</v>
      </c>
      <c r="H79" s="159">
        <v>10.652759523342485</v>
      </c>
      <c r="I79" s="159">
        <v>9.6511389593786774</v>
      </c>
      <c r="J79" s="159">
        <v>6.79136635641217</v>
      </c>
      <c r="K79" s="159">
        <v>6.103413781209027</v>
      </c>
      <c r="L79" s="159">
        <v>4.7542584115534137</v>
      </c>
      <c r="M79" s="159">
        <v>5.2420887683204862</v>
      </c>
      <c r="N79" s="159">
        <v>4.5917487109719533</v>
      </c>
      <c r="O79" s="159">
        <v>5.3698664339112039</v>
      </c>
      <c r="P79" s="159">
        <v>7.5847720014513982</v>
      </c>
      <c r="Q79" s="159">
        <v>10.445780508911565</v>
      </c>
      <c r="R79" s="159">
        <v>10.729685565315291</v>
      </c>
      <c r="T79" s="217"/>
      <c r="U79" s="217"/>
      <c r="V79" s="217"/>
      <c r="W79" s="217"/>
      <c r="X79" s="217"/>
      <c r="Y79" s="217"/>
      <c r="Z79" s="217"/>
      <c r="AA79" s="217"/>
      <c r="AB79" s="217"/>
      <c r="AC79" s="217"/>
      <c r="AD79" s="217"/>
      <c r="AE79" s="217"/>
      <c r="AF79" s="217"/>
    </row>
    <row r="80" spans="1:32" x14ac:dyDescent="0.25">
      <c r="C80" s="146"/>
      <c r="F80" t="s">
        <v>512</v>
      </c>
      <c r="G80" s="159">
        <v>14.1173805189809</v>
      </c>
      <c r="H80" s="159">
        <v>12.043087787516875</v>
      </c>
      <c r="I80" s="159">
        <v>10.883957667930648</v>
      </c>
      <c r="J80" s="159">
        <v>6.3531656644501</v>
      </c>
      <c r="K80" s="159">
        <v>5.7096019910776583</v>
      </c>
      <c r="L80" s="159">
        <v>4.447498443621158</v>
      </c>
      <c r="M80" s="159">
        <v>4.9038524245491324</v>
      </c>
      <c r="N80" s="159">
        <v>4.29547438900667</v>
      </c>
      <c r="O80" s="159">
        <v>5.0233854662246218</v>
      </c>
      <c r="P80" s="159">
        <v>7.0953782381076698</v>
      </c>
      <c r="Q80" s="159">
        <v>11.608058407956207</v>
      </c>
      <c r="R80" s="159">
        <v>12.04768456533724</v>
      </c>
      <c r="T80" s="217"/>
      <c r="U80" s="217"/>
      <c r="V80" s="217"/>
      <c r="W80" s="217"/>
      <c r="X80" s="217"/>
      <c r="Y80" s="217"/>
      <c r="Z80" s="217"/>
      <c r="AA80" s="217"/>
      <c r="AB80" s="217"/>
      <c r="AC80" s="217"/>
      <c r="AD80" s="217"/>
      <c r="AE80" s="217"/>
      <c r="AF80" s="217"/>
    </row>
    <row r="81" spans="3:32" x14ac:dyDescent="0.25">
      <c r="C81" s="146"/>
      <c r="T81" s="217"/>
      <c r="U81" s="217"/>
      <c r="V81" s="217"/>
      <c r="W81" s="217"/>
      <c r="X81" s="217"/>
      <c r="Y81" s="217"/>
      <c r="Z81" s="217"/>
      <c r="AA81" s="217"/>
      <c r="AB81" s="217"/>
      <c r="AC81" s="217"/>
      <c r="AD81" s="217"/>
      <c r="AE81" s="217"/>
      <c r="AF81" s="217"/>
    </row>
    <row r="82" spans="3:32" x14ac:dyDescent="0.25">
      <c r="C82" s="146"/>
      <c r="T82" s="217"/>
      <c r="U82" s="217"/>
      <c r="V82" s="217"/>
      <c r="W82" s="217"/>
      <c r="X82" s="217"/>
      <c r="Y82" s="217"/>
      <c r="Z82" s="217"/>
      <c r="AA82" s="217"/>
      <c r="AB82" s="217"/>
      <c r="AC82" s="217"/>
      <c r="AD82" s="217"/>
      <c r="AE82" s="217"/>
      <c r="AF82" s="217"/>
    </row>
    <row r="83" spans="3:32" x14ac:dyDescent="0.25">
      <c r="C83" s="146"/>
      <c r="T83" s="217"/>
      <c r="U83" s="217"/>
      <c r="V83" s="217"/>
      <c r="W83" s="217"/>
      <c r="X83" s="217"/>
      <c r="Y83" s="217"/>
      <c r="Z83" s="217"/>
      <c r="AA83" s="217"/>
      <c r="AB83" s="217"/>
      <c r="AC83" s="217"/>
      <c r="AD83" s="217"/>
      <c r="AE83" s="217"/>
      <c r="AF83" s="217"/>
    </row>
    <row r="84" spans="3:32" x14ac:dyDescent="0.25">
      <c r="C84" s="146"/>
      <c r="T84" s="217"/>
      <c r="U84" s="217"/>
      <c r="V84" s="217"/>
      <c r="W84" s="217"/>
      <c r="X84" s="217"/>
      <c r="Y84" s="217"/>
      <c r="Z84" s="217"/>
      <c r="AA84" s="217"/>
      <c r="AB84" s="217"/>
      <c r="AC84" s="217"/>
      <c r="AD84" s="217"/>
      <c r="AE84" s="217"/>
      <c r="AF84" s="217"/>
    </row>
    <row r="85" spans="3:32" x14ac:dyDescent="0.25">
      <c r="C85" s="146"/>
      <c r="T85" s="217"/>
      <c r="U85" s="217"/>
      <c r="V85" s="217"/>
      <c r="W85" s="217"/>
      <c r="X85" s="217"/>
      <c r="Y85" s="217"/>
      <c r="Z85" s="217"/>
      <c r="AA85" s="217"/>
      <c r="AB85" s="217"/>
      <c r="AC85" s="217"/>
      <c r="AD85" s="217"/>
      <c r="AE85" s="217"/>
      <c r="AF85" s="217"/>
    </row>
    <row r="86" spans="3:32" x14ac:dyDescent="0.25">
      <c r="C86" s="146"/>
      <c r="T86" s="217"/>
      <c r="U86" s="217"/>
      <c r="V86" s="217"/>
      <c r="W86" s="217"/>
      <c r="X86" s="217"/>
      <c r="Y86" s="217"/>
      <c r="Z86" s="217"/>
      <c r="AA86" s="217"/>
      <c r="AB86" s="217"/>
      <c r="AC86" s="217"/>
      <c r="AD86" s="217"/>
      <c r="AE86" s="217"/>
      <c r="AF86" s="217"/>
    </row>
    <row r="87" spans="3:32" x14ac:dyDescent="0.25">
      <c r="C87" s="146"/>
      <c r="T87" s="217"/>
      <c r="U87" s="217"/>
      <c r="V87" s="217"/>
      <c r="W87" s="217"/>
      <c r="X87" s="217"/>
      <c r="Y87" s="217"/>
      <c r="Z87" s="217"/>
      <c r="AA87" s="217"/>
      <c r="AB87" s="217"/>
      <c r="AC87" s="217"/>
      <c r="AD87" s="217"/>
      <c r="AE87" s="217"/>
      <c r="AF87" s="217"/>
    </row>
    <row r="88" spans="3:32" x14ac:dyDescent="0.25">
      <c r="C88" s="146"/>
      <c r="T88" s="217"/>
      <c r="U88" s="217"/>
      <c r="V88" s="217"/>
      <c r="W88" s="217"/>
      <c r="X88" s="217"/>
      <c r="Y88" s="217"/>
      <c r="Z88" s="217"/>
      <c r="AA88" s="217"/>
      <c r="AB88" s="217"/>
      <c r="AC88" s="217"/>
      <c r="AD88" s="217"/>
      <c r="AE88" s="217"/>
      <c r="AF88" s="217"/>
    </row>
    <row r="89" spans="3:32" x14ac:dyDescent="0.25">
      <c r="C89" s="146"/>
      <c r="T89" s="217"/>
      <c r="U89" s="217"/>
      <c r="V89" s="217"/>
      <c r="W89" s="217"/>
      <c r="X89" s="217"/>
      <c r="Y89" s="217"/>
      <c r="Z89" s="217"/>
      <c r="AA89" s="217"/>
      <c r="AB89" s="217"/>
      <c r="AC89" s="217"/>
      <c r="AD89" s="217"/>
      <c r="AE89" s="217"/>
      <c r="AF89" s="217"/>
    </row>
    <row r="90" spans="3:32" x14ac:dyDescent="0.25">
      <c r="C90" s="146"/>
      <c r="T90" s="217"/>
      <c r="U90" s="217"/>
      <c r="V90" s="217"/>
      <c r="W90" s="217"/>
      <c r="X90" s="217"/>
      <c r="Y90" s="217"/>
      <c r="Z90" s="217"/>
      <c r="AA90" s="217"/>
      <c r="AB90" s="217"/>
      <c r="AC90" s="217"/>
      <c r="AD90" s="217"/>
      <c r="AE90" s="217"/>
      <c r="AF90" s="217"/>
    </row>
    <row r="91" spans="3:32" x14ac:dyDescent="0.25">
      <c r="C91" s="146"/>
      <c r="T91" s="217"/>
      <c r="U91" s="217"/>
      <c r="V91" s="217"/>
      <c r="W91" s="217"/>
      <c r="X91" s="217"/>
      <c r="Y91" s="217"/>
      <c r="Z91" s="217"/>
      <c r="AA91" s="217"/>
      <c r="AB91" s="217"/>
      <c r="AC91" s="217"/>
      <c r="AD91" s="217"/>
      <c r="AE91" s="217"/>
      <c r="AF91" s="217"/>
    </row>
    <row r="92" spans="3:32" x14ac:dyDescent="0.25">
      <c r="C92" s="146"/>
      <c r="T92" s="217"/>
      <c r="U92" s="217"/>
      <c r="V92" s="217"/>
      <c r="W92" s="217"/>
      <c r="X92" s="217"/>
      <c r="Y92" s="217"/>
      <c r="Z92" s="217"/>
      <c r="AA92" s="217"/>
      <c r="AB92" s="217"/>
      <c r="AC92" s="217"/>
      <c r="AD92" s="217"/>
      <c r="AE92" s="217"/>
      <c r="AF92" s="217"/>
    </row>
    <row r="93" spans="3:32" x14ac:dyDescent="0.25">
      <c r="C93" s="146"/>
      <c r="T93" s="217"/>
      <c r="U93" s="217"/>
      <c r="V93" s="217"/>
      <c r="W93" s="217"/>
      <c r="X93" s="217"/>
      <c r="Y93" s="217"/>
      <c r="Z93" s="217"/>
      <c r="AA93" s="217"/>
      <c r="AB93" s="217"/>
      <c r="AC93" s="217"/>
      <c r="AD93" s="217"/>
      <c r="AE93" s="217"/>
      <c r="AF93" s="217"/>
    </row>
    <row r="94" spans="3:32" x14ac:dyDescent="0.25">
      <c r="C94" s="146"/>
      <c r="T94" s="217"/>
      <c r="U94" s="217"/>
      <c r="V94" s="217"/>
      <c r="W94" s="217"/>
      <c r="X94" s="217"/>
      <c r="Y94" s="217"/>
      <c r="Z94" s="217"/>
      <c r="AA94" s="217"/>
      <c r="AB94" s="217"/>
      <c r="AC94" s="217"/>
      <c r="AD94" s="217"/>
      <c r="AE94" s="217"/>
      <c r="AF94" s="217"/>
    </row>
    <row r="95" spans="3:32" x14ac:dyDescent="0.25">
      <c r="C95" s="146"/>
      <c r="T95" s="217"/>
      <c r="U95" s="217"/>
      <c r="V95" s="217"/>
      <c r="W95" s="217"/>
      <c r="X95" s="217"/>
      <c r="Y95" s="217"/>
      <c r="Z95" s="217"/>
      <c r="AA95" s="217"/>
      <c r="AB95" s="217"/>
      <c r="AC95" s="217"/>
      <c r="AD95" s="217"/>
      <c r="AE95" s="217"/>
      <c r="AF95" s="217"/>
    </row>
    <row r="96" spans="3:32" x14ac:dyDescent="0.25">
      <c r="C96" s="146"/>
      <c r="T96" s="217"/>
      <c r="U96" s="217"/>
      <c r="V96" s="217"/>
      <c r="W96" s="217"/>
      <c r="X96" s="217"/>
      <c r="Y96" s="217"/>
      <c r="Z96" s="217"/>
      <c r="AA96" s="217"/>
      <c r="AB96" s="217"/>
      <c r="AC96" s="217"/>
      <c r="AD96" s="217"/>
      <c r="AE96" s="217"/>
      <c r="AF96" s="217"/>
    </row>
    <row r="97" spans="3:30" x14ac:dyDescent="0.25">
      <c r="C97" s="146"/>
      <c r="T97" s="176"/>
      <c r="U97" s="176"/>
      <c r="V97" s="176"/>
      <c r="W97" s="176"/>
      <c r="X97" s="176"/>
      <c r="Y97" s="176"/>
      <c r="Z97" s="176"/>
      <c r="AA97" s="176"/>
      <c r="AB97" s="176"/>
      <c r="AC97" s="176"/>
      <c r="AD97" s="176"/>
    </row>
    <row r="98" spans="3:30" x14ac:dyDescent="0.25">
      <c r="C98" s="146"/>
      <c r="T98" s="176"/>
      <c r="U98" s="176"/>
      <c r="V98" s="176"/>
      <c r="W98" s="176"/>
      <c r="X98" s="176"/>
      <c r="Y98" s="176"/>
      <c r="Z98" s="176"/>
      <c r="AA98" s="176"/>
      <c r="AB98" s="176"/>
      <c r="AC98" s="176"/>
      <c r="AD98" s="176"/>
    </row>
    <row r="99" spans="3:30" x14ac:dyDescent="0.25">
      <c r="C99" s="146"/>
      <c r="T99" s="176"/>
      <c r="U99" s="176"/>
      <c r="V99" s="176"/>
      <c r="W99" s="176"/>
      <c r="X99" s="176"/>
      <c r="Y99" s="176"/>
      <c r="Z99" s="176"/>
      <c r="AA99" s="176"/>
      <c r="AB99" s="176"/>
      <c r="AC99" s="176"/>
      <c r="AD99" s="176"/>
    </row>
    <row r="100" spans="3:30" x14ac:dyDescent="0.25">
      <c r="C100" s="146"/>
    </row>
    <row r="101" spans="3:30" x14ac:dyDescent="0.25">
      <c r="C101" s="146"/>
      <c r="G101" s="176"/>
      <c r="H101" s="176"/>
      <c r="I101" s="176"/>
      <c r="J101" s="176"/>
      <c r="K101" s="176"/>
      <c r="L101" s="176"/>
      <c r="M101" s="176"/>
      <c r="N101" s="176"/>
    </row>
    <row r="102" spans="3:30" x14ac:dyDescent="0.25">
      <c r="C102" s="146"/>
      <c r="G102" s="176"/>
      <c r="H102" s="176"/>
      <c r="I102" s="176"/>
      <c r="J102" s="176"/>
      <c r="K102" s="176"/>
      <c r="L102" s="176"/>
      <c r="M102" s="176"/>
      <c r="N102" s="176"/>
    </row>
    <row r="103" spans="3:30" x14ac:dyDescent="0.25">
      <c r="C103" s="146"/>
      <c r="G103" s="176"/>
      <c r="H103" s="176"/>
      <c r="I103" s="176"/>
      <c r="J103" s="176"/>
      <c r="K103" s="176"/>
      <c r="L103" s="176"/>
      <c r="M103" s="176"/>
      <c r="N103" s="176"/>
    </row>
    <row r="104" spans="3:30" x14ac:dyDescent="0.25">
      <c r="C104" s="146"/>
      <c r="G104" s="176"/>
      <c r="H104" s="176"/>
      <c r="I104" s="176"/>
      <c r="J104" s="176"/>
      <c r="K104" s="176"/>
      <c r="L104" s="176"/>
      <c r="M104" s="176"/>
      <c r="N104" s="176"/>
    </row>
    <row r="105" spans="3:30" x14ac:dyDescent="0.25">
      <c r="C105" s="146"/>
      <c r="G105" s="176"/>
      <c r="H105" s="176"/>
      <c r="I105" s="176"/>
      <c r="J105" s="176"/>
      <c r="K105" s="176"/>
      <c r="L105" s="176"/>
      <c r="M105" s="176"/>
      <c r="N105" s="176"/>
    </row>
    <row r="106" spans="3:30" x14ac:dyDescent="0.25">
      <c r="C106" s="146"/>
      <c r="G106" s="176"/>
      <c r="H106" s="176"/>
      <c r="I106" s="176"/>
      <c r="J106" s="176"/>
      <c r="K106" s="176"/>
      <c r="L106" s="176"/>
      <c r="M106" s="176"/>
      <c r="N106" s="176"/>
    </row>
    <row r="107" spans="3:30" x14ac:dyDescent="0.25">
      <c r="C107" s="146"/>
      <c r="G107" s="176"/>
      <c r="H107" s="176"/>
      <c r="I107" s="176"/>
      <c r="J107" s="176"/>
      <c r="K107" s="176"/>
      <c r="L107" s="176"/>
      <c r="M107" s="176"/>
      <c r="N107" s="176"/>
    </row>
    <row r="108" spans="3:30" x14ac:dyDescent="0.25">
      <c r="C108" s="146"/>
      <c r="G108" s="176"/>
      <c r="H108" s="176"/>
      <c r="I108" s="176"/>
      <c r="J108" s="176"/>
      <c r="K108" s="176"/>
      <c r="L108" s="176"/>
      <c r="M108" s="176"/>
      <c r="N108" s="176"/>
    </row>
    <row r="109" spans="3:30" x14ac:dyDescent="0.25">
      <c r="C109" s="146"/>
      <c r="G109" s="176"/>
      <c r="H109" s="176"/>
      <c r="I109" s="176"/>
      <c r="J109" s="176"/>
      <c r="K109" s="176"/>
      <c r="L109" s="176"/>
      <c r="M109" s="176"/>
      <c r="N109" s="176"/>
    </row>
    <row r="110" spans="3:30" x14ac:dyDescent="0.25">
      <c r="C110" s="146"/>
      <c r="G110" s="176"/>
      <c r="H110" s="176"/>
      <c r="I110" s="176"/>
      <c r="J110" s="176"/>
      <c r="K110" s="176"/>
      <c r="L110" s="176"/>
      <c r="M110" s="176"/>
      <c r="N110" s="176"/>
    </row>
    <row r="111" spans="3:30" x14ac:dyDescent="0.25">
      <c r="C111" s="146"/>
      <c r="G111" s="176"/>
      <c r="H111" s="176"/>
      <c r="I111" s="176"/>
      <c r="J111" s="176"/>
      <c r="K111" s="176"/>
      <c r="L111" s="176"/>
      <c r="M111" s="176"/>
      <c r="N111" s="176"/>
    </row>
    <row r="112" spans="3:30" x14ac:dyDescent="0.25">
      <c r="G112" s="176"/>
      <c r="H112" s="176"/>
      <c r="I112" s="176"/>
      <c r="J112" s="176"/>
      <c r="K112" s="176"/>
      <c r="L112" s="176"/>
      <c r="M112" s="176"/>
      <c r="N112" s="176"/>
    </row>
    <row r="113" spans="7:14" x14ac:dyDescent="0.25">
      <c r="G113" s="176"/>
      <c r="H113" s="176"/>
      <c r="I113" s="176"/>
      <c r="J113" s="176"/>
      <c r="K113" s="176"/>
      <c r="L113" s="176"/>
      <c r="M113" s="176"/>
      <c r="N113" s="176"/>
    </row>
  </sheetData>
  <mergeCells count="1">
    <mergeCell ref="G68:R68"/>
  </mergeCells>
  <conditionalFormatting sqref="B2 C38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{56BA5C4A-2582-4A66-BAE2-2720920FC798}</x14:id>
        </ext>
      </extLst>
    </cfRule>
  </conditionalFormatting>
  <conditionalFormatting sqref="B3 C3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{C964D5CD-1B42-4C6D-ADE0-AC49883AED1C}</x14:id>
        </ext>
      </extLst>
    </cfRule>
  </conditionalFormatting>
  <conditionalFormatting sqref="B8 C4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{977C80AA-5512-476A-94DD-26C59228F820}</x14:id>
        </ext>
      </extLst>
    </cfRule>
  </conditionalFormatting>
  <conditionalFormatting sqref="B30:B31 C66:C67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{EACE7732-9ACD-45F5-8D31-BFB17DB16FB3}</x14:id>
        </ext>
      </extLst>
    </cfRule>
  </conditionalFormatting>
  <conditionalFormatting sqref="B5 C41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{B8D60B5A-738F-43C1-AE62-163590575483}</x14:id>
        </ext>
      </extLst>
    </cfRule>
  </conditionalFormatting>
  <conditionalFormatting sqref="B6 C42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{94486CC0-8ABE-4D37-8F4A-16590ACE44EC}</x14:id>
        </ext>
      </extLst>
    </cfRule>
  </conditionalFormatting>
  <conditionalFormatting sqref="B7 C43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{5B1D2B28-7CD0-444E-808E-6CED5CFC728A}</x14:id>
        </ext>
      </extLst>
    </cfRule>
  </conditionalFormatting>
  <conditionalFormatting sqref="B9 C45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{98D10A9C-3B4C-4C05-B405-567236FB01AE}</x14:id>
        </ext>
      </extLst>
    </cfRule>
  </conditionalFormatting>
  <conditionalFormatting sqref="B13 C49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{2CB73710-2DB7-42D6-997C-EC18BF9A2045}</x14:id>
        </ext>
      </extLst>
    </cfRule>
  </conditionalFormatting>
  <conditionalFormatting sqref="B16 C5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{67D44524-4F00-4C3A-9D96-5CF4A0DC99FC}</x14:id>
        </ext>
      </extLst>
    </cfRule>
  </conditionalFormatting>
  <conditionalFormatting sqref="B18 C5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{9E25EFF2-FCCD-4B03-A127-9259B75DEFC3}</x14:id>
        </ext>
      </extLst>
    </cfRule>
  </conditionalFormatting>
  <conditionalFormatting sqref="B21 C57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{71AF0975-124C-4657-8033-04ECAEEC222B}</x14:id>
        </ext>
      </extLst>
    </cfRule>
  </conditionalFormatting>
  <conditionalFormatting sqref="B22 C58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{48F628F6-FCE5-490B-BBD3-BDF868A49DB0}</x14:id>
        </ext>
      </extLst>
    </cfRule>
  </conditionalFormatting>
  <conditionalFormatting sqref="B24 C60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{C2995BC9-8E01-4BC9-9522-10D57BE22FBD}</x14:id>
        </ext>
      </extLst>
    </cfRule>
  </conditionalFormatting>
  <conditionalFormatting sqref="B26 C62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{72E03E7D-01D4-4951-8762-89A8C08188AE}</x14:id>
        </ext>
      </extLst>
    </cfRule>
  </conditionalFormatting>
  <conditionalFormatting sqref="B28 C64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{B1C85E4C-FBFA-45F0-ACE3-516EDA59F692}</x14:id>
        </ext>
      </extLst>
    </cfRule>
  </conditionalFormatting>
  <conditionalFormatting sqref="B14 C5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{279E220B-66B1-44E5-916F-ECC2D6152535}</x14:id>
        </ext>
      </extLst>
    </cfRule>
  </conditionalFormatting>
  <conditionalFormatting sqref="B2:B31 C38:C67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{4A640706-B194-4CB5-9ABA-8C10BAA723BA}</x14:id>
        </ext>
      </extLst>
    </cfRule>
  </conditionalFormatting>
  <conditionalFormatting sqref="C5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{AE6F986B-EF35-4EEF-A68B-458EACEC2E57}</x14:id>
        </ext>
      </extLst>
    </cfRule>
  </conditionalFormatting>
  <conditionalFormatting sqref="C2:C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{A9C66412-7CF8-4B60-B752-FA3FD8F455D1}</x14:id>
        </ext>
      </extLst>
    </cfRule>
  </conditionalFormatting>
  <pageMargins left="0.7" right="0.7" top="0.75" bottom="0.75" header="0.3" footer="0.3"/>
  <pageSetup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6BA5C4A-2582-4A66-BAE2-2720920FC7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 C38</xm:sqref>
        </x14:conditionalFormatting>
        <x14:conditionalFormatting xmlns:xm="http://schemas.microsoft.com/office/excel/2006/main">
          <x14:cfRule type="dataBar" id="{C964D5CD-1B42-4C6D-ADE0-AC49883AED1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 C39</xm:sqref>
        </x14:conditionalFormatting>
        <x14:conditionalFormatting xmlns:xm="http://schemas.microsoft.com/office/excel/2006/main">
          <x14:cfRule type="dataBar" id="{977C80AA-5512-476A-94DD-26C59228F8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B8 C44</xm:sqref>
        </x14:conditionalFormatting>
        <x14:conditionalFormatting xmlns:xm="http://schemas.microsoft.com/office/excel/2006/main">
          <x14:cfRule type="dataBar" id="{EACE7732-9ACD-45F5-8D31-BFB17DB16F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B30:B31 C66:C67</xm:sqref>
        </x14:conditionalFormatting>
        <x14:conditionalFormatting xmlns:xm="http://schemas.microsoft.com/office/excel/2006/main">
          <x14:cfRule type="dataBar" id="{B8D60B5A-738F-43C1-AE62-16359057548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 C41</xm:sqref>
        </x14:conditionalFormatting>
        <x14:conditionalFormatting xmlns:xm="http://schemas.microsoft.com/office/excel/2006/main">
          <x14:cfRule type="dataBar" id="{94486CC0-8ABE-4D37-8F4A-16590ACE44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 C42</xm:sqref>
        </x14:conditionalFormatting>
        <x14:conditionalFormatting xmlns:xm="http://schemas.microsoft.com/office/excel/2006/main">
          <x14:cfRule type="dataBar" id="{5B1D2B28-7CD0-444E-808E-6CED5CFC728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B7 C43</xm:sqref>
        </x14:conditionalFormatting>
        <x14:conditionalFormatting xmlns:xm="http://schemas.microsoft.com/office/excel/2006/main">
          <x14:cfRule type="dataBar" id="{98D10A9C-3B4C-4C05-B405-567236FB01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B9 C45</xm:sqref>
        </x14:conditionalFormatting>
        <x14:conditionalFormatting xmlns:xm="http://schemas.microsoft.com/office/excel/2006/main">
          <x14:cfRule type="dataBar" id="{2CB73710-2DB7-42D6-997C-EC18BF9A204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B13 C49</xm:sqref>
        </x14:conditionalFormatting>
        <x14:conditionalFormatting xmlns:xm="http://schemas.microsoft.com/office/excel/2006/main">
          <x14:cfRule type="dataBar" id="{67D44524-4F00-4C3A-9D96-5CF4A0DC99F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B16 C52</xm:sqref>
        </x14:conditionalFormatting>
        <x14:conditionalFormatting xmlns:xm="http://schemas.microsoft.com/office/excel/2006/main">
          <x14:cfRule type="dataBar" id="{9E25EFF2-FCCD-4B03-A127-9259B75DEFC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B18 C54</xm:sqref>
        </x14:conditionalFormatting>
        <x14:conditionalFormatting xmlns:xm="http://schemas.microsoft.com/office/excel/2006/main">
          <x14:cfRule type="dataBar" id="{71AF0975-124C-4657-8033-04ECAEEC22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 C57</xm:sqref>
        </x14:conditionalFormatting>
        <x14:conditionalFormatting xmlns:xm="http://schemas.microsoft.com/office/excel/2006/main">
          <x14:cfRule type="dataBar" id="{48F628F6-FCE5-490B-BBD3-BDF868A49D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B22 C58</xm:sqref>
        </x14:conditionalFormatting>
        <x14:conditionalFormatting xmlns:xm="http://schemas.microsoft.com/office/excel/2006/main">
          <x14:cfRule type="dataBar" id="{C2995BC9-8E01-4BC9-9522-10D57BE22FB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B24 C60</xm:sqref>
        </x14:conditionalFormatting>
        <x14:conditionalFormatting xmlns:xm="http://schemas.microsoft.com/office/excel/2006/main">
          <x14:cfRule type="dataBar" id="{72E03E7D-01D4-4951-8762-89A8C08188A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B26 C62</xm:sqref>
        </x14:conditionalFormatting>
        <x14:conditionalFormatting xmlns:xm="http://schemas.microsoft.com/office/excel/2006/main">
          <x14:cfRule type="dataBar" id="{B1C85E4C-FBFA-45F0-ACE3-516EDA59F69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B28 C64</xm:sqref>
        </x14:conditionalFormatting>
        <x14:conditionalFormatting xmlns:xm="http://schemas.microsoft.com/office/excel/2006/main">
          <x14:cfRule type="dataBar" id="{279E220B-66B1-44E5-916F-ECC2D615253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B14 C50</xm:sqref>
        </x14:conditionalFormatting>
        <x14:conditionalFormatting xmlns:xm="http://schemas.microsoft.com/office/excel/2006/main">
          <x14:cfRule type="dataBar" id="{4A640706-B194-4CB5-9ABA-8C10BAA723B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B2:B31 C38:C67</xm:sqref>
        </x14:conditionalFormatting>
        <x14:conditionalFormatting xmlns:xm="http://schemas.microsoft.com/office/excel/2006/main">
          <x14:cfRule type="dataBar" id="{AE6F986B-EF35-4EEF-A68B-458EACEC2E5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C53</xm:sqref>
        </x14:conditionalFormatting>
        <x14:conditionalFormatting xmlns:xm="http://schemas.microsoft.com/office/excel/2006/main">
          <x14:cfRule type="dataBar" id="{A9C66412-7CF8-4B60-B752-FA3FD8F45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C2:C31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AA15E1-A877-440E-9F38-FFF8EA60BDB3}">
  <sheetPr codeName="Sheet5">
    <tabColor theme="5"/>
  </sheetPr>
  <dimension ref="A1:AE61"/>
  <sheetViews>
    <sheetView zoomScale="85" zoomScaleNormal="85" workbookViewId="0">
      <selection activeCell="L24" sqref="L24"/>
    </sheetView>
  </sheetViews>
  <sheetFormatPr defaultColWidth="9.140625" defaultRowHeight="15" x14ac:dyDescent="0.25"/>
  <cols>
    <col min="1" max="5" width="18.5703125" style="176" customWidth="1"/>
    <col min="6" max="6" width="2.7109375" style="182" customWidth="1"/>
    <col min="7" max="8" width="9.140625" style="176"/>
    <col min="9" max="10" width="10.7109375" style="176" customWidth="1"/>
    <col min="11" max="11" width="9.140625" style="176"/>
    <col min="12" max="12" width="9.28515625" style="176" customWidth="1"/>
    <col min="13" max="23" width="9.140625" style="176"/>
    <col min="24" max="24" width="11.140625" style="176" bestFit="1" customWidth="1"/>
    <col min="25" max="25" width="9.85546875" style="176" bestFit="1" customWidth="1"/>
    <col min="26" max="26" width="9.28515625" style="176" bestFit="1" customWidth="1"/>
    <col min="27" max="30" width="9.140625" style="176"/>
    <col min="31" max="31" width="9.140625" style="176" customWidth="1"/>
    <col min="32" max="16384" width="9.140625" style="176"/>
  </cols>
  <sheetData>
    <row r="1" spans="1:28" ht="15" customHeight="1" thickBot="1" x14ac:dyDescent="0.3">
      <c r="A1" s="179" t="s">
        <v>143</v>
      </c>
      <c r="B1" s="180" t="s">
        <v>405</v>
      </c>
      <c r="C1" s="180" t="s">
        <v>406</v>
      </c>
      <c r="D1" s="180" t="s">
        <v>407</v>
      </c>
      <c r="E1" s="180" t="s">
        <v>161</v>
      </c>
      <c r="H1" s="242"/>
      <c r="I1" s="242" t="s">
        <v>472</v>
      </c>
      <c r="J1" s="242" t="s">
        <v>473</v>
      </c>
      <c r="K1" s="242" t="s">
        <v>115</v>
      </c>
      <c r="L1" s="242" t="str">
        <f>'supply(original)'!B1</f>
        <v>p_y_up</v>
      </c>
      <c r="M1" s="242" t="s">
        <v>527</v>
      </c>
      <c r="N1" s="242"/>
    </row>
    <row r="2" spans="1:28" x14ac:dyDescent="0.25">
      <c r="A2" s="168" t="s">
        <v>202</v>
      </c>
      <c r="B2" s="187">
        <v>0.55054951394051999</v>
      </c>
      <c r="C2" s="187">
        <v>0</v>
      </c>
      <c r="D2" s="186">
        <f>B2-C2</f>
        <v>0.55054951394051999</v>
      </c>
      <c r="E2" s="228">
        <f>M2</f>
        <v>144.51324391905104</v>
      </c>
      <c r="H2" s="183" t="s">
        <v>168</v>
      </c>
      <c r="I2" s="144">
        <f>Q33</f>
        <v>23.22</v>
      </c>
      <c r="J2" s="187">
        <f>T33</f>
        <v>1.0633021584262974</v>
      </c>
      <c r="K2" s="249">
        <f>((-75)/2)*2</f>
        <v>-75</v>
      </c>
      <c r="L2" s="178">
        <f>'supply(original)'!B2</f>
        <v>0.55054951394052043</v>
      </c>
      <c r="M2" s="226">
        <f>I2+J2*L2+K2*LN(1-0.8*L2/L2)</f>
        <v>144.51324391905104</v>
      </c>
      <c r="N2" s="242"/>
      <c r="O2" s="210" t="s">
        <v>1</v>
      </c>
      <c r="P2" s="198"/>
      <c r="Q2" s="198"/>
      <c r="R2" s="199"/>
      <c r="T2" s="210" t="s">
        <v>270</v>
      </c>
      <c r="U2" s="198"/>
      <c r="V2" s="198"/>
      <c r="W2" s="199"/>
      <c r="Y2" s="213" t="s">
        <v>173</v>
      </c>
      <c r="Z2" s="198"/>
      <c r="AA2" s="198"/>
      <c r="AB2" s="199"/>
    </row>
    <row r="3" spans="1:28" x14ac:dyDescent="0.25">
      <c r="A3" s="168" t="s">
        <v>437</v>
      </c>
      <c r="B3" s="226">
        <f>T8</f>
        <v>20.533333333333331</v>
      </c>
      <c r="C3" s="187">
        <f>B3*'supply(original)'!$C$3/'supply(original)'!$B$3</f>
        <v>15.911663568773234</v>
      </c>
      <c r="D3" s="186">
        <f t="shared" ref="D3:D28" si="0">B3-C3</f>
        <v>4.6216697645600977</v>
      </c>
      <c r="E3" s="212">
        <f>V8</f>
        <v>33.711725943042623</v>
      </c>
      <c r="H3" s="173" t="s">
        <v>270</v>
      </c>
      <c r="I3" s="144">
        <f t="shared" ref="I3:I24" si="1">Q34</f>
        <v>13.42</v>
      </c>
      <c r="J3" s="187">
        <f t="shared" ref="J3:J24" si="2">T34</f>
        <v>1.2368663594470044E-3</v>
      </c>
      <c r="K3" s="249">
        <f>-50</f>
        <v>-50</v>
      </c>
      <c r="L3" s="178">
        <f>'supply(original)'!B3</f>
        <v>44.8</v>
      </c>
      <c r="M3" s="226">
        <f t="shared" ref="M3:M24" si="3">I3+J3*L3+K3*LN(1-0.8*L3/L3)</f>
        <v>93.947307234608232</v>
      </c>
      <c r="N3" s="242"/>
      <c r="O3" s="200" t="s">
        <v>472</v>
      </c>
      <c r="P3" s="188" t="s">
        <v>473</v>
      </c>
      <c r="Q3" s="188" t="s">
        <v>115</v>
      </c>
      <c r="R3" s="201" t="s">
        <v>501</v>
      </c>
      <c r="T3" s="200" t="s">
        <v>472</v>
      </c>
      <c r="U3" s="188" t="s">
        <v>473</v>
      </c>
      <c r="V3" s="188" t="s">
        <v>115</v>
      </c>
      <c r="W3" s="201" t="s">
        <v>501</v>
      </c>
      <c r="Y3" s="200" t="s">
        <v>472</v>
      </c>
      <c r="Z3" s="188" t="s">
        <v>473</v>
      </c>
      <c r="AA3" s="188" t="s">
        <v>115</v>
      </c>
      <c r="AB3" s="201" t="s">
        <v>501</v>
      </c>
    </row>
    <row r="4" spans="1:28" x14ac:dyDescent="0.25">
      <c r="A4" s="168" t="s">
        <v>438</v>
      </c>
      <c r="B4" s="226">
        <f t="shared" ref="B4:B7" si="4">T9</f>
        <v>10.080000000000002</v>
      </c>
      <c r="C4" s="187">
        <f>B4*'supply(original)'!$C$3/'supply(original)'!$B$3</f>
        <v>7.8111802973977715</v>
      </c>
      <c r="D4" s="186">
        <f t="shared" si="0"/>
        <v>2.2688197026022303</v>
      </c>
      <c r="E4" s="212">
        <f t="shared" ref="E4:E7" si="5">V9</f>
        <v>57.225760308555223</v>
      </c>
      <c r="H4" s="189" t="s">
        <v>269</v>
      </c>
      <c r="I4" s="144">
        <f t="shared" si="1"/>
        <v>25.2</v>
      </c>
      <c r="J4" s="187">
        <f t="shared" si="2"/>
        <v>3.6510693322853403</v>
      </c>
      <c r="K4" s="249">
        <f t="shared" ref="K4:K8" si="6">((-75)/2)*2</f>
        <v>-75</v>
      </c>
      <c r="L4" s="178">
        <f>'supply(original)'!B4</f>
        <v>9.158921933085501E-2</v>
      </c>
      <c r="M4" s="226">
        <f t="shared" si="3"/>
        <v>146.24224202242436</v>
      </c>
      <c r="N4" s="242"/>
      <c r="O4" s="202">
        <f>I19</f>
        <v>10.8</v>
      </c>
      <c r="P4" s="203">
        <f>J19</f>
        <v>3.5335342212973957E-4</v>
      </c>
      <c r="Q4" s="203">
        <f>K19</f>
        <v>-50</v>
      </c>
      <c r="R4" s="204">
        <f>L19</f>
        <v>201.3351920693928</v>
      </c>
      <c r="T4" s="202">
        <f>I3</f>
        <v>13.42</v>
      </c>
      <c r="U4" s="203">
        <f t="shared" ref="U4:W4" si="7">J3</f>
        <v>1.2368663594470044E-3</v>
      </c>
      <c r="V4" s="203">
        <f t="shared" si="7"/>
        <v>-50</v>
      </c>
      <c r="W4" s="204">
        <f t="shared" si="7"/>
        <v>44.8</v>
      </c>
      <c r="Y4" s="202">
        <f>I22</f>
        <v>20</v>
      </c>
      <c r="Z4" s="203">
        <f t="shared" ref="Z4:AB4" si="8">J22</f>
        <v>9.5282815268397502E-3</v>
      </c>
      <c r="AA4" s="203">
        <f t="shared" si="8"/>
        <v>-50</v>
      </c>
      <c r="AB4" s="204">
        <f t="shared" si="8"/>
        <v>48.909073075036751</v>
      </c>
    </row>
    <row r="5" spans="1:28" x14ac:dyDescent="0.25">
      <c r="A5" s="168" t="s">
        <v>439</v>
      </c>
      <c r="B5" s="226">
        <f t="shared" si="4"/>
        <v>8.2133333333333347</v>
      </c>
      <c r="C5" s="187">
        <f>B5*'supply(original)'!$C$3/'supply(original)'!$B$3</f>
        <v>6.3646654275092951</v>
      </c>
      <c r="D5" s="186">
        <f t="shared" si="0"/>
        <v>1.8486679058240396</v>
      </c>
      <c r="E5" s="212">
        <f t="shared" si="5"/>
        <v>89.933166001469075</v>
      </c>
      <c r="H5" s="183" t="s">
        <v>172</v>
      </c>
      <c r="I5" s="144">
        <f t="shared" si="1"/>
        <v>11.700000000000001</v>
      </c>
      <c r="J5" s="187">
        <f t="shared" si="2"/>
        <v>0.47510679611650519</v>
      </c>
      <c r="K5" s="249">
        <f t="shared" si="6"/>
        <v>-75</v>
      </c>
      <c r="L5" s="178">
        <f>'supply(original)'!B5</f>
        <v>0.57381069151544839</v>
      </c>
      <c r="M5" s="226">
        <f t="shared" si="3"/>
        <v>132.68046479178085</v>
      </c>
      <c r="N5" s="242"/>
      <c r="O5" s="202"/>
      <c r="P5" s="203"/>
      <c r="Q5" s="203"/>
      <c r="R5" s="204"/>
      <c r="T5" s="202"/>
      <c r="U5" s="203"/>
      <c r="V5" s="203"/>
      <c r="W5" s="204"/>
      <c r="Y5" s="202"/>
      <c r="Z5" s="203"/>
      <c r="AA5" s="203"/>
      <c r="AB5" s="204"/>
    </row>
    <row r="6" spans="1:28" x14ac:dyDescent="0.25">
      <c r="A6" s="168" t="s">
        <v>440</v>
      </c>
      <c r="B6" s="226">
        <f t="shared" si="4"/>
        <v>4.3533333333333317</v>
      </c>
      <c r="C6" s="187">
        <f>B6*'supply(original)'!$C$3/'supply(original)'!$B$3</f>
        <v>3.3734793215613372</v>
      </c>
      <c r="D6" s="186">
        <f t="shared" si="0"/>
        <v>0.97985401177199449</v>
      </c>
      <c r="E6" s="212">
        <f t="shared" si="5"/>
        <v>163.25925470995767</v>
      </c>
      <c r="H6" s="183" t="s">
        <v>169</v>
      </c>
      <c r="I6" s="144">
        <f t="shared" si="1"/>
        <v>22.36</v>
      </c>
      <c r="J6" s="187">
        <f t="shared" si="2"/>
        <v>2.6050485436893203</v>
      </c>
      <c r="K6" s="249">
        <f t="shared" si="6"/>
        <v>-75</v>
      </c>
      <c r="L6" s="178">
        <f>'supply(original)'!B6</f>
        <v>0.22761617100371748</v>
      </c>
      <c r="M6" s="226">
        <f t="shared" si="3"/>
        <v>143.66079460735091</v>
      </c>
      <c r="N6" s="242"/>
      <c r="O6" s="202" t="s">
        <v>503</v>
      </c>
      <c r="P6" s="203" t="s">
        <v>502</v>
      </c>
      <c r="Q6" s="223" t="s">
        <v>467</v>
      </c>
      <c r="R6" s="204"/>
      <c r="T6" s="202" t="s">
        <v>503</v>
      </c>
      <c r="U6" s="203" t="s">
        <v>502</v>
      </c>
      <c r="V6" s="223" t="s">
        <v>467</v>
      </c>
      <c r="W6" s="204"/>
      <c r="Y6" s="202" t="s">
        <v>503</v>
      </c>
      <c r="Z6" s="203" t="s">
        <v>502</v>
      </c>
      <c r="AA6" s="223" t="s">
        <v>467</v>
      </c>
      <c r="AB6" s="204"/>
    </row>
    <row r="7" spans="1:28" x14ac:dyDescent="0.25">
      <c r="A7" s="168" t="s">
        <v>441</v>
      </c>
      <c r="B7" s="226">
        <f t="shared" si="4"/>
        <v>1.6199999999999974</v>
      </c>
      <c r="C7" s="187">
        <f>B7*'supply(original)'!$C$3/'supply(original)'!$B$3</f>
        <v>1.2553682620817825</v>
      </c>
      <c r="D7" s="186">
        <f t="shared" si="0"/>
        <v>0.3646317379182149</v>
      </c>
      <c r="E7" s="212">
        <f t="shared" si="5"/>
        <v>203.58458171759068</v>
      </c>
      <c r="H7" s="183" t="s">
        <v>165</v>
      </c>
      <c r="I7" s="144">
        <f t="shared" si="1"/>
        <v>21.84</v>
      </c>
      <c r="J7" s="187">
        <f t="shared" si="2"/>
        <v>7.3752638243984786E-2</v>
      </c>
      <c r="K7" s="249">
        <f t="shared" si="6"/>
        <v>-75</v>
      </c>
      <c r="L7" s="178">
        <f>'supply(original)'!B7</f>
        <v>1.5800836431226766</v>
      </c>
      <c r="M7" s="226">
        <f t="shared" si="3"/>
        <v>142.664378769884</v>
      </c>
      <c r="N7" s="242"/>
      <c r="O7" s="202"/>
      <c r="P7" s="203">
        <v>0</v>
      </c>
      <c r="Q7" s="203">
        <f>O4</f>
        <v>10.8</v>
      </c>
      <c r="R7" s="204"/>
      <c r="T7" s="202"/>
      <c r="U7" s="203">
        <v>0</v>
      </c>
      <c r="V7" s="203">
        <f>T4</f>
        <v>13.42</v>
      </c>
      <c r="W7" s="204"/>
      <c r="Y7" s="202"/>
      <c r="Z7" s="203">
        <v>0</v>
      </c>
      <c r="AA7" s="203">
        <f>Y4</f>
        <v>20</v>
      </c>
      <c r="AB7" s="204"/>
    </row>
    <row r="8" spans="1:28" x14ac:dyDescent="0.25">
      <c r="A8" s="168" t="s">
        <v>283</v>
      </c>
      <c r="B8" s="187">
        <v>9.158921933085501E-2</v>
      </c>
      <c r="C8" s="187">
        <v>0</v>
      </c>
      <c r="D8" s="186">
        <f t="shared" si="0"/>
        <v>9.158921933085501E-2</v>
      </c>
      <c r="E8" s="229">
        <f>M4</f>
        <v>146.24224202242436</v>
      </c>
      <c r="H8" s="183" t="s">
        <v>179</v>
      </c>
      <c r="I8" s="144">
        <f t="shared" si="1"/>
        <v>23.52</v>
      </c>
      <c r="J8" s="187">
        <f t="shared" si="2"/>
        <v>0.24436363636363637</v>
      </c>
      <c r="K8" s="249">
        <f t="shared" si="6"/>
        <v>-75</v>
      </c>
      <c r="L8" s="178">
        <f>'supply(original)'!B8</f>
        <v>2.799270279739777</v>
      </c>
      <c r="M8" s="226">
        <f t="shared" si="3"/>
        <v>144.91188329727942</v>
      </c>
      <c r="N8" s="242"/>
      <c r="O8" s="202">
        <f>(P8-P7)+(P9-P8)/2</f>
        <v>92.27862969847169</v>
      </c>
      <c r="P8" s="203">
        <f>$R$4/3</f>
        <v>67.111730689797596</v>
      </c>
      <c r="Q8" s="203">
        <f>$O$4+$P$4*P8+$Q$4*LN(1-P8/$R$4)</f>
        <v>31.096969565112502</v>
      </c>
      <c r="R8" s="204"/>
      <c r="T8" s="202">
        <f>(U8-U7)+(U9-U8)/2</f>
        <v>20.533333333333331</v>
      </c>
      <c r="U8" s="203">
        <f>$W$4/3</f>
        <v>14.933333333333332</v>
      </c>
      <c r="V8" s="203">
        <f>$T$4+$U$4*U8+$V$4*LN(1-U8/$W$4)</f>
        <v>33.711725943042623</v>
      </c>
      <c r="W8" s="204"/>
      <c r="Y8" s="202">
        <f>(Z8-Z7)+(Z9-Z8)/2</f>
        <v>22.416658492725176</v>
      </c>
      <c r="Z8" s="203">
        <f>$AB$4/3</f>
        <v>16.303024358345585</v>
      </c>
      <c r="AA8" s="203">
        <f>$Y$4+$Z$4*Z8+$AA$4*LN(1-Z8/$AB$4)</f>
        <v>40.428595211233464</v>
      </c>
      <c r="AB8" s="204"/>
    </row>
    <row r="9" spans="1:28" x14ac:dyDescent="0.25">
      <c r="A9" s="168" t="s">
        <v>205</v>
      </c>
      <c r="B9" s="236">
        <v>0.57381069151544839</v>
      </c>
      <c r="C9" s="236">
        <v>0</v>
      </c>
      <c r="D9" s="186">
        <f t="shared" si="0"/>
        <v>0.57381069151544839</v>
      </c>
      <c r="E9" s="229">
        <f>M5</f>
        <v>132.68046479178085</v>
      </c>
      <c r="H9" s="174" t="s">
        <v>162</v>
      </c>
      <c r="I9" s="144">
        <f t="shared" si="1"/>
        <v>15.375</v>
      </c>
      <c r="J9" s="187">
        <f t="shared" si="2"/>
        <v>3.4453781512605039E-3</v>
      </c>
      <c r="K9" s="249">
        <f>-50</f>
        <v>-50</v>
      </c>
      <c r="L9" s="178">
        <f>'supply(original)'!B9</f>
        <v>27.617680600229964</v>
      </c>
      <c r="M9" s="226">
        <f t="shared" si="3"/>
        <v>95.942048975033558</v>
      </c>
      <c r="N9" s="242"/>
      <c r="O9" s="202">
        <f>(P9-P8)/2+(P10-P9)/2</f>
        <v>45.300418215613384</v>
      </c>
      <c r="P9" s="203">
        <f>$R$4/3+$R$4/4</f>
        <v>117.4455287071458</v>
      </c>
      <c r="Q9" s="203">
        <f t="shared" ref="Q9:Q11" si="9">$O$4+$P$4*P9+$Q$4*LN(1-P9/$R$4)</f>
        <v>54.614936647177501</v>
      </c>
      <c r="R9" s="204"/>
      <c r="T9" s="202">
        <f>(U9-U8)/2+(U10-U9)/2</f>
        <v>10.080000000000002</v>
      </c>
      <c r="U9" s="203">
        <f>$W$4/3+$W$4/4</f>
        <v>26.133333333333333</v>
      </c>
      <c r="V9" s="203">
        <f t="shared" ref="V9:V10" si="10">$T$4+$U$4*U9+$V$4*LN(1-U9/$W$4)</f>
        <v>57.225760308555223</v>
      </c>
      <c r="W9" s="204"/>
      <c r="Y9" s="202">
        <f>(Z9-Z8)/2+(Z10-Z9)/2</f>
        <v>11.004541441883267</v>
      </c>
      <c r="Z9" s="203">
        <f>$AB$4/3+$AB$4/4</f>
        <v>28.530292627104771</v>
      </c>
      <c r="AA9" s="203">
        <f t="shared" ref="AA9:AA12" si="11">$Y$4+$Z$4*Z9+$AA$4*LN(1-Z9/$AB$4)</f>
        <v>64.045281527889188</v>
      </c>
      <c r="AB9" s="204"/>
    </row>
    <row r="10" spans="1:28" x14ac:dyDescent="0.25">
      <c r="A10" s="168" t="s">
        <v>203</v>
      </c>
      <c r="B10" s="187">
        <v>0.22761617100371748</v>
      </c>
      <c r="C10" s="187">
        <v>0</v>
      </c>
      <c r="D10" s="186">
        <f t="shared" si="0"/>
        <v>0.22761617100371748</v>
      </c>
      <c r="E10" s="229">
        <f>M6</f>
        <v>143.66079460735091</v>
      </c>
      <c r="H10" s="189" t="s">
        <v>275</v>
      </c>
      <c r="I10" s="144">
        <f t="shared" si="1"/>
        <v>24.08</v>
      </c>
      <c r="J10" s="187">
        <f t="shared" si="2"/>
        <v>0.43160567587752047</v>
      </c>
      <c r="K10" s="249">
        <f>((-75)/2)*2</f>
        <v>-75</v>
      </c>
      <c r="L10" s="178">
        <f>'supply(original)'!B10</f>
        <v>0.2392512244423792</v>
      </c>
      <c r="M10" s="226">
        <f t="shared" si="3"/>
        <v>144.89110561898752</v>
      </c>
      <c r="N10" s="242"/>
      <c r="O10" s="202">
        <f t="shared" ref="O10" si="12">(P10-P9)/2+(P11-P10)/2</f>
        <v>36.911451879388679</v>
      </c>
      <c r="P10" s="203">
        <f>$R$4/3+$R$4/4+$R$4/5</f>
        <v>157.71256712102436</v>
      </c>
      <c r="Q10" s="203">
        <f t="shared" si="9"/>
        <v>87.325488513333283</v>
      </c>
      <c r="R10" s="204"/>
      <c r="T10" s="202">
        <f t="shared" ref="T10" si="13">(U10-U9)/2+(U11-U10)/2</f>
        <v>8.2133333333333347</v>
      </c>
      <c r="U10" s="203">
        <f>$W$4/3+$W$4/4+$W$4/5</f>
        <v>35.093333333333334</v>
      </c>
      <c r="V10" s="203">
        <f t="shared" si="10"/>
        <v>89.933166001469075</v>
      </c>
      <c r="W10" s="204"/>
      <c r="Y10" s="202">
        <f t="shared" ref="Y10" si="14">(Z10-Z9)/2+(Z11-Z10)/2</f>
        <v>8.9666633970900698</v>
      </c>
      <c r="Z10" s="203">
        <f>$AB$4/3+$AB$4/4+$AB$4/5</f>
        <v>38.31210724211212</v>
      </c>
      <c r="AA10" s="203">
        <f t="shared" si="11"/>
        <v>96.834808781717527</v>
      </c>
      <c r="AB10" s="204"/>
    </row>
    <row r="11" spans="1:28" x14ac:dyDescent="0.25">
      <c r="A11" s="168" t="s">
        <v>200</v>
      </c>
      <c r="B11" s="187">
        <v>1.5800836431226766</v>
      </c>
      <c r="C11" s="187">
        <v>1.1343494423791822</v>
      </c>
      <c r="D11" s="186">
        <f t="shared" si="0"/>
        <v>0.44573420074349435</v>
      </c>
      <c r="E11" s="229">
        <f>M7</f>
        <v>142.664378769884</v>
      </c>
      <c r="H11" s="183" t="s">
        <v>177</v>
      </c>
      <c r="I11" s="144">
        <f t="shared" si="1"/>
        <v>23.22</v>
      </c>
      <c r="J11" s="187">
        <f t="shared" si="2"/>
        <v>0.90174757281553397</v>
      </c>
      <c r="K11" s="249">
        <f>((-75)/2)*2</f>
        <v>-75</v>
      </c>
      <c r="L11" s="178">
        <f>'supply(original)'!B11</f>
        <v>2.37114312267658</v>
      </c>
      <c r="M11" s="226">
        <f t="shared" si="3"/>
        <v>146.0660159882294</v>
      </c>
      <c r="N11" s="242"/>
      <c r="O11" s="202">
        <f>(P11-P10)/2+(P12-P11)/2</f>
        <v>21.31131247418422</v>
      </c>
      <c r="P11" s="203">
        <f>$R$4/3+$R$4/4+$R$4/5+$R$4/6</f>
        <v>191.26843246592315</v>
      </c>
      <c r="Q11" s="203">
        <f t="shared" si="9"/>
        <v>160.65419903285672</v>
      </c>
      <c r="R11" s="204"/>
      <c r="T11" s="202">
        <f>(U11-U10)/2+(U12-U11)/2</f>
        <v>4.3533333333333317</v>
      </c>
      <c r="U11" s="203">
        <f>$W$4/3+$W$4/4+$W$4/5+$W$4/6</f>
        <v>42.56</v>
      </c>
      <c r="V11" s="203">
        <f>$T$4+$U$4*U11+$V$4*LN(1-U11/$W$4)</f>
        <v>163.25925470995767</v>
      </c>
      <c r="W11" s="204"/>
      <c r="Y11" s="202">
        <f>(Z11-Z10)/2+(Z12-Z11)/2</f>
        <v>4.7984829164623157</v>
      </c>
      <c r="Z11" s="203">
        <f>$AB$4/3+$AB$4/4+$AB$4/5+$AB$4/6</f>
        <v>46.463619421284911</v>
      </c>
      <c r="AA11" s="203">
        <f t="shared" si="11"/>
        <v>170.22933212430144</v>
      </c>
      <c r="AB11" s="204"/>
    </row>
    <row r="12" spans="1:28" ht="15.75" thickBot="1" x14ac:dyDescent="0.3">
      <c r="A12" s="168" t="s">
        <v>209</v>
      </c>
      <c r="B12" s="187">
        <v>2.799270279739777</v>
      </c>
      <c r="C12" s="187">
        <v>0</v>
      </c>
      <c r="D12" s="186">
        <f t="shared" si="0"/>
        <v>2.799270279739777</v>
      </c>
      <c r="E12" s="229">
        <f>M8</f>
        <v>144.91188329727942</v>
      </c>
      <c r="H12" s="189" t="s">
        <v>276</v>
      </c>
      <c r="I12" s="144">
        <f t="shared" si="1"/>
        <v>24.94</v>
      </c>
      <c r="J12" s="187">
        <f t="shared" si="2"/>
        <v>1.937087378640777</v>
      </c>
      <c r="K12" s="249">
        <f>-75</f>
        <v>-75</v>
      </c>
      <c r="L12" s="178">
        <f>'supply(original)'!B12</f>
        <v>0.61047545817843873</v>
      </c>
      <c r="M12" s="226">
        <f t="shared" si="3"/>
        <v>146.83038773756493</v>
      </c>
      <c r="N12" s="242"/>
      <c r="O12" s="205">
        <f>(P12-P11)/2+(R4-P12)</f>
        <v>5.5333798017348244</v>
      </c>
      <c r="P12" s="206">
        <f>R4-1</f>
        <v>200.3351920693928</v>
      </c>
      <c r="Q12" s="206">
        <f>$O$4+$P$4*P12+$Q$4*LN(1-P12/$R$4)</f>
        <v>276.11934619353258</v>
      </c>
      <c r="R12" s="207"/>
      <c r="T12" s="205">
        <f>(U12-U11)/2+(W4-U12)</f>
        <v>1.6199999999999974</v>
      </c>
      <c r="U12" s="206">
        <f>W4-1</f>
        <v>43.8</v>
      </c>
      <c r="V12" s="206">
        <f>$T$4+$U$4*U12+$V$4*LN(1-U12/$W$4)</f>
        <v>203.58458171759068</v>
      </c>
      <c r="W12" s="207"/>
      <c r="Y12" s="205">
        <f>(Z12-Z11)/2+(AB4-Z12)</f>
        <v>1.7227268268759204</v>
      </c>
      <c r="Z12" s="206">
        <f>AB4-1</f>
        <v>47.909073075036751</v>
      </c>
      <c r="AA12" s="206">
        <f t="shared" si="11"/>
        <v>214.95463727227653</v>
      </c>
      <c r="AB12" s="207"/>
    </row>
    <row r="13" spans="1:28" ht="15.75" thickBot="1" x14ac:dyDescent="0.3">
      <c r="A13" s="237" t="s">
        <v>442</v>
      </c>
      <c r="B13" s="187">
        <f>T20</f>
        <v>12.658103608438733</v>
      </c>
      <c r="C13" s="187">
        <f>B13*'supply(original)'!$C$9/'supply(original)'!$B$9</f>
        <v>6.7913075659395883</v>
      </c>
      <c r="D13" s="186">
        <f t="shared" si="0"/>
        <v>5.8667960424991445</v>
      </c>
      <c r="E13" s="212">
        <f>V20</f>
        <v>35.679973189851054</v>
      </c>
      <c r="H13" s="183" t="s">
        <v>167</v>
      </c>
      <c r="I13" s="144">
        <f t="shared" si="1"/>
        <v>22.36</v>
      </c>
      <c r="J13" s="187">
        <f t="shared" si="2"/>
        <v>0.14885991678224686</v>
      </c>
      <c r="K13" s="249">
        <f>((-75)/2)*2</f>
        <v>-75</v>
      </c>
      <c r="L13" s="178">
        <f>'supply(original)'!B13</f>
        <v>2.6428167272304837</v>
      </c>
      <c r="M13" s="226">
        <f t="shared" si="3"/>
        <v>143.46125291064379</v>
      </c>
      <c r="N13" s="242"/>
    </row>
    <row r="14" spans="1:28" x14ac:dyDescent="0.25">
      <c r="A14" s="237" t="s">
        <v>443</v>
      </c>
      <c r="B14" s="187">
        <f t="shared" ref="B14:B17" si="15">T21</f>
        <v>6.2139781350517413</v>
      </c>
      <c r="C14" s="187">
        <f>B14*'supply(original)'!$C$9/'supply(original)'!$B$9</f>
        <v>3.3339146232794343</v>
      </c>
      <c r="D14" s="186">
        <f t="shared" si="0"/>
        <v>2.880063511772307</v>
      </c>
      <c r="E14" s="212">
        <f t="shared" ref="E14:E17" si="16">V21</f>
        <v>59.203942990469962</v>
      </c>
      <c r="H14" s="185" t="s">
        <v>163</v>
      </c>
      <c r="I14" s="144">
        <f t="shared" si="1"/>
        <v>16.195</v>
      </c>
      <c r="J14" s="187">
        <f t="shared" si="2"/>
        <v>1.6157635467980293E-2</v>
      </c>
      <c r="K14" s="249">
        <f>-50</f>
        <v>-50</v>
      </c>
      <c r="L14" s="178">
        <f>'supply(original)'!B14</f>
        <v>5.4607986038670377</v>
      </c>
      <c r="M14" s="226">
        <f t="shared" si="3"/>
        <v>96.75512921491034</v>
      </c>
      <c r="N14" s="242"/>
      <c r="O14" s="210" t="s">
        <v>39</v>
      </c>
      <c r="P14" s="198"/>
      <c r="Q14" s="198"/>
      <c r="R14" s="199"/>
      <c r="T14" s="210" t="s">
        <v>162</v>
      </c>
      <c r="U14" s="198"/>
      <c r="V14" s="198"/>
      <c r="W14" s="199"/>
      <c r="Y14" s="213" t="s">
        <v>38</v>
      </c>
      <c r="Z14" s="198"/>
      <c r="AA14" s="198"/>
      <c r="AB14" s="199"/>
    </row>
    <row r="15" spans="1:28" x14ac:dyDescent="0.25">
      <c r="A15" s="237" t="s">
        <v>444</v>
      </c>
      <c r="B15" s="187">
        <f t="shared" si="15"/>
        <v>5.0632414433754942</v>
      </c>
      <c r="C15" s="187">
        <f>B15*'supply(original)'!$C$9/'supply(original)'!$B$9</f>
        <v>2.7165230263758358</v>
      </c>
      <c r="D15" s="186">
        <f t="shared" si="0"/>
        <v>2.3467184169996584</v>
      </c>
      <c r="E15" s="212">
        <f t="shared" si="16"/>
        <v>91.919297031468872</v>
      </c>
      <c r="H15" s="183" t="s">
        <v>164</v>
      </c>
      <c r="I15" s="144">
        <f t="shared" si="1"/>
        <v>23.14</v>
      </c>
      <c r="J15" s="187">
        <f t="shared" si="2"/>
        <v>6.2823529411764695E-2</v>
      </c>
      <c r="K15" s="249">
        <f>((-75)/2)*2</f>
        <v>-75</v>
      </c>
      <c r="L15" s="178">
        <f>'supply(original)'!B15</f>
        <v>3.7225577936802976</v>
      </c>
      <c r="M15" s="226">
        <f t="shared" si="3"/>
        <v>144.08170765159582</v>
      </c>
      <c r="N15" s="242"/>
      <c r="O15" s="200" t="s">
        <v>472</v>
      </c>
      <c r="P15" s="188" t="s">
        <v>473</v>
      </c>
      <c r="Q15" s="188" t="s">
        <v>115</v>
      </c>
      <c r="R15" s="201" t="s">
        <v>501</v>
      </c>
      <c r="T15" s="200" t="s">
        <v>472</v>
      </c>
      <c r="U15" s="188" t="s">
        <v>473</v>
      </c>
      <c r="V15" s="188" t="s">
        <v>115</v>
      </c>
      <c r="W15" s="201" t="s">
        <v>501</v>
      </c>
      <c r="Y15" s="200" t="s">
        <v>472</v>
      </c>
      <c r="Z15" s="188" t="s">
        <v>473</v>
      </c>
      <c r="AA15" s="188" t="s">
        <v>115</v>
      </c>
      <c r="AB15" s="201" t="s">
        <v>501</v>
      </c>
    </row>
    <row r="16" spans="1:28" x14ac:dyDescent="0.25">
      <c r="A16" s="237" t="s">
        <v>445</v>
      </c>
      <c r="B16" s="187">
        <f t="shared" si="15"/>
        <v>2.4919153983582465</v>
      </c>
      <c r="C16" s="187">
        <f>B16*'supply(original)'!$C$9/'supply(original)'!$B$9</f>
        <v>1.336958870147775</v>
      </c>
      <c r="D16" s="186">
        <f t="shared" si="0"/>
        <v>1.1549565282104715</v>
      </c>
      <c r="E16" s="212">
        <f t="shared" si="16"/>
        <v>165.25200936336171</v>
      </c>
      <c r="H16" s="174" t="s">
        <v>39</v>
      </c>
      <c r="I16" s="144">
        <f t="shared" si="1"/>
        <v>19.8</v>
      </c>
      <c r="J16" s="187">
        <f t="shared" si="2"/>
        <v>4.5239908606245242E-3</v>
      </c>
      <c r="K16" s="249">
        <f>-50</f>
        <v>-50</v>
      </c>
      <c r="L16" s="178">
        <f>'supply(original)'!B16</f>
        <v>91.904171829822374</v>
      </c>
      <c r="M16" s="226">
        <f t="shared" si="3"/>
        <v>100.68766925511642</v>
      </c>
      <c r="N16" s="242"/>
      <c r="O16" s="202">
        <f>I16</f>
        <v>19.8</v>
      </c>
      <c r="P16" s="203">
        <f>J16</f>
        <v>4.5239908606245242E-3</v>
      </c>
      <c r="Q16" s="203">
        <f>K16</f>
        <v>-50</v>
      </c>
      <c r="R16" s="204">
        <f>L16</f>
        <v>91.904171829822374</v>
      </c>
      <c r="T16" s="202">
        <f>I9</f>
        <v>15.375</v>
      </c>
      <c r="U16" s="203">
        <f t="shared" ref="U16:W16" si="17">J9</f>
        <v>3.4453781512605039E-3</v>
      </c>
      <c r="V16" s="203">
        <f t="shared" si="17"/>
        <v>-50</v>
      </c>
      <c r="W16" s="204">
        <f t="shared" si="17"/>
        <v>27.617680600229964</v>
      </c>
      <c r="Y16" s="202">
        <f>I24</f>
        <v>19.8</v>
      </c>
      <c r="Z16" s="203">
        <f t="shared" ref="Z16:AB16" si="18">J24</f>
        <v>4.5239908606245242E-3</v>
      </c>
      <c r="AA16" s="203">
        <f t="shared" si="18"/>
        <v>-50</v>
      </c>
      <c r="AB16" s="204">
        <f t="shared" si="18"/>
        <v>156.94423791821555</v>
      </c>
    </row>
    <row r="17" spans="1:31" x14ac:dyDescent="0.25">
      <c r="A17" s="237" t="s">
        <v>446</v>
      </c>
      <c r="B17" s="187">
        <f t="shared" si="15"/>
        <v>1.1904420150057486</v>
      </c>
      <c r="C17" s="187">
        <f>B17*'supply(original)'!$C$9/'supply(original)'!$B$9</f>
        <v>0.63869423994374153</v>
      </c>
      <c r="D17" s="186">
        <f t="shared" si="0"/>
        <v>0.55174777506200712</v>
      </c>
      <c r="E17" s="212">
        <f t="shared" si="16"/>
        <v>181.38951642933642</v>
      </c>
      <c r="H17" s="183" t="s">
        <v>171</v>
      </c>
      <c r="I17" s="144">
        <f t="shared" si="1"/>
        <v>21.060000000000002</v>
      </c>
      <c r="J17" s="187">
        <f t="shared" si="2"/>
        <v>5.5763459841129744E-2</v>
      </c>
      <c r="K17" s="249">
        <f>((-75)/2)*2</f>
        <v>-75</v>
      </c>
      <c r="L17" s="178">
        <f>'supply(original)'!B17</f>
        <v>3.9483633815055765</v>
      </c>
      <c r="M17" s="226">
        <f t="shared" si="3"/>
        <v>141.98801783542032</v>
      </c>
      <c r="N17" s="242"/>
      <c r="O17" s="202"/>
      <c r="P17" s="203"/>
      <c r="Q17" s="203"/>
      <c r="R17" s="204"/>
      <c r="T17" s="202"/>
      <c r="U17" s="203"/>
      <c r="V17" s="203"/>
      <c r="W17" s="204"/>
      <c r="Y17" s="202"/>
      <c r="Z17" s="203"/>
      <c r="AA17" s="203"/>
      <c r="AB17" s="204"/>
    </row>
    <row r="18" spans="1:31" x14ac:dyDescent="0.25">
      <c r="A18" s="168" t="s">
        <v>284</v>
      </c>
      <c r="B18" s="187">
        <v>0.2392512244423792</v>
      </c>
      <c r="C18" s="187">
        <v>0</v>
      </c>
      <c r="D18" s="186">
        <f t="shared" si="0"/>
        <v>0.2392512244423792</v>
      </c>
      <c r="E18" s="229">
        <f t="shared" ref="E18:E23" si="19">M10</f>
        <v>144.89110561898752</v>
      </c>
      <c r="H18" s="183" t="s">
        <v>178</v>
      </c>
      <c r="I18" s="144">
        <f t="shared" si="1"/>
        <v>21.060000000000002</v>
      </c>
      <c r="J18" s="187">
        <f t="shared" si="2"/>
        <v>4.2225563909774437E-2</v>
      </c>
      <c r="K18" s="249">
        <f>((-75)/2)*2</f>
        <v>-75</v>
      </c>
      <c r="L18" s="178">
        <f>'supply(original)'!B18</f>
        <v>9.540355413568772</v>
      </c>
      <c r="M18" s="226">
        <f t="shared" si="3"/>
        <v>142.17069031979514</v>
      </c>
      <c r="N18" s="242"/>
      <c r="O18" s="202" t="s">
        <v>503</v>
      </c>
      <c r="P18" s="203" t="s">
        <v>502</v>
      </c>
      <c r="Q18" s="223" t="s">
        <v>467</v>
      </c>
      <c r="R18" s="204"/>
      <c r="T18" s="202" t="s">
        <v>503</v>
      </c>
      <c r="U18" s="203" t="s">
        <v>502</v>
      </c>
      <c r="V18" s="223" t="s">
        <v>467</v>
      </c>
      <c r="W18" s="204"/>
      <c r="Y18" s="202" t="s">
        <v>503</v>
      </c>
      <c r="Z18" s="203" t="s">
        <v>502</v>
      </c>
      <c r="AA18" s="223" t="s">
        <v>467</v>
      </c>
      <c r="AB18" s="204"/>
    </row>
    <row r="19" spans="1:31" x14ac:dyDescent="0.25">
      <c r="A19" s="168" t="s">
        <v>207</v>
      </c>
      <c r="B19" s="187">
        <v>2.37114312267658</v>
      </c>
      <c r="C19" s="187">
        <v>0</v>
      </c>
      <c r="D19" s="186">
        <f t="shared" si="0"/>
        <v>2.37114312267658</v>
      </c>
      <c r="E19" s="229">
        <f t="shared" si="19"/>
        <v>146.0660159882294</v>
      </c>
      <c r="H19" s="174" t="s">
        <v>1</v>
      </c>
      <c r="I19" s="144">
        <f t="shared" si="1"/>
        <v>10.8</v>
      </c>
      <c r="J19" s="187">
        <f t="shared" si="2"/>
        <v>3.5335342212973957E-4</v>
      </c>
      <c r="K19" s="249">
        <f>-50</f>
        <v>-50</v>
      </c>
      <c r="L19" s="178">
        <f>'supply(original)'!B19</f>
        <v>201.3351920693928</v>
      </c>
      <c r="M19" s="226">
        <f t="shared" si="3"/>
        <v>91.343038100817921</v>
      </c>
      <c r="N19" s="242"/>
      <c r="O19" s="202"/>
      <c r="P19" s="203">
        <v>0</v>
      </c>
      <c r="Q19" s="203">
        <f>O16</f>
        <v>19.8</v>
      </c>
      <c r="R19" s="204"/>
      <c r="T19" s="202"/>
      <c r="U19" s="203">
        <v>0</v>
      </c>
      <c r="V19" s="203">
        <f>T16</f>
        <v>15.375</v>
      </c>
      <c r="W19" s="204"/>
      <c r="Y19" s="202"/>
      <c r="Z19" s="203">
        <v>0</v>
      </c>
      <c r="AA19" s="203">
        <f>Y16</f>
        <v>19.8</v>
      </c>
      <c r="AB19" s="204"/>
    </row>
    <row r="20" spans="1:31" x14ac:dyDescent="0.25">
      <c r="A20" s="168" t="s">
        <v>285</v>
      </c>
      <c r="B20" s="187">
        <v>0.61047545817843873</v>
      </c>
      <c r="C20" s="187">
        <v>0</v>
      </c>
      <c r="D20" s="186">
        <f t="shared" si="0"/>
        <v>0.61047545817843873</v>
      </c>
      <c r="E20" s="229">
        <f t="shared" si="19"/>
        <v>146.83038773756493</v>
      </c>
      <c r="H20" s="189" t="s">
        <v>280</v>
      </c>
      <c r="I20" s="144">
        <f t="shared" si="1"/>
        <v>18</v>
      </c>
      <c r="J20" s="187">
        <f t="shared" si="2"/>
        <v>0.29526040360782668</v>
      </c>
      <c r="K20" s="249">
        <f>((-75)/2)*2</f>
        <v>-75</v>
      </c>
      <c r="L20" s="178">
        <f>'supply(original)'!B20</f>
        <v>0.26022301858736058</v>
      </c>
      <c r="M20" s="226">
        <f t="shared" si="3"/>
        <v>138.78467698605368</v>
      </c>
      <c r="N20" s="242"/>
      <c r="O20" s="202">
        <f>(P20-P19)+(P21-P20)/2</f>
        <v>42.12274542200192</v>
      </c>
      <c r="P20" s="203">
        <f>$R$16/3</f>
        <v>30.634723943274125</v>
      </c>
      <c r="Q20" s="203">
        <f>$O$16+$P$16*P20+$Q$16*LN(1-P20/$R$16)</f>
        <v>40.211846616545344</v>
      </c>
      <c r="R20" s="204"/>
      <c r="T20" s="202">
        <f>(U20-U19)+(U21-U20)/2</f>
        <v>12.658103608438733</v>
      </c>
      <c r="U20" s="203">
        <f>$W$16/3</f>
        <v>9.2058935334099878</v>
      </c>
      <c r="V20" s="203">
        <f>$T$16+$U$16*U20+$V$16*LN(1-U20/$W$16)</f>
        <v>35.679973189851054</v>
      </c>
      <c r="W20" s="204"/>
      <c r="Y20" s="202">
        <f>(Z20-Z19)+(Z21-Z20)/2</f>
        <v>71.932775712515451</v>
      </c>
      <c r="Z20" s="203">
        <f>$AB$16/3</f>
        <v>52.314745972738514</v>
      </c>
      <c r="AA20" s="203">
        <f>$Y$16+$Z$16*Z20+$AA$16*LN(1-Z20/$AB$16)</f>
        <v>40.309926838064783</v>
      </c>
      <c r="AB20" s="204"/>
    </row>
    <row r="21" spans="1:31" x14ac:dyDescent="0.25">
      <c r="A21" s="168" t="s">
        <v>201</v>
      </c>
      <c r="B21" s="187">
        <v>2.6428167272304837</v>
      </c>
      <c r="C21" s="187">
        <v>0</v>
      </c>
      <c r="D21" s="186">
        <f t="shared" si="0"/>
        <v>2.6428167272304837</v>
      </c>
      <c r="E21" s="229">
        <f t="shared" si="19"/>
        <v>143.46125291064379</v>
      </c>
      <c r="H21" s="189" t="s">
        <v>2</v>
      </c>
      <c r="I21" s="144">
        <f t="shared" si="1"/>
        <v>21.6</v>
      </c>
      <c r="J21" s="187">
        <f t="shared" si="2"/>
        <v>0.50216807575438016</v>
      </c>
      <c r="K21" s="249">
        <f>((-75)/2)*2</f>
        <v>-75</v>
      </c>
      <c r="L21" s="178">
        <f>'supply(original)'!B21</f>
        <v>6.6552044609665426</v>
      </c>
      <c r="M21" s="226">
        <f t="shared" si="3"/>
        <v>145.64987465047307</v>
      </c>
      <c r="N21" s="242"/>
      <c r="O21" s="202">
        <f>(P21-P20)/2+(P22-P21)/2</f>
        <v>20.678438661710032</v>
      </c>
      <c r="P21" s="203">
        <f>$R$16/3+$R$16/4</f>
        <v>53.610766900729715</v>
      </c>
      <c r="Q21" s="203">
        <f t="shared" ref="Q21:Q24" si="20">$O$16+$P$16*P21+$Q$16*LN(1-P21/$R$16)</f>
        <v>63.815971487184967</v>
      </c>
      <c r="R21" s="204"/>
      <c r="T21" s="202">
        <f>(U21-U20)/2+(U22-U21)/2</f>
        <v>6.2139781350517413</v>
      </c>
      <c r="U21" s="203">
        <f>$W$16/3+$W$16/4</f>
        <v>16.110313683467478</v>
      </c>
      <c r="V21" s="203">
        <f t="shared" ref="V21:V24" si="21">$T$16+$U$16*U21+$V$16*LN(1-U21/$W$16)</f>
        <v>59.203942990469962</v>
      </c>
      <c r="W21" s="204"/>
      <c r="Y21" s="202">
        <f>(Z21-Z20)/2+(Z22-Z21)/2</f>
        <v>35.312453531598493</v>
      </c>
      <c r="Z21" s="203">
        <f>$AB$16/3+$AB$16/4</f>
        <v>91.550805452292394</v>
      </c>
      <c r="AA21" s="203">
        <f t="shared" ref="AA21:AA24" si="22">$Y$16+$Z$16*Z21+$AA$16*LN(1-Z21/$AB$16)</f>
        <v>63.987611874843978</v>
      </c>
      <c r="AB21" s="204"/>
    </row>
    <row r="22" spans="1:31" x14ac:dyDescent="0.25">
      <c r="A22" s="237" t="s">
        <v>198</v>
      </c>
      <c r="B22" s="187">
        <v>5.4607986038670377</v>
      </c>
      <c r="C22" s="187">
        <v>2.9298198230729118</v>
      </c>
      <c r="D22" s="186">
        <f t="shared" si="0"/>
        <v>2.530978780794126</v>
      </c>
      <c r="E22" s="229">
        <f t="shared" si="19"/>
        <v>96.75512921491034</v>
      </c>
      <c r="H22" s="173" t="s">
        <v>173</v>
      </c>
      <c r="I22" s="144">
        <f t="shared" si="1"/>
        <v>20</v>
      </c>
      <c r="J22" s="187">
        <f t="shared" si="2"/>
        <v>9.5282815268397502E-3</v>
      </c>
      <c r="K22" s="249">
        <f>-50</f>
        <v>-50</v>
      </c>
      <c r="L22" s="178">
        <f>'supply(original)'!B22</f>
        <v>48.909073075036751</v>
      </c>
      <c r="M22" s="226">
        <f t="shared" si="3"/>
        <v>100.93791503918075</v>
      </c>
      <c r="N22" s="242"/>
      <c r="O22" s="202">
        <f t="shared" ref="O22" si="23">(P22-P21)/2+(P23-P22)/2</f>
        <v>16.849098168800765</v>
      </c>
      <c r="P22" s="203">
        <f>$R$16/3+$R$16/4+$R$16/5</f>
        <v>71.99160126669419</v>
      </c>
      <c r="Q22" s="203">
        <f t="shared" si="20"/>
        <v>96.595449584200452</v>
      </c>
      <c r="R22" s="204"/>
      <c r="T22" s="202">
        <f t="shared" ref="T22" si="24">(U22-U21)/2+(U23-U22)/2</f>
        <v>5.0632414433754942</v>
      </c>
      <c r="U22" s="203">
        <f>$W$16/3+$W$16/4+$W$16/5</f>
        <v>21.633849803513471</v>
      </c>
      <c r="V22" s="203">
        <f t="shared" si="21"/>
        <v>91.919297031468872</v>
      </c>
      <c r="W22" s="204"/>
      <c r="Y22" s="202">
        <f t="shared" ref="Y22" si="25">(Z22-Z21)/2+(Z23-Z22)/2</f>
        <v>28.773110285006183</v>
      </c>
      <c r="Z22" s="203">
        <f>$AB$16/3+$AB$16/4+$AB$16/5</f>
        <v>122.93965303593551</v>
      </c>
      <c r="AA22" s="203">
        <f t="shared" si="22"/>
        <v>96.825938104771126</v>
      </c>
      <c r="AB22" s="204"/>
    </row>
    <row r="23" spans="1:31" x14ac:dyDescent="0.25">
      <c r="A23" s="168" t="s">
        <v>199</v>
      </c>
      <c r="B23" s="187">
        <v>3.7225577936802976</v>
      </c>
      <c r="C23" s="187">
        <v>0</v>
      </c>
      <c r="D23" s="186">
        <f t="shared" si="0"/>
        <v>3.7225577936802976</v>
      </c>
      <c r="E23" s="229">
        <f t="shared" si="19"/>
        <v>144.08170765159582</v>
      </c>
      <c r="H23" s="183" t="s">
        <v>176</v>
      </c>
      <c r="I23" s="144">
        <f t="shared" si="1"/>
        <v>21.58</v>
      </c>
      <c r="J23" s="187">
        <f t="shared" si="2"/>
        <v>2.8129068737245352E-2</v>
      </c>
      <c r="K23" s="249">
        <f>-50</f>
        <v>-50</v>
      </c>
      <c r="L23" s="178">
        <f>'supply(original)'!B23</f>
        <v>17.089225371747212</v>
      </c>
      <c r="M23" s="226">
        <f t="shared" si="3"/>
        <v>102.53259961685319</v>
      </c>
      <c r="N23" s="242"/>
      <c r="O23" s="202">
        <f>(P23-P22)/2+(P24-P23)/2</f>
        <v>9.4562852815640923</v>
      </c>
      <c r="P23" s="203">
        <f>$R$16/3+$R$16/4+$R$16/5+$R$16/6</f>
        <v>87.308963238331245</v>
      </c>
      <c r="Q23" s="203">
        <f t="shared" si="20"/>
        <v>169.98159862944021</v>
      </c>
      <c r="R23" s="204"/>
      <c r="T23" s="202">
        <f>(U23-U22)/2+(U24-U23)/2</f>
        <v>2.4919153983582465</v>
      </c>
      <c r="U23" s="203">
        <f>$W$16/3+$W$16/4+$W$16/5+$W$16/6</f>
        <v>26.236796570218466</v>
      </c>
      <c r="V23" s="203">
        <f t="shared" si="21"/>
        <v>165.25200936336171</v>
      </c>
      <c r="W23" s="204"/>
      <c r="Y23" s="202">
        <f>(Z23-Z22)/2+(Z24-Z23)/2</f>
        <v>16.502292441140021</v>
      </c>
      <c r="Z23" s="203">
        <f>$AB$16/3+$AB$16/4+$AB$16/5+$AB$16/6</f>
        <v>149.09702602230476</v>
      </c>
      <c r="AA23" s="203">
        <f t="shared" si="22"/>
        <v>170.26112726077071</v>
      </c>
      <c r="AB23" s="204"/>
    </row>
    <row r="24" spans="1:31" ht="15.75" thickBot="1" x14ac:dyDescent="0.3">
      <c r="A24" s="237" t="s">
        <v>447</v>
      </c>
      <c r="B24" s="187">
        <f>O20</f>
        <v>42.12274542200192</v>
      </c>
      <c r="C24" s="187">
        <f>B24*'supply(original)'!$C$16/'supply(original)'!$B$16</f>
        <v>19.87814952498967</v>
      </c>
      <c r="D24" s="186">
        <f t="shared" si="0"/>
        <v>22.24459589701225</v>
      </c>
      <c r="E24" s="211">
        <f>Q20</f>
        <v>40.211846616545344</v>
      </c>
      <c r="H24" s="189" t="s">
        <v>38</v>
      </c>
      <c r="I24" s="144">
        <f t="shared" si="1"/>
        <v>19.8</v>
      </c>
      <c r="J24" s="187">
        <f t="shared" si="2"/>
        <v>4.5239908606245242E-3</v>
      </c>
      <c r="K24" s="249">
        <f>-50</f>
        <v>-50</v>
      </c>
      <c r="L24" s="178">
        <f>'supply(original)'!B24</f>
        <v>156.94423791821555</v>
      </c>
      <c r="M24" s="226">
        <f t="shared" si="3"/>
        <v>100.98190991967472</v>
      </c>
      <c r="N24" s="242"/>
      <c r="O24" s="205">
        <f>(P24-P23)/2+(R16-P24)</f>
        <v>2.7976042957455647</v>
      </c>
      <c r="P24" s="206">
        <f>R16-1</f>
        <v>90.904171829822374</v>
      </c>
      <c r="Q24" s="206">
        <f t="shared" si="20"/>
        <v>246.24857082506927</v>
      </c>
      <c r="R24" s="207"/>
      <c r="T24" s="205">
        <f>(U24-U23)/2+(W16-U24)</f>
        <v>1.1904420150057486</v>
      </c>
      <c r="U24" s="206">
        <f>W16-1</f>
        <v>26.617680600229964</v>
      </c>
      <c r="V24" s="206">
        <f t="shared" si="21"/>
        <v>181.38951642933642</v>
      </c>
      <c r="W24" s="207"/>
      <c r="Y24" s="205">
        <f>(Z24-Z23)/2+(AB16-Z24)</f>
        <v>4.4236059479553944</v>
      </c>
      <c r="Z24" s="206">
        <f>AB16-1</f>
        <v>155.94423791821555</v>
      </c>
      <c r="AA24" s="206">
        <f t="shared" si="22"/>
        <v>273.30001879531773</v>
      </c>
      <c r="AB24" s="207"/>
    </row>
    <row r="25" spans="1:31" x14ac:dyDescent="0.25">
      <c r="A25" s="237" t="s">
        <v>448</v>
      </c>
      <c r="B25" s="187">
        <f t="shared" ref="B25:B28" si="26">O21</f>
        <v>20.678438661710032</v>
      </c>
      <c r="C25" s="187">
        <f>B25*'supply(original)'!$C$16/'supply(original)'!$B$16</f>
        <v>9.7583643122676555</v>
      </c>
      <c r="D25" s="186">
        <f t="shared" si="0"/>
        <v>10.920074349442377</v>
      </c>
      <c r="E25" s="211">
        <f t="shared" ref="E25:E28" si="27">Q21</f>
        <v>63.815971487184967</v>
      </c>
      <c r="H25" s="185"/>
      <c r="I25" s="243" t="s">
        <v>467</v>
      </c>
      <c r="J25" s="187"/>
      <c r="K25" s="243" t="s">
        <v>467</v>
      </c>
      <c r="L25" s="243" t="s">
        <v>431</v>
      </c>
      <c r="M25" s="227"/>
      <c r="N25" s="242"/>
    </row>
    <row r="26" spans="1:31" x14ac:dyDescent="0.25">
      <c r="A26" s="237" t="s">
        <v>449</v>
      </c>
      <c r="B26" s="187">
        <f t="shared" si="26"/>
        <v>16.849098168800765</v>
      </c>
      <c r="C26" s="187">
        <f>B26*'supply(original)'!$C$16/'supply(original)'!$B$16</f>
        <v>7.9512598099958662</v>
      </c>
      <c r="D26" s="186">
        <f t="shared" si="0"/>
        <v>8.8978383588048988</v>
      </c>
      <c r="E26" s="211">
        <f t="shared" si="27"/>
        <v>96.595449584200452</v>
      </c>
      <c r="H26" s="185"/>
      <c r="I26" s="242"/>
      <c r="J26" s="242"/>
      <c r="K26" s="242"/>
      <c r="L26" s="242"/>
      <c r="M26" s="242"/>
      <c r="N26" s="242"/>
      <c r="Y26" s="49"/>
      <c r="AA26" s="109"/>
    </row>
    <row r="27" spans="1:31" x14ac:dyDescent="0.25">
      <c r="A27" s="237" t="s">
        <v>450</v>
      </c>
      <c r="B27" s="187">
        <f t="shared" si="26"/>
        <v>9.4562852815640923</v>
      </c>
      <c r="C27" s="187">
        <f>B27*'supply(original)'!$C$16/'supply(original)'!$B$16</f>
        <v>4.4625166497268749</v>
      </c>
      <c r="D27" s="186">
        <f t="shared" si="0"/>
        <v>4.9937686318372174</v>
      </c>
      <c r="E27" s="211">
        <f t="shared" si="27"/>
        <v>169.98159862944021</v>
      </c>
      <c r="H27" s="185"/>
      <c r="I27" s="242"/>
      <c r="J27" s="242"/>
      <c r="K27" s="248"/>
      <c r="L27" s="242"/>
      <c r="M27" s="242"/>
      <c r="N27" s="242"/>
      <c r="O27" s="223"/>
      <c r="Y27" s="49"/>
      <c r="Z27" s="49"/>
      <c r="AA27" s="109"/>
    </row>
    <row r="28" spans="1:31" x14ac:dyDescent="0.25">
      <c r="A28" s="237" t="s">
        <v>451</v>
      </c>
      <c r="B28" s="187">
        <f t="shared" si="26"/>
        <v>2.7976042957455647</v>
      </c>
      <c r="C28" s="187">
        <f>B28*'supply(original)'!$C$16/'supply(original)'!$B$16</f>
        <v>1.3202177575428506</v>
      </c>
      <c r="D28" s="186">
        <f t="shared" si="0"/>
        <v>1.477386538202714</v>
      </c>
      <c r="E28" s="211">
        <f t="shared" si="27"/>
        <v>246.24857082506927</v>
      </c>
      <c r="H28" s="185"/>
      <c r="I28" s="242"/>
      <c r="J28" s="242"/>
      <c r="K28" s="242"/>
      <c r="L28" s="242"/>
      <c r="M28" s="242"/>
      <c r="N28" s="242"/>
      <c r="O28" s="223"/>
      <c r="Y28" s="49"/>
      <c r="Z28" s="49"/>
      <c r="AA28" s="109"/>
    </row>
    <row r="29" spans="1:31" x14ac:dyDescent="0.25">
      <c r="A29" s="168" t="s">
        <v>204</v>
      </c>
      <c r="B29" s="187">
        <v>3.9483633815055765</v>
      </c>
      <c r="C29" s="187">
        <v>0</v>
      </c>
      <c r="D29" s="186">
        <f>B29-C29</f>
        <v>3.9483633815055765</v>
      </c>
      <c r="E29" s="229">
        <f>M17</f>
        <v>141.98801783542032</v>
      </c>
      <c r="H29" s="222"/>
      <c r="I29" s="345" t="s">
        <v>500</v>
      </c>
      <c r="J29" s="345"/>
      <c r="K29" s="345"/>
      <c r="L29" s="345"/>
      <c r="M29" s="345"/>
      <c r="N29" s="345"/>
      <c r="O29" s="223"/>
      <c r="P29" s="345" t="s">
        <v>524</v>
      </c>
      <c r="Q29" s="345"/>
      <c r="R29" s="345"/>
      <c r="S29" s="345"/>
      <c r="T29" s="345"/>
      <c r="U29" s="345"/>
      <c r="Y29" s="49"/>
      <c r="Z29" s="49"/>
      <c r="AA29" s="109"/>
    </row>
    <row r="30" spans="1:31" x14ac:dyDescent="0.25">
      <c r="A30" s="168" t="s">
        <v>208</v>
      </c>
      <c r="B30" s="187">
        <v>9.540355413568772</v>
      </c>
      <c r="C30" s="187">
        <v>0</v>
      </c>
      <c r="D30" s="186">
        <f>B30-C30</f>
        <v>9.540355413568772</v>
      </c>
      <c r="E30" s="229">
        <f>M18</f>
        <v>142.17069031979514</v>
      </c>
      <c r="F30" s="102"/>
      <c r="H30" s="222"/>
      <c r="I30" s="223"/>
      <c r="J30" s="223" t="s">
        <v>111</v>
      </c>
      <c r="K30" s="223" t="s">
        <v>111</v>
      </c>
      <c r="L30" s="223"/>
      <c r="M30" s="223" t="s">
        <v>467</v>
      </c>
      <c r="N30" s="223" t="s">
        <v>467</v>
      </c>
      <c r="O30" s="222"/>
      <c r="Q30" s="176" t="s">
        <v>519</v>
      </c>
      <c r="R30" s="176" t="s">
        <v>519</v>
      </c>
      <c r="S30" s="176" t="s">
        <v>519</v>
      </c>
      <c r="T30" s="176" t="s">
        <v>520</v>
      </c>
      <c r="U30" s="176" t="s">
        <v>520</v>
      </c>
      <c r="V30" s="176" t="s">
        <v>520</v>
      </c>
      <c r="Y30" s="232">
        <v>0.5</v>
      </c>
      <c r="Z30" s="193">
        <v>0.46</v>
      </c>
      <c r="AA30" s="193">
        <v>0.04</v>
      </c>
      <c r="AB30" s="109"/>
    </row>
    <row r="31" spans="1:31" x14ac:dyDescent="0.25">
      <c r="A31" s="237" t="s">
        <v>435</v>
      </c>
      <c r="B31" s="187">
        <v>92.262500000000017</v>
      </c>
      <c r="C31" s="187">
        <f>B31*'supply(original)'!$C$19/'supply(original)'!$B$19</f>
        <v>51.106188725490199</v>
      </c>
      <c r="D31" s="186">
        <f>B31-C31</f>
        <v>41.156311274509818</v>
      </c>
      <c r="E31" s="212">
        <f>Q8</f>
        <v>31.096969565112502</v>
      </c>
      <c r="H31" s="222"/>
      <c r="I31" s="223"/>
      <c r="J31" s="197" t="s">
        <v>473</v>
      </c>
      <c r="K31" s="197" t="s">
        <v>115</v>
      </c>
      <c r="L31" s="223"/>
      <c r="M31" s="197" t="s">
        <v>473</v>
      </c>
      <c r="N31" s="197" t="s">
        <v>115</v>
      </c>
      <c r="O31" s="222"/>
      <c r="Q31" s="180" t="s">
        <v>521</v>
      </c>
      <c r="R31" s="180" t="s">
        <v>522</v>
      </c>
      <c r="S31" s="180" t="s">
        <v>523</v>
      </c>
      <c r="T31" s="180" t="s">
        <v>521</v>
      </c>
      <c r="U31" s="180" t="s">
        <v>522</v>
      </c>
      <c r="V31" s="180" t="s">
        <v>523</v>
      </c>
      <c r="W31" s="176" t="s">
        <v>405</v>
      </c>
      <c r="X31" s="180" t="s">
        <v>525</v>
      </c>
      <c r="Y31" s="180" t="s">
        <v>521</v>
      </c>
      <c r="Z31" s="180" t="s">
        <v>522</v>
      </c>
      <c r="AA31" s="180" t="s">
        <v>523</v>
      </c>
      <c r="AC31" s="180" t="s">
        <v>521</v>
      </c>
      <c r="AD31" s="180" t="s">
        <v>522</v>
      </c>
      <c r="AE31" s="180" t="s">
        <v>523</v>
      </c>
    </row>
    <row r="32" spans="1:31" x14ac:dyDescent="0.25">
      <c r="A32" s="168" t="s">
        <v>436</v>
      </c>
      <c r="B32" s="187">
        <v>45.292499999999997</v>
      </c>
      <c r="C32" s="187">
        <f>B32*'supply(original)'!$C$19/'supply(original)'!$B$19</f>
        <v>25.088492647058821</v>
      </c>
      <c r="D32" s="186">
        <f t="shared" ref="D32:D35" si="28">B32-C32</f>
        <v>20.204007352941176</v>
      </c>
      <c r="E32" s="212">
        <f t="shared" ref="E32:E35" si="29">Q9</f>
        <v>54.614936647177501</v>
      </c>
      <c r="H32" s="185"/>
      <c r="I32" s="181" t="s">
        <v>474</v>
      </c>
      <c r="J32" s="193">
        <v>0</v>
      </c>
      <c r="K32" s="190">
        <v>-3</v>
      </c>
      <c r="L32" s="181" t="s">
        <v>474</v>
      </c>
      <c r="M32" s="193">
        <f>J32*9.769444</f>
        <v>0</v>
      </c>
      <c r="N32" s="193">
        <f>K32*9.769444</f>
        <v>-29.308332</v>
      </c>
      <c r="O32" s="222"/>
    </row>
    <row r="33" spans="1:31" x14ac:dyDescent="0.25">
      <c r="A33" s="237" t="s">
        <v>452</v>
      </c>
      <c r="B33" s="226">
        <v>36.905000000000001</v>
      </c>
      <c r="C33" s="187">
        <f>B33*'supply(original)'!$C$19/'supply(original)'!$B$19</f>
        <v>20.442475490196077</v>
      </c>
      <c r="D33" s="186">
        <f t="shared" si="28"/>
        <v>16.462524509803924</v>
      </c>
      <c r="E33" s="212">
        <f t="shared" si="29"/>
        <v>87.325488513333283</v>
      </c>
      <c r="H33" s="185"/>
      <c r="I33" s="181" t="s">
        <v>475</v>
      </c>
      <c r="J33" s="193">
        <v>0</v>
      </c>
      <c r="K33" s="190">
        <v>-3.5</v>
      </c>
      <c r="L33" s="181" t="s">
        <v>475</v>
      </c>
      <c r="M33" s="193">
        <f t="shared" ref="M33:N57" si="30">J33*9.769444</f>
        <v>0</v>
      </c>
      <c r="N33" s="193">
        <f t="shared" si="30"/>
        <v>-34.193054000000004</v>
      </c>
      <c r="O33" s="222"/>
      <c r="P33" s="222" t="s">
        <v>202</v>
      </c>
      <c r="Q33" s="250">
        <v>23.22</v>
      </c>
      <c r="R33" s="250">
        <v>23.22</v>
      </c>
      <c r="S33" s="250">
        <v>23.22</v>
      </c>
      <c r="T33" s="250">
        <v>1.0633021584262974</v>
      </c>
      <c r="U33" s="250">
        <v>5.778816078403791</v>
      </c>
      <c r="V33" s="250">
        <v>106.33021584262976</v>
      </c>
      <c r="W33" s="208">
        <v>0.55054951394052043</v>
      </c>
      <c r="X33" s="176">
        <f>(W33/12*1000)</f>
        <v>45.879126161710033</v>
      </c>
      <c r="Y33" s="193">
        <f>$X33*Y$30</f>
        <v>22.939563080855017</v>
      </c>
      <c r="Z33" s="193">
        <f t="shared" ref="Z33:AA33" si="31">$X33*Z$30</f>
        <v>21.104398034386616</v>
      </c>
      <c r="AA33" s="193">
        <f t="shared" si="31"/>
        <v>1.8351650464684013</v>
      </c>
      <c r="AC33" s="224">
        <f t="shared" ref="AC33:AC55" si="32">Q33+(T33*Y33)</f>
        <v>47.611686937229344</v>
      </c>
      <c r="AD33" s="224">
        <f t="shared" ref="AD33:AD55" si="33">R33+(U33*(Z33+Y33))</f>
        <v>277.74195064934969</v>
      </c>
      <c r="AE33" s="224">
        <f t="shared" ref="AE33:AE55" si="34">S33+(V33*(AA33+Z33+Y33))</f>
        <v>4901.5573874458696</v>
      </c>
    </row>
    <row r="34" spans="1:31" x14ac:dyDescent="0.25">
      <c r="A34" s="168" t="s">
        <v>453</v>
      </c>
      <c r="B34" s="226">
        <v>21.307500000000005</v>
      </c>
      <c r="C34" s="187">
        <f>B34*'supply(original)'!$C$19/'supply(original)'!$B$19</f>
        <v>11.802683823529414</v>
      </c>
      <c r="D34" s="186">
        <f t="shared" si="28"/>
        <v>9.504816176470591</v>
      </c>
      <c r="E34" s="212">
        <f t="shared" si="29"/>
        <v>160.65419903285672</v>
      </c>
      <c r="H34" s="185"/>
      <c r="I34" s="181" t="s">
        <v>476</v>
      </c>
      <c r="J34" s="193">
        <v>0.01</v>
      </c>
      <c r="K34" s="190">
        <v>-2.5</v>
      </c>
      <c r="L34" s="181" t="s">
        <v>476</v>
      </c>
      <c r="M34" s="193">
        <f t="shared" si="30"/>
        <v>9.7694440000000007E-2</v>
      </c>
      <c r="N34" s="193">
        <f t="shared" si="30"/>
        <v>-24.42361</v>
      </c>
      <c r="O34" s="222"/>
      <c r="P34" s="222" t="s">
        <v>504</v>
      </c>
      <c r="Q34" s="192">
        <v>13.42</v>
      </c>
      <c r="R34" s="192">
        <v>13.42</v>
      </c>
      <c r="S34" s="192">
        <v>13.42</v>
      </c>
      <c r="T34" s="192">
        <v>1.2368663594470044E-3</v>
      </c>
      <c r="U34" s="192">
        <v>6.7220997796032843E-3</v>
      </c>
      <c r="V34" s="192">
        <v>0.12368663594470043</v>
      </c>
      <c r="W34" s="208">
        <v>44.8</v>
      </c>
      <c r="X34" s="176">
        <f t="shared" ref="X34:X55" si="35">(W34/12*1000)</f>
        <v>3733.333333333333</v>
      </c>
      <c r="Y34" s="193">
        <f t="shared" ref="Y34:AA55" si="36">$X34*Y$30</f>
        <v>1866.6666666666665</v>
      </c>
      <c r="Z34" s="193">
        <f t="shared" si="36"/>
        <v>1717.3333333333333</v>
      </c>
      <c r="AA34" s="193">
        <f t="shared" si="36"/>
        <v>149.33333333333331</v>
      </c>
      <c r="AC34" s="224">
        <f t="shared" si="32"/>
        <v>15.728817204301075</v>
      </c>
      <c r="AD34" s="224">
        <f t="shared" si="33"/>
        <v>37.512005610098171</v>
      </c>
      <c r="AE34" s="224">
        <f t="shared" si="34"/>
        <v>475.18344086021494</v>
      </c>
    </row>
    <row r="35" spans="1:31" x14ac:dyDescent="0.25">
      <c r="A35" s="237" t="s">
        <v>454</v>
      </c>
      <c r="B35" s="226">
        <v>5.5324999999999989</v>
      </c>
      <c r="C35" s="187">
        <f>B35*'supply(original)'!$C$19/'supply(original)'!$B$19</f>
        <v>3.0645710784313716</v>
      </c>
      <c r="D35" s="186">
        <f t="shared" si="28"/>
        <v>2.4679289215686273</v>
      </c>
      <c r="E35" s="212">
        <f t="shared" si="29"/>
        <v>276.11934619353258</v>
      </c>
      <c r="H35" s="185"/>
      <c r="I35" s="181" t="s">
        <v>477</v>
      </c>
      <c r="J35" s="193">
        <v>0.03</v>
      </c>
      <c r="K35" s="190">
        <v>-3.5</v>
      </c>
      <c r="L35" s="181" t="s">
        <v>477</v>
      </c>
      <c r="M35" s="193">
        <f t="shared" si="30"/>
        <v>0.29308331999999998</v>
      </c>
      <c r="N35" s="193">
        <f t="shared" si="30"/>
        <v>-34.193054000000004</v>
      </c>
      <c r="O35" s="222"/>
      <c r="P35" s="222" t="s">
        <v>283</v>
      </c>
      <c r="Q35" s="192">
        <v>25.2</v>
      </c>
      <c r="R35" s="192">
        <v>25.2</v>
      </c>
      <c r="S35" s="192">
        <v>25.2</v>
      </c>
      <c r="T35" s="192">
        <v>3.6510693322853403</v>
      </c>
      <c r="U35" s="192">
        <v>19.842768110246418</v>
      </c>
      <c r="V35" s="192">
        <v>365.10693322853405</v>
      </c>
      <c r="W35" s="208">
        <v>9.158921933085501E-2</v>
      </c>
      <c r="X35" s="176">
        <f t="shared" si="35"/>
        <v>7.6324349442379171</v>
      </c>
      <c r="Y35" s="193">
        <f t="shared" si="36"/>
        <v>3.8162174721189586</v>
      </c>
      <c r="Z35" s="193">
        <f t="shared" si="36"/>
        <v>3.5109200743494422</v>
      </c>
      <c r="AA35" s="193">
        <f t="shared" si="36"/>
        <v>0.3052973977695167</v>
      </c>
      <c r="AC35" s="224">
        <f t="shared" si="32"/>
        <v>39.133274577785016</v>
      </c>
      <c r="AD35" s="224">
        <f t="shared" si="33"/>
        <v>170.59069124645234</v>
      </c>
      <c r="AE35" s="224">
        <f t="shared" si="34"/>
        <v>2811.8549155570036</v>
      </c>
    </row>
    <row r="36" spans="1:31" x14ac:dyDescent="0.25">
      <c r="A36" s="168" t="s">
        <v>287</v>
      </c>
      <c r="B36" s="187">
        <v>0.26022301858736058</v>
      </c>
      <c r="C36" s="187">
        <v>0</v>
      </c>
      <c r="D36" s="186">
        <f>B36-C36</f>
        <v>0.26022301858736058</v>
      </c>
      <c r="E36" s="230">
        <f>M20</f>
        <v>138.78467698605368</v>
      </c>
      <c r="H36" s="222"/>
      <c r="I36" s="181" t="s">
        <v>478</v>
      </c>
      <c r="J36" s="193">
        <v>0.01</v>
      </c>
      <c r="K36" s="190">
        <v>-9</v>
      </c>
      <c r="L36" s="181" t="s">
        <v>478</v>
      </c>
      <c r="M36" s="193">
        <f t="shared" si="30"/>
        <v>9.7694440000000007E-2</v>
      </c>
      <c r="N36" s="193">
        <f t="shared" si="30"/>
        <v>-87.924995999999993</v>
      </c>
      <c r="O36" s="222"/>
      <c r="P36" s="222" t="s">
        <v>205</v>
      </c>
      <c r="Q36" s="192">
        <v>11.700000000000001</v>
      </c>
      <c r="R36" s="192">
        <v>11.700000000000001</v>
      </c>
      <c r="S36" s="192">
        <v>11.700000000000001</v>
      </c>
      <c r="T36" s="192">
        <v>0.47510679611650519</v>
      </c>
      <c r="U36" s="192">
        <v>2.5821021528070927</v>
      </c>
      <c r="V36" s="192">
        <v>47.510679611650517</v>
      </c>
      <c r="W36" s="208">
        <v>0.57381069151544839</v>
      </c>
      <c r="X36" s="176">
        <f t="shared" si="35"/>
        <v>47.817557626287368</v>
      </c>
      <c r="Y36" s="193">
        <f t="shared" si="36"/>
        <v>23.908778813143684</v>
      </c>
      <c r="Z36" s="193">
        <f t="shared" si="36"/>
        <v>21.996076508092191</v>
      </c>
      <c r="AA36" s="193">
        <f t="shared" si="36"/>
        <v>1.9127023050514946</v>
      </c>
      <c r="AC36" s="224">
        <f t="shared" si="32"/>
        <v>23.059223300970878</v>
      </c>
      <c r="AD36" s="224">
        <f t="shared" si="33"/>
        <v>130.23102574926125</v>
      </c>
      <c r="AE36" s="224">
        <f t="shared" si="34"/>
        <v>2283.5446601941749</v>
      </c>
    </row>
    <row r="37" spans="1:31" x14ac:dyDescent="0.25">
      <c r="A37" s="168" t="s">
        <v>286</v>
      </c>
      <c r="B37" s="226">
        <v>6.6552044609665426</v>
      </c>
      <c r="C37" s="187">
        <v>6.0501858736059475</v>
      </c>
      <c r="D37" s="186">
        <f>B37-C37</f>
        <v>0.60501858736059511</v>
      </c>
      <c r="E37" s="230">
        <f>M21</f>
        <v>145.64987465047307</v>
      </c>
      <c r="H37" s="222"/>
      <c r="I37" s="181" t="s">
        <v>479</v>
      </c>
      <c r="J37" s="193">
        <v>0.01</v>
      </c>
      <c r="K37" s="190">
        <v>-6</v>
      </c>
      <c r="L37" s="181" t="s">
        <v>479</v>
      </c>
      <c r="M37" s="193">
        <f t="shared" si="30"/>
        <v>9.7694440000000007E-2</v>
      </c>
      <c r="N37" s="193">
        <f t="shared" si="30"/>
        <v>-58.616664</v>
      </c>
      <c r="O37" s="222"/>
      <c r="P37" s="222" t="s">
        <v>203</v>
      </c>
      <c r="Q37" s="192">
        <v>22.36</v>
      </c>
      <c r="R37" s="192">
        <v>22.36</v>
      </c>
      <c r="S37" s="192">
        <v>22.36</v>
      </c>
      <c r="T37" s="192">
        <v>2.6050485436893203</v>
      </c>
      <c r="U37" s="192">
        <v>14.157872520050651</v>
      </c>
      <c r="V37" s="192">
        <v>260.504854368932</v>
      </c>
      <c r="W37" s="208">
        <v>0.22761617100371748</v>
      </c>
      <c r="X37" s="176">
        <f t="shared" si="35"/>
        <v>18.968014250309789</v>
      </c>
      <c r="Y37" s="193">
        <f t="shared" si="36"/>
        <v>9.4840071251548945</v>
      </c>
      <c r="Z37" s="193">
        <f t="shared" si="36"/>
        <v>8.7252865551425032</v>
      </c>
      <c r="AA37" s="193">
        <f t="shared" si="36"/>
        <v>0.75872057001239157</v>
      </c>
      <c r="AC37" s="224">
        <f t="shared" si="32"/>
        <v>47.066298949723894</v>
      </c>
      <c r="AD37" s="224">
        <f t="shared" si="33"/>
        <v>280.16485860581457</v>
      </c>
      <c r="AE37" s="224">
        <f t="shared" si="34"/>
        <v>4963.6197899447779</v>
      </c>
    </row>
    <row r="38" spans="1:31" x14ac:dyDescent="0.25">
      <c r="A38" s="168" t="s">
        <v>455</v>
      </c>
      <c r="B38" s="187">
        <f>Y8</f>
        <v>22.416658492725176</v>
      </c>
      <c r="C38" s="187">
        <f>B38*'supply(original)'!$C$22/'supply(original)'!$B$22</f>
        <v>0</v>
      </c>
      <c r="D38" s="186">
        <f>B38-C38</f>
        <v>22.416658492725176</v>
      </c>
      <c r="E38" s="211">
        <f>AA8</f>
        <v>40.428595211233464</v>
      </c>
      <c r="H38" s="222"/>
      <c r="I38" s="181" t="s">
        <v>480</v>
      </c>
      <c r="J38" s="193">
        <v>0.01</v>
      </c>
      <c r="K38" s="190">
        <v>-7.5</v>
      </c>
      <c r="L38" s="181" t="s">
        <v>480</v>
      </c>
      <c r="M38" s="193">
        <f t="shared" si="30"/>
        <v>9.7694440000000007E-2</v>
      </c>
      <c r="N38" s="193">
        <f t="shared" si="30"/>
        <v>-73.270830000000004</v>
      </c>
      <c r="O38" s="222"/>
      <c r="P38" s="222" t="s">
        <v>200</v>
      </c>
      <c r="Q38" s="192">
        <v>21.84</v>
      </c>
      <c r="R38" s="192">
        <v>21.84</v>
      </c>
      <c r="S38" s="192">
        <v>21.84</v>
      </c>
      <c r="T38" s="192">
        <v>7.3752638243984786E-2</v>
      </c>
      <c r="U38" s="192">
        <v>0.40082955567383033</v>
      </c>
      <c r="V38" s="192">
        <v>7.3752638243984787</v>
      </c>
      <c r="W38" s="208">
        <v>1.5800836431226766</v>
      </c>
      <c r="X38" s="176">
        <f t="shared" si="35"/>
        <v>131.67363692688971</v>
      </c>
      <c r="Y38" s="193">
        <f t="shared" si="36"/>
        <v>65.836818463444857</v>
      </c>
      <c r="Z38" s="193">
        <f t="shared" si="36"/>
        <v>60.569872986369269</v>
      </c>
      <c r="AA38" s="193">
        <f t="shared" si="36"/>
        <v>5.2669454770755886</v>
      </c>
      <c r="AC38" s="224">
        <f t="shared" si="32"/>
        <v>26.695639055269346</v>
      </c>
      <c r="AD38" s="224">
        <f t="shared" si="33"/>
        <v>72.507537968027961</v>
      </c>
      <c r="AE38" s="224">
        <f t="shared" si="34"/>
        <v>992.96781105386935</v>
      </c>
    </row>
    <row r="39" spans="1:31" x14ac:dyDescent="0.25">
      <c r="A39" s="168" t="s">
        <v>456</v>
      </c>
      <c r="B39" s="187">
        <f t="shared" ref="B39:B42" si="37">Y9</f>
        <v>11.004541441883267</v>
      </c>
      <c r="C39" s="187">
        <f>B39*'supply(original)'!$C$22/'supply(original)'!$B$22</f>
        <v>0</v>
      </c>
      <c r="D39" s="186">
        <f t="shared" ref="D39:D42" si="38">B39-C39</f>
        <v>11.004541441883267</v>
      </c>
      <c r="E39" s="211">
        <f t="shared" ref="E39:E42" si="39">AA9</f>
        <v>64.045281527889188</v>
      </c>
      <c r="H39" s="222"/>
      <c r="I39" s="181" t="s">
        <v>481</v>
      </c>
      <c r="J39" s="193">
        <v>0.01</v>
      </c>
      <c r="K39" s="190">
        <v>-7.5</v>
      </c>
      <c r="L39" s="181" t="s">
        <v>481</v>
      </c>
      <c r="M39" s="193">
        <f t="shared" si="30"/>
        <v>9.7694440000000007E-2</v>
      </c>
      <c r="N39" s="193">
        <f t="shared" si="30"/>
        <v>-73.270830000000004</v>
      </c>
      <c r="O39" s="222"/>
      <c r="P39" s="222" t="s">
        <v>209</v>
      </c>
      <c r="Q39" s="192">
        <v>23.52</v>
      </c>
      <c r="R39" s="192">
        <v>23.52</v>
      </c>
      <c r="S39" s="192">
        <v>23.52</v>
      </c>
      <c r="T39" s="192">
        <v>0.24436363636363637</v>
      </c>
      <c r="U39" s="192">
        <v>1.328063241106719</v>
      </c>
      <c r="V39" s="192">
        <v>24.436363636363637</v>
      </c>
      <c r="W39" s="208">
        <v>2.799270279739777</v>
      </c>
      <c r="X39" s="176">
        <f t="shared" si="35"/>
        <v>233.27252331164809</v>
      </c>
      <c r="Y39" s="193">
        <f t="shared" si="36"/>
        <v>116.63626165582404</v>
      </c>
      <c r="Z39" s="193">
        <f t="shared" si="36"/>
        <v>107.30536072335812</v>
      </c>
      <c r="AA39" s="193">
        <f t="shared" si="36"/>
        <v>9.3309009324659229</v>
      </c>
      <c r="AC39" s="224">
        <f t="shared" si="32"/>
        <v>52.02166103007773</v>
      </c>
      <c r="AD39" s="224">
        <f t="shared" si="33"/>
        <v>320.92863683559358</v>
      </c>
      <c r="AE39" s="224">
        <f t="shared" si="34"/>
        <v>5723.8522060155465</v>
      </c>
    </row>
    <row r="40" spans="1:31" x14ac:dyDescent="0.25">
      <c r="A40" s="168" t="s">
        <v>457</v>
      </c>
      <c r="B40" s="187">
        <f t="shared" si="37"/>
        <v>8.9666633970900698</v>
      </c>
      <c r="C40" s="187">
        <f>B40*'supply(original)'!$C$22/'supply(original)'!$B$22</f>
        <v>0</v>
      </c>
      <c r="D40" s="186">
        <f t="shared" si="38"/>
        <v>8.9666633970900698</v>
      </c>
      <c r="E40" s="211">
        <f t="shared" si="39"/>
        <v>96.834808781717527</v>
      </c>
      <c r="H40" s="183"/>
      <c r="I40" s="181" t="s">
        <v>482</v>
      </c>
      <c r="J40" s="193">
        <v>0.01</v>
      </c>
      <c r="K40" s="190">
        <v>0</v>
      </c>
      <c r="L40" s="181" t="s">
        <v>482</v>
      </c>
      <c r="M40" s="193">
        <f t="shared" si="30"/>
        <v>9.7694440000000007E-2</v>
      </c>
      <c r="N40" s="193">
        <f t="shared" si="30"/>
        <v>0</v>
      </c>
      <c r="O40" s="222"/>
      <c r="P40" s="181" t="s">
        <v>505</v>
      </c>
      <c r="Q40" s="192">
        <v>15.375</v>
      </c>
      <c r="R40" s="192">
        <v>15.375</v>
      </c>
      <c r="S40" s="192">
        <v>15.375</v>
      </c>
      <c r="T40" s="192">
        <v>3.4453781512605039E-3</v>
      </c>
      <c r="U40" s="192">
        <v>1.8724881256850567E-2</v>
      </c>
      <c r="V40" s="192">
        <v>0.34453781512605042</v>
      </c>
      <c r="W40" s="208">
        <v>27.617680600229964</v>
      </c>
      <c r="X40" s="176">
        <f t="shared" si="35"/>
        <v>2301.473383352497</v>
      </c>
      <c r="Y40" s="193">
        <f t="shared" si="36"/>
        <v>1150.7366916762485</v>
      </c>
      <c r="Z40" s="193">
        <f t="shared" si="36"/>
        <v>1058.6777563421485</v>
      </c>
      <c r="AA40" s="193">
        <f t="shared" si="36"/>
        <v>92.058935334099885</v>
      </c>
      <c r="AC40" s="224">
        <f t="shared" si="32"/>
        <v>19.33972305535514</v>
      </c>
      <c r="AD40" s="224">
        <f t="shared" si="33"/>
        <v>56.746023186314524</v>
      </c>
      <c r="AE40" s="224">
        <f t="shared" si="34"/>
        <v>808.31961107102836</v>
      </c>
    </row>
    <row r="41" spans="1:31" x14ac:dyDescent="0.25">
      <c r="A41" s="168" t="s">
        <v>458</v>
      </c>
      <c r="B41" s="187">
        <f t="shared" si="37"/>
        <v>4.7984829164623157</v>
      </c>
      <c r="C41" s="187">
        <f>B41*'supply(original)'!$C$22/'supply(original)'!$B$22</f>
        <v>0</v>
      </c>
      <c r="D41" s="186">
        <f t="shared" si="38"/>
        <v>4.7984829164623157</v>
      </c>
      <c r="E41" s="211">
        <f t="shared" si="39"/>
        <v>170.22933212430144</v>
      </c>
      <c r="H41" s="183"/>
      <c r="I41" s="181" t="s">
        <v>483</v>
      </c>
      <c r="J41" s="193">
        <v>0.01</v>
      </c>
      <c r="K41" s="190">
        <v>0</v>
      </c>
      <c r="L41" s="181" t="s">
        <v>483</v>
      </c>
      <c r="M41" s="193">
        <f t="shared" si="30"/>
        <v>9.7694440000000007E-2</v>
      </c>
      <c r="N41" s="193">
        <f t="shared" si="30"/>
        <v>0</v>
      </c>
      <c r="O41" s="222"/>
      <c r="P41" s="222" t="s">
        <v>284</v>
      </c>
      <c r="Q41" s="192">
        <v>24.08</v>
      </c>
      <c r="R41" s="192">
        <v>24.08</v>
      </c>
      <c r="S41" s="192">
        <v>24.08</v>
      </c>
      <c r="T41" s="192">
        <v>0.43160567587752047</v>
      </c>
      <c r="U41" s="192">
        <v>2.3456830210734805</v>
      </c>
      <c r="V41" s="192">
        <v>43.160567587752048</v>
      </c>
      <c r="W41" s="208">
        <v>0.2392512244423792</v>
      </c>
      <c r="X41" s="176">
        <f t="shared" si="35"/>
        <v>19.937602036864934</v>
      </c>
      <c r="Y41" s="193">
        <f t="shared" si="36"/>
        <v>9.9688010184324671</v>
      </c>
      <c r="Z41" s="193">
        <f t="shared" si="36"/>
        <v>9.1712969369578694</v>
      </c>
      <c r="AA41" s="193">
        <f t="shared" si="36"/>
        <v>0.79750408147459739</v>
      </c>
      <c r="AC41" s="224">
        <f t="shared" si="32"/>
        <v>28.382591101249059</v>
      </c>
      <c r="AD41" s="224">
        <f t="shared" si="33"/>
        <v>68.97660279564235</v>
      </c>
      <c r="AE41" s="224">
        <f t="shared" si="34"/>
        <v>884.5982202498119</v>
      </c>
    </row>
    <row r="42" spans="1:31" x14ac:dyDescent="0.25">
      <c r="A42" s="168" t="s">
        <v>459</v>
      </c>
      <c r="B42" s="187">
        <f t="shared" si="37"/>
        <v>1.7227268268759204</v>
      </c>
      <c r="C42" s="187">
        <f>B42*'supply(original)'!$C$22/'supply(original)'!$B$22</f>
        <v>0</v>
      </c>
      <c r="D42" s="186">
        <f t="shared" si="38"/>
        <v>1.7227268268759204</v>
      </c>
      <c r="E42" s="211">
        <f t="shared" si="39"/>
        <v>214.95463727227653</v>
      </c>
      <c r="H42" s="183"/>
      <c r="I42" s="181" t="s">
        <v>484</v>
      </c>
      <c r="J42" s="193">
        <v>0.02</v>
      </c>
      <c r="K42" s="190">
        <v>0</v>
      </c>
      <c r="L42" s="181" t="s">
        <v>484</v>
      </c>
      <c r="M42" s="193">
        <f t="shared" si="30"/>
        <v>0.19538888000000001</v>
      </c>
      <c r="N42" s="193">
        <f t="shared" si="30"/>
        <v>0</v>
      </c>
      <c r="O42" s="222"/>
      <c r="P42" s="222" t="s">
        <v>207</v>
      </c>
      <c r="Q42" s="192">
        <v>23.22</v>
      </c>
      <c r="R42" s="192">
        <v>23.22</v>
      </c>
      <c r="S42" s="192">
        <v>23.22</v>
      </c>
      <c r="T42" s="192">
        <v>0.90174757281553397</v>
      </c>
      <c r="U42" s="192">
        <v>4.9008020261713803</v>
      </c>
      <c r="V42" s="192">
        <v>90.174757281553411</v>
      </c>
      <c r="W42" s="208">
        <v>2.37114312267658</v>
      </c>
      <c r="X42" s="176">
        <f t="shared" si="35"/>
        <v>197.59526022304831</v>
      </c>
      <c r="Y42" s="193">
        <f t="shared" si="36"/>
        <v>98.797630111524157</v>
      </c>
      <c r="Z42" s="193">
        <f t="shared" si="36"/>
        <v>90.893819702602229</v>
      </c>
      <c r="AA42" s="193">
        <f t="shared" si="36"/>
        <v>7.9038104089219328</v>
      </c>
      <c r="AC42" s="224">
        <f t="shared" si="32"/>
        <v>112.31052315299382</v>
      </c>
      <c r="AD42" s="224">
        <f t="shared" si="33"/>
        <v>952.86024159645729</v>
      </c>
      <c r="AE42" s="224">
        <f t="shared" si="34"/>
        <v>17841.324630598767</v>
      </c>
    </row>
    <row r="43" spans="1:31" x14ac:dyDescent="0.25">
      <c r="A43" s="168" t="s">
        <v>206</v>
      </c>
      <c r="B43" s="187">
        <v>17.089225371747212</v>
      </c>
      <c r="C43" s="187">
        <v>0</v>
      </c>
      <c r="D43" s="186">
        <f>B43-C43</f>
        <v>17.089225371747212</v>
      </c>
      <c r="E43" s="229">
        <f>M23</f>
        <v>102.53259961685319</v>
      </c>
      <c r="H43" s="222"/>
      <c r="I43" s="181" t="s">
        <v>485</v>
      </c>
      <c r="J43" s="193">
        <v>0.01</v>
      </c>
      <c r="K43" s="190">
        <v>0</v>
      </c>
      <c r="L43" s="181" t="s">
        <v>485</v>
      </c>
      <c r="M43" s="193">
        <f t="shared" si="30"/>
        <v>9.7694440000000007E-2</v>
      </c>
      <c r="N43" s="193">
        <f t="shared" si="30"/>
        <v>0</v>
      </c>
      <c r="O43" s="222"/>
      <c r="P43" s="222" t="s">
        <v>285</v>
      </c>
      <c r="Q43" s="192">
        <v>24.94</v>
      </c>
      <c r="R43" s="192">
        <v>24.94</v>
      </c>
      <c r="S43" s="192">
        <v>24.94</v>
      </c>
      <c r="T43" s="192">
        <v>1.937087378640777</v>
      </c>
      <c r="U43" s="192">
        <v>10.527648796960742</v>
      </c>
      <c r="V43" s="192">
        <v>193.7087378640777</v>
      </c>
      <c r="W43" s="208">
        <v>0.61047545817843873</v>
      </c>
      <c r="X43" s="176">
        <f t="shared" si="35"/>
        <v>50.872954848203229</v>
      </c>
      <c r="Y43" s="193">
        <f t="shared" si="36"/>
        <v>25.436477424101614</v>
      </c>
      <c r="Z43" s="193">
        <f t="shared" si="36"/>
        <v>23.401559230173486</v>
      </c>
      <c r="AA43" s="193">
        <f t="shared" si="36"/>
        <v>2.0349181939281293</v>
      </c>
      <c r="AC43" s="224">
        <f t="shared" si="32"/>
        <v>74.212679375308298</v>
      </c>
      <c r="AD43" s="224">
        <f t="shared" si="33"/>
        <v>539.08969782930399</v>
      </c>
      <c r="AE43" s="224">
        <f t="shared" si="34"/>
        <v>9879.4758750616602</v>
      </c>
    </row>
    <row r="44" spans="1:31" x14ac:dyDescent="0.25">
      <c r="A44" s="168" t="s">
        <v>460</v>
      </c>
      <c r="B44" s="226">
        <f>Y20</f>
        <v>71.932775712515451</v>
      </c>
      <c r="C44" s="187">
        <f>B44*'supply(original)'!$C$24/'supply(original)'!$B$24</f>
        <v>44.957984820322146</v>
      </c>
      <c r="D44" s="186">
        <f>B44-C44</f>
        <v>26.974790892193305</v>
      </c>
      <c r="E44" s="212">
        <f>AA20</f>
        <v>40.309926838064783</v>
      </c>
      <c r="H44" s="222"/>
      <c r="I44" s="181" t="s">
        <v>486</v>
      </c>
      <c r="J44" s="193">
        <v>0.01</v>
      </c>
      <c r="K44" s="190">
        <v>0</v>
      </c>
      <c r="L44" s="181" t="s">
        <v>486</v>
      </c>
      <c r="M44" s="193">
        <f t="shared" si="30"/>
        <v>9.7694440000000007E-2</v>
      </c>
      <c r="N44" s="193">
        <f t="shared" si="30"/>
        <v>0</v>
      </c>
      <c r="O44" s="222"/>
      <c r="P44" s="222" t="s">
        <v>201</v>
      </c>
      <c r="Q44" s="192">
        <v>22.36</v>
      </c>
      <c r="R44" s="192">
        <v>22.36</v>
      </c>
      <c r="S44" s="192">
        <v>22.36</v>
      </c>
      <c r="T44" s="192">
        <v>0.14885991678224686</v>
      </c>
      <c r="U44" s="192">
        <v>0.80902128686003727</v>
      </c>
      <c r="V44" s="192">
        <v>14.885991678224684</v>
      </c>
      <c r="W44" s="208">
        <v>2.6428167272304837</v>
      </c>
      <c r="X44" s="176">
        <f t="shared" si="35"/>
        <v>220.23472726920699</v>
      </c>
      <c r="Y44" s="193">
        <f t="shared" si="36"/>
        <v>110.11736363460349</v>
      </c>
      <c r="Z44" s="193">
        <f t="shared" si="36"/>
        <v>101.30797454383521</v>
      </c>
      <c r="AA44" s="193">
        <f t="shared" si="36"/>
        <v>8.8093890907682795</v>
      </c>
      <c r="AC44" s="224">
        <f t="shared" si="32"/>
        <v>38.752061586927496</v>
      </c>
      <c r="AD44" s="224">
        <f t="shared" si="33"/>
        <v>193.40759916793905</v>
      </c>
      <c r="AE44" s="224">
        <f t="shared" si="34"/>
        <v>3300.7723173854984</v>
      </c>
    </row>
    <row r="45" spans="1:31" x14ac:dyDescent="0.25">
      <c r="A45" s="168" t="s">
        <v>461</v>
      </c>
      <c r="B45" s="226">
        <f t="shared" ref="B45:B48" si="40">Y21</f>
        <v>35.312453531598493</v>
      </c>
      <c r="C45" s="187">
        <f>B45*'supply(original)'!$C$24/'supply(original)'!$B$24</f>
        <v>22.070283457249051</v>
      </c>
      <c r="D45" s="186">
        <f t="shared" ref="D45:D48" si="41">B45-C45</f>
        <v>13.242170074349442</v>
      </c>
      <c r="E45" s="212">
        <f t="shared" ref="E45:E47" si="42">AA21</f>
        <v>63.987611874843978</v>
      </c>
      <c r="H45" s="189"/>
      <c r="I45" s="181" t="s">
        <v>487</v>
      </c>
      <c r="J45" s="193">
        <v>0.01</v>
      </c>
      <c r="K45" s="190">
        <v>0</v>
      </c>
      <c r="L45" s="181" t="s">
        <v>487</v>
      </c>
      <c r="M45" s="193">
        <f t="shared" si="30"/>
        <v>9.7694440000000007E-2</v>
      </c>
      <c r="N45" s="193">
        <f t="shared" si="30"/>
        <v>0</v>
      </c>
      <c r="O45" s="222"/>
      <c r="P45" s="181" t="s">
        <v>198</v>
      </c>
      <c r="Q45" s="192">
        <v>16.195</v>
      </c>
      <c r="R45" s="192">
        <v>16.195</v>
      </c>
      <c r="S45" s="192">
        <v>16.195</v>
      </c>
      <c r="T45" s="192">
        <v>1.6157635467980293E-2</v>
      </c>
      <c r="U45" s="192">
        <v>8.7813236239023332E-2</v>
      </c>
      <c r="V45" s="192">
        <v>1.6157635467980294</v>
      </c>
      <c r="W45" s="208">
        <v>5.4607986038670377</v>
      </c>
      <c r="X45" s="176">
        <f t="shared" si="35"/>
        <v>455.06655032225314</v>
      </c>
      <c r="Y45" s="193">
        <f t="shared" si="36"/>
        <v>227.53327516112657</v>
      </c>
      <c r="Z45" s="193">
        <f t="shared" si="36"/>
        <v>209.33061314823644</v>
      </c>
      <c r="AA45" s="193">
        <f t="shared" si="36"/>
        <v>18.202662012890126</v>
      </c>
      <c r="AC45" s="224">
        <f t="shared" si="32"/>
        <v>19.871399716889137</v>
      </c>
      <c r="AD45" s="224">
        <f t="shared" si="33"/>
        <v>54.557431828408397</v>
      </c>
      <c r="AE45" s="224">
        <f t="shared" si="34"/>
        <v>751.47494337782769</v>
      </c>
    </row>
    <row r="46" spans="1:31" x14ac:dyDescent="0.25">
      <c r="A46" s="168" t="s">
        <v>462</v>
      </c>
      <c r="B46" s="226">
        <f t="shared" si="40"/>
        <v>28.773110285006183</v>
      </c>
      <c r="C46" s="187">
        <f>B46*'supply(original)'!$C$24/'supply(original)'!$B$24</f>
        <v>17.983193928128859</v>
      </c>
      <c r="D46" s="186">
        <f t="shared" si="41"/>
        <v>10.789916356877324</v>
      </c>
      <c r="E46" s="212">
        <f t="shared" si="42"/>
        <v>96.825938104771126</v>
      </c>
      <c r="H46" s="189"/>
      <c r="I46" s="181" t="s">
        <v>488</v>
      </c>
      <c r="J46" s="193">
        <v>0.05</v>
      </c>
      <c r="K46" s="190">
        <v>0</v>
      </c>
      <c r="L46" s="181" t="s">
        <v>488</v>
      </c>
      <c r="M46" s="193">
        <f t="shared" si="30"/>
        <v>0.48847220000000002</v>
      </c>
      <c r="N46" s="193">
        <f t="shared" si="30"/>
        <v>0</v>
      </c>
      <c r="O46" s="222"/>
      <c r="P46" s="222" t="s">
        <v>199</v>
      </c>
      <c r="Q46" s="192">
        <v>23.14</v>
      </c>
      <c r="R46" s="192">
        <v>23.14</v>
      </c>
      <c r="S46" s="192">
        <v>23.14</v>
      </c>
      <c r="T46" s="192">
        <v>6.2823529411764695E-2</v>
      </c>
      <c r="U46" s="192">
        <v>0.34143222506393855</v>
      </c>
      <c r="V46" s="192">
        <v>6.2823529411764696</v>
      </c>
      <c r="W46" s="208">
        <v>3.7225577936802976</v>
      </c>
      <c r="X46" s="176">
        <f t="shared" si="35"/>
        <v>310.21314947335816</v>
      </c>
      <c r="Y46" s="193">
        <f t="shared" si="36"/>
        <v>155.10657473667908</v>
      </c>
      <c r="Z46" s="193">
        <f t="shared" si="36"/>
        <v>142.69804875774477</v>
      </c>
      <c r="AA46" s="193">
        <f t="shared" si="36"/>
        <v>12.408525978934327</v>
      </c>
      <c r="AC46" s="224">
        <f t="shared" si="32"/>
        <v>32.884342459927836</v>
      </c>
      <c r="AD46" s="224">
        <f t="shared" si="33"/>
        <v>124.82009523402959</v>
      </c>
      <c r="AE46" s="224">
        <f t="shared" si="34"/>
        <v>1972.0084919855676</v>
      </c>
    </row>
    <row r="47" spans="1:31" x14ac:dyDescent="0.25">
      <c r="A47" s="168" t="s">
        <v>463</v>
      </c>
      <c r="B47" s="187">
        <f t="shared" si="40"/>
        <v>16.502292441140021</v>
      </c>
      <c r="C47" s="187">
        <f>B47*'supply(original)'!$C$24/'supply(original)'!$B$24</f>
        <v>10.313932775712511</v>
      </c>
      <c r="D47" s="186">
        <f t="shared" si="41"/>
        <v>6.1883596654275106</v>
      </c>
      <c r="E47" s="212">
        <f t="shared" si="42"/>
        <v>170.26112726077071</v>
      </c>
      <c r="H47" s="189"/>
      <c r="I47" s="181" t="s">
        <v>489</v>
      </c>
      <c r="J47" s="193">
        <v>0.01</v>
      </c>
      <c r="K47" s="190">
        <v>0</v>
      </c>
      <c r="L47" s="181" t="s">
        <v>489</v>
      </c>
      <c r="M47" s="193">
        <f t="shared" si="30"/>
        <v>9.7694440000000007E-2</v>
      </c>
      <c r="N47" s="193">
        <f t="shared" si="30"/>
        <v>0</v>
      </c>
      <c r="O47" s="222"/>
      <c r="P47" s="181" t="s">
        <v>506</v>
      </c>
      <c r="Q47" s="192">
        <v>19.8</v>
      </c>
      <c r="R47" s="192">
        <v>19.8</v>
      </c>
      <c r="S47" s="192">
        <v>19.8</v>
      </c>
      <c r="T47" s="192">
        <v>4.5239908606245242E-3</v>
      </c>
      <c r="U47" s="192">
        <v>2.4586906851220239E-2</v>
      </c>
      <c r="V47" s="192">
        <v>0.45239908606245244</v>
      </c>
      <c r="W47" s="208">
        <v>91.904171829822374</v>
      </c>
      <c r="X47" s="176">
        <f t="shared" si="35"/>
        <v>7658.6809858185316</v>
      </c>
      <c r="Y47" s="193">
        <f t="shared" si="36"/>
        <v>3829.3404929092658</v>
      </c>
      <c r="Z47" s="193">
        <f t="shared" si="36"/>
        <v>3522.9932534765248</v>
      </c>
      <c r="AA47" s="193">
        <f t="shared" si="36"/>
        <v>306.34723943274128</v>
      </c>
      <c r="AC47" s="224">
        <f t="shared" si="32"/>
        <v>37.12390139214093</v>
      </c>
      <c r="AD47" s="224">
        <f t="shared" si="33"/>
        <v>200.57114496147057</v>
      </c>
      <c r="AE47" s="224">
        <f t="shared" si="34"/>
        <v>3484.5802784281859</v>
      </c>
    </row>
    <row r="48" spans="1:31" x14ac:dyDescent="0.25">
      <c r="A48" s="238" t="s">
        <v>464</v>
      </c>
      <c r="B48" s="239">
        <f t="shared" si="40"/>
        <v>4.4236059479553944</v>
      </c>
      <c r="C48" s="239">
        <f>B48*'supply(original)'!$C$24/'supply(original)'!$B$24</f>
        <v>2.7647537174721206</v>
      </c>
      <c r="D48" s="195">
        <f t="shared" si="41"/>
        <v>1.6588522304832738</v>
      </c>
      <c r="E48" s="214">
        <f>AA24</f>
        <v>273.30001879531773</v>
      </c>
      <c r="H48" s="189"/>
      <c r="I48" s="181" t="s">
        <v>490</v>
      </c>
      <c r="J48" s="193">
        <v>0</v>
      </c>
      <c r="K48" s="190">
        <v>-7.5</v>
      </c>
      <c r="L48" s="181" t="s">
        <v>490</v>
      </c>
      <c r="M48" s="193">
        <f t="shared" si="30"/>
        <v>0</v>
      </c>
      <c r="N48" s="193">
        <f t="shared" si="30"/>
        <v>-73.270830000000004</v>
      </c>
      <c r="O48" s="222"/>
      <c r="P48" s="222" t="s">
        <v>204</v>
      </c>
      <c r="Q48" s="192">
        <v>21.060000000000002</v>
      </c>
      <c r="R48" s="192">
        <v>21.060000000000002</v>
      </c>
      <c r="S48" s="192">
        <v>21.060000000000002</v>
      </c>
      <c r="T48" s="192">
        <v>5.5763459841129744E-2</v>
      </c>
      <c r="U48" s="192">
        <v>0.30306228174527039</v>
      </c>
      <c r="V48" s="192">
        <v>5.576345984112975</v>
      </c>
      <c r="W48" s="208">
        <v>3.9483633815055765</v>
      </c>
      <c r="X48" s="176">
        <f t="shared" si="35"/>
        <v>329.0302817921314</v>
      </c>
      <c r="Y48" s="193">
        <f t="shared" si="36"/>
        <v>164.5151408960657</v>
      </c>
      <c r="Z48" s="193">
        <f t="shared" si="36"/>
        <v>151.35392962438044</v>
      </c>
      <c r="AA48" s="193">
        <f t="shared" si="36"/>
        <v>13.161211271685257</v>
      </c>
      <c r="AC48" s="224">
        <f t="shared" si="32"/>
        <v>30.233933452615563</v>
      </c>
      <c r="AD48" s="224">
        <f t="shared" si="33"/>
        <v>116.78800124468414</v>
      </c>
      <c r="AE48" s="224">
        <f t="shared" si="34"/>
        <v>1855.8466905231123</v>
      </c>
    </row>
    <row r="49" spans="1:31" x14ac:dyDescent="0.25">
      <c r="A49" s="189"/>
      <c r="B49" s="178"/>
      <c r="C49" s="192"/>
      <c r="D49" s="192"/>
      <c r="E49" s="178"/>
      <c r="H49" s="222"/>
      <c r="I49" s="181" t="s">
        <v>491</v>
      </c>
      <c r="J49" s="193">
        <v>0.01</v>
      </c>
      <c r="K49" s="190">
        <v>0</v>
      </c>
      <c r="L49" s="181" t="s">
        <v>491</v>
      </c>
      <c r="M49" s="193">
        <f t="shared" si="30"/>
        <v>9.7694440000000007E-2</v>
      </c>
      <c r="N49" s="193">
        <f t="shared" si="30"/>
        <v>0</v>
      </c>
      <c r="O49" s="222"/>
      <c r="P49" s="222" t="s">
        <v>208</v>
      </c>
      <c r="Q49" s="192">
        <v>21.060000000000002</v>
      </c>
      <c r="R49" s="192">
        <v>21.060000000000002</v>
      </c>
      <c r="S49" s="192">
        <v>21.060000000000002</v>
      </c>
      <c r="T49" s="192">
        <v>4.2225563909774437E-2</v>
      </c>
      <c r="U49" s="192">
        <v>0.22948676037920887</v>
      </c>
      <c r="V49" s="192">
        <v>4.2225563909774433</v>
      </c>
      <c r="W49" s="208">
        <v>9.540355413568772</v>
      </c>
      <c r="X49" s="176">
        <f t="shared" si="35"/>
        <v>795.02961779739769</v>
      </c>
      <c r="Y49" s="193">
        <f t="shared" si="36"/>
        <v>397.51480889869885</v>
      </c>
      <c r="Z49" s="193">
        <f t="shared" si="36"/>
        <v>365.71362418680297</v>
      </c>
      <c r="AA49" s="193">
        <f t="shared" si="36"/>
        <v>31.801184711895907</v>
      </c>
      <c r="AC49" s="224">
        <f t="shared" si="32"/>
        <v>37.845286968233779</v>
      </c>
      <c r="AD49" s="224">
        <f t="shared" si="33"/>
        <v>196.21082053809161</v>
      </c>
      <c r="AE49" s="224">
        <f t="shared" si="34"/>
        <v>3378.1173936467562</v>
      </c>
    </row>
    <row r="50" spans="1:31" x14ac:dyDescent="0.25">
      <c r="E50" s="184" t="s">
        <v>467</v>
      </c>
      <c r="H50" s="222"/>
      <c r="I50" s="181" t="s">
        <v>492</v>
      </c>
      <c r="J50" s="193">
        <v>0.01</v>
      </c>
      <c r="K50" s="190">
        <v>0</v>
      </c>
      <c r="L50" s="181" t="s">
        <v>492</v>
      </c>
      <c r="M50" s="193">
        <f t="shared" si="30"/>
        <v>9.7694440000000007E-2</v>
      </c>
      <c r="N50" s="193">
        <f t="shared" si="30"/>
        <v>0</v>
      </c>
      <c r="O50" s="222"/>
      <c r="P50" s="181" t="s">
        <v>507</v>
      </c>
      <c r="Q50" s="192">
        <v>10.8</v>
      </c>
      <c r="R50" s="192">
        <v>10.8</v>
      </c>
      <c r="S50" s="192">
        <v>10.8</v>
      </c>
      <c r="T50" s="192">
        <v>3.5335342212973957E-4</v>
      </c>
      <c r="U50" s="192">
        <v>1.920399033313802E-3</v>
      </c>
      <c r="V50" s="192">
        <v>3.5335342212973957E-2</v>
      </c>
      <c r="W50" s="208">
        <v>201.3351920693928</v>
      </c>
      <c r="X50" s="176">
        <f t="shared" si="35"/>
        <v>16777.932672449399</v>
      </c>
      <c r="Y50" s="193">
        <f t="shared" si="36"/>
        <v>8388.9663362246993</v>
      </c>
      <c r="Z50" s="193">
        <f t="shared" si="36"/>
        <v>7717.8490293267232</v>
      </c>
      <c r="AA50" s="193">
        <f t="shared" si="36"/>
        <v>671.11730689797594</v>
      </c>
      <c r="AC50" s="224">
        <f t="shared" si="32"/>
        <v>13.764269963036181</v>
      </c>
      <c r="AD50" s="224">
        <f t="shared" si="33"/>
        <v>41.731512657768846</v>
      </c>
      <c r="AE50" s="224">
        <f t="shared" si="34"/>
        <v>603.65399260723609</v>
      </c>
    </row>
    <row r="51" spans="1:31" x14ac:dyDescent="0.25">
      <c r="E51" s="181" t="s">
        <v>469</v>
      </c>
      <c r="H51" s="222"/>
      <c r="I51" s="181" t="s">
        <v>493</v>
      </c>
      <c r="J51" s="193">
        <v>0.1</v>
      </c>
      <c r="K51" s="190">
        <v>-4.5</v>
      </c>
      <c r="L51" s="181" t="s">
        <v>493</v>
      </c>
      <c r="M51" s="193">
        <f t="shared" si="30"/>
        <v>0.97694440000000005</v>
      </c>
      <c r="N51" s="193">
        <f t="shared" si="30"/>
        <v>-43.962497999999997</v>
      </c>
      <c r="O51" s="222"/>
      <c r="P51" s="222" t="s">
        <v>287</v>
      </c>
      <c r="Q51" s="192">
        <v>18</v>
      </c>
      <c r="R51" s="192">
        <v>18</v>
      </c>
      <c r="S51" s="192">
        <v>18</v>
      </c>
      <c r="T51" s="192">
        <v>0.29526040360782668</v>
      </c>
      <c r="U51" s="192">
        <v>1.6046761065642756</v>
      </c>
      <c r="V51" s="192">
        <v>29.52604036078267</v>
      </c>
      <c r="W51" s="208">
        <v>0.26022301858736058</v>
      </c>
      <c r="X51" s="176">
        <f t="shared" si="35"/>
        <v>21.685251548946713</v>
      </c>
      <c r="Y51" s="193">
        <f t="shared" si="36"/>
        <v>10.842625774473357</v>
      </c>
      <c r="Z51" s="193">
        <f t="shared" si="36"/>
        <v>9.9752157125154888</v>
      </c>
      <c r="AA51" s="193">
        <f t="shared" si="36"/>
        <v>0.86741006195786852</v>
      </c>
      <c r="AC51" s="224">
        <f t="shared" si="32"/>
        <v>21.201398062339628</v>
      </c>
      <c r="AD51" s="224">
        <f t="shared" si="33"/>
        <v>51.405892824413513</v>
      </c>
      <c r="AE51" s="224">
        <f t="shared" si="34"/>
        <v>658.27961246792552</v>
      </c>
    </row>
    <row r="52" spans="1:31" x14ac:dyDescent="0.25">
      <c r="E52" s="222"/>
      <c r="H52" s="222"/>
      <c r="I52" s="181" t="s">
        <v>494</v>
      </c>
      <c r="J52" s="193">
        <v>0.01</v>
      </c>
      <c r="K52" s="190">
        <v>0</v>
      </c>
      <c r="L52" s="181" t="s">
        <v>494</v>
      </c>
      <c r="M52" s="193">
        <f t="shared" si="30"/>
        <v>9.7694440000000007E-2</v>
      </c>
      <c r="N52" s="193">
        <f t="shared" si="30"/>
        <v>0</v>
      </c>
      <c r="O52" s="222"/>
      <c r="P52" s="222" t="s">
        <v>286</v>
      </c>
      <c r="Q52" s="192">
        <v>21.6</v>
      </c>
      <c r="R52" s="192">
        <v>21.6</v>
      </c>
      <c r="S52" s="192">
        <v>21.6</v>
      </c>
      <c r="T52" s="192">
        <v>0.50216807575438016</v>
      </c>
      <c r="U52" s="192">
        <v>2.7291743247520657</v>
      </c>
      <c r="V52" s="192">
        <v>50.216807575438011</v>
      </c>
      <c r="W52" s="208">
        <v>6.6552044609665426</v>
      </c>
      <c r="X52" s="176">
        <f t="shared" si="35"/>
        <v>554.60037174721185</v>
      </c>
      <c r="Y52" s="193">
        <f t="shared" si="36"/>
        <v>277.30018587360593</v>
      </c>
      <c r="Z52" s="193">
        <f t="shared" si="36"/>
        <v>255.11617100371745</v>
      </c>
      <c r="AA52" s="193">
        <f t="shared" si="36"/>
        <v>22.184014869888475</v>
      </c>
      <c r="AC52" s="224">
        <f t="shared" si="32"/>
        <v>160.85130074648063</v>
      </c>
      <c r="AD52" s="224">
        <f t="shared" si="33"/>
        <v>1474.6570512676235</v>
      </c>
      <c r="AE52" s="224">
        <f t="shared" si="34"/>
        <v>27871.860149296124</v>
      </c>
    </row>
    <row r="53" spans="1:31" x14ac:dyDescent="0.25">
      <c r="E53" s="222" t="s">
        <v>470</v>
      </c>
      <c r="H53" s="222"/>
      <c r="I53" s="181" t="s">
        <v>495</v>
      </c>
      <c r="J53" s="193">
        <v>0.1</v>
      </c>
      <c r="K53" s="190">
        <v>0</v>
      </c>
      <c r="L53" s="181" t="s">
        <v>495</v>
      </c>
      <c r="M53" s="193">
        <f t="shared" si="30"/>
        <v>0.97694440000000005</v>
      </c>
      <c r="N53" s="193">
        <f t="shared" si="30"/>
        <v>0</v>
      </c>
      <c r="O53" s="222"/>
      <c r="P53" s="222" t="s">
        <v>508</v>
      </c>
      <c r="Q53" s="192">
        <v>20</v>
      </c>
      <c r="R53" s="192">
        <v>20</v>
      </c>
      <c r="S53" s="192">
        <v>20</v>
      </c>
      <c r="T53" s="192">
        <v>9.5282815268397502E-3</v>
      </c>
      <c r="U53" s="192">
        <v>5.1784138732824725E-2</v>
      </c>
      <c r="V53" s="192">
        <v>0.95282815268397503</v>
      </c>
      <c r="W53" s="208">
        <v>48.909073075036751</v>
      </c>
      <c r="X53" s="176">
        <f t="shared" si="35"/>
        <v>4075.7560895863962</v>
      </c>
      <c r="Y53" s="193">
        <f t="shared" si="36"/>
        <v>2037.8780447931981</v>
      </c>
      <c r="Z53" s="193">
        <f t="shared" si="36"/>
        <v>1874.8478012097423</v>
      </c>
      <c r="AA53" s="193">
        <f t="shared" si="36"/>
        <v>163.03024358345584</v>
      </c>
      <c r="AC53" s="224">
        <f t="shared" si="32"/>
        <v>39.417475728155338</v>
      </c>
      <c r="AD53" s="224">
        <f t="shared" si="33"/>
        <v>222.61713803292528</v>
      </c>
      <c r="AE53" s="224">
        <f t="shared" si="34"/>
        <v>3903.4951456310678</v>
      </c>
    </row>
    <row r="54" spans="1:31" x14ac:dyDescent="0.25">
      <c r="E54" s="222"/>
      <c r="H54" s="222"/>
      <c r="I54" s="181" t="s">
        <v>496</v>
      </c>
      <c r="J54" s="193">
        <v>0.02</v>
      </c>
      <c r="K54" s="190">
        <v>0</v>
      </c>
      <c r="L54" s="181" t="s">
        <v>496</v>
      </c>
      <c r="M54" s="193">
        <f t="shared" si="30"/>
        <v>0.19538888000000001</v>
      </c>
      <c r="N54" s="193">
        <f t="shared" si="30"/>
        <v>0</v>
      </c>
      <c r="O54" s="222"/>
      <c r="P54" s="222" t="s">
        <v>206</v>
      </c>
      <c r="Q54" s="192">
        <v>21.58</v>
      </c>
      <c r="R54" s="192">
        <v>21.58</v>
      </c>
      <c r="S54" s="192">
        <v>21.58</v>
      </c>
      <c r="T54" s="192">
        <v>2.8129068737245352E-2</v>
      </c>
      <c r="U54" s="192">
        <v>0.15287537357198563</v>
      </c>
      <c r="V54" s="192">
        <v>2.8129068737245353</v>
      </c>
      <c r="W54" s="208">
        <v>17.089225371747212</v>
      </c>
      <c r="X54" s="176">
        <f t="shared" si="35"/>
        <v>1424.1021143122675</v>
      </c>
      <c r="Y54" s="193">
        <f t="shared" si="36"/>
        <v>712.05105715613377</v>
      </c>
      <c r="Z54" s="193">
        <f t="shared" si="36"/>
        <v>655.08697258364305</v>
      </c>
      <c r="AA54" s="193">
        <f t="shared" si="36"/>
        <v>56.964084572490705</v>
      </c>
      <c r="AC54" s="224">
        <f t="shared" si="32"/>
        <v>41.609333131173102</v>
      </c>
      <c r="AD54" s="224">
        <f t="shared" si="33"/>
        <v>230.58173702093677</v>
      </c>
      <c r="AE54" s="224">
        <f t="shared" si="34"/>
        <v>4027.4466262346214</v>
      </c>
    </row>
    <row r="55" spans="1:31" x14ac:dyDescent="0.25">
      <c r="E55" s="222"/>
      <c r="H55" s="222"/>
      <c r="I55" s="181" t="s">
        <v>497</v>
      </c>
      <c r="J55" s="193">
        <v>0.01</v>
      </c>
      <c r="K55" s="190">
        <v>0</v>
      </c>
      <c r="L55" s="181" t="s">
        <v>497</v>
      </c>
      <c r="M55" s="193">
        <f t="shared" si="30"/>
        <v>9.7694440000000007E-2</v>
      </c>
      <c r="N55" s="193">
        <f t="shared" si="30"/>
        <v>0</v>
      </c>
      <c r="O55" s="222"/>
      <c r="P55" s="222" t="s">
        <v>509</v>
      </c>
      <c r="Q55" s="192">
        <v>19.8</v>
      </c>
      <c r="R55" s="192">
        <v>19.8</v>
      </c>
      <c r="S55" s="192">
        <v>19.8</v>
      </c>
      <c r="T55" s="192">
        <v>4.5239908606245242E-3</v>
      </c>
      <c r="U55" s="192">
        <v>2.4586906851220239E-2</v>
      </c>
      <c r="V55" s="192">
        <v>0.45239908606245244</v>
      </c>
      <c r="W55" s="208">
        <v>156.94423791821555</v>
      </c>
      <c r="X55" s="176">
        <f t="shared" si="35"/>
        <v>13078.686493184628</v>
      </c>
      <c r="Y55" s="193">
        <f t="shared" si="36"/>
        <v>6539.3432465923142</v>
      </c>
      <c r="Z55" s="193">
        <f t="shared" si="36"/>
        <v>6016.1957868649297</v>
      </c>
      <c r="AA55" s="193">
        <f t="shared" si="36"/>
        <v>523.14745972738513</v>
      </c>
      <c r="AC55" s="224">
        <f t="shared" si="32"/>
        <v>49.383929082070338</v>
      </c>
      <c r="AD55" s="224">
        <f t="shared" si="33"/>
        <v>328.50186868247306</v>
      </c>
      <c r="AE55" s="224">
        <f t="shared" si="34"/>
        <v>5936.5858164140673</v>
      </c>
    </row>
    <row r="56" spans="1:31" x14ac:dyDescent="0.25">
      <c r="E56" s="222"/>
      <c r="H56" s="222"/>
      <c r="I56" s="181" t="s">
        <v>498</v>
      </c>
      <c r="J56" s="193">
        <v>0.02</v>
      </c>
      <c r="K56" s="190">
        <v>-9</v>
      </c>
      <c r="L56" s="181" t="s">
        <v>498</v>
      </c>
      <c r="M56" s="193">
        <f t="shared" si="30"/>
        <v>0.19538888000000001</v>
      </c>
      <c r="N56" s="193">
        <f t="shared" si="30"/>
        <v>-87.924995999999993</v>
      </c>
      <c r="O56" s="222"/>
    </row>
    <row r="57" spans="1:31" x14ac:dyDescent="0.25">
      <c r="E57" s="222"/>
      <c r="H57" s="222"/>
      <c r="I57" s="181" t="s">
        <v>499</v>
      </c>
      <c r="J57" s="193">
        <v>0.01</v>
      </c>
      <c r="K57" s="190">
        <v>0</v>
      </c>
      <c r="L57" s="181" t="s">
        <v>499</v>
      </c>
      <c r="M57" s="193">
        <f t="shared" si="30"/>
        <v>9.7694440000000007E-2</v>
      </c>
      <c r="N57" s="193">
        <f t="shared" si="30"/>
        <v>0</v>
      </c>
      <c r="O57" s="222"/>
    </row>
    <row r="58" spans="1:31" x14ac:dyDescent="0.25">
      <c r="E58" s="222"/>
      <c r="H58" s="222"/>
      <c r="I58" s="222"/>
      <c r="J58" s="222"/>
      <c r="K58" s="222"/>
      <c r="L58" s="222"/>
      <c r="M58" s="193"/>
      <c r="N58" s="193"/>
      <c r="O58" s="222"/>
    </row>
    <row r="59" spans="1:31" x14ac:dyDescent="0.25">
      <c r="E59" s="222"/>
      <c r="H59" s="222"/>
      <c r="I59" s="222" t="s">
        <v>510</v>
      </c>
      <c r="J59" s="193">
        <v>0</v>
      </c>
      <c r="K59" s="222">
        <v>-6.98</v>
      </c>
      <c r="L59" s="222" t="s">
        <v>510</v>
      </c>
      <c r="M59" s="193">
        <f t="shared" ref="M59:N59" si="43">J59*9769444.44/1000000</f>
        <v>0</v>
      </c>
      <c r="N59" s="193">
        <f t="shared" si="43"/>
        <v>-68.19072219120001</v>
      </c>
      <c r="O59" s="222"/>
    </row>
    <row r="60" spans="1:31" x14ac:dyDescent="0.25">
      <c r="E60" s="222"/>
      <c r="H60" s="222"/>
      <c r="I60" s="222"/>
      <c r="J60" s="222"/>
      <c r="K60" s="222"/>
      <c r="L60" s="222"/>
      <c r="M60" s="222"/>
      <c r="N60" s="222"/>
      <c r="O60" s="222"/>
    </row>
    <row r="61" spans="1:31" x14ac:dyDescent="0.25">
      <c r="H61" s="222"/>
      <c r="I61" s="222"/>
      <c r="J61" s="222"/>
      <c r="K61" s="222"/>
      <c r="L61" s="222"/>
      <c r="M61" s="222"/>
      <c r="N61" s="222"/>
      <c r="O61" s="222"/>
    </row>
  </sheetData>
  <mergeCells count="2">
    <mergeCell ref="I29:N29"/>
    <mergeCell ref="P29:U29"/>
  </mergeCells>
  <conditionalFormatting sqref="A36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{7342A410-EECA-4528-95D1-F2CB80E0EFB5}</x14:id>
        </ext>
      </extLst>
    </cfRule>
  </conditionalFormatting>
  <conditionalFormatting sqref="B1:D1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{E8247506-57DF-4708-9AAA-0FD5D5BF49A3}</x14:id>
        </ext>
      </extLst>
    </cfRule>
  </conditionalFormatting>
  <conditionalFormatting sqref="B49 E4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{D81EC84F-D4CA-42A7-89C9-634C9C10E7B3}</x14:id>
        </ext>
      </extLst>
    </cfRule>
  </conditionalFormatting>
  <conditionalFormatting sqref="A4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{C8071592-0851-458B-A5D7-71A7EE47EBEC}</x14:id>
        </ext>
      </extLst>
    </cfRule>
  </conditionalFormatting>
  <conditionalFormatting sqref="E49 B49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{8365BEB2-A22C-4A5F-9F19-9BFE07D24AA1}</x14:id>
        </ext>
      </extLst>
    </cfRule>
  </conditionalFormatting>
  <conditionalFormatting sqref="A2:A35 A37:A4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{39B9F9E8-E84B-4138-9FB0-805C47900B68}</x14:id>
        </ext>
      </extLst>
    </cfRule>
  </conditionalFormatting>
  <conditionalFormatting sqref="H2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{C70A1337-4945-46B7-91EC-435AB884CF5D}</x14:id>
        </ext>
      </extLst>
    </cfRule>
  </conditionalFormatting>
  <conditionalFormatting sqref="H32 H34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{37F05EAA-FE10-4580-ADE6-1DD0AC7A95DF}</x14:id>
        </ext>
      </extLst>
    </cfRule>
  </conditionalFormatting>
  <conditionalFormatting sqref="H2:H19 H33 H35 H40:H42 H45:H48 H21:H28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{B925B0B7-EBC4-457A-93C4-780B66A14DC4}</x14:id>
        </ext>
      </extLst>
    </cfRule>
  </conditionalFormatting>
  <conditionalFormatting sqref="O2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{27CCCA99-93C7-4912-9193-107DF4B9D976}</x14:id>
        </ext>
      </extLst>
    </cfRule>
  </conditionalFormatting>
  <conditionalFormatting sqref="O14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{95C6CCFC-A446-4B75-AE41-861C9F81D6BB}</x14:id>
        </ext>
      </extLst>
    </cfRule>
  </conditionalFormatting>
  <conditionalFormatting sqref="T2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{CAA6AD5C-42B1-47FA-874B-C27BC2B36439}</x14:id>
        </ext>
      </extLst>
    </cfRule>
  </conditionalFormatting>
  <conditionalFormatting sqref="T14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{D4BD4B7F-1D6A-4689-BEEB-4ADB297F4720}</x14:id>
        </ext>
      </extLst>
    </cfRule>
  </conditionalFormatting>
  <conditionalFormatting sqref="Y2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{E106F81A-C36B-46FD-BCE5-F215DA43F498}</x14:id>
        </ext>
      </extLst>
    </cfRule>
  </conditionalFormatting>
  <conditionalFormatting sqref="Y14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{3660CC58-4563-44BE-82D9-EFAF282D1AB0}</x14:id>
        </ext>
      </extLst>
    </cfRule>
  </conditionalFormatting>
  <conditionalFormatting sqref="Q31:S31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{F294361C-F746-4D40-BABD-B67203BA37F9}</x14:id>
        </ext>
      </extLst>
    </cfRule>
  </conditionalFormatting>
  <conditionalFormatting sqref="T31:V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{1584C240-7252-4D78-9B50-E8FC13B708A5}</x14:id>
        </ext>
      </extLst>
    </cfRule>
  </conditionalFormatting>
  <conditionalFormatting sqref="P51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{E7A3FA61-70F5-4902-9C4C-4FC49094AB9F}</x14:id>
        </ext>
      </extLst>
    </cfRule>
  </conditionalFormatting>
  <conditionalFormatting sqref="P33:P50 P52:P55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{97538FDC-5735-4EA4-A282-883BD9F76A17}</x14:id>
        </ext>
      </extLst>
    </cfRule>
  </conditionalFormatting>
  <conditionalFormatting sqref="Y31:AA3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{1AE91472-BEEA-4967-B55B-309E7308575D}</x14:id>
        </ext>
      </extLst>
    </cfRule>
  </conditionalFormatting>
  <conditionalFormatting sqref="AC31:AE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{5A3D8A55-6170-4FEC-B1DB-E3D441A2DCE7}</x14:id>
        </ext>
      </extLst>
    </cfRule>
  </conditionalFormatting>
  <conditionalFormatting sqref="X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{A6F174D0-25EF-439A-AC19-DBD7CA1516BF}</x14:id>
        </ext>
      </extLst>
    </cfRule>
  </conditionalFormatting>
  <conditionalFormatting sqref="C2:C48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{A920B4C5-918C-4B6A-806E-7C78C0E73FCF}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342A410-EECA-4528-95D1-F2CB80E0EFB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A36</xm:sqref>
        </x14:conditionalFormatting>
        <x14:conditionalFormatting xmlns:xm="http://schemas.microsoft.com/office/excel/2006/main">
          <x14:cfRule type="dataBar" id="{E8247506-57DF-4708-9AAA-0FD5D5BF49A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D81EC84F-D4CA-42A7-89C9-634C9C10E7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 E49</xm:sqref>
        </x14:conditionalFormatting>
        <x14:conditionalFormatting xmlns:xm="http://schemas.microsoft.com/office/excel/2006/main">
          <x14:cfRule type="dataBar" id="{C8071592-0851-458B-A5D7-71A7EE47EBE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</xm:sqref>
        </x14:conditionalFormatting>
        <x14:conditionalFormatting xmlns:xm="http://schemas.microsoft.com/office/excel/2006/main">
          <x14:cfRule type="dataBar" id="{8365BEB2-A22C-4A5F-9F19-9BFE07D24A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 B49</xm:sqref>
        </x14:conditionalFormatting>
        <x14:conditionalFormatting xmlns:xm="http://schemas.microsoft.com/office/excel/2006/main">
          <x14:cfRule type="dataBar" id="{39B9F9E8-E84B-4138-9FB0-805C47900B6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A2:A35 A37:A48</xm:sqref>
        </x14:conditionalFormatting>
        <x14:conditionalFormatting xmlns:xm="http://schemas.microsoft.com/office/excel/2006/main">
          <x14:cfRule type="dataBar" id="{C70A1337-4945-46B7-91EC-435AB884CF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37F05EAA-FE10-4580-ADE6-1DD0AC7A95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B925B0B7-EBC4-457A-93C4-780B66A14DC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H33 H35 H40:H42 H45:H48 H21:H28</xm:sqref>
        </x14:conditionalFormatting>
        <x14:conditionalFormatting xmlns:xm="http://schemas.microsoft.com/office/excel/2006/main">
          <x14:cfRule type="dataBar" id="{27CCCA99-93C7-4912-9193-107DF4B9D97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95C6CCFC-A446-4B75-AE41-861C9F81D6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CAA6AD5C-42B1-47FA-874B-C27BC2B3643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D4BD4B7F-1D6A-4689-BEEB-4ADB297F472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E106F81A-C36B-46FD-BCE5-F215DA43F4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3660CC58-4563-44BE-82D9-EFAF282D1A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F294361C-F746-4D40-BABD-B67203BA37F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Q31:S31</xm:sqref>
        </x14:conditionalFormatting>
        <x14:conditionalFormatting xmlns:xm="http://schemas.microsoft.com/office/excel/2006/main">
          <x14:cfRule type="dataBar" id="{1584C240-7252-4D78-9B50-E8FC13B708A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T31:V31</xm:sqref>
        </x14:conditionalFormatting>
        <x14:conditionalFormatting xmlns:xm="http://schemas.microsoft.com/office/excel/2006/main">
          <x14:cfRule type="dataBar" id="{E7A3FA61-70F5-4902-9C4C-4FC49094AB9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P51</xm:sqref>
        </x14:conditionalFormatting>
        <x14:conditionalFormatting xmlns:xm="http://schemas.microsoft.com/office/excel/2006/main">
          <x14:cfRule type="dataBar" id="{97538FDC-5735-4EA4-A282-883BD9F76A1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P33:P50 P52:P55</xm:sqref>
        </x14:conditionalFormatting>
        <x14:conditionalFormatting xmlns:xm="http://schemas.microsoft.com/office/excel/2006/main">
          <x14:cfRule type="dataBar" id="{1AE91472-BEEA-4967-B55B-309E7308575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Y31:AA31</xm:sqref>
        </x14:conditionalFormatting>
        <x14:conditionalFormatting xmlns:xm="http://schemas.microsoft.com/office/excel/2006/main">
          <x14:cfRule type="dataBar" id="{5A3D8A55-6170-4FEC-B1DB-E3D441A2DC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AC31:AE31</xm:sqref>
        </x14:conditionalFormatting>
        <x14:conditionalFormatting xmlns:xm="http://schemas.microsoft.com/office/excel/2006/main">
          <x14:cfRule type="dataBar" id="{A6F174D0-25EF-439A-AC19-DBD7CA1516B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X31</xm:sqref>
        </x14:conditionalFormatting>
        <x14:conditionalFormatting xmlns:xm="http://schemas.microsoft.com/office/excel/2006/main">
          <x14:cfRule type="dataBar" id="{A920B4C5-918C-4B6A-806E-7C78C0E73FC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C2:C48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A9DFF0-023E-46CF-AC93-A4A478B03CF6}">
  <sheetPr codeName="Sheet6">
    <tabColor theme="5"/>
  </sheetPr>
  <dimension ref="A1:Y38"/>
  <sheetViews>
    <sheetView tabSelected="1" workbookViewId="0">
      <selection activeCell="I26" sqref="I26"/>
    </sheetView>
  </sheetViews>
  <sheetFormatPr defaultRowHeight="15" x14ac:dyDescent="0.25"/>
  <cols>
    <col min="1" max="1" width="16.28515625" customWidth="1"/>
  </cols>
  <sheetData>
    <row r="1" spans="1:23" x14ac:dyDescent="0.25">
      <c r="A1" s="343" t="s">
        <v>427</v>
      </c>
      <c r="B1" s="343"/>
      <c r="C1" s="343"/>
      <c r="D1" s="343"/>
      <c r="E1" s="343"/>
      <c r="F1" s="343"/>
      <c r="G1" s="343"/>
      <c r="I1" s="71"/>
      <c r="K1" s="343" t="s">
        <v>428</v>
      </c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</row>
    <row r="2" spans="1:23" x14ac:dyDescent="0.25">
      <c r="A2" s="117" t="s">
        <v>144</v>
      </c>
      <c r="B2" s="149" t="s">
        <v>421</v>
      </c>
      <c r="C2" s="149" t="s">
        <v>426</v>
      </c>
      <c r="D2" s="149" t="s">
        <v>422</v>
      </c>
      <c r="E2" s="149" t="s">
        <v>423</v>
      </c>
      <c r="F2" s="149" t="s">
        <v>424</v>
      </c>
      <c r="G2" s="149" t="s">
        <v>425</v>
      </c>
      <c r="K2" s="117" t="s">
        <v>144</v>
      </c>
      <c r="L2" s="149" t="s">
        <v>409</v>
      </c>
      <c r="M2" s="149" t="s">
        <v>410</v>
      </c>
      <c r="N2" s="149" t="s">
        <v>411</v>
      </c>
      <c r="O2" s="149" t="s">
        <v>412</v>
      </c>
      <c r="P2" s="149" t="s">
        <v>413</v>
      </c>
      <c r="Q2" s="149" t="s">
        <v>414</v>
      </c>
      <c r="R2" s="149" t="s">
        <v>415</v>
      </c>
      <c r="S2" s="149" t="s">
        <v>416</v>
      </c>
      <c r="T2" s="149" t="s">
        <v>417</v>
      </c>
      <c r="U2" s="149" t="s">
        <v>418</v>
      </c>
      <c r="V2" s="149" t="s">
        <v>419</v>
      </c>
      <c r="W2" s="149" t="s">
        <v>420</v>
      </c>
    </row>
    <row r="3" spans="1:23" x14ac:dyDescent="0.25">
      <c r="A3" s="161" t="s">
        <v>183</v>
      </c>
      <c r="B3" s="157">
        <v>1.4656511162314125</v>
      </c>
      <c r="C3" s="157">
        <v>2.4427518603856875</v>
      </c>
      <c r="D3" s="193">
        <v>8.5704925650557602</v>
      </c>
      <c r="E3" s="164">
        <f>$G$34*D3</f>
        <v>7.7134433085501843</v>
      </c>
      <c r="F3" s="330">
        <v>0.8</v>
      </c>
      <c r="G3" s="331">
        <v>1</v>
      </c>
      <c r="H3" s="193"/>
      <c r="K3" s="161" t="s">
        <v>183</v>
      </c>
      <c r="L3" s="155">
        <v>0</v>
      </c>
      <c r="M3" s="155">
        <v>0</v>
      </c>
      <c r="N3" s="155">
        <v>0</v>
      </c>
      <c r="O3" s="155">
        <v>0</v>
      </c>
      <c r="P3" s="155">
        <v>0</v>
      </c>
      <c r="Q3" s="155">
        <v>0</v>
      </c>
      <c r="R3" s="155">
        <v>0</v>
      </c>
      <c r="S3" s="155">
        <v>0</v>
      </c>
      <c r="T3" s="155">
        <v>0</v>
      </c>
      <c r="U3" s="155">
        <v>0</v>
      </c>
      <c r="V3" s="155">
        <v>0</v>
      </c>
      <c r="W3" s="157">
        <f>$Y$34*D3</f>
        <v>6.8563940520446085</v>
      </c>
    </row>
    <row r="4" spans="1:23" x14ac:dyDescent="0.25">
      <c r="A4" s="161" t="s">
        <v>189</v>
      </c>
      <c r="B4" s="157">
        <v>0.13007680715613382</v>
      </c>
      <c r="C4" s="157">
        <v>0.21679467859355636</v>
      </c>
      <c r="D4" s="193">
        <v>0.83655204460966559</v>
      </c>
      <c r="E4" s="164">
        <f t="shared" ref="E4:E32" si="0">$G$34*D4</f>
        <v>0.75289684014869906</v>
      </c>
      <c r="F4" s="330">
        <v>0.8</v>
      </c>
      <c r="G4" s="331">
        <v>1</v>
      </c>
      <c r="H4" s="193"/>
      <c r="K4" s="161" t="s">
        <v>189</v>
      </c>
      <c r="L4" s="155">
        <v>0</v>
      </c>
      <c r="M4" s="155">
        <v>0</v>
      </c>
      <c r="N4" s="155">
        <v>0</v>
      </c>
      <c r="O4" s="155">
        <v>0</v>
      </c>
      <c r="P4" s="155">
        <v>0</v>
      </c>
      <c r="Q4" s="155">
        <v>0</v>
      </c>
      <c r="R4" s="155">
        <v>0</v>
      </c>
      <c r="S4" s="155">
        <v>0</v>
      </c>
      <c r="T4" s="155">
        <v>0</v>
      </c>
      <c r="U4" s="155">
        <v>0</v>
      </c>
      <c r="V4" s="155">
        <v>0</v>
      </c>
      <c r="W4" s="193">
        <f t="shared" ref="W4:W32" si="1">$Y$34*D4</f>
        <v>0.66924163568773254</v>
      </c>
    </row>
    <row r="5" spans="1:23" x14ac:dyDescent="0.25">
      <c r="A5" s="112" t="s">
        <v>288</v>
      </c>
      <c r="B5" s="157">
        <v>0.18122782005783922</v>
      </c>
      <c r="C5" s="157">
        <v>0.30204636676306534</v>
      </c>
      <c r="D5" s="193">
        <v>1.6440520446096651</v>
      </c>
      <c r="E5" s="164">
        <f t="shared" si="0"/>
        <v>1.4796468401486986</v>
      </c>
      <c r="F5" s="330">
        <v>0.8</v>
      </c>
      <c r="G5" s="331">
        <v>1</v>
      </c>
      <c r="H5" s="193"/>
      <c r="K5" s="112" t="s">
        <v>288</v>
      </c>
      <c r="L5" s="155">
        <v>0</v>
      </c>
      <c r="M5" s="155">
        <v>0</v>
      </c>
      <c r="N5" s="155">
        <v>0</v>
      </c>
      <c r="O5" s="155">
        <v>0</v>
      </c>
      <c r="P5" s="155">
        <v>0</v>
      </c>
      <c r="Q5" s="155">
        <v>0</v>
      </c>
      <c r="R5" s="155">
        <v>0</v>
      </c>
      <c r="S5" s="155">
        <v>0</v>
      </c>
      <c r="T5" s="155">
        <v>0</v>
      </c>
      <c r="U5" s="155">
        <v>0</v>
      </c>
      <c r="V5" s="155">
        <v>0</v>
      </c>
      <c r="W5" s="193">
        <f t="shared" si="1"/>
        <v>1.3152416356877321</v>
      </c>
    </row>
    <row r="6" spans="1:23" x14ac:dyDescent="0.25">
      <c r="A6" s="161" t="s">
        <v>187</v>
      </c>
      <c r="B6" s="157">
        <v>0</v>
      </c>
      <c r="C6" s="157">
        <v>0</v>
      </c>
      <c r="D6" s="193">
        <v>1.9476765799256506</v>
      </c>
      <c r="E6" s="164">
        <f t="shared" si="0"/>
        <v>1.7529089219330856</v>
      </c>
      <c r="F6" s="330">
        <v>0.8</v>
      </c>
      <c r="G6" s="331">
        <v>1</v>
      </c>
      <c r="H6" s="193"/>
      <c r="K6" s="161" t="s">
        <v>187</v>
      </c>
      <c r="L6" s="155">
        <v>0</v>
      </c>
      <c r="M6" s="155">
        <v>0</v>
      </c>
      <c r="N6" s="155">
        <v>0</v>
      </c>
      <c r="O6" s="155">
        <v>0</v>
      </c>
      <c r="P6" s="155">
        <v>0</v>
      </c>
      <c r="Q6" s="155">
        <v>0</v>
      </c>
      <c r="R6" s="155">
        <v>0</v>
      </c>
      <c r="S6" s="155">
        <v>0</v>
      </c>
      <c r="T6" s="155">
        <v>0</v>
      </c>
      <c r="U6" s="155">
        <v>0</v>
      </c>
      <c r="V6" s="155">
        <v>0</v>
      </c>
      <c r="W6" s="193">
        <f t="shared" si="1"/>
        <v>1.5581412639405205</v>
      </c>
    </row>
    <row r="7" spans="1:23" x14ac:dyDescent="0.25">
      <c r="A7" s="161" t="s">
        <v>190</v>
      </c>
      <c r="B7" s="165">
        <v>0</v>
      </c>
      <c r="C7" s="165">
        <v>0</v>
      </c>
      <c r="D7" s="193">
        <v>0</v>
      </c>
      <c r="E7" s="164">
        <f t="shared" si="0"/>
        <v>0</v>
      </c>
      <c r="F7" s="330">
        <v>0.8</v>
      </c>
      <c r="G7" s="331">
        <v>1</v>
      </c>
      <c r="H7" s="193"/>
      <c r="K7" s="161" t="s">
        <v>190</v>
      </c>
      <c r="L7" s="155">
        <v>0</v>
      </c>
      <c r="M7" s="155">
        <v>0</v>
      </c>
      <c r="N7" s="155">
        <v>0</v>
      </c>
      <c r="O7" s="155">
        <v>0</v>
      </c>
      <c r="P7" s="155">
        <v>0</v>
      </c>
      <c r="Q7" s="155">
        <v>0</v>
      </c>
      <c r="R7" s="155">
        <v>0</v>
      </c>
      <c r="S7" s="155">
        <v>0</v>
      </c>
      <c r="T7" s="155">
        <v>0</v>
      </c>
      <c r="U7" s="155">
        <v>0</v>
      </c>
      <c r="V7" s="155">
        <v>0</v>
      </c>
      <c r="W7" s="193">
        <f t="shared" si="1"/>
        <v>0</v>
      </c>
    </row>
    <row r="8" spans="1:23" x14ac:dyDescent="0.25">
      <c r="A8" s="161" t="s">
        <v>184</v>
      </c>
      <c r="B8" s="157">
        <v>0.62746764924999987</v>
      </c>
      <c r="C8" s="157">
        <v>1.0457794154166666</v>
      </c>
      <c r="D8" s="193">
        <v>3.9574990750365591</v>
      </c>
      <c r="E8" s="164">
        <f t="shared" si="0"/>
        <v>3.5617491675329034</v>
      </c>
      <c r="F8" s="330">
        <v>0.8</v>
      </c>
      <c r="G8" s="331">
        <v>1</v>
      </c>
      <c r="H8" s="193"/>
      <c r="K8" s="161" t="s">
        <v>184</v>
      </c>
      <c r="L8" s="155">
        <v>0</v>
      </c>
      <c r="M8" s="155">
        <v>0</v>
      </c>
      <c r="N8" s="155">
        <v>0</v>
      </c>
      <c r="O8" s="155">
        <v>0</v>
      </c>
      <c r="P8" s="155">
        <v>0</v>
      </c>
      <c r="Q8" s="155">
        <v>0</v>
      </c>
      <c r="R8" s="155">
        <v>0</v>
      </c>
      <c r="S8" s="155">
        <v>0</v>
      </c>
      <c r="T8" s="155">
        <v>0</v>
      </c>
      <c r="U8" s="155">
        <v>0</v>
      </c>
      <c r="V8" s="155">
        <v>0</v>
      </c>
      <c r="W8" s="193">
        <f t="shared" si="1"/>
        <v>3.1659992600292473</v>
      </c>
    </row>
    <row r="9" spans="1:23" x14ac:dyDescent="0.25">
      <c r="A9" s="161" t="s">
        <v>180</v>
      </c>
      <c r="B9" s="157">
        <v>4.0893921676672864</v>
      </c>
      <c r="C9" s="157">
        <v>6.815653612778811</v>
      </c>
      <c r="D9" s="193">
        <v>25.095832006087353</v>
      </c>
      <c r="E9" s="164">
        <f t="shared" si="0"/>
        <v>22.586248805478618</v>
      </c>
      <c r="F9" s="330">
        <v>0.8</v>
      </c>
      <c r="G9" s="331">
        <v>1</v>
      </c>
      <c r="H9" s="193"/>
      <c r="K9" s="161" t="s">
        <v>180</v>
      </c>
      <c r="L9" s="155">
        <v>0</v>
      </c>
      <c r="M9" s="155">
        <v>0</v>
      </c>
      <c r="N9" s="155">
        <v>0</v>
      </c>
      <c r="O9" s="155">
        <v>0</v>
      </c>
      <c r="P9" s="155">
        <v>0</v>
      </c>
      <c r="Q9" s="155">
        <v>0</v>
      </c>
      <c r="R9" s="155">
        <v>0</v>
      </c>
      <c r="S9" s="155">
        <v>0</v>
      </c>
      <c r="T9" s="155">
        <v>0</v>
      </c>
      <c r="U9" s="155">
        <v>0</v>
      </c>
      <c r="V9" s="155">
        <v>0</v>
      </c>
      <c r="W9" s="193">
        <f t="shared" si="1"/>
        <v>20.076665604869884</v>
      </c>
    </row>
    <row r="10" spans="1:23" x14ac:dyDescent="0.25">
      <c r="A10" s="161" t="s">
        <v>194</v>
      </c>
      <c r="B10" s="157">
        <v>0.19580964840427514</v>
      </c>
      <c r="C10" s="157">
        <v>0.32634941400712514</v>
      </c>
      <c r="D10" s="193">
        <v>0.96161710037174719</v>
      </c>
      <c r="E10" s="164">
        <f t="shared" si="0"/>
        <v>0.86545539033457253</v>
      </c>
      <c r="F10" s="330">
        <v>0.8</v>
      </c>
      <c r="G10" s="331">
        <v>1</v>
      </c>
      <c r="H10" s="193"/>
      <c r="K10" s="161" t="s">
        <v>194</v>
      </c>
      <c r="L10" s="155">
        <v>0</v>
      </c>
      <c r="M10" s="155">
        <v>0</v>
      </c>
      <c r="N10" s="155">
        <v>0</v>
      </c>
      <c r="O10" s="155">
        <v>0</v>
      </c>
      <c r="P10" s="155">
        <v>0</v>
      </c>
      <c r="Q10" s="155">
        <v>0</v>
      </c>
      <c r="R10" s="155">
        <v>0</v>
      </c>
      <c r="S10" s="155">
        <v>0</v>
      </c>
      <c r="T10" s="155">
        <v>0</v>
      </c>
      <c r="U10" s="155">
        <v>0</v>
      </c>
      <c r="V10" s="155">
        <v>0</v>
      </c>
      <c r="W10" s="193">
        <f t="shared" si="1"/>
        <v>0.76929368029739775</v>
      </c>
    </row>
    <row r="11" spans="1:23" x14ac:dyDescent="0.25">
      <c r="A11" s="112" t="s">
        <v>289</v>
      </c>
      <c r="B11" s="157">
        <v>0</v>
      </c>
      <c r="C11" s="157">
        <v>0</v>
      </c>
      <c r="D11" s="193">
        <v>0</v>
      </c>
      <c r="E11" s="164">
        <f t="shared" si="0"/>
        <v>0</v>
      </c>
      <c r="F11" s="330">
        <v>0.8</v>
      </c>
      <c r="G11" s="331">
        <v>1</v>
      </c>
      <c r="H11" s="193"/>
      <c r="K11" s="112" t="s">
        <v>289</v>
      </c>
      <c r="L11" s="155">
        <v>0</v>
      </c>
      <c r="M11" s="155">
        <v>0</v>
      </c>
      <c r="N11" s="155">
        <v>0</v>
      </c>
      <c r="O11" s="155">
        <v>0</v>
      </c>
      <c r="P11" s="155">
        <v>0</v>
      </c>
      <c r="Q11" s="155">
        <v>0</v>
      </c>
      <c r="R11" s="155">
        <v>0</v>
      </c>
      <c r="S11" s="155">
        <v>0</v>
      </c>
      <c r="T11" s="155">
        <v>0</v>
      </c>
      <c r="U11" s="155">
        <v>0</v>
      </c>
      <c r="V11" s="155">
        <v>0</v>
      </c>
      <c r="W11" s="193">
        <f t="shared" si="1"/>
        <v>0</v>
      </c>
    </row>
    <row r="12" spans="1:23" x14ac:dyDescent="0.25">
      <c r="A12" s="112" t="s">
        <v>290</v>
      </c>
      <c r="B12" s="157">
        <v>0.73210098593029749</v>
      </c>
      <c r="C12" s="157">
        <v>1.2201683098838292</v>
      </c>
      <c r="D12" s="193">
        <v>2.9716542750929369</v>
      </c>
      <c r="E12" s="164">
        <f t="shared" si="0"/>
        <v>2.6744888475836435</v>
      </c>
      <c r="F12" s="330">
        <v>0.8</v>
      </c>
      <c r="G12" s="331">
        <v>1</v>
      </c>
      <c r="H12" s="193"/>
      <c r="K12" s="112" t="s">
        <v>290</v>
      </c>
      <c r="L12" s="155">
        <v>0</v>
      </c>
      <c r="M12" s="155">
        <v>0</v>
      </c>
      <c r="N12" s="155">
        <v>0</v>
      </c>
      <c r="O12" s="155">
        <v>0</v>
      </c>
      <c r="P12" s="155">
        <v>0</v>
      </c>
      <c r="Q12" s="155">
        <v>0</v>
      </c>
      <c r="R12" s="155">
        <v>0</v>
      </c>
      <c r="S12" s="155">
        <v>0</v>
      </c>
      <c r="T12" s="155">
        <v>0</v>
      </c>
      <c r="U12" s="155">
        <v>0</v>
      </c>
      <c r="V12" s="155">
        <v>0</v>
      </c>
      <c r="W12" s="193">
        <f t="shared" si="1"/>
        <v>2.3773234200743496</v>
      </c>
    </row>
    <row r="13" spans="1:23" x14ac:dyDescent="0.25">
      <c r="A13" s="112" t="s">
        <v>291</v>
      </c>
      <c r="B13" s="157">
        <v>0</v>
      </c>
      <c r="C13" s="157">
        <v>0</v>
      </c>
      <c r="D13" s="193">
        <v>0</v>
      </c>
      <c r="E13" s="164">
        <f t="shared" si="0"/>
        <v>0</v>
      </c>
      <c r="F13" s="330">
        <v>0.8</v>
      </c>
      <c r="G13" s="331">
        <v>1</v>
      </c>
      <c r="H13" s="193"/>
      <c r="K13" s="112" t="s">
        <v>291</v>
      </c>
      <c r="L13" s="155">
        <v>0</v>
      </c>
      <c r="M13" s="155">
        <v>0</v>
      </c>
      <c r="N13" s="155">
        <v>0</v>
      </c>
      <c r="O13" s="155">
        <v>0</v>
      </c>
      <c r="P13" s="155">
        <v>0</v>
      </c>
      <c r="Q13" s="155">
        <v>0</v>
      </c>
      <c r="R13" s="155">
        <v>0</v>
      </c>
      <c r="S13" s="155">
        <v>0</v>
      </c>
      <c r="T13" s="155">
        <v>0</v>
      </c>
      <c r="U13" s="155">
        <v>0</v>
      </c>
      <c r="V13" s="155">
        <v>0</v>
      </c>
      <c r="W13" s="193">
        <f t="shared" si="1"/>
        <v>0</v>
      </c>
    </row>
    <row r="14" spans="1:23" x14ac:dyDescent="0.25">
      <c r="A14" s="161" t="s">
        <v>181</v>
      </c>
      <c r="B14" s="157">
        <v>2.4681394469191447</v>
      </c>
      <c r="C14" s="157">
        <v>4.1135657448652418</v>
      </c>
      <c r="D14" s="193">
        <v>12.752081784386617</v>
      </c>
      <c r="E14" s="164">
        <f t="shared" si="0"/>
        <v>11.476873605947954</v>
      </c>
      <c r="F14" s="330">
        <v>0.8</v>
      </c>
      <c r="G14" s="331">
        <v>1</v>
      </c>
      <c r="H14" s="193"/>
      <c r="K14" s="161" t="s">
        <v>181</v>
      </c>
      <c r="L14" s="155">
        <v>0</v>
      </c>
      <c r="M14" s="155">
        <v>0</v>
      </c>
      <c r="N14" s="155">
        <v>0</v>
      </c>
      <c r="O14" s="155">
        <v>0</v>
      </c>
      <c r="P14" s="155">
        <v>0</v>
      </c>
      <c r="Q14" s="155">
        <v>0</v>
      </c>
      <c r="R14" s="155">
        <v>0</v>
      </c>
      <c r="S14" s="155">
        <v>0</v>
      </c>
      <c r="T14" s="155">
        <v>0</v>
      </c>
      <c r="U14" s="155">
        <v>0</v>
      </c>
      <c r="V14" s="155">
        <v>0</v>
      </c>
      <c r="W14" s="193">
        <f t="shared" si="1"/>
        <v>10.201665427509294</v>
      </c>
    </row>
    <row r="15" spans="1:23" x14ac:dyDescent="0.25">
      <c r="A15" s="112" t="s">
        <v>292</v>
      </c>
      <c r="B15" s="157">
        <v>0.15589955080545229</v>
      </c>
      <c r="C15" s="157">
        <v>0.12471964064436182</v>
      </c>
      <c r="D15" s="193">
        <v>0.35878252788104087</v>
      </c>
      <c r="E15" s="164">
        <f t="shared" si="0"/>
        <v>0.32290427509293679</v>
      </c>
      <c r="F15" s="330">
        <v>0.8</v>
      </c>
      <c r="G15" s="331">
        <v>1</v>
      </c>
      <c r="H15" s="193"/>
      <c r="K15" s="112" t="s">
        <v>292</v>
      </c>
      <c r="L15" s="155">
        <v>0</v>
      </c>
      <c r="M15" s="155">
        <v>0</v>
      </c>
      <c r="N15" s="155">
        <v>0</v>
      </c>
      <c r="O15" s="155">
        <v>0</v>
      </c>
      <c r="P15" s="155">
        <v>0</v>
      </c>
      <c r="Q15" s="155">
        <v>0</v>
      </c>
      <c r="R15" s="155">
        <v>0</v>
      </c>
      <c r="S15" s="155">
        <v>0</v>
      </c>
      <c r="T15" s="155">
        <v>0</v>
      </c>
      <c r="U15" s="155">
        <v>0</v>
      </c>
      <c r="V15" s="155">
        <v>0</v>
      </c>
      <c r="W15" s="193">
        <f t="shared" si="1"/>
        <v>0.28702602230483271</v>
      </c>
    </row>
    <row r="16" spans="1:23" x14ac:dyDescent="0.25">
      <c r="A16" s="112" t="s">
        <v>293</v>
      </c>
      <c r="B16" s="157">
        <v>9.8440087882434954E-2</v>
      </c>
      <c r="C16" s="157">
        <v>0.16406681313739158</v>
      </c>
      <c r="D16" s="193">
        <v>0.59618029739776957</v>
      </c>
      <c r="E16" s="164">
        <f t="shared" si="0"/>
        <v>0.53656226765799264</v>
      </c>
      <c r="F16" s="330">
        <v>0.8</v>
      </c>
      <c r="G16" s="331">
        <v>1</v>
      </c>
      <c r="H16" s="193"/>
      <c r="K16" s="112" t="s">
        <v>293</v>
      </c>
      <c r="L16" s="155">
        <v>0</v>
      </c>
      <c r="M16" s="155">
        <v>0</v>
      </c>
      <c r="N16" s="155">
        <v>0</v>
      </c>
      <c r="O16" s="155">
        <v>0</v>
      </c>
      <c r="P16" s="155">
        <v>0</v>
      </c>
      <c r="Q16" s="155">
        <v>0</v>
      </c>
      <c r="R16" s="155">
        <v>0</v>
      </c>
      <c r="S16" s="155">
        <v>0</v>
      </c>
      <c r="T16" s="155">
        <v>0</v>
      </c>
      <c r="U16" s="155">
        <v>0</v>
      </c>
      <c r="V16" s="155">
        <v>0</v>
      </c>
      <c r="W16" s="193">
        <f t="shared" si="1"/>
        <v>0.47694423791821566</v>
      </c>
    </row>
    <row r="17" spans="1:23" x14ac:dyDescent="0.25">
      <c r="A17" s="161" t="s">
        <v>192</v>
      </c>
      <c r="B17" s="157">
        <v>1.1395543084572493</v>
      </c>
      <c r="C17" s="157">
        <v>1.8992571807620819</v>
      </c>
      <c r="D17" s="193">
        <v>6.2745260223048325</v>
      </c>
      <c r="E17" s="164">
        <f t="shared" si="0"/>
        <v>5.6470734200743493</v>
      </c>
      <c r="F17" s="330">
        <v>0.8</v>
      </c>
      <c r="G17" s="331">
        <v>1</v>
      </c>
      <c r="H17" s="193"/>
      <c r="K17" s="161" t="s">
        <v>192</v>
      </c>
      <c r="L17" s="155">
        <v>0</v>
      </c>
      <c r="M17" s="155">
        <v>0</v>
      </c>
      <c r="N17" s="155">
        <v>0</v>
      </c>
      <c r="O17" s="155">
        <v>0</v>
      </c>
      <c r="P17" s="155">
        <v>0</v>
      </c>
      <c r="Q17" s="155">
        <v>0</v>
      </c>
      <c r="R17" s="155">
        <v>0</v>
      </c>
      <c r="S17" s="155">
        <v>0</v>
      </c>
      <c r="T17" s="155">
        <v>0</v>
      </c>
      <c r="U17" s="155">
        <v>0</v>
      </c>
      <c r="V17" s="155">
        <v>0</v>
      </c>
      <c r="W17" s="193">
        <f t="shared" si="1"/>
        <v>5.0196208178438662</v>
      </c>
    </row>
    <row r="18" spans="1:23" x14ac:dyDescent="0.25">
      <c r="A18" s="112" t="s">
        <v>294</v>
      </c>
      <c r="B18" s="157">
        <v>0</v>
      </c>
      <c r="C18" s="157">
        <v>0</v>
      </c>
      <c r="D18" s="193">
        <v>0</v>
      </c>
      <c r="E18" s="164">
        <f t="shared" si="0"/>
        <v>0</v>
      </c>
      <c r="F18" s="330">
        <v>0.8</v>
      </c>
      <c r="G18" s="331">
        <v>1</v>
      </c>
      <c r="H18" s="193"/>
      <c r="K18" s="112" t="s">
        <v>294</v>
      </c>
      <c r="L18" s="155">
        <v>0</v>
      </c>
      <c r="M18" s="155">
        <v>0</v>
      </c>
      <c r="N18" s="155">
        <v>0</v>
      </c>
      <c r="O18" s="155">
        <v>0</v>
      </c>
      <c r="P18" s="155">
        <v>0</v>
      </c>
      <c r="Q18" s="155">
        <v>0</v>
      </c>
      <c r="R18" s="155">
        <v>0</v>
      </c>
      <c r="S18" s="155">
        <v>0</v>
      </c>
      <c r="T18" s="155">
        <v>0</v>
      </c>
      <c r="U18" s="155">
        <v>0</v>
      </c>
      <c r="V18" s="155">
        <v>0</v>
      </c>
      <c r="W18" s="193">
        <f t="shared" si="1"/>
        <v>0</v>
      </c>
    </row>
    <row r="19" spans="1:23" x14ac:dyDescent="0.25">
      <c r="A19" s="161" t="s">
        <v>182</v>
      </c>
      <c r="B19" s="157">
        <v>2.9848376535780665</v>
      </c>
      <c r="C19" s="157">
        <v>4.9747294226301113</v>
      </c>
      <c r="D19" s="193">
        <v>24.957251435629033</v>
      </c>
      <c r="E19" s="164">
        <f t="shared" si="0"/>
        <v>22.461526292066129</v>
      </c>
      <c r="F19" s="330">
        <v>0.8</v>
      </c>
      <c r="G19" s="331">
        <v>1</v>
      </c>
      <c r="H19" s="193"/>
      <c r="K19" s="161" t="s">
        <v>182</v>
      </c>
      <c r="L19" s="155">
        <v>0</v>
      </c>
      <c r="M19" s="155">
        <v>0</v>
      </c>
      <c r="N19" s="155">
        <v>0</v>
      </c>
      <c r="O19" s="155">
        <v>0</v>
      </c>
      <c r="P19" s="155">
        <v>0</v>
      </c>
      <c r="Q19" s="155">
        <v>0</v>
      </c>
      <c r="R19" s="155">
        <v>0</v>
      </c>
      <c r="S19" s="155">
        <v>0</v>
      </c>
      <c r="T19" s="155">
        <v>0</v>
      </c>
      <c r="U19" s="155">
        <v>0</v>
      </c>
      <c r="V19" s="155">
        <v>0</v>
      </c>
      <c r="W19" s="193">
        <f t="shared" si="1"/>
        <v>19.965801148503228</v>
      </c>
    </row>
    <row r="20" spans="1:23" x14ac:dyDescent="0.25">
      <c r="A20" s="112" t="s">
        <v>295</v>
      </c>
      <c r="B20" s="157">
        <v>0</v>
      </c>
      <c r="C20" s="157">
        <v>0</v>
      </c>
      <c r="D20" s="193">
        <v>0</v>
      </c>
      <c r="E20" s="164">
        <f t="shared" si="0"/>
        <v>0</v>
      </c>
      <c r="F20" s="330">
        <v>0.8</v>
      </c>
      <c r="G20" s="331">
        <v>1</v>
      </c>
      <c r="H20" s="193"/>
      <c r="K20" s="112" t="s">
        <v>295</v>
      </c>
      <c r="L20" s="155">
        <v>0</v>
      </c>
      <c r="M20" s="155">
        <v>0</v>
      </c>
      <c r="N20" s="155">
        <v>0</v>
      </c>
      <c r="O20" s="155">
        <v>0</v>
      </c>
      <c r="P20" s="155">
        <v>0</v>
      </c>
      <c r="Q20" s="155">
        <v>0</v>
      </c>
      <c r="R20" s="155">
        <v>0</v>
      </c>
      <c r="S20" s="155">
        <v>0</v>
      </c>
      <c r="T20" s="155">
        <v>0</v>
      </c>
      <c r="U20" s="155">
        <v>0</v>
      </c>
      <c r="V20" s="155">
        <v>0</v>
      </c>
      <c r="W20" s="193">
        <f t="shared" si="1"/>
        <v>0</v>
      </c>
    </row>
    <row r="21" spans="1:23" x14ac:dyDescent="0.25">
      <c r="A21" s="112" t="s">
        <v>296</v>
      </c>
      <c r="B21" s="157">
        <v>0.40818325583643117</v>
      </c>
      <c r="C21" s="157">
        <v>0.68030542639405212</v>
      </c>
      <c r="D21" s="193">
        <v>2.2444237918215615</v>
      </c>
      <c r="E21" s="164">
        <f t="shared" si="0"/>
        <v>2.0199814126394053</v>
      </c>
      <c r="F21" s="330">
        <v>0.8</v>
      </c>
      <c r="G21" s="331">
        <v>1</v>
      </c>
      <c r="H21" s="193"/>
      <c r="K21" s="112" t="s">
        <v>296</v>
      </c>
      <c r="L21" s="155">
        <v>0</v>
      </c>
      <c r="M21" s="155">
        <v>0</v>
      </c>
      <c r="N21" s="155">
        <v>0</v>
      </c>
      <c r="O21" s="155">
        <v>0</v>
      </c>
      <c r="P21" s="155">
        <v>0</v>
      </c>
      <c r="Q21" s="155">
        <v>0</v>
      </c>
      <c r="R21" s="155">
        <v>0</v>
      </c>
      <c r="S21" s="155">
        <v>0</v>
      </c>
      <c r="T21" s="155">
        <v>0</v>
      </c>
      <c r="U21" s="155">
        <v>0</v>
      </c>
      <c r="V21" s="155">
        <v>0</v>
      </c>
      <c r="W21" s="193">
        <f t="shared" si="1"/>
        <v>1.7955390334572492</v>
      </c>
    </row>
    <row r="22" spans="1:23" x14ac:dyDescent="0.25">
      <c r="A22" s="161" t="s">
        <v>196</v>
      </c>
      <c r="B22" s="157">
        <v>0.8454126858150558</v>
      </c>
      <c r="C22" s="157">
        <v>1.409021143025093</v>
      </c>
      <c r="D22" s="193">
        <v>12.154637546468404</v>
      </c>
      <c r="E22" s="164">
        <f t="shared" si="0"/>
        <v>10.939173791821563</v>
      </c>
      <c r="F22" s="330">
        <v>0.8</v>
      </c>
      <c r="G22" s="331">
        <v>1</v>
      </c>
      <c r="H22" s="193"/>
      <c r="K22" s="161" t="s">
        <v>196</v>
      </c>
      <c r="L22" s="155">
        <v>0</v>
      </c>
      <c r="M22" s="155">
        <v>0</v>
      </c>
      <c r="N22" s="155">
        <v>0</v>
      </c>
      <c r="O22" s="155">
        <v>0</v>
      </c>
      <c r="P22" s="155">
        <v>0</v>
      </c>
      <c r="Q22" s="155">
        <v>0</v>
      </c>
      <c r="R22" s="155">
        <v>0</v>
      </c>
      <c r="S22" s="155">
        <v>0</v>
      </c>
      <c r="T22" s="155">
        <v>0</v>
      </c>
      <c r="U22" s="155">
        <v>0</v>
      </c>
      <c r="V22" s="155">
        <v>0</v>
      </c>
      <c r="W22" s="193">
        <f t="shared" si="1"/>
        <v>9.7237100371747243</v>
      </c>
    </row>
    <row r="23" spans="1:23" x14ac:dyDescent="0.25">
      <c r="A23" s="161" t="s">
        <v>186</v>
      </c>
      <c r="B23" s="157">
        <v>0.37088376556923791</v>
      </c>
      <c r="C23" s="157">
        <v>0.61813960928206313</v>
      </c>
      <c r="D23" s="193">
        <v>4.3232992460501851</v>
      </c>
      <c r="E23" s="164">
        <f t="shared" si="0"/>
        <v>3.8909693214451666</v>
      </c>
      <c r="F23" s="330">
        <v>0.8</v>
      </c>
      <c r="G23" s="331">
        <v>1</v>
      </c>
      <c r="H23" s="193"/>
      <c r="K23" s="161" t="s">
        <v>186</v>
      </c>
      <c r="L23" s="155">
        <v>0</v>
      </c>
      <c r="M23" s="155">
        <v>0</v>
      </c>
      <c r="N23" s="155">
        <v>0</v>
      </c>
      <c r="O23" s="155">
        <v>0</v>
      </c>
      <c r="P23" s="155">
        <v>0</v>
      </c>
      <c r="Q23" s="155">
        <v>0</v>
      </c>
      <c r="R23" s="155">
        <v>0</v>
      </c>
      <c r="S23" s="155">
        <v>0</v>
      </c>
      <c r="T23" s="155">
        <v>0</v>
      </c>
      <c r="U23" s="155">
        <v>0</v>
      </c>
      <c r="V23" s="155">
        <v>0</v>
      </c>
      <c r="W23" s="193">
        <f t="shared" si="1"/>
        <v>3.4586393968401481</v>
      </c>
    </row>
    <row r="24" spans="1:23" x14ac:dyDescent="0.25">
      <c r="A24" s="112" t="s">
        <v>297</v>
      </c>
      <c r="B24" s="157">
        <v>4.5684231731877321E-2</v>
      </c>
      <c r="C24" s="157">
        <v>7.6140386219795533E-2</v>
      </c>
      <c r="D24" s="193">
        <v>0.33178438661710036</v>
      </c>
      <c r="E24" s="164">
        <f t="shared" si="0"/>
        <v>0.29860594795539031</v>
      </c>
      <c r="F24" s="330">
        <v>0.8</v>
      </c>
      <c r="G24" s="331">
        <v>1</v>
      </c>
      <c r="H24" s="193"/>
      <c r="K24" s="112" t="s">
        <v>297</v>
      </c>
      <c r="L24" s="155">
        <v>0</v>
      </c>
      <c r="M24" s="155">
        <v>0</v>
      </c>
      <c r="N24" s="155">
        <v>0</v>
      </c>
      <c r="O24" s="155">
        <v>0</v>
      </c>
      <c r="P24" s="155">
        <v>0</v>
      </c>
      <c r="Q24" s="155">
        <v>0</v>
      </c>
      <c r="R24" s="155">
        <v>0</v>
      </c>
      <c r="S24" s="155">
        <v>0</v>
      </c>
      <c r="T24" s="155">
        <v>0</v>
      </c>
      <c r="U24" s="155">
        <v>0</v>
      </c>
      <c r="V24" s="155">
        <v>0</v>
      </c>
      <c r="W24" s="193">
        <f t="shared" si="1"/>
        <v>0.26542750929368031</v>
      </c>
    </row>
    <row r="25" spans="1:23" x14ac:dyDescent="0.25">
      <c r="A25" s="161" t="s">
        <v>193</v>
      </c>
      <c r="B25" s="157">
        <v>0.54174842430297399</v>
      </c>
      <c r="C25" s="157">
        <v>0.90291404050495661</v>
      </c>
      <c r="D25" s="193">
        <v>4.2873745353159851</v>
      </c>
      <c r="E25" s="164">
        <f t="shared" si="0"/>
        <v>3.8586370817843867</v>
      </c>
      <c r="F25" s="330">
        <v>0.8</v>
      </c>
      <c r="G25" s="331">
        <v>1</v>
      </c>
      <c r="H25" s="193"/>
      <c r="K25" s="161" t="s">
        <v>193</v>
      </c>
      <c r="L25" s="155">
        <v>0</v>
      </c>
      <c r="M25" s="155">
        <v>0</v>
      </c>
      <c r="N25" s="155">
        <v>0</v>
      </c>
      <c r="O25" s="155">
        <v>0</v>
      </c>
      <c r="P25" s="155">
        <v>0</v>
      </c>
      <c r="Q25" s="155">
        <v>0</v>
      </c>
      <c r="R25" s="155">
        <v>0</v>
      </c>
      <c r="S25" s="155">
        <v>0</v>
      </c>
      <c r="T25" s="155">
        <v>0</v>
      </c>
      <c r="U25" s="155">
        <v>0</v>
      </c>
      <c r="V25" s="155">
        <v>0</v>
      </c>
      <c r="W25" s="193">
        <f t="shared" si="1"/>
        <v>3.4298996282527883</v>
      </c>
    </row>
    <row r="26" spans="1:23" x14ac:dyDescent="0.25">
      <c r="A26" s="113" t="s">
        <v>298</v>
      </c>
      <c r="B26" s="157">
        <v>7.9088603671003718E-2</v>
      </c>
      <c r="C26" s="157">
        <v>0.13181433945167287</v>
      </c>
      <c r="D26" s="193">
        <v>0.93587360594795543</v>
      </c>
      <c r="E26" s="164">
        <f t="shared" si="0"/>
        <v>0.84228624535315988</v>
      </c>
      <c r="F26" s="330">
        <v>0.8</v>
      </c>
      <c r="G26" s="331">
        <v>1</v>
      </c>
      <c r="H26" s="193"/>
      <c r="K26" s="113" t="s">
        <v>298</v>
      </c>
      <c r="L26" s="155">
        <v>0</v>
      </c>
      <c r="M26" s="155">
        <v>0</v>
      </c>
      <c r="N26" s="155">
        <v>0</v>
      </c>
      <c r="O26" s="155">
        <v>0</v>
      </c>
      <c r="P26" s="155">
        <v>0</v>
      </c>
      <c r="Q26" s="155">
        <v>0</v>
      </c>
      <c r="R26" s="155">
        <v>0</v>
      </c>
      <c r="S26" s="155">
        <v>0</v>
      </c>
      <c r="T26" s="155">
        <v>0</v>
      </c>
      <c r="U26" s="155">
        <v>0</v>
      </c>
      <c r="V26" s="155">
        <v>0</v>
      </c>
      <c r="W26" s="193">
        <f t="shared" si="1"/>
        <v>0.74869888475836444</v>
      </c>
    </row>
    <row r="27" spans="1:23" x14ac:dyDescent="0.25">
      <c r="A27" s="161" t="s">
        <v>197</v>
      </c>
      <c r="B27" s="157">
        <v>1.6735288671003718E-3</v>
      </c>
      <c r="C27" s="157">
        <v>1.6735288671003718E-3</v>
      </c>
      <c r="D27" s="193">
        <v>0</v>
      </c>
      <c r="E27" s="164">
        <f t="shared" si="0"/>
        <v>0</v>
      </c>
      <c r="F27" s="330">
        <v>0.8</v>
      </c>
      <c r="G27" s="331">
        <v>1</v>
      </c>
      <c r="H27" s="193"/>
      <c r="K27" s="161" t="s">
        <v>197</v>
      </c>
      <c r="L27" s="155">
        <v>0</v>
      </c>
      <c r="M27" s="155">
        <v>0</v>
      </c>
      <c r="N27" s="155">
        <v>0</v>
      </c>
      <c r="O27" s="155">
        <v>0</v>
      </c>
      <c r="P27" s="155">
        <v>0</v>
      </c>
      <c r="Q27" s="155">
        <v>0</v>
      </c>
      <c r="R27" s="155">
        <v>0</v>
      </c>
      <c r="S27" s="155">
        <v>0</v>
      </c>
      <c r="T27" s="155">
        <v>0</v>
      </c>
      <c r="U27" s="155">
        <v>0</v>
      </c>
      <c r="V27" s="155">
        <v>0</v>
      </c>
      <c r="W27" s="193">
        <f t="shared" si="1"/>
        <v>0</v>
      </c>
    </row>
    <row r="28" spans="1:23" x14ac:dyDescent="0.25">
      <c r="A28" s="112" t="s">
        <v>299</v>
      </c>
      <c r="B28" s="157">
        <v>0</v>
      </c>
      <c r="C28" s="157">
        <v>0</v>
      </c>
      <c r="D28" s="193">
        <v>0</v>
      </c>
      <c r="E28" s="164">
        <f t="shared" si="0"/>
        <v>0</v>
      </c>
      <c r="F28" s="330">
        <v>0.8</v>
      </c>
      <c r="G28" s="331">
        <v>1</v>
      </c>
      <c r="H28" s="193"/>
      <c r="K28" s="112" t="s">
        <v>299</v>
      </c>
      <c r="L28" s="155">
        <v>0</v>
      </c>
      <c r="M28" s="155">
        <v>0</v>
      </c>
      <c r="N28" s="155">
        <v>0</v>
      </c>
      <c r="O28" s="155">
        <v>0</v>
      </c>
      <c r="P28" s="155">
        <v>0</v>
      </c>
      <c r="Q28" s="155">
        <v>0</v>
      </c>
      <c r="R28" s="155">
        <v>0</v>
      </c>
      <c r="S28" s="155">
        <v>0</v>
      </c>
      <c r="T28" s="155">
        <v>0</v>
      </c>
      <c r="U28" s="155">
        <v>0</v>
      </c>
      <c r="V28" s="155">
        <v>0</v>
      </c>
      <c r="W28" s="193">
        <f t="shared" si="1"/>
        <v>0</v>
      </c>
    </row>
    <row r="29" spans="1:23" x14ac:dyDescent="0.25">
      <c r="A29" s="161" t="s">
        <v>185</v>
      </c>
      <c r="B29" s="157">
        <v>0.56443555087360586</v>
      </c>
      <c r="C29" s="157">
        <v>0.94072591812267647</v>
      </c>
      <c r="D29" s="193">
        <v>3.6425000000000001</v>
      </c>
      <c r="E29" s="164">
        <f t="shared" si="0"/>
        <v>3.2782500000000003</v>
      </c>
      <c r="F29" s="330">
        <v>0.8</v>
      </c>
      <c r="G29" s="331">
        <v>1</v>
      </c>
      <c r="H29" s="193"/>
      <c r="K29" s="161" t="s">
        <v>185</v>
      </c>
      <c r="L29" s="155">
        <v>0</v>
      </c>
      <c r="M29" s="155">
        <v>0</v>
      </c>
      <c r="N29" s="155">
        <v>0</v>
      </c>
      <c r="O29" s="155">
        <v>0</v>
      </c>
      <c r="P29" s="155">
        <v>0</v>
      </c>
      <c r="Q29" s="155">
        <v>0</v>
      </c>
      <c r="R29" s="155">
        <v>0</v>
      </c>
      <c r="S29" s="155">
        <v>0</v>
      </c>
      <c r="T29" s="155">
        <v>0</v>
      </c>
      <c r="U29" s="155">
        <v>0</v>
      </c>
      <c r="V29" s="155">
        <v>0</v>
      </c>
      <c r="W29" s="193">
        <f t="shared" si="1"/>
        <v>2.9140000000000001</v>
      </c>
    </row>
    <row r="30" spans="1:23" x14ac:dyDescent="0.25">
      <c r="A30" s="161" t="s">
        <v>300</v>
      </c>
      <c r="B30" s="157">
        <v>1.9335501858736057</v>
      </c>
      <c r="C30" s="157">
        <v>2.5780669144981414</v>
      </c>
      <c r="D30" s="193">
        <v>12.631406472982258</v>
      </c>
      <c r="E30" s="164">
        <f t="shared" si="0"/>
        <v>11.368265825684032</v>
      </c>
      <c r="F30" s="330">
        <v>0.8</v>
      </c>
      <c r="G30" s="331">
        <v>1</v>
      </c>
      <c r="H30" s="193"/>
      <c r="K30" s="161" t="s">
        <v>300</v>
      </c>
      <c r="L30" s="155">
        <v>0</v>
      </c>
      <c r="M30" s="155">
        <v>0</v>
      </c>
      <c r="N30" s="155">
        <v>0</v>
      </c>
      <c r="O30" s="155">
        <v>0</v>
      </c>
      <c r="P30" s="155">
        <v>0</v>
      </c>
      <c r="Q30" s="155">
        <v>0</v>
      </c>
      <c r="R30" s="155">
        <v>0</v>
      </c>
      <c r="S30" s="155">
        <v>0</v>
      </c>
      <c r="T30" s="155">
        <v>0</v>
      </c>
      <c r="U30" s="155">
        <v>0</v>
      </c>
      <c r="V30" s="155">
        <v>0</v>
      </c>
      <c r="W30" s="193">
        <f t="shared" si="1"/>
        <v>10.105125178385807</v>
      </c>
    </row>
    <row r="31" spans="1:23" x14ac:dyDescent="0.25">
      <c r="A31" s="161" t="s">
        <v>188</v>
      </c>
      <c r="B31" s="157">
        <v>5.7791969736524145</v>
      </c>
      <c r="C31" s="157">
        <v>9.6319949560873592</v>
      </c>
      <c r="D31" s="227">
        <v>30.98</v>
      </c>
      <c r="E31" s="164">
        <f t="shared" si="0"/>
        <v>27.882000000000001</v>
      </c>
      <c r="F31" s="330">
        <v>0.8</v>
      </c>
      <c r="G31" s="331">
        <v>1</v>
      </c>
      <c r="H31" s="193"/>
      <c r="K31" s="161" t="s">
        <v>188</v>
      </c>
      <c r="L31" s="155">
        <v>0</v>
      </c>
      <c r="M31" s="155">
        <v>0</v>
      </c>
      <c r="N31" s="155">
        <v>0</v>
      </c>
      <c r="O31" s="155">
        <v>0</v>
      </c>
      <c r="P31" s="155">
        <v>0</v>
      </c>
      <c r="Q31" s="155">
        <v>0</v>
      </c>
      <c r="R31" s="155">
        <v>0</v>
      </c>
      <c r="S31" s="155">
        <v>0</v>
      </c>
      <c r="T31" s="155">
        <v>0</v>
      </c>
      <c r="U31" s="155">
        <v>0</v>
      </c>
      <c r="V31" s="155">
        <v>0</v>
      </c>
      <c r="W31" s="193">
        <f t="shared" si="1"/>
        <v>24.784000000000002</v>
      </c>
    </row>
    <row r="32" spans="1:23" x14ac:dyDescent="0.25">
      <c r="A32" s="161" t="s">
        <v>191</v>
      </c>
      <c r="B32" s="157">
        <v>0.91887382081087354</v>
      </c>
      <c r="C32" s="157">
        <v>1.5314563680181228</v>
      </c>
      <c r="D32" s="193">
        <v>5.611245353159851</v>
      </c>
      <c r="E32" s="164">
        <f t="shared" si="0"/>
        <v>5.0501208178438661</v>
      </c>
      <c r="F32" s="330">
        <v>0.8</v>
      </c>
      <c r="G32" s="331">
        <v>1</v>
      </c>
      <c r="H32" s="193"/>
      <c r="K32" s="161" t="s">
        <v>191</v>
      </c>
      <c r="L32" s="155">
        <v>0</v>
      </c>
      <c r="M32" s="155">
        <v>0</v>
      </c>
      <c r="N32" s="155">
        <v>0</v>
      </c>
      <c r="O32" s="155">
        <v>0</v>
      </c>
      <c r="P32" s="155">
        <v>0</v>
      </c>
      <c r="Q32" s="155">
        <v>0</v>
      </c>
      <c r="R32" s="155">
        <v>0</v>
      </c>
      <c r="S32" s="155">
        <v>0</v>
      </c>
      <c r="T32" s="155">
        <v>0</v>
      </c>
      <c r="U32" s="155">
        <v>0</v>
      </c>
      <c r="V32" s="155">
        <v>0</v>
      </c>
      <c r="W32" s="193">
        <f t="shared" si="1"/>
        <v>4.4889962825278813</v>
      </c>
    </row>
    <row r="34" spans="1:25" x14ac:dyDescent="0.25">
      <c r="B34" t="s">
        <v>430</v>
      </c>
      <c r="C34" t="s">
        <v>430</v>
      </c>
      <c r="D34" t="s">
        <v>431</v>
      </c>
      <c r="E34" t="s">
        <v>528</v>
      </c>
      <c r="G34" s="77">
        <v>0.9</v>
      </c>
      <c r="W34" s="176" t="s">
        <v>529</v>
      </c>
      <c r="Y34" s="77">
        <v>0.8</v>
      </c>
    </row>
    <row r="37" spans="1:25" x14ac:dyDescent="0.25">
      <c r="A37" t="s">
        <v>432</v>
      </c>
    </row>
    <row r="38" spans="1:25" x14ac:dyDescent="0.25">
      <c r="A38" t="s">
        <v>433</v>
      </c>
    </row>
  </sheetData>
  <mergeCells count="2">
    <mergeCell ref="A1:G1"/>
    <mergeCell ref="K1:W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9C55F-B451-47A0-90C3-68373322CD4B}">
  <sheetPr>
    <tabColor theme="5" tint="0.79998168889431442"/>
  </sheetPr>
  <dimension ref="A1:W39"/>
  <sheetViews>
    <sheetView topLeftCell="A2" workbookViewId="0">
      <selection activeCell="H36" sqref="H36"/>
    </sheetView>
  </sheetViews>
  <sheetFormatPr defaultColWidth="9.140625" defaultRowHeight="15" x14ac:dyDescent="0.25"/>
  <cols>
    <col min="1" max="1" width="16.28515625" style="176" customWidth="1"/>
    <col min="2" max="16384" width="9.140625" style="176"/>
  </cols>
  <sheetData>
    <row r="1" spans="1:23" x14ac:dyDescent="0.25">
      <c r="A1" s="343" t="s">
        <v>427</v>
      </c>
      <c r="B1" s="343"/>
      <c r="C1" s="343"/>
      <c r="D1" s="343"/>
      <c r="E1" s="343"/>
      <c r="F1" s="343"/>
      <c r="G1" s="343"/>
      <c r="I1" s="71"/>
      <c r="K1" s="343" t="s">
        <v>428</v>
      </c>
      <c r="L1" s="343"/>
      <c r="M1" s="343"/>
      <c r="N1" s="343"/>
      <c r="O1" s="343"/>
      <c r="P1" s="343"/>
      <c r="Q1" s="343"/>
      <c r="R1" s="343"/>
      <c r="S1" s="343"/>
      <c r="T1" s="343"/>
      <c r="U1" s="343"/>
      <c r="V1" s="343"/>
      <c r="W1" s="343"/>
    </row>
    <row r="2" spans="1:23" x14ac:dyDescent="0.25">
      <c r="A2" s="117" t="s">
        <v>144</v>
      </c>
      <c r="B2" s="247" t="s">
        <v>421</v>
      </c>
      <c r="C2" s="247" t="s">
        <v>426</v>
      </c>
      <c r="D2" s="247" t="s">
        <v>422</v>
      </c>
      <c r="E2" s="247" t="s">
        <v>423</v>
      </c>
      <c r="F2" s="247" t="s">
        <v>424</v>
      </c>
      <c r="G2" s="247" t="s">
        <v>425</v>
      </c>
      <c r="K2" s="117" t="s">
        <v>144</v>
      </c>
      <c r="L2" s="247" t="s">
        <v>409</v>
      </c>
      <c r="M2" s="247" t="s">
        <v>410</v>
      </c>
      <c r="N2" s="247" t="s">
        <v>411</v>
      </c>
      <c r="O2" s="247" t="s">
        <v>412</v>
      </c>
      <c r="P2" s="247" t="s">
        <v>413</v>
      </c>
      <c r="Q2" s="247" t="s">
        <v>414</v>
      </c>
      <c r="R2" s="247" t="s">
        <v>415</v>
      </c>
      <c r="S2" s="247" t="s">
        <v>416</v>
      </c>
      <c r="T2" s="247" t="s">
        <v>417</v>
      </c>
      <c r="U2" s="247" t="s">
        <v>418</v>
      </c>
      <c r="V2" s="247" t="s">
        <v>419</v>
      </c>
      <c r="W2" s="247" t="s">
        <v>420</v>
      </c>
    </row>
    <row r="3" spans="1:23" x14ac:dyDescent="0.25">
      <c r="A3" s="161" t="s">
        <v>183</v>
      </c>
      <c r="B3" s="193">
        <v>1.4656511162314125</v>
      </c>
      <c r="C3" s="193">
        <v>2.4427518603856875</v>
      </c>
      <c r="D3" s="193">
        <v>8.5704925650557602</v>
      </c>
      <c r="E3" s="164">
        <f t="shared" ref="E3:E32" si="0">0.8*D3</f>
        <v>6.8563940520446085</v>
      </c>
      <c r="F3" s="248">
        <v>0.98499999999999999</v>
      </c>
      <c r="G3" s="248">
        <v>1</v>
      </c>
      <c r="H3" s="193"/>
      <c r="K3" s="161" t="s">
        <v>183</v>
      </c>
      <c r="L3" s="248">
        <v>0</v>
      </c>
      <c r="M3" s="248">
        <v>0</v>
      </c>
      <c r="N3" s="248">
        <v>0</v>
      </c>
      <c r="O3" s="248">
        <v>0</v>
      </c>
      <c r="P3" s="248">
        <v>0</v>
      </c>
      <c r="Q3" s="248">
        <v>0</v>
      </c>
      <c r="R3" s="248">
        <v>0</v>
      </c>
      <c r="S3" s="248">
        <v>0</v>
      </c>
      <c r="T3" s="248">
        <v>0</v>
      </c>
      <c r="U3" s="248">
        <v>0</v>
      </c>
      <c r="V3" s="248">
        <v>0</v>
      </c>
      <c r="W3" s="193">
        <f t="shared" ref="W3:W32" si="1">0.6*D3</f>
        <v>5.1422955390334559</v>
      </c>
    </row>
    <row r="4" spans="1:23" x14ac:dyDescent="0.25">
      <c r="A4" s="161" t="s">
        <v>189</v>
      </c>
      <c r="B4" s="193">
        <v>0.13007680715613382</v>
      </c>
      <c r="C4" s="193">
        <v>0.21679467859355636</v>
      </c>
      <c r="D4" s="193">
        <v>0.83655204460966559</v>
      </c>
      <c r="E4" s="164">
        <f t="shared" si="0"/>
        <v>0.66924163568773254</v>
      </c>
      <c r="F4" s="248">
        <v>0.98499999999999999</v>
      </c>
      <c r="G4" s="248">
        <v>1</v>
      </c>
      <c r="H4" s="193"/>
      <c r="K4" s="161" t="s">
        <v>189</v>
      </c>
      <c r="L4" s="248">
        <v>0</v>
      </c>
      <c r="M4" s="248">
        <v>0</v>
      </c>
      <c r="N4" s="248">
        <v>0</v>
      </c>
      <c r="O4" s="248">
        <v>0</v>
      </c>
      <c r="P4" s="248">
        <v>0</v>
      </c>
      <c r="Q4" s="248">
        <v>0</v>
      </c>
      <c r="R4" s="248">
        <v>0</v>
      </c>
      <c r="S4" s="248">
        <v>0</v>
      </c>
      <c r="T4" s="248">
        <v>0</v>
      </c>
      <c r="U4" s="248">
        <v>0</v>
      </c>
      <c r="V4" s="248">
        <v>0</v>
      </c>
      <c r="W4" s="193">
        <f t="shared" si="1"/>
        <v>0.50193122676579938</v>
      </c>
    </row>
    <row r="5" spans="1:23" x14ac:dyDescent="0.25">
      <c r="A5" s="112" t="s">
        <v>288</v>
      </c>
      <c r="B5" s="193">
        <v>0.18122782005783922</v>
      </c>
      <c r="C5" s="193">
        <v>0.30204636676306534</v>
      </c>
      <c r="D5" s="193">
        <v>1.6440520446096651</v>
      </c>
      <c r="E5" s="164">
        <f t="shared" si="0"/>
        <v>1.3152416356877321</v>
      </c>
      <c r="F5" s="248">
        <v>0.98499999999999999</v>
      </c>
      <c r="G5" s="248">
        <v>1</v>
      </c>
      <c r="H5" s="193"/>
      <c r="K5" s="112" t="s">
        <v>288</v>
      </c>
      <c r="L5" s="248">
        <v>0</v>
      </c>
      <c r="M5" s="248">
        <v>0</v>
      </c>
      <c r="N5" s="248">
        <v>0</v>
      </c>
      <c r="O5" s="248">
        <v>0</v>
      </c>
      <c r="P5" s="248">
        <v>0</v>
      </c>
      <c r="Q5" s="248">
        <v>0</v>
      </c>
      <c r="R5" s="248">
        <v>0</v>
      </c>
      <c r="S5" s="248">
        <v>0</v>
      </c>
      <c r="T5" s="248">
        <v>0</v>
      </c>
      <c r="U5" s="248">
        <v>0</v>
      </c>
      <c r="V5" s="248">
        <v>0</v>
      </c>
      <c r="W5" s="193">
        <f t="shared" si="1"/>
        <v>0.98643122676579909</v>
      </c>
    </row>
    <row r="6" spans="1:23" x14ac:dyDescent="0.25">
      <c r="A6" s="161" t="s">
        <v>187</v>
      </c>
      <c r="B6" s="193">
        <v>0</v>
      </c>
      <c r="C6" s="193">
        <v>0</v>
      </c>
      <c r="D6" s="193">
        <v>1.9476765799256506</v>
      </c>
      <c r="E6" s="164">
        <f t="shared" si="0"/>
        <v>1.5581412639405205</v>
      </c>
      <c r="F6" s="248">
        <v>0.98499999999999999</v>
      </c>
      <c r="G6" s="248">
        <v>1</v>
      </c>
      <c r="H6" s="193"/>
      <c r="K6" s="161" t="s">
        <v>187</v>
      </c>
      <c r="L6" s="248">
        <v>0</v>
      </c>
      <c r="M6" s="248">
        <v>0</v>
      </c>
      <c r="N6" s="248">
        <v>0</v>
      </c>
      <c r="O6" s="248">
        <v>0</v>
      </c>
      <c r="P6" s="248">
        <v>0</v>
      </c>
      <c r="Q6" s="248">
        <v>0</v>
      </c>
      <c r="R6" s="248">
        <v>0</v>
      </c>
      <c r="S6" s="248">
        <v>0</v>
      </c>
      <c r="T6" s="248">
        <v>0</v>
      </c>
      <c r="U6" s="248">
        <v>0</v>
      </c>
      <c r="V6" s="248">
        <v>0</v>
      </c>
      <c r="W6" s="193">
        <f t="shared" si="1"/>
        <v>1.1686059479553903</v>
      </c>
    </row>
    <row r="7" spans="1:23" x14ac:dyDescent="0.25">
      <c r="A7" s="161" t="s">
        <v>190</v>
      </c>
      <c r="B7" s="165">
        <v>0</v>
      </c>
      <c r="C7" s="165">
        <v>0</v>
      </c>
      <c r="D7" s="193">
        <v>0</v>
      </c>
      <c r="E7" s="164">
        <f t="shared" si="0"/>
        <v>0</v>
      </c>
      <c r="F7" s="248">
        <v>0.98499999999999999</v>
      </c>
      <c r="G7" s="248">
        <v>1</v>
      </c>
      <c r="H7" s="193"/>
      <c r="K7" s="161" t="s">
        <v>190</v>
      </c>
      <c r="L7" s="248">
        <v>0</v>
      </c>
      <c r="M7" s="248">
        <v>0</v>
      </c>
      <c r="N7" s="248">
        <v>0</v>
      </c>
      <c r="O7" s="248">
        <v>0</v>
      </c>
      <c r="P7" s="248">
        <v>0</v>
      </c>
      <c r="Q7" s="248">
        <v>0</v>
      </c>
      <c r="R7" s="248">
        <v>0</v>
      </c>
      <c r="S7" s="248">
        <v>0</v>
      </c>
      <c r="T7" s="248">
        <v>0</v>
      </c>
      <c r="U7" s="248">
        <v>0</v>
      </c>
      <c r="V7" s="248">
        <v>0</v>
      </c>
      <c r="W7" s="193">
        <f t="shared" si="1"/>
        <v>0</v>
      </c>
    </row>
    <row r="8" spans="1:23" x14ac:dyDescent="0.25">
      <c r="A8" s="161" t="s">
        <v>184</v>
      </c>
      <c r="B8" s="193">
        <v>0.62746764924999987</v>
      </c>
      <c r="C8" s="193">
        <v>1.0457794154166666</v>
      </c>
      <c r="D8" s="193">
        <v>3.9574990750365591</v>
      </c>
      <c r="E8" s="164">
        <f t="shared" si="0"/>
        <v>3.1659992600292473</v>
      </c>
      <c r="F8" s="248">
        <v>0.98499999999999999</v>
      </c>
      <c r="G8" s="248">
        <v>1</v>
      </c>
      <c r="H8" s="193"/>
      <c r="K8" s="161" t="s">
        <v>184</v>
      </c>
      <c r="L8" s="248">
        <v>0</v>
      </c>
      <c r="M8" s="248">
        <v>0</v>
      </c>
      <c r="N8" s="248">
        <v>0</v>
      </c>
      <c r="O8" s="248">
        <v>0</v>
      </c>
      <c r="P8" s="248">
        <v>0</v>
      </c>
      <c r="Q8" s="248">
        <v>0</v>
      </c>
      <c r="R8" s="248">
        <v>0</v>
      </c>
      <c r="S8" s="248">
        <v>0</v>
      </c>
      <c r="T8" s="248">
        <v>0</v>
      </c>
      <c r="U8" s="248">
        <v>0</v>
      </c>
      <c r="V8" s="248">
        <v>0</v>
      </c>
      <c r="W8" s="193">
        <f t="shared" si="1"/>
        <v>2.3744994450219354</v>
      </c>
    </row>
    <row r="9" spans="1:23" x14ac:dyDescent="0.25">
      <c r="A9" s="161" t="s">
        <v>180</v>
      </c>
      <c r="B9" s="193">
        <v>4.0893921676672864</v>
      </c>
      <c r="C9" s="193">
        <v>6.815653612778811</v>
      </c>
      <c r="D9" s="193">
        <v>25.095832006087353</v>
      </c>
      <c r="E9" s="164">
        <f t="shared" si="0"/>
        <v>20.076665604869884</v>
      </c>
      <c r="F9" s="248">
        <v>0.98499999999999999</v>
      </c>
      <c r="G9" s="248">
        <v>1</v>
      </c>
      <c r="H9" s="193"/>
      <c r="K9" s="161" t="s">
        <v>180</v>
      </c>
      <c r="L9" s="248">
        <v>0</v>
      </c>
      <c r="M9" s="248">
        <v>0</v>
      </c>
      <c r="N9" s="248">
        <v>0</v>
      </c>
      <c r="O9" s="248">
        <v>0</v>
      </c>
      <c r="P9" s="248">
        <v>0</v>
      </c>
      <c r="Q9" s="248">
        <v>0</v>
      </c>
      <c r="R9" s="248">
        <v>0</v>
      </c>
      <c r="S9" s="248">
        <v>0</v>
      </c>
      <c r="T9" s="248">
        <v>0</v>
      </c>
      <c r="U9" s="248">
        <v>0</v>
      </c>
      <c r="V9" s="248">
        <v>0</v>
      </c>
      <c r="W9" s="193">
        <f t="shared" si="1"/>
        <v>15.05749920365241</v>
      </c>
    </row>
    <row r="10" spans="1:23" x14ac:dyDescent="0.25">
      <c r="A10" s="161" t="s">
        <v>194</v>
      </c>
      <c r="B10" s="193">
        <v>0.19580964840427514</v>
      </c>
      <c r="C10" s="193">
        <v>0.32634941400712514</v>
      </c>
      <c r="D10" s="193">
        <v>0.96161710037174719</v>
      </c>
      <c r="E10" s="164">
        <f t="shared" si="0"/>
        <v>0.76929368029739775</v>
      </c>
      <c r="F10" s="248">
        <v>0.98499999999999999</v>
      </c>
      <c r="G10" s="248">
        <v>1</v>
      </c>
      <c r="H10" s="193"/>
      <c r="K10" s="161" t="s">
        <v>194</v>
      </c>
      <c r="L10" s="248">
        <v>0</v>
      </c>
      <c r="M10" s="248">
        <v>0</v>
      </c>
      <c r="N10" s="248">
        <v>0</v>
      </c>
      <c r="O10" s="248">
        <v>0</v>
      </c>
      <c r="P10" s="248">
        <v>0</v>
      </c>
      <c r="Q10" s="248">
        <v>0</v>
      </c>
      <c r="R10" s="248">
        <v>0</v>
      </c>
      <c r="S10" s="248">
        <v>0</v>
      </c>
      <c r="T10" s="248">
        <v>0</v>
      </c>
      <c r="U10" s="248">
        <v>0</v>
      </c>
      <c r="V10" s="248">
        <v>0</v>
      </c>
      <c r="W10" s="193">
        <f t="shared" si="1"/>
        <v>0.57697026022304831</v>
      </c>
    </row>
    <row r="11" spans="1:23" x14ac:dyDescent="0.25">
      <c r="A11" s="112" t="s">
        <v>289</v>
      </c>
      <c r="B11" s="193">
        <v>0</v>
      </c>
      <c r="C11" s="193">
        <v>0</v>
      </c>
      <c r="D11" s="193">
        <v>0</v>
      </c>
      <c r="E11" s="164">
        <f t="shared" si="0"/>
        <v>0</v>
      </c>
      <c r="F11" s="248">
        <v>0.98499999999999999</v>
      </c>
      <c r="G11" s="248">
        <v>1</v>
      </c>
      <c r="H11" s="193"/>
      <c r="K11" s="112" t="s">
        <v>289</v>
      </c>
      <c r="L11" s="248">
        <v>0</v>
      </c>
      <c r="M11" s="248">
        <v>0</v>
      </c>
      <c r="N11" s="248">
        <v>0</v>
      </c>
      <c r="O11" s="248">
        <v>0</v>
      </c>
      <c r="P11" s="248">
        <v>0</v>
      </c>
      <c r="Q11" s="248">
        <v>0</v>
      </c>
      <c r="R11" s="248">
        <v>0</v>
      </c>
      <c r="S11" s="248">
        <v>0</v>
      </c>
      <c r="T11" s="248">
        <v>0</v>
      </c>
      <c r="U11" s="248">
        <v>0</v>
      </c>
      <c r="V11" s="248">
        <v>0</v>
      </c>
      <c r="W11" s="193">
        <f t="shared" si="1"/>
        <v>0</v>
      </c>
    </row>
    <row r="12" spans="1:23" x14ac:dyDescent="0.25">
      <c r="A12" s="112" t="s">
        <v>290</v>
      </c>
      <c r="B12" s="193">
        <v>0.73210098593029749</v>
      </c>
      <c r="C12" s="193">
        <v>1.2201683098838292</v>
      </c>
      <c r="D12" s="193">
        <v>2.9716542750929369</v>
      </c>
      <c r="E12" s="164">
        <f t="shared" si="0"/>
        <v>2.3773234200743496</v>
      </c>
      <c r="F12" s="248">
        <v>0.98499999999999999</v>
      </c>
      <c r="G12" s="248">
        <v>1</v>
      </c>
      <c r="H12" s="193"/>
      <c r="K12" s="112" t="s">
        <v>290</v>
      </c>
      <c r="L12" s="248">
        <v>0</v>
      </c>
      <c r="M12" s="248">
        <v>0</v>
      </c>
      <c r="N12" s="248">
        <v>0</v>
      </c>
      <c r="O12" s="248">
        <v>0</v>
      </c>
      <c r="P12" s="248">
        <v>0</v>
      </c>
      <c r="Q12" s="248">
        <v>0</v>
      </c>
      <c r="R12" s="248">
        <v>0</v>
      </c>
      <c r="S12" s="248">
        <v>0</v>
      </c>
      <c r="T12" s="248">
        <v>0</v>
      </c>
      <c r="U12" s="248">
        <v>0</v>
      </c>
      <c r="V12" s="248">
        <v>0</v>
      </c>
      <c r="W12" s="193">
        <f t="shared" si="1"/>
        <v>1.7829925650557621</v>
      </c>
    </row>
    <row r="13" spans="1:23" x14ac:dyDescent="0.25">
      <c r="A13" s="112" t="s">
        <v>291</v>
      </c>
      <c r="B13" s="193">
        <v>0</v>
      </c>
      <c r="C13" s="193">
        <v>0</v>
      </c>
      <c r="D13" s="193">
        <v>0</v>
      </c>
      <c r="E13" s="164">
        <f t="shared" si="0"/>
        <v>0</v>
      </c>
      <c r="F13" s="248">
        <v>0.98499999999999999</v>
      </c>
      <c r="G13" s="248">
        <v>1</v>
      </c>
      <c r="H13" s="193"/>
      <c r="K13" s="112" t="s">
        <v>291</v>
      </c>
      <c r="L13" s="248">
        <v>0</v>
      </c>
      <c r="M13" s="248">
        <v>0</v>
      </c>
      <c r="N13" s="248">
        <v>0</v>
      </c>
      <c r="O13" s="248">
        <v>0</v>
      </c>
      <c r="P13" s="248">
        <v>0</v>
      </c>
      <c r="Q13" s="248">
        <v>0</v>
      </c>
      <c r="R13" s="248">
        <v>0</v>
      </c>
      <c r="S13" s="248">
        <v>0</v>
      </c>
      <c r="T13" s="248">
        <v>0</v>
      </c>
      <c r="U13" s="248">
        <v>0</v>
      </c>
      <c r="V13" s="248">
        <v>0</v>
      </c>
      <c r="W13" s="193">
        <f t="shared" si="1"/>
        <v>0</v>
      </c>
    </row>
    <row r="14" spans="1:23" x14ac:dyDescent="0.25">
      <c r="A14" s="161" t="s">
        <v>181</v>
      </c>
      <c r="B14" s="193">
        <v>2.4681394469191447</v>
      </c>
      <c r="C14" s="193">
        <v>4.1135657448652418</v>
      </c>
      <c r="D14" s="193">
        <v>12.752081784386617</v>
      </c>
      <c r="E14" s="164">
        <f t="shared" si="0"/>
        <v>10.201665427509294</v>
      </c>
      <c r="F14" s="248">
        <v>0.98499999999999999</v>
      </c>
      <c r="G14" s="248">
        <v>1</v>
      </c>
      <c r="H14" s="193"/>
      <c r="K14" s="161" t="s">
        <v>181</v>
      </c>
      <c r="L14" s="248">
        <v>0</v>
      </c>
      <c r="M14" s="248">
        <v>0</v>
      </c>
      <c r="N14" s="248">
        <v>0</v>
      </c>
      <c r="O14" s="248">
        <v>0</v>
      </c>
      <c r="P14" s="248">
        <v>0</v>
      </c>
      <c r="Q14" s="248">
        <v>0</v>
      </c>
      <c r="R14" s="248">
        <v>0</v>
      </c>
      <c r="S14" s="248">
        <v>0</v>
      </c>
      <c r="T14" s="248">
        <v>0</v>
      </c>
      <c r="U14" s="248">
        <v>0</v>
      </c>
      <c r="V14" s="248">
        <v>0</v>
      </c>
      <c r="W14" s="193">
        <f t="shared" si="1"/>
        <v>7.6512490706319696</v>
      </c>
    </row>
    <row r="15" spans="1:23" x14ac:dyDescent="0.25">
      <c r="A15" s="112" t="s">
        <v>292</v>
      </c>
      <c r="B15" s="193">
        <v>0.15589955080545229</v>
      </c>
      <c r="C15" s="193">
        <v>0.12471964064436182</v>
      </c>
      <c r="D15" s="193">
        <v>0.35878252788104087</v>
      </c>
      <c r="E15" s="164">
        <f t="shared" si="0"/>
        <v>0.28702602230483271</v>
      </c>
      <c r="F15" s="248">
        <v>0.98499999999999999</v>
      </c>
      <c r="G15" s="248">
        <v>1</v>
      </c>
      <c r="H15" s="193"/>
      <c r="K15" s="112" t="s">
        <v>292</v>
      </c>
      <c r="L15" s="248">
        <v>0</v>
      </c>
      <c r="M15" s="248">
        <v>0</v>
      </c>
      <c r="N15" s="248">
        <v>0</v>
      </c>
      <c r="O15" s="248">
        <v>0</v>
      </c>
      <c r="P15" s="248">
        <v>0</v>
      </c>
      <c r="Q15" s="248">
        <v>0</v>
      </c>
      <c r="R15" s="248">
        <v>0</v>
      </c>
      <c r="S15" s="248">
        <v>0</v>
      </c>
      <c r="T15" s="248">
        <v>0</v>
      </c>
      <c r="U15" s="248">
        <v>0</v>
      </c>
      <c r="V15" s="248">
        <v>0</v>
      </c>
      <c r="W15" s="193">
        <f t="shared" si="1"/>
        <v>0.21526951672862452</v>
      </c>
    </row>
    <row r="16" spans="1:23" x14ac:dyDescent="0.25">
      <c r="A16" s="112" t="s">
        <v>293</v>
      </c>
      <c r="B16" s="193">
        <v>9.8440087882434954E-2</v>
      </c>
      <c r="C16" s="193">
        <v>0.16406681313739158</v>
      </c>
      <c r="D16" s="193">
        <v>0.59618029739776957</v>
      </c>
      <c r="E16" s="164">
        <f t="shared" si="0"/>
        <v>0.47694423791821566</v>
      </c>
      <c r="F16" s="248">
        <v>0.98499999999999999</v>
      </c>
      <c r="G16" s="248">
        <v>1</v>
      </c>
      <c r="H16" s="193"/>
      <c r="K16" s="112" t="s">
        <v>293</v>
      </c>
      <c r="L16" s="248">
        <v>0</v>
      </c>
      <c r="M16" s="248">
        <v>0</v>
      </c>
      <c r="N16" s="248">
        <v>0</v>
      </c>
      <c r="O16" s="248">
        <v>0</v>
      </c>
      <c r="P16" s="248">
        <v>0</v>
      </c>
      <c r="Q16" s="248">
        <v>0</v>
      </c>
      <c r="R16" s="248">
        <v>0</v>
      </c>
      <c r="S16" s="248">
        <v>0</v>
      </c>
      <c r="T16" s="248">
        <v>0</v>
      </c>
      <c r="U16" s="248">
        <v>0</v>
      </c>
      <c r="V16" s="248">
        <v>0</v>
      </c>
      <c r="W16" s="193">
        <f t="shared" si="1"/>
        <v>0.35770817843866171</v>
      </c>
    </row>
    <row r="17" spans="1:23" x14ac:dyDescent="0.25">
      <c r="A17" s="161" t="s">
        <v>192</v>
      </c>
      <c r="B17" s="193">
        <v>1.1395543084572493</v>
      </c>
      <c r="C17" s="193">
        <v>1.8992571807620819</v>
      </c>
      <c r="D17" s="193">
        <v>6.2745260223048325</v>
      </c>
      <c r="E17" s="164">
        <f t="shared" si="0"/>
        <v>5.0196208178438662</v>
      </c>
      <c r="F17" s="248">
        <v>0.98499999999999999</v>
      </c>
      <c r="G17" s="248">
        <v>1</v>
      </c>
      <c r="H17" s="193"/>
      <c r="K17" s="161" t="s">
        <v>192</v>
      </c>
      <c r="L17" s="248">
        <v>0</v>
      </c>
      <c r="M17" s="248">
        <v>0</v>
      </c>
      <c r="N17" s="248">
        <v>0</v>
      </c>
      <c r="O17" s="248">
        <v>0</v>
      </c>
      <c r="P17" s="248">
        <v>0</v>
      </c>
      <c r="Q17" s="248">
        <v>0</v>
      </c>
      <c r="R17" s="248">
        <v>0</v>
      </c>
      <c r="S17" s="248">
        <v>0</v>
      </c>
      <c r="T17" s="248">
        <v>0</v>
      </c>
      <c r="U17" s="248">
        <v>0</v>
      </c>
      <c r="V17" s="248">
        <v>0</v>
      </c>
      <c r="W17" s="193">
        <f t="shared" si="1"/>
        <v>3.7647156133828994</v>
      </c>
    </row>
    <row r="18" spans="1:23" x14ac:dyDescent="0.25">
      <c r="A18" s="112" t="s">
        <v>294</v>
      </c>
      <c r="B18" s="193">
        <v>0</v>
      </c>
      <c r="C18" s="193">
        <v>0</v>
      </c>
      <c r="D18" s="193">
        <v>0</v>
      </c>
      <c r="E18" s="164">
        <f t="shared" si="0"/>
        <v>0</v>
      </c>
      <c r="F18" s="248">
        <v>0.98499999999999999</v>
      </c>
      <c r="G18" s="248">
        <v>1</v>
      </c>
      <c r="H18" s="193"/>
      <c r="K18" s="112" t="s">
        <v>294</v>
      </c>
      <c r="L18" s="248">
        <v>0</v>
      </c>
      <c r="M18" s="248">
        <v>0</v>
      </c>
      <c r="N18" s="248">
        <v>0</v>
      </c>
      <c r="O18" s="248">
        <v>0</v>
      </c>
      <c r="P18" s="248">
        <v>0</v>
      </c>
      <c r="Q18" s="248">
        <v>0</v>
      </c>
      <c r="R18" s="248">
        <v>0</v>
      </c>
      <c r="S18" s="248">
        <v>0</v>
      </c>
      <c r="T18" s="248">
        <v>0</v>
      </c>
      <c r="U18" s="248">
        <v>0</v>
      </c>
      <c r="V18" s="248">
        <v>0</v>
      </c>
      <c r="W18" s="193">
        <f t="shared" si="1"/>
        <v>0</v>
      </c>
    </row>
    <row r="19" spans="1:23" x14ac:dyDescent="0.25">
      <c r="A19" s="161" t="s">
        <v>182</v>
      </c>
      <c r="B19" s="193">
        <v>2.9848376535780665</v>
      </c>
      <c r="C19" s="193">
        <v>4.9747294226301113</v>
      </c>
      <c r="D19" s="193">
        <v>24.957251435629033</v>
      </c>
      <c r="E19" s="164">
        <f t="shared" si="0"/>
        <v>19.965801148503228</v>
      </c>
      <c r="F19" s="248">
        <v>0.98499999999999999</v>
      </c>
      <c r="G19" s="248">
        <v>1</v>
      </c>
      <c r="H19" s="193"/>
      <c r="K19" s="161" t="s">
        <v>182</v>
      </c>
      <c r="L19" s="248">
        <v>0</v>
      </c>
      <c r="M19" s="248">
        <v>0</v>
      </c>
      <c r="N19" s="248">
        <v>0</v>
      </c>
      <c r="O19" s="248">
        <v>0</v>
      </c>
      <c r="P19" s="248">
        <v>0</v>
      </c>
      <c r="Q19" s="248">
        <v>0</v>
      </c>
      <c r="R19" s="248">
        <v>0</v>
      </c>
      <c r="S19" s="248">
        <v>0</v>
      </c>
      <c r="T19" s="248">
        <v>0</v>
      </c>
      <c r="U19" s="248">
        <v>0</v>
      </c>
      <c r="V19" s="248">
        <v>0</v>
      </c>
      <c r="W19" s="193">
        <f t="shared" si="1"/>
        <v>14.974350861377419</v>
      </c>
    </row>
    <row r="20" spans="1:23" x14ac:dyDescent="0.25">
      <c r="A20" s="112" t="s">
        <v>295</v>
      </c>
      <c r="B20" s="193">
        <v>0</v>
      </c>
      <c r="C20" s="193">
        <v>0</v>
      </c>
      <c r="D20" s="193">
        <v>0</v>
      </c>
      <c r="E20" s="164">
        <f t="shared" si="0"/>
        <v>0</v>
      </c>
      <c r="F20" s="248">
        <v>0.98499999999999999</v>
      </c>
      <c r="G20" s="248">
        <v>1</v>
      </c>
      <c r="H20" s="193"/>
      <c r="K20" s="112" t="s">
        <v>295</v>
      </c>
      <c r="L20" s="248">
        <v>0</v>
      </c>
      <c r="M20" s="248">
        <v>0</v>
      </c>
      <c r="N20" s="248">
        <v>0</v>
      </c>
      <c r="O20" s="248">
        <v>0</v>
      </c>
      <c r="P20" s="248">
        <v>0</v>
      </c>
      <c r="Q20" s="248">
        <v>0</v>
      </c>
      <c r="R20" s="248">
        <v>0</v>
      </c>
      <c r="S20" s="248">
        <v>0</v>
      </c>
      <c r="T20" s="248">
        <v>0</v>
      </c>
      <c r="U20" s="248">
        <v>0</v>
      </c>
      <c r="V20" s="248">
        <v>0</v>
      </c>
      <c r="W20" s="193">
        <f t="shared" si="1"/>
        <v>0</v>
      </c>
    </row>
    <row r="21" spans="1:23" x14ac:dyDescent="0.25">
      <c r="A21" s="112" t="s">
        <v>296</v>
      </c>
      <c r="B21" s="193">
        <v>0.40818325583643117</v>
      </c>
      <c r="C21" s="193">
        <v>0.68030542639405212</v>
      </c>
      <c r="D21" s="193">
        <v>2.2444237918215615</v>
      </c>
      <c r="E21" s="164">
        <f t="shared" si="0"/>
        <v>1.7955390334572492</v>
      </c>
      <c r="F21" s="248">
        <v>0.98499999999999999</v>
      </c>
      <c r="G21" s="248">
        <v>1</v>
      </c>
      <c r="H21" s="193"/>
      <c r="K21" s="112" t="s">
        <v>296</v>
      </c>
      <c r="L21" s="248">
        <v>0</v>
      </c>
      <c r="M21" s="248">
        <v>0</v>
      </c>
      <c r="N21" s="248">
        <v>0</v>
      </c>
      <c r="O21" s="248">
        <v>0</v>
      </c>
      <c r="P21" s="248">
        <v>0</v>
      </c>
      <c r="Q21" s="248">
        <v>0</v>
      </c>
      <c r="R21" s="248">
        <v>0</v>
      </c>
      <c r="S21" s="248">
        <v>0</v>
      </c>
      <c r="T21" s="248">
        <v>0</v>
      </c>
      <c r="U21" s="248">
        <v>0</v>
      </c>
      <c r="V21" s="248">
        <v>0</v>
      </c>
      <c r="W21" s="193">
        <f t="shared" si="1"/>
        <v>1.3466542750929369</v>
      </c>
    </row>
    <row r="22" spans="1:23" x14ac:dyDescent="0.25">
      <c r="A22" s="161" t="s">
        <v>196</v>
      </c>
      <c r="B22" s="193">
        <v>0.8454126858150558</v>
      </c>
      <c r="C22" s="193">
        <v>1.409021143025093</v>
      </c>
      <c r="D22" s="193">
        <v>12.154637546468404</v>
      </c>
      <c r="E22" s="164">
        <f t="shared" si="0"/>
        <v>9.7237100371747243</v>
      </c>
      <c r="F22" s="248">
        <v>0.98499999999999999</v>
      </c>
      <c r="G22" s="248">
        <v>1</v>
      </c>
      <c r="H22" s="193"/>
      <c r="K22" s="161" t="s">
        <v>196</v>
      </c>
      <c r="L22" s="248">
        <v>0</v>
      </c>
      <c r="M22" s="248">
        <v>0</v>
      </c>
      <c r="N22" s="248">
        <v>0</v>
      </c>
      <c r="O22" s="248">
        <v>0</v>
      </c>
      <c r="P22" s="248">
        <v>0</v>
      </c>
      <c r="Q22" s="248">
        <v>0</v>
      </c>
      <c r="R22" s="248">
        <v>0</v>
      </c>
      <c r="S22" s="248">
        <v>0</v>
      </c>
      <c r="T22" s="248">
        <v>0</v>
      </c>
      <c r="U22" s="248">
        <v>0</v>
      </c>
      <c r="V22" s="248">
        <v>0</v>
      </c>
      <c r="W22" s="193">
        <f t="shared" si="1"/>
        <v>7.2927825278810419</v>
      </c>
    </row>
    <row r="23" spans="1:23" x14ac:dyDescent="0.25">
      <c r="A23" s="161" t="s">
        <v>186</v>
      </c>
      <c r="B23" s="193">
        <v>0.37088376556923791</v>
      </c>
      <c r="C23" s="193">
        <v>0.61813960928206313</v>
      </c>
      <c r="D23" s="193">
        <v>4.3232992460501851</v>
      </c>
      <c r="E23" s="164">
        <f t="shared" si="0"/>
        <v>3.4586393968401481</v>
      </c>
      <c r="F23" s="248">
        <v>0.98499999999999999</v>
      </c>
      <c r="G23" s="248">
        <v>1</v>
      </c>
      <c r="H23" s="193"/>
      <c r="K23" s="161" t="s">
        <v>186</v>
      </c>
      <c r="L23" s="248">
        <v>0</v>
      </c>
      <c r="M23" s="248">
        <v>0</v>
      </c>
      <c r="N23" s="248">
        <v>0</v>
      </c>
      <c r="O23" s="248">
        <v>0</v>
      </c>
      <c r="P23" s="248">
        <v>0</v>
      </c>
      <c r="Q23" s="248">
        <v>0</v>
      </c>
      <c r="R23" s="248">
        <v>0</v>
      </c>
      <c r="S23" s="248">
        <v>0</v>
      </c>
      <c r="T23" s="248">
        <v>0</v>
      </c>
      <c r="U23" s="248">
        <v>0</v>
      </c>
      <c r="V23" s="248">
        <v>0</v>
      </c>
      <c r="W23" s="193">
        <f t="shared" si="1"/>
        <v>2.5939795476301111</v>
      </c>
    </row>
    <row r="24" spans="1:23" x14ac:dyDescent="0.25">
      <c r="A24" s="112" t="s">
        <v>297</v>
      </c>
      <c r="B24" s="193">
        <v>4.5684231731877321E-2</v>
      </c>
      <c r="C24" s="193">
        <v>7.6140386219795533E-2</v>
      </c>
      <c r="D24" s="193">
        <v>0.33178438661710036</v>
      </c>
      <c r="E24" s="164">
        <f t="shared" si="0"/>
        <v>0.26542750929368031</v>
      </c>
      <c r="F24" s="248">
        <v>0.98499999999999999</v>
      </c>
      <c r="G24" s="248">
        <v>1</v>
      </c>
      <c r="H24" s="193"/>
      <c r="K24" s="112" t="s">
        <v>297</v>
      </c>
      <c r="L24" s="248">
        <v>0</v>
      </c>
      <c r="M24" s="248">
        <v>0</v>
      </c>
      <c r="N24" s="248">
        <v>0</v>
      </c>
      <c r="O24" s="248">
        <v>0</v>
      </c>
      <c r="P24" s="248">
        <v>0</v>
      </c>
      <c r="Q24" s="248">
        <v>0</v>
      </c>
      <c r="R24" s="248">
        <v>0</v>
      </c>
      <c r="S24" s="248">
        <v>0</v>
      </c>
      <c r="T24" s="248">
        <v>0</v>
      </c>
      <c r="U24" s="248">
        <v>0</v>
      </c>
      <c r="V24" s="248">
        <v>0</v>
      </c>
      <c r="W24" s="193">
        <f t="shared" si="1"/>
        <v>0.1990706319702602</v>
      </c>
    </row>
    <row r="25" spans="1:23" x14ac:dyDescent="0.25">
      <c r="A25" s="161" t="s">
        <v>193</v>
      </c>
      <c r="B25" s="193">
        <v>0.54174842430297399</v>
      </c>
      <c r="C25" s="193">
        <v>0.90291404050495661</v>
      </c>
      <c r="D25" s="193">
        <v>4.2873745353159851</v>
      </c>
      <c r="E25" s="164">
        <f t="shared" si="0"/>
        <v>3.4298996282527883</v>
      </c>
      <c r="F25" s="248">
        <v>0.98499999999999999</v>
      </c>
      <c r="G25" s="248">
        <v>1</v>
      </c>
      <c r="H25" s="193"/>
      <c r="K25" s="161" t="s">
        <v>193</v>
      </c>
      <c r="L25" s="248">
        <v>0</v>
      </c>
      <c r="M25" s="248">
        <v>0</v>
      </c>
      <c r="N25" s="248">
        <v>0</v>
      </c>
      <c r="O25" s="248">
        <v>0</v>
      </c>
      <c r="P25" s="248">
        <v>0</v>
      </c>
      <c r="Q25" s="248">
        <v>0</v>
      </c>
      <c r="R25" s="248">
        <v>0</v>
      </c>
      <c r="S25" s="248">
        <v>0</v>
      </c>
      <c r="T25" s="248">
        <v>0</v>
      </c>
      <c r="U25" s="248">
        <v>0</v>
      </c>
      <c r="V25" s="248">
        <v>0</v>
      </c>
      <c r="W25" s="193">
        <f t="shared" si="1"/>
        <v>2.572424721189591</v>
      </c>
    </row>
    <row r="26" spans="1:23" x14ac:dyDescent="0.25">
      <c r="A26" s="113" t="s">
        <v>298</v>
      </c>
      <c r="B26" s="193">
        <v>7.9088603671003718E-2</v>
      </c>
      <c r="C26" s="193">
        <v>0.13181433945167287</v>
      </c>
      <c r="D26" s="193">
        <v>0.93587360594795543</v>
      </c>
      <c r="E26" s="164">
        <f t="shared" si="0"/>
        <v>0.74869888475836444</v>
      </c>
      <c r="F26" s="248">
        <v>0.98499999999999999</v>
      </c>
      <c r="G26" s="248">
        <v>1</v>
      </c>
      <c r="H26" s="193"/>
      <c r="K26" s="113" t="s">
        <v>298</v>
      </c>
      <c r="L26" s="248">
        <v>0</v>
      </c>
      <c r="M26" s="248">
        <v>0</v>
      </c>
      <c r="N26" s="248">
        <v>0</v>
      </c>
      <c r="O26" s="248">
        <v>0</v>
      </c>
      <c r="P26" s="248">
        <v>0</v>
      </c>
      <c r="Q26" s="248">
        <v>0</v>
      </c>
      <c r="R26" s="248">
        <v>0</v>
      </c>
      <c r="S26" s="248">
        <v>0</v>
      </c>
      <c r="T26" s="248">
        <v>0</v>
      </c>
      <c r="U26" s="248">
        <v>0</v>
      </c>
      <c r="V26" s="248">
        <v>0</v>
      </c>
      <c r="W26" s="193">
        <f t="shared" si="1"/>
        <v>0.56152416356877322</v>
      </c>
    </row>
    <row r="27" spans="1:23" x14ac:dyDescent="0.25">
      <c r="A27" s="161" t="s">
        <v>197</v>
      </c>
      <c r="B27" s="193">
        <v>1.6735288671003718E-3</v>
      </c>
      <c r="C27" s="193">
        <v>1.6735288671003718E-3</v>
      </c>
      <c r="D27" s="193">
        <v>9.0148698884758363E-3</v>
      </c>
      <c r="E27" s="164">
        <f t="shared" si="0"/>
        <v>7.2118959107806691E-3</v>
      </c>
      <c r="F27" s="248">
        <v>0.98499999999999999</v>
      </c>
      <c r="G27" s="248">
        <v>1</v>
      </c>
      <c r="H27" s="193"/>
      <c r="K27" s="161" t="s">
        <v>197</v>
      </c>
      <c r="L27" s="248">
        <v>0</v>
      </c>
      <c r="M27" s="248">
        <v>0</v>
      </c>
      <c r="N27" s="248">
        <v>0</v>
      </c>
      <c r="O27" s="248">
        <v>0</v>
      </c>
      <c r="P27" s="248">
        <v>0</v>
      </c>
      <c r="Q27" s="248">
        <v>0</v>
      </c>
      <c r="R27" s="248">
        <v>0</v>
      </c>
      <c r="S27" s="248">
        <v>0</v>
      </c>
      <c r="T27" s="248">
        <v>0</v>
      </c>
      <c r="U27" s="248">
        <v>0</v>
      </c>
      <c r="V27" s="248">
        <v>0</v>
      </c>
      <c r="W27" s="193">
        <f t="shared" si="1"/>
        <v>5.4089219330855018E-3</v>
      </c>
    </row>
    <row r="28" spans="1:23" x14ac:dyDescent="0.25">
      <c r="A28" s="112" t="s">
        <v>299</v>
      </c>
      <c r="B28" s="193">
        <v>0</v>
      </c>
      <c r="C28" s="193">
        <v>0</v>
      </c>
      <c r="D28" s="193">
        <v>0</v>
      </c>
      <c r="E28" s="164">
        <f t="shared" si="0"/>
        <v>0</v>
      </c>
      <c r="F28" s="248">
        <v>0.98499999999999999</v>
      </c>
      <c r="G28" s="248">
        <v>1</v>
      </c>
      <c r="H28" s="193"/>
      <c r="K28" s="112" t="s">
        <v>299</v>
      </c>
      <c r="L28" s="248">
        <v>0</v>
      </c>
      <c r="M28" s="248">
        <v>0</v>
      </c>
      <c r="N28" s="248">
        <v>0</v>
      </c>
      <c r="O28" s="248">
        <v>0</v>
      </c>
      <c r="P28" s="248">
        <v>0</v>
      </c>
      <c r="Q28" s="248">
        <v>0</v>
      </c>
      <c r="R28" s="248">
        <v>0</v>
      </c>
      <c r="S28" s="248">
        <v>0</v>
      </c>
      <c r="T28" s="248">
        <v>0</v>
      </c>
      <c r="U28" s="248">
        <v>0</v>
      </c>
      <c r="V28" s="248">
        <v>0</v>
      </c>
      <c r="W28" s="193">
        <f t="shared" si="1"/>
        <v>0</v>
      </c>
    </row>
    <row r="29" spans="1:23" x14ac:dyDescent="0.25">
      <c r="A29" s="161" t="s">
        <v>185</v>
      </c>
      <c r="B29" s="193">
        <v>0.56443555087360586</v>
      </c>
      <c r="C29" s="193">
        <v>0.94072591812267647</v>
      </c>
      <c r="D29" s="193">
        <v>3.6425000000000001</v>
      </c>
      <c r="E29" s="164">
        <f t="shared" si="0"/>
        <v>2.9140000000000001</v>
      </c>
      <c r="F29" s="248">
        <v>0.98499999999999999</v>
      </c>
      <c r="G29" s="248">
        <v>1</v>
      </c>
      <c r="H29" s="193"/>
      <c r="K29" s="161" t="s">
        <v>185</v>
      </c>
      <c r="L29" s="248">
        <v>0</v>
      </c>
      <c r="M29" s="248">
        <v>0</v>
      </c>
      <c r="N29" s="248">
        <v>0</v>
      </c>
      <c r="O29" s="248">
        <v>0</v>
      </c>
      <c r="P29" s="248">
        <v>0</v>
      </c>
      <c r="Q29" s="248">
        <v>0</v>
      </c>
      <c r="R29" s="248">
        <v>0</v>
      </c>
      <c r="S29" s="248">
        <v>0</v>
      </c>
      <c r="T29" s="248">
        <v>0</v>
      </c>
      <c r="U29" s="248">
        <v>0</v>
      </c>
      <c r="V29" s="248">
        <v>0</v>
      </c>
      <c r="W29" s="193">
        <f t="shared" si="1"/>
        <v>2.1854999999999998</v>
      </c>
    </row>
    <row r="30" spans="1:23" x14ac:dyDescent="0.25">
      <c r="A30" s="161" t="s">
        <v>300</v>
      </c>
      <c r="B30" s="193">
        <v>1.9335501858736057</v>
      </c>
      <c r="C30" s="193">
        <v>2.5780669144981414</v>
      </c>
      <c r="D30" s="193">
        <v>12.631406472982258</v>
      </c>
      <c r="E30" s="164">
        <f t="shared" si="0"/>
        <v>10.105125178385807</v>
      </c>
      <c r="F30" s="248">
        <v>0.98499999999999999</v>
      </c>
      <c r="G30" s="248">
        <v>1</v>
      </c>
      <c r="H30" s="193"/>
      <c r="K30" s="161" t="s">
        <v>300</v>
      </c>
      <c r="L30" s="248">
        <v>0</v>
      </c>
      <c r="M30" s="248">
        <v>0</v>
      </c>
      <c r="N30" s="248">
        <v>0</v>
      </c>
      <c r="O30" s="248">
        <v>0</v>
      </c>
      <c r="P30" s="248">
        <v>0</v>
      </c>
      <c r="Q30" s="248">
        <v>0</v>
      </c>
      <c r="R30" s="248">
        <v>0</v>
      </c>
      <c r="S30" s="248">
        <v>0</v>
      </c>
      <c r="T30" s="248">
        <v>0</v>
      </c>
      <c r="U30" s="248">
        <v>0</v>
      </c>
      <c r="V30" s="248">
        <v>0</v>
      </c>
      <c r="W30" s="193">
        <f t="shared" si="1"/>
        <v>7.5788438837893546</v>
      </c>
    </row>
    <row r="31" spans="1:23" x14ac:dyDescent="0.25">
      <c r="A31" s="161" t="s">
        <v>188</v>
      </c>
      <c r="B31" s="193">
        <v>5.7791969736524145</v>
      </c>
      <c r="C31" s="193">
        <v>9.6319949560873592</v>
      </c>
      <c r="D31" s="193">
        <v>30.984743083921934</v>
      </c>
      <c r="E31" s="164">
        <f t="shared" si="0"/>
        <v>24.787794467137548</v>
      </c>
      <c r="F31" s="248">
        <v>0.98499999999999999</v>
      </c>
      <c r="G31" s="248">
        <v>1</v>
      </c>
      <c r="H31" s="193"/>
      <c r="K31" s="161" t="s">
        <v>188</v>
      </c>
      <c r="L31" s="248">
        <v>0</v>
      </c>
      <c r="M31" s="248">
        <v>0</v>
      </c>
      <c r="N31" s="248">
        <v>0</v>
      </c>
      <c r="O31" s="248">
        <v>0</v>
      </c>
      <c r="P31" s="248">
        <v>0</v>
      </c>
      <c r="Q31" s="248">
        <v>0</v>
      </c>
      <c r="R31" s="248">
        <v>0</v>
      </c>
      <c r="S31" s="248">
        <v>0</v>
      </c>
      <c r="T31" s="248">
        <v>0</v>
      </c>
      <c r="U31" s="248">
        <v>0</v>
      </c>
      <c r="V31" s="248">
        <v>0</v>
      </c>
      <c r="W31" s="193">
        <f t="shared" si="1"/>
        <v>18.590845850353158</v>
      </c>
    </row>
    <row r="32" spans="1:23" x14ac:dyDescent="0.25">
      <c r="A32" s="161" t="s">
        <v>191</v>
      </c>
      <c r="B32" s="193">
        <v>0.91887382081087354</v>
      </c>
      <c r="C32" s="193">
        <v>1.5314563680181228</v>
      </c>
      <c r="D32" s="193">
        <v>5.611245353159851</v>
      </c>
      <c r="E32" s="164">
        <f t="shared" si="0"/>
        <v>4.4889962825278813</v>
      </c>
      <c r="F32" s="248">
        <v>0.98499999999999999</v>
      </c>
      <c r="G32" s="248">
        <v>1</v>
      </c>
      <c r="H32" s="193"/>
      <c r="K32" s="161" t="s">
        <v>191</v>
      </c>
      <c r="L32" s="248">
        <v>0</v>
      </c>
      <c r="M32" s="248">
        <v>0</v>
      </c>
      <c r="N32" s="248">
        <v>0</v>
      </c>
      <c r="O32" s="248">
        <v>0</v>
      </c>
      <c r="P32" s="248">
        <v>0</v>
      </c>
      <c r="Q32" s="248">
        <v>0</v>
      </c>
      <c r="R32" s="248">
        <v>0</v>
      </c>
      <c r="S32" s="248">
        <v>0</v>
      </c>
      <c r="T32" s="248">
        <v>0</v>
      </c>
      <c r="U32" s="248">
        <v>0</v>
      </c>
      <c r="V32" s="248">
        <v>0</v>
      </c>
      <c r="W32" s="193">
        <f t="shared" si="1"/>
        <v>3.3667472118959103</v>
      </c>
    </row>
    <row r="34" spans="1:4" x14ac:dyDescent="0.25">
      <c r="B34" s="176" t="s">
        <v>430</v>
      </c>
      <c r="C34" s="176" t="s">
        <v>430</v>
      </c>
      <c r="D34" s="176" t="s">
        <v>431</v>
      </c>
    </row>
    <row r="37" spans="1:4" x14ac:dyDescent="0.25">
      <c r="A37" s="176" t="s">
        <v>432</v>
      </c>
    </row>
    <row r="38" spans="1:4" x14ac:dyDescent="0.25">
      <c r="A38" s="176" t="s">
        <v>433</v>
      </c>
    </row>
    <row r="39" spans="1:4" x14ac:dyDescent="0.25">
      <c r="A39" s="176" t="s">
        <v>434</v>
      </c>
    </row>
  </sheetData>
  <mergeCells count="2">
    <mergeCell ref="A1:G1"/>
    <mergeCell ref="K1:W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66595-1A7D-476C-9536-F1C7E56E21B9}">
  <sheetPr codeName="Sheet7">
    <tabColor theme="5" tint="0.79998168889431442"/>
  </sheetPr>
  <dimension ref="A1:W48"/>
  <sheetViews>
    <sheetView workbookViewId="0">
      <selection activeCell="L39" sqref="L39"/>
    </sheetView>
  </sheetViews>
  <sheetFormatPr defaultColWidth="9.140625" defaultRowHeight="15" x14ac:dyDescent="0.25"/>
  <cols>
    <col min="1" max="1" width="3.140625" style="182" customWidth="1"/>
    <col min="2" max="2" width="14.28515625" style="176" customWidth="1"/>
    <col min="3" max="3" width="3.140625" style="182" customWidth="1"/>
    <col min="4" max="4" width="14.28515625" style="176" customWidth="1"/>
    <col min="5" max="5" width="3.140625" style="182" customWidth="1"/>
    <col min="6" max="6" width="14.28515625" style="176" customWidth="1"/>
    <col min="7" max="7" width="3.140625" style="182" customWidth="1"/>
    <col min="8" max="10" width="14.28515625" style="176" customWidth="1"/>
    <col min="11" max="11" width="3.140625" style="182" customWidth="1"/>
    <col min="12" max="14" width="14.28515625" style="176" customWidth="1"/>
    <col min="15" max="15" width="3.140625" style="182" customWidth="1"/>
    <col min="16" max="16384" width="9.140625" style="176"/>
  </cols>
  <sheetData>
    <row r="1" spans="1:23" x14ac:dyDescent="0.25">
      <c r="A1" s="33"/>
      <c r="B1" s="92" t="s">
        <v>142</v>
      </c>
      <c r="C1" s="93"/>
      <c r="D1" s="92" t="s">
        <v>143</v>
      </c>
      <c r="E1" s="93"/>
      <c r="F1" s="92" t="s">
        <v>144</v>
      </c>
      <c r="G1" s="33"/>
      <c r="H1" s="336" t="s">
        <v>145</v>
      </c>
      <c r="I1" s="336"/>
      <c r="J1" s="336"/>
      <c r="K1" s="33"/>
      <c r="L1" s="336" t="s">
        <v>146</v>
      </c>
      <c r="M1" s="336"/>
      <c r="N1" s="336"/>
      <c r="O1" s="33"/>
      <c r="P1" s="233"/>
      <c r="Q1" s="233"/>
      <c r="R1" s="233"/>
    </row>
    <row r="2" spans="1:23" x14ac:dyDescent="0.25">
      <c r="A2" s="33"/>
      <c r="B2" s="233" t="s">
        <v>268</v>
      </c>
      <c r="C2" s="33"/>
      <c r="D2" s="183" t="s">
        <v>202</v>
      </c>
      <c r="E2" s="33"/>
      <c r="F2" s="111" t="s">
        <v>183</v>
      </c>
      <c r="G2" s="33"/>
      <c r="H2" s="183" t="s">
        <v>202</v>
      </c>
      <c r="I2" s="183" t="s">
        <v>168</v>
      </c>
      <c r="J2" s="233">
        <v>1</v>
      </c>
      <c r="K2" s="33"/>
      <c r="L2" s="111" t="s">
        <v>183</v>
      </c>
      <c r="M2" s="111" t="s">
        <v>168</v>
      </c>
      <c r="N2" s="233">
        <v>1</v>
      </c>
      <c r="O2" s="33"/>
      <c r="P2" s="168"/>
      <c r="Q2" s="233"/>
      <c r="R2" s="233"/>
    </row>
    <row r="3" spans="1:23" x14ac:dyDescent="0.25">
      <c r="A3" s="33"/>
      <c r="B3" s="109" t="s">
        <v>168</v>
      </c>
      <c r="C3" s="33"/>
      <c r="D3" s="189" t="s">
        <v>504</v>
      </c>
      <c r="E3" s="33"/>
      <c r="F3" s="111" t="s">
        <v>189</v>
      </c>
      <c r="G3" s="33"/>
      <c r="H3" s="189" t="s">
        <v>504</v>
      </c>
      <c r="I3" s="189" t="s">
        <v>270</v>
      </c>
      <c r="J3" s="233">
        <v>1</v>
      </c>
      <c r="K3" s="33"/>
      <c r="L3" s="111" t="s">
        <v>189</v>
      </c>
      <c r="M3" s="111" t="s">
        <v>174</v>
      </c>
      <c r="N3" s="233">
        <v>1</v>
      </c>
      <c r="O3" s="33"/>
      <c r="P3" s="168"/>
      <c r="Q3" s="233"/>
      <c r="R3" s="233"/>
    </row>
    <row r="4" spans="1:23" x14ac:dyDescent="0.25">
      <c r="A4" s="33"/>
      <c r="B4" s="109" t="s">
        <v>174</v>
      </c>
      <c r="C4" s="33"/>
      <c r="D4" s="189" t="s">
        <v>283</v>
      </c>
      <c r="E4" s="33"/>
      <c r="F4" s="112" t="s">
        <v>288</v>
      </c>
      <c r="G4" s="33"/>
      <c r="H4" s="189" t="s">
        <v>283</v>
      </c>
      <c r="I4" s="189" t="s">
        <v>269</v>
      </c>
      <c r="J4" s="233">
        <v>1</v>
      </c>
      <c r="K4" s="33"/>
      <c r="L4" s="112" t="s">
        <v>288</v>
      </c>
      <c r="M4" s="112" t="s">
        <v>269</v>
      </c>
      <c r="N4" s="233">
        <v>1</v>
      </c>
      <c r="O4" s="33"/>
      <c r="P4" s="168"/>
      <c r="Q4" s="115"/>
      <c r="R4" s="184"/>
    </row>
    <row r="5" spans="1:23" x14ac:dyDescent="0.25">
      <c r="A5" s="33"/>
      <c r="B5" s="109" t="s">
        <v>269</v>
      </c>
      <c r="C5" s="33"/>
      <c r="D5" s="183" t="s">
        <v>205</v>
      </c>
      <c r="E5" s="33"/>
      <c r="F5" s="111" t="s">
        <v>187</v>
      </c>
      <c r="G5" s="33"/>
      <c r="H5" s="183" t="s">
        <v>205</v>
      </c>
      <c r="I5" s="183" t="s">
        <v>172</v>
      </c>
      <c r="J5" s="233">
        <v>1</v>
      </c>
      <c r="K5" s="33"/>
      <c r="L5" s="111" t="s">
        <v>187</v>
      </c>
      <c r="M5" s="111" t="s">
        <v>172</v>
      </c>
      <c r="N5" s="233">
        <v>1</v>
      </c>
      <c r="O5" s="33"/>
      <c r="P5" s="168"/>
      <c r="Q5" s="115"/>
      <c r="S5" s="184"/>
    </row>
    <row r="6" spans="1:23" x14ac:dyDescent="0.25">
      <c r="A6" s="33"/>
      <c r="B6" s="109" t="s">
        <v>172</v>
      </c>
      <c r="C6" s="33"/>
      <c r="D6" s="183" t="s">
        <v>203</v>
      </c>
      <c r="E6" s="33"/>
      <c r="F6" s="111" t="s">
        <v>190</v>
      </c>
      <c r="G6" s="33"/>
      <c r="H6" s="183" t="s">
        <v>203</v>
      </c>
      <c r="I6" s="183" t="s">
        <v>169</v>
      </c>
      <c r="J6" s="233">
        <v>1</v>
      </c>
      <c r="K6" s="33"/>
      <c r="L6" s="111" t="s">
        <v>190</v>
      </c>
      <c r="M6" s="111" t="s">
        <v>175</v>
      </c>
      <c r="N6" s="233">
        <v>1</v>
      </c>
      <c r="O6" s="33"/>
      <c r="P6" s="168"/>
      <c r="Q6" s="115"/>
      <c r="R6" s="96"/>
      <c r="S6" s="184"/>
      <c r="T6" s="96"/>
      <c r="U6" s="96"/>
      <c r="W6" s="96"/>
    </row>
    <row r="7" spans="1:23" x14ac:dyDescent="0.25">
      <c r="A7" s="33"/>
      <c r="B7" s="109" t="s">
        <v>175</v>
      </c>
      <c r="C7" s="33"/>
      <c r="D7" s="183" t="s">
        <v>200</v>
      </c>
      <c r="E7" s="33"/>
      <c r="F7" s="111" t="s">
        <v>184</v>
      </c>
      <c r="G7" s="33"/>
      <c r="H7" s="183" t="s">
        <v>200</v>
      </c>
      <c r="I7" s="183" t="s">
        <v>165</v>
      </c>
      <c r="J7" s="233">
        <v>1</v>
      </c>
      <c r="K7" s="33"/>
      <c r="L7" s="111" t="s">
        <v>184</v>
      </c>
      <c r="M7" s="111" t="s">
        <v>169</v>
      </c>
      <c r="N7" s="233">
        <v>1</v>
      </c>
      <c r="O7" s="33"/>
      <c r="P7" s="168"/>
      <c r="Q7" s="233"/>
      <c r="R7" s="233"/>
    </row>
    <row r="8" spans="1:23" x14ac:dyDescent="0.25">
      <c r="A8" s="33"/>
      <c r="B8" s="109" t="s">
        <v>270</v>
      </c>
      <c r="C8" s="33"/>
      <c r="D8" s="183" t="s">
        <v>209</v>
      </c>
      <c r="E8" s="33"/>
      <c r="F8" s="111" t="s">
        <v>180</v>
      </c>
      <c r="G8" s="33"/>
      <c r="H8" s="183" t="s">
        <v>209</v>
      </c>
      <c r="I8" s="183" t="s">
        <v>179</v>
      </c>
      <c r="J8" s="233">
        <v>1</v>
      </c>
      <c r="K8" s="33"/>
      <c r="L8" s="111" t="s">
        <v>180</v>
      </c>
      <c r="M8" s="111" t="s">
        <v>165</v>
      </c>
      <c r="N8" s="233">
        <v>1</v>
      </c>
      <c r="O8" s="33"/>
      <c r="P8" s="168"/>
      <c r="Q8" s="115"/>
      <c r="S8" s="116"/>
    </row>
    <row r="9" spans="1:23" x14ac:dyDescent="0.25">
      <c r="A9" s="33"/>
      <c r="B9" s="109" t="s">
        <v>169</v>
      </c>
      <c r="C9" s="33"/>
      <c r="D9" s="185" t="s">
        <v>505</v>
      </c>
      <c r="E9" s="33"/>
      <c r="F9" s="111" t="s">
        <v>194</v>
      </c>
      <c r="G9" s="33"/>
      <c r="H9" s="185" t="s">
        <v>505</v>
      </c>
      <c r="I9" s="185" t="s">
        <v>162</v>
      </c>
      <c r="J9" s="233">
        <v>1</v>
      </c>
      <c r="K9" s="33"/>
      <c r="L9" s="111" t="s">
        <v>194</v>
      </c>
      <c r="M9" s="111" t="s">
        <v>179</v>
      </c>
      <c r="N9" s="233">
        <v>1</v>
      </c>
      <c r="O9" s="33"/>
      <c r="P9" s="237"/>
      <c r="Q9" s="233"/>
      <c r="R9" s="233"/>
    </row>
    <row r="10" spans="1:23" x14ac:dyDescent="0.25">
      <c r="A10" s="33"/>
      <c r="B10" s="109" t="s">
        <v>165</v>
      </c>
      <c r="C10" s="33"/>
      <c r="D10" s="189" t="s">
        <v>284</v>
      </c>
      <c r="E10" s="33"/>
      <c r="F10" s="112" t="s">
        <v>289</v>
      </c>
      <c r="G10" s="33"/>
      <c r="H10" s="189" t="s">
        <v>284</v>
      </c>
      <c r="I10" s="189" t="s">
        <v>275</v>
      </c>
      <c r="J10" s="233">
        <v>1</v>
      </c>
      <c r="K10" s="33"/>
      <c r="L10" s="112" t="s">
        <v>289</v>
      </c>
      <c r="M10" s="112" t="s">
        <v>271</v>
      </c>
      <c r="N10" s="233">
        <v>1</v>
      </c>
      <c r="O10" s="33"/>
      <c r="P10" s="168"/>
      <c r="Q10" s="233"/>
      <c r="R10" s="233"/>
    </row>
    <row r="11" spans="1:23" x14ac:dyDescent="0.25">
      <c r="A11" s="33"/>
      <c r="B11" s="109" t="s">
        <v>179</v>
      </c>
      <c r="C11" s="33"/>
      <c r="D11" s="183" t="s">
        <v>207</v>
      </c>
      <c r="E11" s="33"/>
      <c r="F11" s="112" t="s">
        <v>290</v>
      </c>
      <c r="G11" s="33"/>
      <c r="H11" s="183" t="s">
        <v>207</v>
      </c>
      <c r="I11" s="183" t="s">
        <v>177</v>
      </c>
      <c r="J11" s="233">
        <v>1</v>
      </c>
      <c r="K11" s="33"/>
      <c r="L11" s="112" t="s">
        <v>290</v>
      </c>
      <c r="M11" s="112" t="s">
        <v>272</v>
      </c>
      <c r="N11" s="233">
        <v>1</v>
      </c>
      <c r="O11" s="33"/>
      <c r="P11" s="168"/>
      <c r="Q11" s="233"/>
      <c r="R11" s="233"/>
    </row>
    <row r="12" spans="1:23" x14ac:dyDescent="0.25">
      <c r="A12" s="33"/>
      <c r="B12" s="109" t="s">
        <v>162</v>
      </c>
      <c r="C12" s="33"/>
      <c r="D12" s="189" t="s">
        <v>285</v>
      </c>
      <c r="E12" s="33"/>
      <c r="F12" s="112" t="s">
        <v>291</v>
      </c>
      <c r="G12" s="33"/>
      <c r="H12" s="189" t="s">
        <v>285</v>
      </c>
      <c r="I12" s="189" t="s">
        <v>276</v>
      </c>
      <c r="J12" s="233">
        <v>1</v>
      </c>
      <c r="K12" s="33"/>
      <c r="L12" s="112" t="s">
        <v>291</v>
      </c>
      <c r="M12" s="112" t="s">
        <v>273</v>
      </c>
      <c r="N12" s="233">
        <v>1</v>
      </c>
      <c r="O12" s="33"/>
      <c r="P12" s="168"/>
      <c r="Q12" s="233"/>
      <c r="R12" s="233"/>
    </row>
    <row r="13" spans="1:23" x14ac:dyDescent="0.25">
      <c r="A13" s="33"/>
      <c r="B13" s="109" t="s">
        <v>271</v>
      </c>
      <c r="C13" s="33"/>
      <c r="D13" s="183" t="s">
        <v>201</v>
      </c>
      <c r="E13" s="33"/>
      <c r="F13" s="111" t="s">
        <v>181</v>
      </c>
      <c r="G13" s="33"/>
      <c r="H13" s="183" t="s">
        <v>201</v>
      </c>
      <c r="I13" s="183" t="s">
        <v>167</v>
      </c>
      <c r="J13" s="233">
        <v>1</v>
      </c>
      <c r="K13" s="33"/>
      <c r="L13" s="111" t="s">
        <v>181</v>
      </c>
      <c r="M13" s="111" t="s">
        <v>166</v>
      </c>
      <c r="N13" s="233">
        <v>1</v>
      </c>
      <c r="O13" s="33"/>
      <c r="P13" s="168"/>
      <c r="Q13" s="233"/>
      <c r="R13" s="233"/>
    </row>
    <row r="14" spans="1:23" x14ac:dyDescent="0.25">
      <c r="A14" s="33"/>
      <c r="B14" s="109" t="s">
        <v>272</v>
      </c>
      <c r="C14" s="33"/>
      <c r="D14" s="185" t="s">
        <v>198</v>
      </c>
      <c r="E14" s="33"/>
      <c r="F14" s="112" t="s">
        <v>292</v>
      </c>
      <c r="G14" s="33"/>
      <c r="H14" s="185" t="s">
        <v>198</v>
      </c>
      <c r="I14" s="185" t="s">
        <v>163</v>
      </c>
      <c r="J14" s="233">
        <v>1</v>
      </c>
      <c r="K14" s="33"/>
      <c r="L14" s="112" t="s">
        <v>292</v>
      </c>
      <c r="M14" s="112" t="s">
        <v>274</v>
      </c>
      <c r="N14" s="233">
        <v>1</v>
      </c>
      <c r="O14" s="33"/>
      <c r="P14" s="237"/>
      <c r="Q14" s="233"/>
      <c r="R14" s="233"/>
    </row>
    <row r="15" spans="1:23" x14ac:dyDescent="0.25">
      <c r="A15" s="33"/>
      <c r="B15" s="109" t="s">
        <v>273</v>
      </c>
      <c r="C15" s="33"/>
      <c r="D15" s="183" t="s">
        <v>199</v>
      </c>
      <c r="E15" s="33"/>
      <c r="F15" s="112" t="s">
        <v>293</v>
      </c>
      <c r="G15" s="33"/>
      <c r="H15" s="183" t="s">
        <v>199</v>
      </c>
      <c r="I15" s="183" t="s">
        <v>164</v>
      </c>
      <c r="J15" s="233">
        <v>1</v>
      </c>
      <c r="K15" s="33"/>
      <c r="L15" s="112" t="s">
        <v>293</v>
      </c>
      <c r="M15" s="112" t="s">
        <v>275</v>
      </c>
      <c r="N15" s="233">
        <v>1</v>
      </c>
      <c r="O15" s="33"/>
      <c r="P15" s="168"/>
      <c r="Q15" s="233"/>
      <c r="R15" s="233"/>
    </row>
    <row r="16" spans="1:23" x14ac:dyDescent="0.25">
      <c r="A16" s="33"/>
      <c r="B16" s="109" t="s">
        <v>166</v>
      </c>
      <c r="C16" s="33"/>
      <c r="D16" s="185" t="s">
        <v>506</v>
      </c>
      <c r="E16" s="33"/>
      <c r="F16" s="111" t="s">
        <v>192</v>
      </c>
      <c r="G16" s="33"/>
      <c r="H16" s="185" t="s">
        <v>506</v>
      </c>
      <c r="I16" s="185" t="s">
        <v>39</v>
      </c>
      <c r="J16" s="233">
        <v>1</v>
      </c>
      <c r="K16" s="33"/>
      <c r="L16" s="111" t="s">
        <v>192</v>
      </c>
      <c r="M16" s="111" t="s">
        <v>177</v>
      </c>
      <c r="N16" s="233">
        <v>1</v>
      </c>
      <c r="O16" s="33"/>
      <c r="P16" s="237"/>
      <c r="Q16" s="233"/>
      <c r="R16" s="233"/>
    </row>
    <row r="17" spans="1:18" x14ac:dyDescent="0.25">
      <c r="A17" s="33"/>
      <c r="B17" s="109" t="s">
        <v>274</v>
      </c>
      <c r="C17" s="33"/>
      <c r="D17" s="183" t="s">
        <v>204</v>
      </c>
      <c r="E17" s="33"/>
      <c r="F17" s="112" t="s">
        <v>294</v>
      </c>
      <c r="G17" s="33"/>
      <c r="H17" s="183" t="s">
        <v>204</v>
      </c>
      <c r="I17" s="183" t="s">
        <v>171</v>
      </c>
      <c r="J17" s="233">
        <v>1</v>
      </c>
      <c r="K17" s="33"/>
      <c r="L17" s="112" t="s">
        <v>294</v>
      </c>
      <c r="M17" s="112" t="s">
        <v>276</v>
      </c>
      <c r="N17" s="233">
        <v>1</v>
      </c>
      <c r="O17" s="33"/>
      <c r="P17" s="168"/>
      <c r="Q17" s="233"/>
      <c r="R17" s="233"/>
    </row>
    <row r="18" spans="1:18" x14ac:dyDescent="0.25">
      <c r="A18" s="33"/>
      <c r="B18" s="109" t="s">
        <v>275</v>
      </c>
      <c r="C18" s="33"/>
      <c r="D18" s="183" t="s">
        <v>208</v>
      </c>
      <c r="E18" s="33"/>
      <c r="F18" s="111" t="s">
        <v>182</v>
      </c>
      <c r="G18" s="33"/>
      <c r="H18" s="183" t="s">
        <v>208</v>
      </c>
      <c r="I18" s="183" t="s">
        <v>178</v>
      </c>
      <c r="J18" s="233">
        <v>1</v>
      </c>
      <c r="K18" s="33"/>
      <c r="L18" s="111" t="s">
        <v>182</v>
      </c>
      <c r="M18" s="111" t="s">
        <v>167</v>
      </c>
      <c r="N18" s="233">
        <v>1</v>
      </c>
      <c r="O18" s="33"/>
      <c r="P18" s="168"/>
      <c r="Q18" s="233"/>
      <c r="R18" s="233"/>
    </row>
    <row r="19" spans="1:18" x14ac:dyDescent="0.25">
      <c r="A19" s="33"/>
      <c r="B19" s="109" t="s">
        <v>177</v>
      </c>
      <c r="C19" s="33"/>
      <c r="D19" s="185" t="s">
        <v>507</v>
      </c>
      <c r="E19" s="33"/>
      <c r="F19" s="112" t="s">
        <v>295</v>
      </c>
      <c r="G19" s="33"/>
      <c r="H19" s="185" t="s">
        <v>507</v>
      </c>
      <c r="I19" s="185" t="s">
        <v>1</v>
      </c>
      <c r="J19" s="233">
        <v>1</v>
      </c>
      <c r="K19" s="33"/>
      <c r="L19" s="112" t="s">
        <v>295</v>
      </c>
      <c r="M19" s="112" t="s">
        <v>277</v>
      </c>
      <c r="N19" s="233">
        <v>1</v>
      </c>
      <c r="O19" s="33"/>
      <c r="P19" s="237"/>
      <c r="Q19" s="233"/>
      <c r="R19" s="233"/>
    </row>
    <row r="20" spans="1:18" x14ac:dyDescent="0.25">
      <c r="A20" s="33"/>
      <c r="B20" s="109" t="s">
        <v>276</v>
      </c>
      <c r="C20" s="33"/>
      <c r="D20" s="189" t="s">
        <v>287</v>
      </c>
      <c r="E20" s="33"/>
      <c r="F20" s="112" t="s">
        <v>296</v>
      </c>
      <c r="G20" s="33"/>
      <c r="H20" s="189" t="s">
        <v>287</v>
      </c>
      <c r="I20" s="189" t="s">
        <v>280</v>
      </c>
      <c r="J20" s="233">
        <v>1</v>
      </c>
      <c r="K20" s="33"/>
      <c r="L20" s="112" t="s">
        <v>296</v>
      </c>
      <c r="M20" s="112" t="s">
        <v>278</v>
      </c>
      <c r="N20" s="233">
        <v>1</v>
      </c>
      <c r="O20" s="33"/>
      <c r="P20" s="168"/>
      <c r="Q20" s="233"/>
      <c r="R20" s="233"/>
    </row>
    <row r="21" spans="1:18" x14ac:dyDescent="0.25">
      <c r="A21" s="33"/>
      <c r="B21" s="109" t="s">
        <v>167</v>
      </c>
      <c r="C21" s="33"/>
      <c r="D21" s="189" t="s">
        <v>286</v>
      </c>
      <c r="E21" s="33"/>
      <c r="F21" s="111" t="s">
        <v>196</v>
      </c>
      <c r="G21" s="33"/>
      <c r="H21" s="189" t="s">
        <v>286</v>
      </c>
      <c r="I21" s="189" t="s">
        <v>2</v>
      </c>
      <c r="J21" s="233">
        <v>1</v>
      </c>
      <c r="K21" s="33"/>
      <c r="L21" s="111" t="s">
        <v>196</v>
      </c>
      <c r="M21" s="111" t="s">
        <v>164</v>
      </c>
      <c r="N21" s="233">
        <v>1</v>
      </c>
      <c r="O21" s="33"/>
      <c r="P21" s="168"/>
      <c r="Q21" s="233"/>
      <c r="R21" s="233"/>
    </row>
    <row r="22" spans="1:18" x14ac:dyDescent="0.25">
      <c r="A22" s="33"/>
      <c r="B22" s="109" t="s">
        <v>277</v>
      </c>
      <c r="C22" s="33"/>
      <c r="D22" s="183" t="s">
        <v>508</v>
      </c>
      <c r="E22" s="33"/>
      <c r="F22" s="111" t="s">
        <v>186</v>
      </c>
      <c r="G22" s="33"/>
      <c r="H22" s="183" t="s">
        <v>508</v>
      </c>
      <c r="I22" s="183" t="s">
        <v>173</v>
      </c>
      <c r="J22" s="233">
        <v>1</v>
      </c>
      <c r="K22" s="33"/>
      <c r="L22" s="111" t="s">
        <v>186</v>
      </c>
      <c r="M22" s="111" t="s">
        <v>171</v>
      </c>
      <c r="N22" s="233">
        <v>1</v>
      </c>
      <c r="O22" s="33"/>
      <c r="P22" s="168"/>
      <c r="Q22" s="233"/>
      <c r="R22" s="233"/>
    </row>
    <row r="23" spans="1:18" x14ac:dyDescent="0.25">
      <c r="A23" s="33"/>
      <c r="B23" s="109" t="s">
        <v>278</v>
      </c>
      <c r="C23" s="33"/>
      <c r="D23" s="168" t="s">
        <v>206</v>
      </c>
      <c r="E23" s="33"/>
      <c r="F23" s="112" t="s">
        <v>297</v>
      </c>
      <c r="G23" s="33"/>
      <c r="H23" s="168" t="s">
        <v>206</v>
      </c>
      <c r="I23" s="189" t="s">
        <v>176</v>
      </c>
      <c r="J23" s="233">
        <v>1</v>
      </c>
      <c r="K23" s="33"/>
      <c r="L23" s="112" t="s">
        <v>297</v>
      </c>
      <c r="M23" s="112" t="s">
        <v>279</v>
      </c>
      <c r="N23" s="233">
        <v>1</v>
      </c>
      <c r="O23" s="33"/>
      <c r="P23" s="168"/>
      <c r="Q23" s="233"/>
      <c r="R23" s="233"/>
    </row>
    <row r="24" spans="1:18" x14ac:dyDescent="0.25">
      <c r="A24" s="33"/>
      <c r="B24" s="109" t="s">
        <v>163</v>
      </c>
      <c r="C24" s="33"/>
      <c r="D24" s="168" t="s">
        <v>509</v>
      </c>
      <c r="E24" s="33"/>
      <c r="F24" s="111" t="s">
        <v>193</v>
      </c>
      <c r="G24" s="33"/>
      <c r="H24" s="168" t="s">
        <v>509</v>
      </c>
      <c r="I24" s="189" t="s">
        <v>38</v>
      </c>
      <c r="J24" s="233">
        <v>1</v>
      </c>
      <c r="K24" s="33"/>
      <c r="L24" s="111" t="s">
        <v>193</v>
      </c>
      <c r="M24" s="111" t="s">
        <v>178</v>
      </c>
      <c r="N24" s="233">
        <v>1</v>
      </c>
      <c r="O24" s="33"/>
      <c r="P24" s="168"/>
      <c r="Q24" s="233"/>
      <c r="R24" s="233"/>
    </row>
    <row r="25" spans="1:18" x14ac:dyDescent="0.25">
      <c r="A25" s="33"/>
      <c r="B25" s="109" t="s">
        <v>164</v>
      </c>
      <c r="C25" s="33"/>
      <c r="D25" s="185"/>
      <c r="E25" s="33"/>
      <c r="F25" s="113" t="s">
        <v>298</v>
      </c>
      <c r="G25" s="33"/>
      <c r="H25" s="185"/>
      <c r="I25" s="185"/>
      <c r="J25" s="233"/>
      <c r="K25" s="33"/>
      <c r="L25" s="113" t="s">
        <v>298</v>
      </c>
      <c r="M25" s="113" t="s">
        <v>280</v>
      </c>
      <c r="N25" s="233">
        <v>1</v>
      </c>
      <c r="O25" s="33"/>
      <c r="P25" s="233"/>
      <c r="Q25" s="233"/>
      <c r="R25" s="233"/>
    </row>
    <row r="26" spans="1:18" x14ac:dyDescent="0.25">
      <c r="A26" s="33"/>
      <c r="B26" s="109" t="s">
        <v>39</v>
      </c>
      <c r="C26" s="33"/>
      <c r="D26" s="185"/>
      <c r="E26" s="33"/>
      <c r="F26" s="111" t="s">
        <v>197</v>
      </c>
      <c r="G26" s="33"/>
      <c r="H26" s="185"/>
      <c r="I26" s="185"/>
      <c r="J26" s="233"/>
      <c r="K26" s="33"/>
      <c r="L26" s="111" t="s">
        <v>197</v>
      </c>
      <c r="M26" s="111" t="s">
        <v>195</v>
      </c>
      <c r="N26" s="233">
        <v>1</v>
      </c>
      <c r="O26" s="33"/>
      <c r="P26" s="233"/>
      <c r="Q26" s="233"/>
      <c r="R26" s="233"/>
    </row>
    <row r="27" spans="1:18" x14ac:dyDescent="0.25">
      <c r="B27" s="109" t="s">
        <v>171</v>
      </c>
      <c r="D27" s="185"/>
      <c r="F27" s="112" t="s">
        <v>299</v>
      </c>
      <c r="H27" s="185"/>
      <c r="I27" s="185"/>
      <c r="J27" s="233"/>
      <c r="L27" s="112" t="s">
        <v>299</v>
      </c>
      <c r="M27" s="112" t="s">
        <v>281</v>
      </c>
      <c r="N27" s="233">
        <v>1</v>
      </c>
    </row>
    <row r="28" spans="1:18" x14ac:dyDescent="0.25">
      <c r="B28" s="109" t="s">
        <v>279</v>
      </c>
      <c r="D28" s="185"/>
      <c r="F28" s="111" t="s">
        <v>185</v>
      </c>
      <c r="H28" s="185"/>
      <c r="I28" s="185"/>
      <c r="J28" s="233"/>
      <c r="L28" s="111" t="s">
        <v>185</v>
      </c>
      <c r="M28" s="111" t="s">
        <v>170</v>
      </c>
      <c r="N28" s="233">
        <v>1</v>
      </c>
    </row>
    <row r="29" spans="1:18" x14ac:dyDescent="0.25">
      <c r="B29" s="109" t="s">
        <v>178</v>
      </c>
      <c r="D29" s="183"/>
      <c r="F29" s="111" t="s">
        <v>300</v>
      </c>
      <c r="L29" s="111" t="s">
        <v>300</v>
      </c>
      <c r="M29" s="111" t="s">
        <v>2</v>
      </c>
      <c r="N29" s="233">
        <v>1</v>
      </c>
    </row>
    <row r="30" spans="1:18" x14ac:dyDescent="0.25">
      <c r="B30" s="109" t="s">
        <v>1</v>
      </c>
      <c r="D30" s="183"/>
      <c r="F30" s="111" t="s">
        <v>188</v>
      </c>
      <c r="L30" s="111" t="s">
        <v>188</v>
      </c>
      <c r="M30" s="111" t="s">
        <v>173</v>
      </c>
      <c r="N30" s="233">
        <v>1</v>
      </c>
    </row>
    <row r="31" spans="1:18" x14ac:dyDescent="0.25">
      <c r="B31" s="44" t="s">
        <v>280</v>
      </c>
      <c r="D31" s="185"/>
      <c r="F31" s="111" t="s">
        <v>191</v>
      </c>
      <c r="L31" s="111" t="s">
        <v>191</v>
      </c>
      <c r="M31" s="111" t="s">
        <v>176</v>
      </c>
      <c r="N31" s="233">
        <v>1</v>
      </c>
    </row>
    <row r="32" spans="1:18" x14ac:dyDescent="0.25">
      <c r="B32" s="109" t="s">
        <v>281</v>
      </c>
      <c r="D32" s="185"/>
      <c r="H32" s="185"/>
      <c r="I32" s="185"/>
      <c r="J32" s="233"/>
    </row>
    <row r="33" spans="2:10" x14ac:dyDescent="0.25">
      <c r="B33" s="109" t="s">
        <v>170</v>
      </c>
      <c r="D33" s="185"/>
      <c r="H33" s="185"/>
      <c r="I33" s="185"/>
      <c r="J33" s="233"/>
    </row>
    <row r="34" spans="2:10" x14ac:dyDescent="0.25">
      <c r="B34" s="109" t="s">
        <v>2</v>
      </c>
      <c r="D34" s="185"/>
      <c r="H34" s="185"/>
      <c r="I34" s="185"/>
      <c r="J34" s="233"/>
    </row>
    <row r="35" spans="2:10" x14ac:dyDescent="0.25">
      <c r="B35" s="109" t="s">
        <v>282</v>
      </c>
      <c r="D35" s="185"/>
      <c r="H35" s="185"/>
      <c r="I35" s="185"/>
      <c r="J35" s="233"/>
    </row>
    <row r="36" spans="2:10" x14ac:dyDescent="0.25">
      <c r="B36" s="109" t="s">
        <v>173</v>
      </c>
      <c r="D36" s="189"/>
    </row>
    <row r="37" spans="2:10" x14ac:dyDescent="0.25">
      <c r="B37" s="109" t="s">
        <v>176</v>
      </c>
      <c r="D37" s="189"/>
    </row>
    <row r="38" spans="2:10" x14ac:dyDescent="0.25">
      <c r="B38" s="109" t="s">
        <v>38</v>
      </c>
      <c r="D38" s="183"/>
    </row>
    <row r="39" spans="2:10" x14ac:dyDescent="0.25">
      <c r="D39" s="183"/>
      <c r="H39" s="183"/>
      <c r="I39" s="183"/>
      <c r="J39" s="233"/>
    </row>
    <row r="40" spans="2:10" x14ac:dyDescent="0.25">
      <c r="D40" s="183"/>
      <c r="H40" s="183"/>
      <c r="I40" s="183"/>
      <c r="J40" s="233"/>
    </row>
    <row r="41" spans="2:10" x14ac:dyDescent="0.25">
      <c r="D41" s="183"/>
      <c r="H41" s="183"/>
      <c r="I41" s="183"/>
      <c r="J41" s="233"/>
    </row>
    <row r="42" spans="2:10" x14ac:dyDescent="0.25">
      <c r="D42" s="183"/>
      <c r="H42" s="183"/>
      <c r="I42" s="183"/>
      <c r="J42" s="233"/>
    </row>
    <row r="43" spans="2:10" x14ac:dyDescent="0.25">
      <c r="D43" s="183"/>
      <c r="H43" s="183"/>
      <c r="I43" s="183"/>
      <c r="J43" s="233"/>
    </row>
    <row r="44" spans="2:10" x14ac:dyDescent="0.25">
      <c r="D44" s="189"/>
      <c r="H44" s="189"/>
      <c r="I44" s="189"/>
      <c r="J44" s="233"/>
    </row>
    <row r="45" spans="2:10" x14ac:dyDescent="0.25">
      <c r="D45" s="189"/>
      <c r="H45" s="189"/>
      <c r="I45" s="189"/>
      <c r="J45" s="233"/>
    </row>
    <row r="46" spans="2:10" x14ac:dyDescent="0.25">
      <c r="D46" s="189"/>
      <c r="H46" s="189"/>
      <c r="I46" s="189"/>
      <c r="J46" s="233"/>
    </row>
    <row r="47" spans="2:10" x14ac:dyDescent="0.25">
      <c r="D47" s="189"/>
      <c r="H47" s="189"/>
      <c r="I47" s="189"/>
      <c r="J47" s="233"/>
    </row>
    <row r="48" spans="2:10" x14ac:dyDescent="0.25">
      <c r="D48" s="189"/>
      <c r="H48" s="189"/>
      <c r="I48" s="189"/>
      <c r="J48" s="233"/>
    </row>
  </sheetData>
  <mergeCells count="2">
    <mergeCell ref="H1:J1"/>
    <mergeCell ref="L1:N1"/>
  </mergeCells>
  <conditionalFormatting sqref="D36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{54294F8F-4787-4DAE-A0E3-26AFD3208FA2}</x14:id>
        </ext>
      </extLst>
    </cfRule>
  </conditionalFormatting>
  <conditionalFormatting sqref="H20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{CC43D555-77D1-4EB4-9064-721FFEC891CC}</x14:id>
        </ext>
      </extLst>
    </cfRule>
  </conditionalFormatting>
  <conditionalFormatting sqref="I20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{FFCFFBF9-1036-4CDF-953B-8446600F2FF0}</x14:id>
        </ext>
      </extLst>
    </cfRule>
  </conditionalFormatting>
  <conditionalFormatting sqref="D32 D34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{E83AC8E2-C0B5-4360-A7F3-1494AB3CC13C}</x14:id>
        </ext>
      </extLst>
    </cfRule>
  </conditionalFormatting>
  <conditionalFormatting sqref="H32 H34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{2EE4FAC8-980A-4B6F-8CEA-26C80EA657D9}</x14:id>
        </ext>
      </extLst>
    </cfRule>
  </conditionalFormatting>
  <conditionalFormatting sqref="I32 I34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{A25FF35F-F3B8-4BB9-AFD6-EA32B0A1291B}</x14:id>
        </ext>
      </extLst>
    </cfRule>
  </conditionalFormatting>
  <conditionalFormatting sqref="H3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{754D269D-7F12-4AF7-9CDB-BF54291260C5}</x14:id>
        </ext>
      </extLst>
    </cfRule>
  </conditionalFormatting>
  <conditionalFormatting sqref="D25 D27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{F40926CF-15B2-4B68-B046-93131020F8D6}</x14:id>
        </ext>
      </extLst>
    </cfRule>
  </conditionalFormatting>
  <conditionalFormatting sqref="H16 H26 H28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{AA50B2B6-937C-4AB8-BDF6-8D3C4F3A435C}</x14:id>
        </ext>
      </extLst>
    </cfRule>
  </conditionalFormatting>
  <conditionalFormatting sqref="H25 H27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{03FCAB56-F0C7-40EB-8C47-3E799D720864}</x14:id>
        </ext>
      </extLst>
    </cfRule>
  </conditionalFormatting>
  <conditionalFormatting sqref="D28:D31 D26 D33 D35 D37:D48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{B6BC4981-B07E-495D-AFE4-4BD54C4D73DB}</x14:id>
        </ext>
      </extLst>
    </cfRule>
  </conditionalFormatting>
  <conditionalFormatting sqref="H21:H22 H17:H19 H10:H15 H4:H8 H43 H2 H33 H35">
    <cfRule type="dataBar" priority="2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{39582AFD-CBA6-42E9-B7E1-028A84F058F6}</x14:id>
        </ext>
      </extLst>
    </cfRule>
  </conditionalFormatting>
  <conditionalFormatting sqref="H39:H4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{4757B8BD-5B21-4EFA-9A0E-384F3561F805}</x14:id>
        </ext>
      </extLst>
    </cfRule>
  </conditionalFormatting>
  <conditionalFormatting sqref="H44:H48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{0E4A6187-87CF-4CB0-AF3F-74B228450C5C}</x14:id>
        </ext>
      </extLst>
    </cfRule>
  </conditionalFormatting>
  <conditionalFormatting sqref="H9">
    <cfRule type="dataBar" priority="2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{0D64408B-1D0E-42D1-A156-040258B5B8A1}</x14:id>
        </ext>
      </extLst>
    </cfRule>
  </conditionalFormatting>
  <conditionalFormatting sqref="I2:I19 I33 I35 I39:I48 I21:I28">
    <cfRule type="dataBar" priority="2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{DB78355A-C03C-4CF6-9B56-721AA78C811D}</x14:id>
        </ext>
      </extLst>
    </cfRule>
  </conditionalFormatting>
  <conditionalFormatting sqref="P20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{82DE901B-334A-40EF-97C7-25A7D94D9E65}</x14:id>
        </ext>
      </extLst>
    </cfRule>
  </conditionalFormatting>
  <conditionalFormatting sqref="P21:P24 P2:P19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{BD0A3325-97A6-453A-B0DD-64614A7F2043}</x14:id>
        </ext>
      </extLst>
    </cfRule>
  </conditionalFormatting>
  <conditionalFormatting sqref="H23:H24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{CF254F9F-6607-4402-9BD1-35CE8B178342}</x14:id>
        </ext>
      </extLst>
    </cfRule>
  </conditionalFormatting>
  <conditionalFormatting sqref="D20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{2B4C88C0-A556-4AAF-B21C-39AE9CB4B132}</x14:id>
        </ext>
      </extLst>
    </cfRule>
  </conditionalFormatting>
  <conditionalFormatting sqref="D3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{FCCC2F52-1B4F-4DBA-96E3-DA95CB292B42}</x14:id>
        </ext>
      </extLst>
    </cfRule>
  </conditionalFormatting>
  <conditionalFormatting sqref="D16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{47CC2241-4B91-4006-9330-19BBB88E7F82}</x14:id>
        </ext>
      </extLst>
    </cfRule>
  </conditionalFormatting>
  <conditionalFormatting sqref="D21:D22 D17:D19 D10:D15 D4:D8 D2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{CF33E204-99F4-4089-9637-B52CF329EB64}</x14:id>
        </ext>
      </extLst>
    </cfRule>
  </conditionalFormatting>
  <conditionalFormatting sqref="D9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{57EEB3AD-7188-4495-A164-3FC3F91F50A2}</x14:id>
        </ext>
      </extLst>
    </cfRule>
  </conditionalFormatting>
  <conditionalFormatting sqref="D23:D24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{7F97A432-25A1-4CAC-AD94-48631D359FBE}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4294F8F-4787-4DAE-A0E3-26AFD3208F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D36</xm:sqref>
        </x14:conditionalFormatting>
        <x14:conditionalFormatting xmlns:xm="http://schemas.microsoft.com/office/excel/2006/main">
          <x14:cfRule type="dataBar" id="{CC43D555-77D1-4EB4-9064-721FFEC891C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FFCFFBF9-1036-4CDF-953B-8446600F2FF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I20</xm:sqref>
        </x14:conditionalFormatting>
        <x14:conditionalFormatting xmlns:xm="http://schemas.microsoft.com/office/excel/2006/main">
          <x14:cfRule type="dataBar" id="{E83AC8E2-C0B5-4360-A7F3-1494AB3CC13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D32 D34</xm:sqref>
        </x14:conditionalFormatting>
        <x14:conditionalFormatting xmlns:xm="http://schemas.microsoft.com/office/excel/2006/main">
          <x14:cfRule type="dataBar" id="{2EE4FAC8-980A-4B6F-8CEA-26C80EA657D9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A25FF35F-F3B8-4BB9-AFD6-EA32B0A1291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I32 I34</xm:sqref>
        </x14:conditionalFormatting>
        <x14:conditionalFormatting xmlns:xm="http://schemas.microsoft.com/office/excel/2006/main">
          <x14:cfRule type="dataBar" id="{754D269D-7F12-4AF7-9CDB-BF54291260C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</xm:sqref>
        </x14:conditionalFormatting>
        <x14:conditionalFormatting xmlns:xm="http://schemas.microsoft.com/office/excel/2006/main">
          <x14:cfRule type="dataBar" id="{F40926CF-15B2-4B68-B046-93131020F8D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D25 D27</xm:sqref>
        </x14:conditionalFormatting>
        <x14:conditionalFormatting xmlns:xm="http://schemas.microsoft.com/office/excel/2006/main">
          <x14:cfRule type="dataBar" id="{AA50B2B6-937C-4AB8-BDF6-8D3C4F3A43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H16 H26 H28</xm:sqref>
        </x14:conditionalFormatting>
        <x14:conditionalFormatting xmlns:xm="http://schemas.microsoft.com/office/excel/2006/main">
          <x14:cfRule type="dataBar" id="{03FCAB56-F0C7-40EB-8C47-3E799D7208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H25 H27</xm:sqref>
        </x14:conditionalFormatting>
        <x14:conditionalFormatting xmlns:xm="http://schemas.microsoft.com/office/excel/2006/main">
          <x14:cfRule type="dataBar" id="{B6BC4981-B07E-495D-AFE4-4BD54C4D73D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D28:D31 D26 D33 D35 D37:D48</xm:sqref>
        </x14:conditionalFormatting>
        <x14:conditionalFormatting xmlns:xm="http://schemas.microsoft.com/office/excel/2006/main">
          <x14:cfRule type="dataBar" id="{39582AFD-CBA6-42E9-B7E1-028A84F058F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H21:H22 H17:H19 H10:H15 H4:H8 H43 H2 H33 H35</xm:sqref>
        </x14:conditionalFormatting>
        <x14:conditionalFormatting xmlns:xm="http://schemas.microsoft.com/office/excel/2006/main">
          <x14:cfRule type="dataBar" id="{4757B8BD-5B21-4EFA-9A0E-384F3561F80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H39:H42</xm:sqref>
        </x14:conditionalFormatting>
        <x14:conditionalFormatting xmlns:xm="http://schemas.microsoft.com/office/excel/2006/main">
          <x14:cfRule type="dataBar" id="{0E4A6187-87CF-4CB0-AF3F-74B228450C5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H44:H48</xm:sqref>
        </x14:conditionalFormatting>
        <x14:conditionalFormatting xmlns:xm="http://schemas.microsoft.com/office/excel/2006/main">
          <x14:cfRule type="dataBar" id="{0D64408B-1D0E-42D1-A156-040258B5B8A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H9</xm:sqref>
        </x14:conditionalFormatting>
        <x14:conditionalFormatting xmlns:xm="http://schemas.microsoft.com/office/excel/2006/main">
          <x14:cfRule type="dataBar" id="{DB78355A-C03C-4CF6-9B56-721AA78C811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I2:I19 I33 I35 I39:I48 I21:I28</xm:sqref>
        </x14:conditionalFormatting>
        <x14:conditionalFormatting xmlns:xm="http://schemas.microsoft.com/office/excel/2006/main">
          <x14:cfRule type="dataBar" id="{82DE901B-334A-40EF-97C7-25A7D94D9E6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P20</xm:sqref>
        </x14:conditionalFormatting>
        <x14:conditionalFormatting xmlns:xm="http://schemas.microsoft.com/office/excel/2006/main">
          <x14:cfRule type="dataBar" id="{BD0A3325-97A6-453A-B0DD-64614A7F204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P21:P24 P2:P19</xm:sqref>
        </x14:conditionalFormatting>
        <x14:conditionalFormatting xmlns:xm="http://schemas.microsoft.com/office/excel/2006/main">
          <x14:cfRule type="dataBar" id="{CF254F9F-6607-4402-9BD1-35CE8B1783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H23:H24</xm:sqref>
        </x14:conditionalFormatting>
        <x14:conditionalFormatting xmlns:xm="http://schemas.microsoft.com/office/excel/2006/main">
          <x14:cfRule type="dataBar" id="{2B4C88C0-A556-4AAF-B21C-39AE9CB4B13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D20</xm:sqref>
        </x14:conditionalFormatting>
        <x14:conditionalFormatting xmlns:xm="http://schemas.microsoft.com/office/excel/2006/main">
          <x14:cfRule type="dataBar" id="{FCCC2F52-1B4F-4DBA-96E3-DA95CB292B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D3</xm:sqref>
        </x14:conditionalFormatting>
        <x14:conditionalFormatting xmlns:xm="http://schemas.microsoft.com/office/excel/2006/main">
          <x14:cfRule type="dataBar" id="{47CC2241-4B91-4006-9330-19BBB88E7F8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D16</xm:sqref>
        </x14:conditionalFormatting>
        <x14:conditionalFormatting xmlns:xm="http://schemas.microsoft.com/office/excel/2006/main">
          <x14:cfRule type="dataBar" id="{CF33E204-99F4-4089-9637-B52CF329EB6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D21:D22 D17:D19 D10:D15 D4:D8 D2</xm:sqref>
        </x14:conditionalFormatting>
        <x14:conditionalFormatting xmlns:xm="http://schemas.microsoft.com/office/excel/2006/main">
          <x14:cfRule type="dataBar" id="{57EEB3AD-7188-4495-A164-3FC3F91F50A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D9</xm:sqref>
        </x14:conditionalFormatting>
        <x14:conditionalFormatting xmlns:xm="http://schemas.microsoft.com/office/excel/2006/main">
          <x14:cfRule type="dataBar" id="{7F97A432-25A1-4CAC-AD94-48631D359FB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D23:D24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757A97-2CD2-4BA4-A68E-23C6D8AA7483}">
  <sheetPr codeName="Sheet8">
    <tabColor theme="5" tint="0.79998168889431442"/>
  </sheetPr>
  <dimension ref="A1:AE61"/>
  <sheetViews>
    <sheetView topLeftCell="E1" workbookViewId="0">
      <selection activeCell="L11" sqref="L11"/>
    </sheetView>
  </sheetViews>
  <sheetFormatPr defaultColWidth="9.140625" defaultRowHeight="15" x14ac:dyDescent="0.25"/>
  <cols>
    <col min="1" max="5" width="18.5703125" style="176" customWidth="1"/>
    <col min="6" max="6" width="2.7109375" style="182" customWidth="1"/>
    <col min="7" max="8" width="9.140625" style="176"/>
    <col min="9" max="10" width="10.7109375" style="176" customWidth="1"/>
    <col min="11" max="11" width="9.140625" style="176"/>
    <col min="12" max="12" width="9.28515625" style="176" customWidth="1"/>
    <col min="13" max="23" width="9.140625" style="176"/>
    <col min="24" max="24" width="11.140625" style="176" bestFit="1" customWidth="1"/>
    <col min="25" max="25" width="9.85546875" style="176" bestFit="1" customWidth="1"/>
    <col min="26" max="26" width="9.28515625" style="176" bestFit="1" customWidth="1"/>
    <col min="27" max="30" width="9.140625" style="176"/>
    <col min="31" max="31" width="9.140625" style="176" customWidth="1"/>
    <col min="32" max="16384" width="9.140625" style="176"/>
  </cols>
  <sheetData>
    <row r="1" spans="1:28" ht="15" customHeight="1" thickBot="1" x14ac:dyDescent="0.3">
      <c r="A1" s="179" t="s">
        <v>143</v>
      </c>
      <c r="B1" s="180" t="s">
        <v>405</v>
      </c>
      <c r="C1" s="180" t="s">
        <v>406</v>
      </c>
      <c r="D1" s="180" t="s">
        <v>407</v>
      </c>
      <c r="E1" s="180" t="s">
        <v>161</v>
      </c>
      <c r="I1" s="233" t="s">
        <v>472</v>
      </c>
      <c r="J1" s="233" t="s">
        <v>473</v>
      </c>
      <c r="K1" s="233" t="s">
        <v>115</v>
      </c>
      <c r="L1" s="233" t="str">
        <f>'supply(original)'!B1</f>
        <v>p_y_up</v>
      </c>
      <c r="M1" s="233" t="s">
        <v>526</v>
      </c>
    </row>
    <row r="2" spans="1:28" x14ac:dyDescent="0.25">
      <c r="A2" s="168" t="s">
        <v>202</v>
      </c>
      <c r="B2" s="187">
        <v>0.55054951394052043</v>
      </c>
      <c r="C2" s="187">
        <v>0</v>
      </c>
      <c r="D2" s="187">
        <f>B2-C2</f>
        <v>0.55054951394052043</v>
      </c>
      <c r="E2" s="235">
        <f>M2</f>
        <v>84.613034388662172</v>
      </c>
      <c r="H2" s="183" t="s">
        <v>168</v>
      </c>
      <c r="I2" s="144">
        <v>27</v>
      </c>
      <c r="J2" s="187">
        <f>M43</f>
        <v>9.7694440000000007E-2</v>
      </c>
      <c r="K2" s="176">
        <v>-25</v>
      </c>
      <c r="L2" s="178">
        <f>'supply(original)'!B2</f>
        <v>0.55054951394052043</v>
      </c>
      <c r="M2" s="227">
        <f>I2+J2*0.9*L2+K2*LN(1-0.9*L2/L2)</f>
        <v>84.613034388662172</v>
      </c>
      <c r="O2" s="210" t="s">
        <v>1</v>
      </c>
      <c r="P2" s="198"/>
      <c r="Q2" s="198"/>
      <c r="R2" s="199"/>
      <c r="T2" s="210" t="s">
        <v>270</v>
      </c>
      <c r="U2" s="198"/>
      <c r="V2" s="198"/>
      <c r="W2" s="199"/>
      <c r="Y2" s="213" t="s">
        <v>173</v>
      </c>
      <c r="Z2" s="198"/>
      <c r="AA2" s="198"/>
      <c r="AB2" s="199"/>
    </row>
    <row r="3" spans="1:28" x14ac:dyDescent="0.25">
      <c r="A3" s="168" t="s">
        <v>437</v>
      </c>
      <c r="B3" s="226">
        <f>T8</f>
        <v>31.36</v>
      </c>
      <c r="C3" s="187">
        <f>B3*'supply(original)'!$C$3/'supply(original)'!$B$3</f>
        <v>24.301449814126396</v>
      </c>
      <c r="D3" s="187">
        <f t="shared" ref="D3:D36" si="0">B3-C3</f>
        <v>7.0585501858736031</v>
      </c>
      <c r="E3" s="225">
        <f>V8</f>
        <v>34.633103413588387</v>
      </c>
      <c r="H3" s="173" t="s">
        <v>270</v>
      </c>
      <c r="I3" s="190">
        <v>11</v>
      </c>
      <c r="J3" s="187">
        <f>M59</f>
        <v>0</v>
      </c>
      <c r="K3" s="176">
        <f>(N59)/2</f>
        <v>-34.095361095600005</v>
      </c>
      <c r="L3" s="178">
        <f>'supply(original)'!B3</f>
        <v>44.8</v>
      </c>
      <c r="M3" s="227">
        <f t="shared" ref="M3:M24" si="1">I3+J3*0.9*L3+K3*LN(1-0.9*L3/L3)</f>
        <v>89.507470198977714</v>
      </c>
      <c r="O3" s="200" t="s">
        <v>472</v>
      </c>
      <c r="P3" s="188" t="s">
        <v>473</v>
      </c>
      <c r="Q3" s="188" t="s">
        <v>115</v>
      </c>
      <c r="R3" s="201" t="s">
        <v>501</v>
      </c>
      <c r="T3" s="200" t="s">
        <v>472</v>
      </c>
      <c r="U3" s="188" t="s">
        <v>473</v>
      </c>
      <c r="V3" s="188" t="s">
        <v>115</v>
      </c>
      <c r="W3" s="201" t="s">
        <v>501</v>
      </c>
      <c r="Y3" s="200" t="s">
        <v>472</v>
      </c>
      <c r="Z3" s="188" t="s">
        <v>473</v>
      </c>
      <c r="AA3" s="188" t="s">
        <v>115</v>
      </c>
      <c r="AB3" s="201" t="s">
        <v>501</v>
      </c>
    </row>
    <row r="4" spans="1:28" x14ac:dyDescent="0.25">
      <c r="A4" s="168" t="s">
        <v>438</v>
      </c>
      <c r="B4" s="226">
        <f>T9</f>
        <v>10.975999999999999</v>
      </c>
      <c r="C4" s="187">
        <f>B4*'supply(original)'!$C$3/'supply(original)'!$B$3</f>
        <v>8.5055074349442386</v>
      </c>
      <c r="D4" s="187">
        <f t="shared" si="0"/>
        <v>2.4704925650557605</v>
      </c>
      <c r="E4" s="225">
        <f t="shared" ref="E4:E5" si="2">V9</f>
        <v>89.507470198977714</v>
      </c>
      <c r="H4" s="189" t="s">
        <v>269</v>
      </c>
      <c r="I4" s="190">
        <v>28</v>
      </c>
      <c r="J4" s="187">
        <f>M49</f>
        <v>9.7694440000000007E-2</v>
      </c>
      <c r="K4" s="176">
        <v>-25</v>
      </c>
      <c r="L4" s="178">
        <f>'supply(original)'!B4</f>
        <v>9.158921933085501E-2</v>
      </c>
      <c r="M4" s="227">
        <f t="shared" si="1"/>
        <v>85.572680306594449</v>
      </c>
      <c r="O4" s="202">
        <f>I19</f>
        <v>12</v>
      </c>
      <c r="P4" s="203">
        <f>J19</f>
        <v>0</v>
      </c>
      <c r="Q4" s="203">
        <f>K19</f>
        <v>-14.654166</v>
      </c>
      <c r="R4" s="204">
        <f>L19</f>
        <v>201.3351920693928</v>
      </c>
      <c r="T4" s="202">
        <f>I3</f>
        <v>11</v>
      </c>
      <c r="U4" s="203">
        <f t="shared" ref="U4:W4" si="3">J3</f>
        <v>0</v>
      </c>
      <c r="V4" s="203">
        <f t="shared" si="3"/>
        <v>-34.095361095600005</v>
      </c>
      <c r="W4" s="204">
        <f t="shared" si="3"/>
        <v>44.8</v>
      </c>
      <c r="Y4" s="202">
        <f>I22</f>
        <v>20</v>
      </c>
      <c r="Z4" s="203">
        <f t="shared" ref="Z4:AB4" si="4">J22</f>
        <v>0</v>
      </c>
      <c r="AA4" s="203">
        <f t="shared" si="4"/>
        <v>-25</v>
      </c>
      <c r="AB4" s="204">
        <f t="shared" si="4"/>
        <v>48.909073075036751</v>
      </c>
    </row>
    <row r="5" spans="1:28" x14ac:dyDescent="0.25">
      <c r="A5" s="168" t="s">
        <v>439</v>
      </c>
      <c r="B5" s="226">
        <f t="shared" ref="B5" si="5">T10</f>
        <v>2.0159999999999982</v>
      </c>
      <c r="C5" s="187">
        <f>B5*'supply(original)'!$C$3/'supply(original)'!$B$3</f>
        <v>1.5622360594795526</v>
      </c>
      <c r="D5" s="187">
        <f t="shared" si="0"/>
        <v>0.45376394052044566</v>
      </c>
      <c r="E5" s="225">
        <f t="shared" si="2"/>
        <v>168.0149403979554</v>
      </c>
      <c r="H5" s="183" t="s">
        <v>172</v>
      </c>
      <c r="I5" s="187">
        <v>13</v>
      </c>
      <c r="J5" s="187">
        <f>M47</f>
        <v>9.7694440000000007E-2</v>
      </c>
      <c r="K5" s="176">
        <v>-25</v>
      </c>
      <c r="L5" s="178">
        <f>'supply(original)'!B5</f>
        <v>0.57381069151544839</v>
      </c>
      <c r="M5" s="227">
        <f t="shared" si="1"/>
        <v>70.6150796276074</v>
      </c>
      <c r="O5" s="202"/>
      <c r="P5" s="203"/>
      <c r="Q5" s="203"/>
      <c r="R5" s="204"/>
      <c r="T5" s="202"/>
      <c r="U5" s="203"/>
      <c r="V5" s="203"/>
      <c r="W5" s="204"/>
      <c r="Y5" s="202"/>
      <c r="Z5" s="203"/>
      <c r="AA5" s="203"/>
      <c r="AB5" s="204"/>
    </row>
    <row r="6" spans="1:28" x14ac:dyDescent="0.25">
      <c r="A6" s="168" t="s">
        <v>283</v>
      </c>
      <c r="B6" s="187">
        <v>9.158921933085501E-2</v>
      </c>
      <c r="C6" s="187">
        <v>0</v>
      </c>
      <c r="D6" s="187">
        <f t="shared" si="0"/>
        <v>9.158921933085501E-2</v>
      </c>
      <c r="E6" s="225">
        <f>M4</f>
        <v>85.572680306594449</v>
      </c>
      <c r="H6" s="183" t="s">
        <v>169</v>
      </c>
      <c r="I6" s="190">
        <v>26</v>
      </c>
      <c r="J6" s="187">
        <f>M44</f>
        <v>9.7694440000000007E-2</v>
      </c>
      <c r="K6" s="176">
        <v>-25</v>
      </c>
      <c r="L6" s="178">
        <f>'supply(original)'!B6</f>
        <v>0.22761617100371748</v>
      </c>
      <c r="M6" s="227">
        <f t="shared" si="1"/>
        <v>83.584640475776183</v>
      </c>
      <c r="O6" s="202" t="s">
        <v>503</v>
      </c>
      <c r="P6" s="203" t="s">
        <v>502</v>
      </c>
      <c r="Q6" s="234" t="s">
        <v>467</v>
      </c>
      <c r="R6" s="204"/>
      <c r="T6" s="202" t="s">
        <v>503</v>
      </c>
      <c r="U6" s="203" t="s">
        <v>502</v>
      </c>
      <c r="V6" s="234" t="s">
        <v>467</v>
      </c>
      <c r="W6" s="204"/>
      <c r="Y6" s="202" t="s">
        <v>503</v>
      </c>
      <c r="Z6" s="203" t="s">
        <v>502</v>
      </c>
      <c r="AA6" s="234" t="s">
        <v>467</v>
      </c>
      <c r="AB6" s="204"/>
    </row>
    <row r="7" spans="1:28" x14ac:dyDescent="0.25">
      <c r="A7" s="168" t="s">
        <v>205</v>
      </c>
      <c r="B7" s="236">
        <v>0.57381069151544839</v>
      </c>
      <c r="C7" s="236">
        <v>0</v>
      </c>
      <c r="D7" s="187">
        <f t="shared" si="0"/>
        <v>0.57381069151544839</v>
      </c>
      <c r="E7" s="225">
        <f>M5</f>
        <v>70.6150796276074</v>
      </c>
      <c r="H7" s="183" t="s">
        <v>165</v>
      </c>
      <c r="I7" s="190">
        <v>26</v>
      </c>
      <c r="J7" s="187">
        <f>M40</f>
        <v>9.7694440000000007E-2</v>
      </c>
      <c r="K7" s="176">
        <v>-25</v>
      </c>
      <c r="L7" s="178">
        <f>'supply(original)'!B7</f>
        <v>1.5800836431226766</v>
      </c>
      <c r="M7" s="227">
        <f t="shared" si="1"/>
        <v>83.703556172852373</v>
      </c>
      <c r="O7" s="202"/>
      <c r="P7" s="203">
        <v>0</v>
      </c>
      <c r="Q7" s="203">
        <f>O4</f>
        <v>12</v>
      </c>
      <c r="R7" s="204"/>
      <c r="T7" s="202"/>
      <c r="U7" s="203">
        <v>0</v>
      </c>
      <c r="V7" s="203">
        <f>T4</f>
        <v>11</v>
      </c>
      <c r="W7" s="204"/>
      <c r="Y7" s="202"/>
      <c r="Z7" s="203">
        <v>0</v>
      </c>
      <c r="AA7" s="203">
        <f>Y4</f>
        <v>20</v>
      </c>
      <c r="AB7" s="204"/>
    </row>
    <row r="8" spans="1:28" x14ac:dyDescent="0.25">
      <c r="A8" s="168" t="s">
        <v>203</v>
      </c>
      <c r="B8" s="187">
        <v>0.22761617100371748</v>
      </c>
      <c r="C8" s="187">
        <v>0</v>
      </c>
      <c r="D8" s="187">
        <f t="shared" si="0"/>
        <v>0.22761617100371748</v>
      </c>
      <c r="E8" s="225">
        <f>M6</f>
        <v>83.584640475776183</v>
      </c>
      <c r="H8" s="183" t="s">
        <v>179</v>
      </c>
      <c r="I8" s="144">
        <v>28</v>
      </c>
      <c r="J8" s="187">
        <f>M56</f>
        <v>0.19538888000000001</v>
      </c>
      <c r="K8" s="176">
        <v>-25</v>
      </c>
      <c r="L8" s="178">
        <f>'supply(original)'!B8</f>
        <v>2.799270279739777</v>
      </c>
      <c r="M8" s="227">
        <f t="shared" si="1"/>
        <v>86.056878981149225</v>
      </c>
      <c r="O8" s="202">
        <f>(P8-P7)+(P9-P8)/2</f>
        <v>140.93463444857497</v>
      </c>
      <c r="P8" s="203">
        <f>R4*0.5</f>
        <v>100.6675960346964</v>
      </c>
      <c r="Q8" s="203">
        <f>O4+P4*P8+Q4*LN(1-P8/R4)</f>
        <v>22.157493846357411</v>
      </c>
      <c r="R8" s="204"/>
      <c r="T8" s="202">
        <f>(U8-U7)+(U9-U8)/2</f>
        <v>31.36</v>
      </c>
      <c r="U8" s="203">
        <f>W4*0.5</f>
        <v>22.4</v>
      </c>
      <c r="V8" s="203">
        <f>T4+U4*U8+V4*LN(1-U8/W4)</f>
        <v>34.633103413588387</v>
      </c>
      <c r="W8" s="204"/>
      <c r="Y8" s="202">
        <f>(Z8-Z7)+(Z9-Z8)/2</f>
        <v>34.236351152525728</v>
      </c>
      <c r="Z8" s="203">
        <f>AB4*0.5</f>
        <v>24.454536537518376</v>
      </c>
      <c r="AA8" s="203">
        <f>Y4+Z4*Z8+AA4*LN(1-Z8/AB4)</f>
        <v>37.328679513998637</v>
      </c>
      <c r="AB8" s="204"/>
    </row>
    <row r="9" spans="1:28" x14ac:dyDescent="0.25">
      <c r="A9" s="168" t="s">
        <v>200</v>
      </c>
      <c r="B9" s="187">
        <v>1.5800836431226766</v>
      </c>
      <c r="C9" s="187">
        <v>1.1343494423791822</v>
      </c>
      <c r="D9" s="187">
        <f t="shared" si="0"/>
        <v>0.44573420074349435</v>
      </c>
      <c r="E9" s="225">
        <f>M7</f>
        <v>83.703556172852373</v>
      </c>
      <c r="H9" s="174" t="s">
        <v>162</v>
      </c>
      <c r="I9" s="190">
        <v>20.5</v>
      </c>
      <c r="J9" s="193">
        <f>M34</f>
        <v>9.7694440000000007E-2</v>
      </c>
      <c r="K9" s="176">
        <f>(N34)/2</f>
        <v>-12.211805</v>
      </c>
      <c r="L9" s="178">
        <f>'supply(original)'!B9</f>
        <v>27.617680600229964</v>
      </c>
      <c r="M9" s="227">
        <f t="shared" si="1"/>
        <v>51.047004607854646</v>
      </c>
      <c r="O9" s="202">
        <f>(P9-P8)/2+(P10-P9)/2</f>
        <v>49.327122057001233</v>
      </c>
      <c r="P9" s="203">
        <f>R4*0.9</f>
        <v>181.20167286245353</v>
      </c>
      <c r="Q9" s="203">
        <f>O4+P4*P9+Q4*LN(1-P9/R4)</f>
        <v>45.742464181860186</v>
      </c>
      <c r="R9" s="204"/>
      <c r="T9" s="202">
        <f>(U9-U8)/2+(U10-U9)/2</f>
        <v>10.975999999999999</v>
      </c>
      <c r="U9" s="203">
        <f>W4*0.9</f>
        <v>40.32</v>
      </c>
      <c r="V9" s="203">
        <f>T4+U4*U9+V4*LN(1-U9/W4)</f>
        <v>89.507470198977714</v>
      </c>
      <c r="W9" s="204"/>
      <c r="Y9" s="202">
        <f>(Z9-Z8)/2+(Z10-Z9)/2</f>
        <v>11.982722903384003</v>
      </c>
      <c r="Z9" s="203">
        <f>AB4*0.9</f>
        <v>44.018165767533077</v>
      </c>
      <c r="AA9" s="203">
        <f>Y4+Z4*Z9+AA4*LN(1-Z9/AB4)</f>
        <v>77.564627324851145</v>
      </c>
      <c r="AB9" s="204"/>
    </row>
    <row r="10" spans="1:28" x14ac:dyDescent="0.25">
      <c r="A10" s="168" t="s">
        <v>209</v>
      </c>
      <c r="B10" s="187">
        <v>2.799270279739777</v>
      </c>
      <c r="C10" s="187">
        <v>0</v>
      </c>
      <c r="D10" s="187">
        <f t="shared" si="0"/>
        <v>2.799270279739777</v>
      </c>
      <c r="E10" s="225">
        <f>M8</f>
        <v>86.056878981149225</v>
      </c>
      <c r="H10" s="189" t="s">
        <v>275</v>
      </c>
      <c r="I10" s="190">
        <v>28</v>
      </c>
      <c r="J10" s="187">
        <f>M55</f>
        <v>9.7694440000000007E-2</v>
      </c>
      <c r="K10" s="176">
        <v>-25</v>
      </c>
      <c r="L10" s="178">
        <f>'supply(original)'!B10</f>
        <v>0.2392512244423792</v>
      </c>
      <c r="M10" s="227">
        <f t="shared" si="1"/>
        <v>85.585663487803231</v>
      </c>
      <c r="O10" s="202">
        <f>(P10-P9)/2+(P10-P10)/2</f>
        <v>9.0600836431226668</v>
      </c>
      <c r="P10" s="203">
        <f>R4*0.99</f>
        <v>199.32184014869887</v>
      </c>
      <c r="Q10" s="203">
        <f>O4+P4*P10+Q4*LN(1-P10/R4)</f>
        <v>79.484928363720357</v>
      </c>
      <c r="R10" s="204"/>
      <c r="T10" s="202">
        <f>(U10-U9)/2+(U10-U10)/2</f>
        <v>2.0159999999999982</v>
      </c>
      <c r="U10" s="203">
        <f>W4*0.99</f>
        <v>44.351999999999997</v>
      </c>
      <c r="V10" s="203">
        <f>T4+U4*U10+V4*LN(1-U10/W4)</f>
        <v>168.0149403979554</v>
      </c>
      <c r="W10" s="204"/>
      <c r="Y10" s="202">
        <f>(Z10-Z9)/2+(Z10-Z10)/2</f>
        <v>2.2009082883766524</v>
      </c>
      <c r="Z10" s="203">
        <f>AB4*0.99</f>
        <v>48.419982344286382</v>
      </c>
      <c r="AA10" s="203">
        <f>Y4+Z4*Z10+AA4*LN(1-Z10/AB4)</f>
        <v>135.12925464970226</v>
      </c>
      <c r="AB10" s="204"/>
    </row>
    <row r="11" spans="1:28" x14ac:dyDescent="0.25">
      <c r="A11" s="237" t="s">
        <v>442</v>
      </c>
      <c r="B11" s="187">
        <f>T20</f>
        <v>19.332376420160976</v>
      </c>
      <c r="C11" s="187">
        <f>B11*'supply(original)'!$C$9/'supply(original)'!$B$9</f>
        <v>10.372178827980465</v>
      </c>
      <c r="D11" s="187">
        <f t="shared" si="0"/>
        <v>8.9601975921805117</v>
      </c>
      <c r="E11" s="225">
        <f>V20</f>
        <v>30.313625125467006</v>
      </c>
      <c r="H11" s="183" t="s">
        <v>177</v>
      </c>
      <c r="I11" s="144">
        <v>27</v>
      </c>
      <c r="J11" s="187">
        <f>M53</f>
        <v>0.97694440000000005</v>
      </c>
      <c r="K11" s="176">
        <v>-25</v>
      </c>
      <c r="L11" s="178">
        <f>'supply(original)'!B11</f>
        <v>2.37114312267658</v>
      </c>
      <c r="M11" s="227">
        <f t="shared" si="1"/>
        <v>86.6494548206188</v>
      </c>
      <c r="O11" s="202"/>
      <c r="P11" s="203"/>
      <c r="Q11" s="203"/>
      <c r="R11" s="204"/>
      <c r="T11" s="202"/>
      <c r="U11" s="203"/>
      <c r="V11" s="203"/>
      <c r="W11" s="204"/>
      <c r="Y11" s="202"/>
      <c r="Z11" s="203"/>
      <c r="AA11" s="203"/>
      <c r="AB11" s="204"/>
    </row>
    <row r="12" spans="1:28" ht="15.75" thickBot="1" x14ac:dyDescent="0.3">
      <c r="A12" s="237" t="s">
        <v>443</v>
      </c>
      <c r="B12" s="187">
        <f>T21</f>
        <v>6.7663317470563404</v>
      </c>
      <c r="C12" s="187">
        <f>B12*'supply(original)'!$C$9/'supply(original)'!$B$9</f>
        <v>3.6302625897931615</v>
      </c>
      <c r="D12" s="187">
        <f t="shared" si="0"/>
        <v>3.1360691572631789</v>
      </c>
      <c r="E12" s="225">
        <f>V21</f>
        <v>51.047004607854646</v>
      </c>
      <c r="H12" s="189" t="s">
        <v>276</v>
      </c>
      <c r="I12" s="190">
        <v>29</v>
      </c>
      <c r="J12" s="187">
        <f>M51</f>
        <v>0.97694440000000005</v>
      </c>
      <c r="K12" s="176">
        <f>(N51)/2</f>
        <v>-21.981248999999998</v>
      </c>
      <c r="L12" s="178">
        <f>'supply(original)'!B12</f>
        <v>0.61047545817843873</v>
      </c>
      <c r="M12" s="227">
        <f t="shared" si="1"/>
        <v>80.150456794974644</v>
      </c>
      <c r="O12" s="205"/>
      <c r="P12" s="206"/>
      <c r="Q12" s="206"/>
      <c r="R12" s="207"/>
      <c r="T12" s="205"/>
      <c r="U12" s="206"/>
      <c r="V12" s="206"/>
      <c r="W12" s="207"/>
      <c r="Y12" s="205"/>
      <c r="Z12" s="206"/>
      <c r="AA12" s="206"/>
      <c r="AB12" s="207"/>
    </row>
    <row r="13" spans="1:28" ht="15.75" thickBot="1" x14ac:dyDescent="0.3">
      <c r="A13" s="237" t="s">
        <v>444</v>
      </c>
      <c r="B13" s="187">
        <f>T22</f>
        <v>1.2427956270103468</v>
      </c>
      <c r="C13" s="187">
        <f>B13*'supply(original)'!$C$9/'supply(original)'!$B$9</f>
        <v>0.66678292465588607</v>
      </c>
      <c r="D13" s="187">
        <f t="shared" si="0"/>
        <v>0.57601270235446078</v>
      </c>
      <c r="E13" s="225">
        <f>V22</f>
        <v>79.408553205035247</v>
      </c>
      <c r="H13" s="183" t="s">
        <v>167</v>
      </c>
      <c r="I13" s="144">
        <v>26</v>
      </c>
      <c r="J13" s="187">
        <f>M42</f>
        <v>0.19538888000000001</v>
      </c>
      <c r="K13" s="176">
        <v>-25</v>
      </c>
      <c r="L13" s="178">
        <f>'supply(original)'!B13</f>
        <v>2.6428167272304837</v>
      </c>
      <c r="M13" s="227">
        <f t="shared" si="1"/>
        <v>84.029366625192097</v>
      </c>
    </row>
    <row r="14" spans="1:28" x14ac:dyDescent="0.25">
      <c r="A14" s="168" t="s">
        <v>284</v>
      </c>
      <c r="B14" s="187">
        <v>0.2392512244423792</v>
      </c>
      <c r="C14" s="187">
        <v>0</v>
      </c>
      <c r="D14" s="187">
        <f t="shared" si="0"/>
        <v>0.2392512244423792</v>
      </c>
      <c r="E14" s="225">
        <f t="shared" ref="E14:E19" si="6">M10</f>
        <v>85.585663487803231</v>
      </c>
      <c r="H14" s="185" t="s">
        <v>163</v>
      </c>
      <c r="I14" s="144">
        <v>20.5</v>
      </c>
      <c r="J14" s="187">
        <f>M35</f>
        <v>0.29308331999999998</v>
      </c>
      <c r="K14" s="176">
        <f>(N35)/2</f>
        <v>-17.096527000000002</v>
      </c>
      <c r="L14" s="178">
        <f>'supply(original)'!B14</f>
        <v>5.4607986038670377</v>
      </c>
      <c r="M14" s="227">
        <f t="shared" si="1"/>
        <v>61.306630298375666</v>
      </c>
      <c r="O14" s="210" t="s">
        <v>39</v>
      </c>
      <c r="P14" s="198"/>
      <c r="Q14" s="198"/>
      <c r="R14" s="199"/>
      <c r="T14" s="210" t="s">
        <v>162</v>
      </c>
      <c r="U14" s="198"/>
      <c r="V14" s="198"/>
      <c r="W14" s="199"/>
      <c r="Y14" s="213" t="s">
        <v>38</v>
      </c>
      <c r="Z14" s="198"/>
      <c r="AA14" s="198"/>
      <c r="AB14" s="199"/>
    </row>
    <row r="15" spans="1:28" x14ac:dyDescent="0.25">
      <c r="A15" s="168" t="s">
        <v>207</v>
      </c>
      <c r="B15" s="187">
        <v>2.37114312267658</v>
      </c>
      <c r="C15" s="187">
        <v>0</v>
      </c>
      <c r="D15" s="187">
        <f t="shared" si="0"/>
        <v>2.37114312267658</v>
      </c>
      <c r="E15" s="225">
        <f t="shared" si="6"/>
        <v>86.6494548206188</v>
      </c>
      <c r="H15" s="183" t="s">
        <v>164</v>
      </c>
      <c r="I15" s="190">
        <v>26</v>
      </c>
      <c r="J15" s="187">
        <f>M36</f>
        <v>9.7694440000000007E-2</v>
      </c>
      <c r="K15" s="176">
        <v>-25</v>
      </c>
      <c r="L15" s="178">
        <f>'supply(original)'!B15</f>
        <v>3.7225577936802976</v>
      </c>
      <c r="M15" s="227">
        <f t="shared" si="1"/>
        <v>83.891933203970254</v>
      </c>
      <c r="O15" s="200" t="s">
        <v>472</v>
      </c>
      <c r="P15" s="188" t="s">
        <v>473</v>
      </c>
      <c r="Q15" s="188" t="s">
        <v>115</v>
      </c>
      <c r="R15" s="201" t="s">
        <v>501</v>
      </c>
      <c r="T15" s="200" t="s">
        <v>472</v>
      </c>
      <c r="U15" s="188" t="s">
        <v>473</v>
      </c>
      <c r="V15" s="188" t="s">
        <v>115</v>
      </c>
      <c r="W15" s="201" t="s">
        <v>501</v>
      </c>
      <c r="Y15" s="200" t="s">
        <v>472</v>
      </c>
      <c r="Z15" s="188" t="s">
        <v>473</v>
      </c>
      <c r="AA15" s="188" t="s">
        <v>115</v>
      </c>
      <c r="AB15" s="201" t="s">
        <v>501</v>
      </c>
    </row>
    <row r="16" spans="1:28" x14ac:dyDescent="0.25">
      <c r="A16" s="168" t="s">
        <v>285</v>
      </c>
      <c r="B16" s="187">
        <v>0.61047545817843873</v>
      </c>
      <c r="C16" s="187">
        <v>0</v>
      </c>
      <c r="D16" s="187">
        <f t="shared" si="0"/>
        <v>0.61047545817843873</v>
      </c>
      <c r="E16" s="225">
        <f t="shared" si="6"/>
        <v>80.150456794974644</v>
      </c>
      <c r="H16" s="174" t="s">
        <v>39</v>
      </c>
      <c r="I16" s="187">
        <v>18</v>
      </c>
      <c r="J16" s="193">
        <f>M33</f>
        <v>0</v>
      </c>
      <c r="K16" s="176">
        <f>(N33)/2</f>
        <v>-17.096527000000002</v>
      </c>
      <c r="L16" s="178">
        <f>'supply(original)'!B16</f>
        <v>91.904171829822374</v>
      </c>
      <c r="M16" s="227">
        <f t="shared" si="1"/>
        <v>57.366208212170221</v>
      </c>
      <c r="O16" s="202">
        <f>I16</f>
        <v>18</v>
      </c>
      <c r="P16" s="203">
        <f>J16</f>
        <v>0</v>
      </c>
      <c r="Q16" s="203">
        <f>K16</f>
        <v>-17.096527000000002</v>
      </c>
      <c r="R16" s="204">
        <f>L16</f>
        <v>91.904171829822374</v>
      </c>
      <c r="T16" s="202">
        <f>I9</f>
        <v>20.5</v>
      </c>
      <c r="U16" s="203">
        <f t="shared" ref="U16:W16" si="7">J9</f>
        <v>9.7694440000000007E-2</v>
      </c>
      <c r="V16" s="203">
        <f t="shared" si="7"/>
        <v>-12.211805</v>
      </c>
      <c r="W16" s="204">
        <f t="shared" si="7"/>
        <v>27.617680600229964</v>
      </c>
      <c r="Y16" s="202">
        <f>I24</f>
        <v>15</v>
      </c>
      <c r="Z16" s="203">
        <f t="shared" ref="Z16:AB16" si="8">J24</f>
        <v>9.7694440000000007E-2</v>
      </c>
      <c r="AA16" s="203">
        <f t="shared" si="8"/>
        <v>-36.635415000000002</v>
      </c>
      <c r="AB16" s="204">
        <f t="shared" si="8"/>
        <v>156.94423791821555</v>
      </c>
    </row>
    <row r="17" spans="1:31" x14ac:dyDescent="0.25">
      <c r="A17" s="168" t="s">
        <v>201</v>
      </c>
      <c r="B17" s="187">
        <v>2.6428167272304837</v>
      </c>
      <c r="C17" s="187">
        <v>0</v>
      </c>
      <c r="D17" s="187">
        <f t="shared" si="0"/>
        <v>2.6428167272304837</v>
      </c>
      <c r="E17" s="225">
        <f t="shared" si="6"/>
        <v>84.029366625192097</v>
      </c>
      <c r="H17" s="183" t="s">
        <v>171</v>
      </c>
      <c r="I17" s="190">
        <v>26</v>
      </c>
      <c r="J17" s="187">
        <f>M46</f>
        <v>0.48847220000000002</v>
      </c>
      <c r="K17" s="176">
        <v>-25</v>
      </c>
      <c r="L17" s="178">
        <f>'supply(original)'!B17</f>
        <v>3.9483633815055765</v>
      </c>
      <c r="M17" s="227">
        <f t="shared" si="1"/>
        <v>85.30042649747827</v>
      </c>
      <c r="O17" s="202"/>
      <c r="P17" s="203"/>
      <c r="Q17" s="203"/>
      <c r="R17" s="204"/>
      <c r="T17" s="202"/>
      <c r="U17" s="203"/>
      <c r="V17" s="203"/>
      <c r="W17" s="204"/>
      <c r="Y17" s="202"/>
      <c r="Z17" s="203"/>
      <c r="AA17" s="203"/>
      <c r="AB17" s="204"/>
    </row>
    <row r="18" spans="1:31" x14ac:dyDescent="0.25">
      <c r="A18" s="237" t="s">
        <v>198</v>
      </c>
      <c r="B18" s="187">
        <v>5.4607986038670377</v>
      </c>
      <c r="C18" s="187">
        <v>2.9298198230729118</v>
      </c>
      <c r="D18" s="187">
        <f t="shared" si="0"/>
        <v>2.530978780794126</v>
      </c>
      <c r="E18" s="225">
        <f t="shared" si="6"/>
        <v>61.306630298375666</v>
      </c>
      <c r="H18" s="183" t="s">
        <v>178</v>
      </c>
      <c r="I18" s="190">
        <v>26</v>
      </c>
      <c r="J18" s="187">
        <f>M54</f>
        <v>0.19538888000000001</v>
      </c>
      <c r="K18" s="176">
        <v>-25</v>
      </c>
      <c r="L18" s="178">
        <f>'supply(original)'!B18</f>
        <v>9.540355413568772</v>
      </c>
      <c r="M18" s="227">
        <f t="shared" si="1"/>
        <v>85.242298748004373</v>
      </c>
      <c r="O18" s="202" t="s">
        <v>503</v>
      </c>
      <c r="P18" s="203" t="s">
        <v>502</v>
      </c>
      <c r="Q18" s="234" t="s">
        <v>467</v>
      </c>
      <c r="R18" s="204"/>
      <c r="T18" s="202" t="s">
        <v>503</v>
      </c>
      <c r="U18" s="203" t="s">
        <v>502</v>
      </c>
      <c r="V18" s="234" t="s">
        <v>467</v>
      </c>
      <c r="W18" s="204"/>
      <c r="Y18" s="202" t="s">
        <v>503</v>
      </c>
      <c r="Z18" s="203" t="s">
        <v>502</v>
      </c>
      <c r="AA18" s="234" t="s">
        <v>467</v>
      </c>
      <c r="AB18" s="204"/>
    </row>
    <row r="19" spans="1:31" x14ac:dyDescent="0.25">
      <c r="A19" s="168" t="s">
        <v>199</v>
      </c>
      <c r="B19" s="187">
        <v>3.7225577936802976</v>
      </c>
      <c r="C19" s="187">
        <v>0</v>
      </c>
      <c r="D19" s="187">
        <f t="shared" si="0"/>
        <v>3.7225577936802976</v>
      </c>
      <c r="E19" s="225">
        <f t="shared" si="6"/>
        <v>83.891933203970254</v>
      </c>
      <c r="H19" s="174" t="s">
        <v>1</v>
      </c>
      <c r="I19" s="190">
        <v>12</v>
      </c>
      <c r="J19" s="193">
        <f>M32</f>
        <v>0</v>
      </c>
      <c r="K19" s="176">
        <f>(N32)/2</f>
        <v>-14.654166</v>
      </c>
      <c r="L19" s="178">
        <f>'supply(original)'!B19</f>
        <v>201.3351920693928</v>
      </c>
      <c r="M19" s="227">
        <f t="shared" si="1"/>
        <v>45.742464181860186</v>
      </c>
      <c r="O19" s="202"/>
      <c r="P19" s="203">
        <v>0</v>
      </c>
      <c r="Q19" s="203">
        <f>O16</f>
        <v>18</v>
      </c>
      <c r="R19" s="204"/>
      <c r="T19" s="202"/>
      <c r="U19" s="203">
        <v>0</v>
      </c>
      <c r="V19" s="203">
        <f>T16</f>
        <v>20.5</v>
      </c>
      <c r="W19" s="204"/>
      <c r="Y19" s="202"/>
      <c r="Z19" s="203">
        <v>0</v>
      </c>
      <c r="AA19" s="203">
        <f>Y16</f>
        <v>15</v>
      </c>
      <c r="AB19" s="204"/>
    </row>
    <row r="20" spans="1:31" x14ac:dyDescent="0.25">
      <c r="A20" s="237" t="s">
        <v>447</v>
      </c>
      <c r="B20" s="187">
        <f>O20</f>
        <v>64.332920280875669</v>
      </c>
      <c r="C20" s="187">
        <f>B20*'supply(original)'!$C$16/'supply(original)'!$B$16</f>
        <v>30.359355638166047</v>
      </c>
      <c r="D20" s="187">
        <f t="shared" si="0"/>
        <v>33.973564642709619</v>
      </c>
      <c r="E20" s="187">
        <f>Q20</f>
        <v>29.850409487416982</v>
      </c>
      <c r="H20" s="189" t="s">
        <v>280</v>
      </c>
      <c r="I20" s="187">
        <v>20</v>
      </c>
      <c r="J20" s="187">
        <f>M55</f>
        <v>9.7694440000000007E-2</v>
      </c>
      <c r="K20" s="176">
        <v>-25</v>
      </c>
      <c r="L20" s="178">
        <f>'supply(original)'!B20</f>
        <v>0.26022301858736058</v>
      </c>
      <c r="M20" s="227">
        <f t="shared" si="1"/>
        <v>77.587507432719548</v>
      </c>
      <c r="O20" s="202">
        <f>(P20-P19)+(P21-P20)/2</f>
        <v>64.332920280875669</v>
      </c>
      <c r="P20" s="203">
        <f>R16*0.5</f>
        <v>45.952085914911187</v>
      </c>
      <c r="Q20" s="203">
        <f>O16+P16*P20+Q16*LN(1-P20/R16)</f>
        <v>29.850409487416982</v>
      </c>
      <c r="R20" s="204"/>
      <c r="T20" s="202">
        <f>(U20-U19)+(U21-U20)/2</f>
        <v>19.332376420160976</v>
      </c>
      <c r="U20" s="203">
        <f>W16*0.5</f>
        <v>13.808840300114982</v>
      </c>
      <c r="V20" s="203">
        <f>T16+U16*U20+V16*LN(1-U20/W16)</f>
        <v>30.313625125467006</v>
      </c>
      <c r="W20" s="204"/>
      <c r="Y20" s="202">
        <f>(Z20-Z19)+(Z21-Z20)/2</f>
        <v>109.86096654275089</v>
      </c>
      <c r="Z20" s="203">
        <f>AB16*0.5</f>
        <v>78.472118959107775</v>
      </c>
      <c r="AA20" s="203">
        <f>Y16+Z16*Z20+AA16*LN(1-Z20/AB16)</f>
        <v>48.060024333216944</v>
      </c>
      <c r="AB20" s="204"/>
    </row>
    <row r="21" spans="1:31" x14ac:dyDescent="0.25">
      <c r="A21" s="237" t="s">
        <v>448</v>
      </c>
      <c r="B21" s="187">
        <f>O21</f>
        <v>22.516522098306478</v>
      </c>
      <c r="C21" s="187">
        <f>B21*'supply(original)'!$C$16/'supply(original)'!$B$16</f>
        <v>10.625774473358112</v>
      </c>
      <c r="D21" s="187">
        <f t="shared" si="0"/>
        <v>11.890747624948366</v>
      </c>
      <c r="E21" s="187">
        <f>Q21</f>
        <v>57.366208212170221</v>
      </c>
      <c r="H21" s="189" t="s">
        <v>2</v>
      </c>
      <c r="I21" s="187">
        <v>24</v>
      </c>
      <c r="J21" s="187">
        <f>M34</f>
        <v>9.7694440000000007E-2</v>
      </c>
      <c r="K21" s="176">
        <v>-25</v>
      </c>
      <c r="L21" s="178">
        <f>'supply(original)'!B21</f>
        <v>6.6552044609665426</v>
      </c>
      <c r="M21" s="227">
        <f t="shared" si="1"/>
        <v>82.149786150460841</v>
      </c>
      <c r="O21" s="202">
        <f>(P21-P20)/2+(P22-P21)/2</f>
        <v>22.516522098306478</v>
      </c>
      <c r="P21" s="203">
        <f>R16*0.9</f>
        <v>82.713754646840144</v>
      </c>
      <c r="Q21" s="203">
        <f>O16+P16*P21+Q16*LN(1-P21/R16)</f>
        <v>57.366208212170221</v>
      </c>
      <c r="R21" s="204"/>
      <c r="T21" s="202">
        <f>(U21-U20)/2+(U22-U21)/2</f>
        <v>6.7663317470563404</v>
      </c>
      <c r="U21" s="203">
        <f>W16*0.9</f>
        <v>24.855912540206969</v>
      </c>
      <c r="V21" s="203">
        <f>T16+U16*U21+V16*LN(1-U21/W16)</f>
        <v>51.047004607854646</v>
      </c>
      <c r="W21" s="204"/>
      <c r="Y21" s="202">
        <f>(Z21-Z20)/2+(Z22-Z21)/2</f>
        <v>38.451338289962806</v>
      </c>
      <c r="Z21" s="203">
        <f>AB16*0.9</f>
        <v>141.249814126394</v>
      </c>
      <c r="AA21" s="203">
        <f>Y16+Z16*Z21+AA16*LN(1-Z21/AB16)</f>
        <v>113.15548194583262</v>
      </c>
      <c r="AB21" s="204"/>
    </row>
    <row r="22" spans="1:31" x14ac:dyDescent="0.25">
      <c r="A22" s="237" t="s">
        <v>449</v>
      </c>
      <c r="B22" s="187">
        <f>O22</f>
        <v>4.1356877323419994</v>
      </c>
      <c r="C22" s="187">
        <f>B22*'supply(original)'!$C$16/'supply(original)'!$B$16</f>
        <v>1.9516728624535276</v>
      </c>
      <c r="D22" s="187">
        <f t="shared" si="0"/>
        <v>2.1840148698884718</v>
      </c>
      <c r="E22" s="187">
        <f>Q22</f>
        <v>96.732416424340229</v>
      </c>
      <c r="H22" s="173" t="s">
        <v>173</v>
      </c>
      <c r="I22" s="187">
        <v>20</v>
      </c>
      <c r="J22" s="187">
        <f>M48</f>
        <v>0</v>
      </c>
      <c r="K22" s="176">
        <v>-25</v>
      </c>
      <c r="L22" s="178">
        <f>'supply(original)'!B22</f>
        <v>48.909073075036751</v>
      </c>
      <c r="M22" s="227">
        <f t="shared" si="1"/>
        <v>77.564627324851145</v>
      </c>
      <c r="O22" s="202">
        <f>(P22-P21)/2+(P22-P22)/2</f>
        <v>4.1356877323419994</v>
      </c>
      <c r="P22" s="203">
        <f>R16*0.99</f>
        <v>90.985130111524143</v>
      </c>
      <c r="Q22" s="203">
        <f>O16+P16*P22+Q16*LN(1-P22/R16)</f>
        <v>96.732416424340229</v>
      </c>
      <c r="R22" s="204"/>
      <c r="T22" s="202">
        <f>(U22-U21)/2+(U22-U22)/2</f>
        <v>1.2427956270103468</v>
      </c>
      <c r="U22" s="203">
        <f>W16*0.99</f>
        <v>27.341503794227663</v>
      </c>
      <c r="V22" s="203">
        <f>T16+U16*U22+V16*LN(1-U22/W16)</f>
        <v>79.408553205035247</v>
      </c>
      <c r="W22" s="204"/>
      <c r="Y22" s="202">
        <f>(Z22-Z21)/2+(Z22-Z22)/2</f>
        <v>7.0624907063196929</v>
      </c>
      <c r="Z22" s="203">
        <f>AB16*0.99</f>
        <v>155.37479553903339</v>
      </c>
      <c r="AA22" s="203">
        <f>Y16+Z16*Z22+AA16*LN(1-Z22/AB16)</f>
        <v>198.89157454960127</v>
      </c>
      <c r="AB22" s="204"/>
    </row>
    <row r="23" spans="1:31" x14ac:dyDescent="0.25">
      <c r="A23" s="168" t="s">
        <v>204</v>
      </c>
      <c r="B23" s="187">
        <v>3.9483633815055765</v>
      </c>
      <c r="C23" s="187">
        <v>0</v>
      </c>
      <c r="D23" s="187">
        <f t="shared" si="0"/>
        <v>3.9483633815055765</v>
      </c>
      <c r="E23" s="225">
        <f>M17</f>
        <v>85.30042649747827</v>
      </c>
      <c r="H23" s="183" t="s">
        <v>176</v>
      </c>
      <c r="I23" s="190">
        <v>26</v>
      </c>
      <c r="J23" s="187">
        <f>M51</f>
        <v>0.97694440000000005</v>
      </c>
      <c r="K23" s="176">
        <f>(N51)/2</f>
        <v>-21.981248999999998</v>
      </c>
      <c r="L23" s="178">
        <f>'supply(original)'!B23</f>
        <v>17.089225371747212</v>
      </c>
      <c r="M23" s="227">
        <f t="shared" si="1"/>
        <v>91.639396997329996</v>
      </c>
      <c r="O23" s="202"/>
      <c r="P23" s="203"/>
      <c r="Q23" s="203"/>
      <c r="R23" s="204"/>
      <c r="T23" s="202"/>
      <c r="U23" s="203"/>
      <c r="V23" s="203"/>
      <c r="W23" s="204"/>
      <c r="Y23" s="202"/>
      <c r="Z23" s="203"/>
      <c r="AA23" s="203"/>
      <c r="AB23" s="204"/>
    </row>
    <row r="24" spans="1:31" ht="15.75" thickBot="1" x14ac:dyDescent="0.3">
      <c r="A24" s="168" t="s">
        <v>208</v>
      </c>
      <c r="B24" s="187">
        <v>9.540355413568772</v>
      </c>
      <c r="C24" s="187">
        <v>0</v>
      </c>
      <c r="D24" s="187">
        <f t="shared" si="0"/>
        <v>9.540355413568772</v>
      </c>
      <c r="E24" s="225">
        <f>M18</f>
        <v>85.242298748004373</v>
      </c>
      <c r="H24" s="189" t="s">
        <v>38</v>
      </c>
      <c r="I24" s="225">
        <v>15</v>
      </c>
      <c r="J24" s="187">
        <f>M37</f>
        <v>9.7694440000000007E-2</v>
      </c>
      <c r="K24" s="176">
        <f>(N39)/2</f>
        <v>-36.635415000000002</v>
      </c>
      <c r="L24" s="226">
        <f>'supply(original)'!B24</f>
        <v>156.94423791821555</v>
      </c>
      <c r="M24" s="227">
        <f t="shared" si="1"/>
        <v>113.15548194583262</v>
      </c>
      <c r="O24" s="205"/>
      <c r="P24" s="206"/>
      <c r="Q24" s="206"/>
      <c r="R24" s="207"/>
      <c r="T24" s="205"/>
      <c r="U24" s="206"/>
      <c r="V24" s="206"/>
      <c r="W24" s="207"/>
      <c r="Y24" s="205"/>
      <c r="Z24" s="206"/>
      <c r="AA24" s="206"/>
      <c r="AB24" s="207"/>
    </row>
    <row r="25" spans="1:31" x14ac:dyDescent="0.25">
      <c r="A25" s="237" t="s">
        <v>435</v>
      </c>
      <c r="B25" s="187">
        <f>O8</f>
        <v>140.93463444857497</v>
      </c>
      <c r="C25" s="187">
        <f>B25*'supply(original)'!$C$19/'supply(original)'!$B$19</f>
        <v>78.066733787691035</v>
      </c>
      <c r="D25" s="187">
        <f t="shared" si="0"/>
        <v>62.867900660883933</v>
      </c>
      <c r="E25" s="225">
        <f>Q8</f>
        <v>22.157493846357411</v>
      </c>
      <c r="H25" s="185"/>
      <c r="I25" s="234" t="s">
        <v>467</v>
      </c>
      <c r="J25" s="234" t="s">
        <v>467</v>
      </c>
      <c r="K25" s="234" t="s">
        <v>467</v>
      </c>
      <c r="L25" s="234" t="s">
        <v>431</v>
      </c>
      <c r="M25" s="227"/>
    </row>
    <row r="26" spans="1:31" x14ac:dyDescent="0.25">
      <c r="A26" s="168" t="s">
        <v>436</v>
      </c>
      <c r="B26" s="187">
        <f t="shared" ref="B26:B27" si="9">O9</f>
        <v>49.327122057001233</v>
      </c>
      <c r="C26" s="187">
        <f>B26*'supply(original)'!$C$19/'supply(original)'!$B$19</f>
        <v>27.32335682569186</v>
      </c>
      <c r="D26" s="187">
        <f t="shared" si="0"/>
        <v>22.003765231309373</v>
      </c>
      <c r="E26" s="225">
        <f>Q9</f>
        <v>45.742464181860186</v>
      </c>
      <c r="H26" s="185"/>
      <c r="Y26" s="49"/>
      <c r="AA26" s="109"/>
    </row>
    <row r="27" spans="1:31" x14ac:dyDescent="0.25">
      <c r="A27" s="237" t="s">
        <v>452</v>
      </c>
      <c r="B27" s="187">
        <f t="shared" si="9"/>
        <v>9.0600836431226668</v>
      </c>
      <c r="C27" s="187">
        <f>B27*'supply(original)'!$C$19/'supply(original)'!$B$19</f>
        <v>5.0185757434944183</v>
      </c>
      <c r="D27" s="187">
        <f t="shared" si="0"/>
        <v>4.0415078996282485</v>
      </c>
      <c r="E27" s="225">
        <f>Q10</f>
        <v>79.484928363720357</v>
      </c>
      <c r="H27" s="185"/>
      <c r="O27" s="234"/>
      <c r="Y27" s="49"/>
      <c r="Z27" s="49"/>
      <c r="AA27" s="109"/>
    </row>
    <row r="28" spans="1:31" x14ac:dyDescent="0.25">
      <c r="A28" s="168" t="s">
        <v>287</v>
      </c>
      <c r="B28" s="187">
        <v>0.26022301858736058</v>
      </c>
      <c r="C28" s="187">
        <v>0</v>
      </c>
      <c r="D28" s="187">
        <f t="shared" si="0"/>
        <v>0.26022301858736058</v>
      </c>
      <c r="E28" s="187">
        <f>M20</f>
        <v>77.587507432719548</v>
      </c>
      <c r="H28" s="185"/>
      <c r="O28" s="234"/>
      <c r="Y28" s="49"/>
      <c r="Z28" s="49"/>
      <c r="AA28" s="109"/>
    </row>
    <row r="29" spans="1:31" x14ac:dyDescent="0.25">
      <c r="A29" s="168" t="s">
        <v>286</v>
      </c>
      <c r="B29" s="226">
        <v>6.6552044609665426</v>
      </c>
      <c r="C29" s="226">
        <v>6.0501858736059475</v>
      </c>
      <c r="D29" s="187">
        <f t="shared" si="0"/>
        <v>0.60501858736059511</v>
      </c>
      <c r="E29" s="187">
        <f>M21</f>
        <v>82.149786150460841</v>
      </c>
      <c r="H29" s="233"/>
      <c r="I29" s="345" t="s">
        <v>500</v>
      </c>
      <c r="J29" s="345"/>
      <c r="K29" s="345"/>
      <c r="L29" s="345"/>
      <c r="M29" s="345"/>
      <c r="N29" s="345"/>
      <c r="O29" s="234"/>
      <c r="P29" s="345" t="s">
        <v>524</v>
      </c>
      <c r="Q29" s="345"/>
      <c r="R29" s="345"/>
      <c r="S29" s="345"/>
      <c r="T29" s="345"/>
      <c r="U29" s="345"/>
      <c r="Y29" s="49"/>
      <c r="Z29" s="49"/>
      <c r="AA29" s="109"/>
    </row>
    <row r="30" spans="1:31" x14ac:dyDescent="0.25">
      <c r="A30" s="168" t="s">
        <v>455</v>
      </c>
      <c r="B30" s="187">
        <f>Y8</f>
        <v>34.236351152525728</v>
      </c>
      <c r="C30" s="187">
        <f>B30*'supply(original)'!$C$22/'supply(original)'!$B$22</f>
        <v>0</v>
      </c>
      <c r="D30" s="187">
        <f t="shared" si="0"/>
        <v>34.236351152525728</v>
      </c>
      <c r="E30" s="187">
        <f>AA8</f>
        <v>37.328679513998637</v>
      </c>
      <c r="F30" s="102"/>
      <c r="H30" s="233"/>
      <c r="I30" s="234"/>
      <c r="J30" s="234" t="s">
        <v>111</v>
      </c>
      <c r="K30" s="234" t="s">
        <v>111</v>
      </c>
      <c r="L30" s="234"/>
      <c r="M30" s="234" t="s">
        <v>467</v>
      </c>
      <c r="N30" s="234" t="s">
        <v>467</v>
      </c>
      <c r="O30" s="233"/>
      <c r="Q30" s="176" t="s">
        <v>519</v>
      </c>
      <c r="R30" s="176" t="s">
        <v>519</v>
      </c>
      <c r="S30" s="176" t="s">
        <v>519</v>
      </c>
      <c r="T30" s="176" t="s">
        <v>520</v>
      </c>
      <c r="U30" s="176" t="s">
        <v>520</v>
      </c>
      <c r="V30" s="176" t="s">
        <v>520</v>
      </c>
      <c r="Y30" s="232">
        <v>0.5</v>
      </c>
      <c r="Z30" s="193">
        <v>0.46</v>
      </c>
      <c r="AA30" s="193">
        <v>0.04</v>
      </c>
      <c r="AB30" s="109"/>
    </row>
    <row r="31" spans="1:31" x14ac:dyDescent="0.25">
      <c r="A31" s="168" t="s">
        <v>456</v>
      </c>
      <c r="B31" s="187">
        <f>Y9</f>
        <v>11.982722903384003</v>
      </c>
      <c r="C31" s="187">
        <f>B31*'supply(original)'!$C$22/'supply(original)'!$B$22</f>
        <v>0</v>
      </c>
      <c r="D31" s="187">
        <f t="shared" si="0"/>
        <v>11.982722903384003</v>
      </c>
      <c r="E31" s="187">
        <f>AA9</f>
        <v>77.564627324851145</v>
      </c>
      <c r="H31" s="233"/>
      <c r="I31" s="234"/>
      <c r="J31" s="197" t="s">
        <v>473</v>
      </c>
      <c r="K31" s="197" t="s">
        <v>115</v>
      </c>
      <c r="L31" s="234"/>
      <c r="M31" s="197" t="s">
        <v>473</v>
      </c>
      <c r="N31" s="197" t="s">
        <v>115</v>
      </c>
      <c r="O31" s="233"/>
      <c r="Q31" s="180" t="s">
        <v>521</v>
      </c>
      <c r="R31" s="180" t="s">
        <v>522</v>
      </c>
      <c r="S31" s="180" t="s">
        <v>523</v>
      </c>
      <c r="T31" s="180" t="s">
        <v>521</v>
      </c>
      <c r="U31" s="180" t="s">
        <v>522</v>
      </c>
      <c r="V31" s="180" t="s">
        <v>523</v>
      </c>
      <c r="W31" s="176" t="s">
        <v>405</v>
      </c>
      <c r="X31" s="180" t="s">
        <v>525</v>
      </c>
      <c r="Y31" s="180" t="s">
        <v>521</v>
      </c>
      <c r="Z31" s="180" t="s">
        <v>522</v>
      </c>
      <c r="AA31" s="180" t="s">
        <v>523</v>
      </c>
      <c r="AC31" s="180" t="s">
        <v>521</v>
      </c>
      <c r="AD31" s="180" t="s">
        <v>522</v>
      </c>
      <c r="AE31" s="180" t="s">
        <v>523</v>
      </c>
    </row>
    <row r="32" spans="1:31" x14ac:dyDescent="0.25">
      <c r="A32" s="168" t="s">
        <v>457</v>
      </c>
      <c r="B32" s="187">
        <f>Y10</f>
        <v>2.2009082883766524</v>
      </c>
      <c r="C32" s="187">
        <f>B32*'supply(original)'!$C$22/'supply(original)'!$B$22</f>
        <v>0</v>
      </c>
      <c r="D32" s="187">
        <f t="shared" si="0"/>
        <v>2.2009082883766524</v>
      </c>
      <c r="E32" s="187">
        <f>AA10</f>
        <v>135.12925464970226</v>
      </c>
      <c r="H32" s="185"/>
      <c r="I32" s="181" t="s">
        <v>474</v>
      </c>
      <c r="J32" s="193">
        <v>0</v>
      </c>
      <c r="K32" s="190">
        <v>-3</v>
      </c>
      <c r="L32" s="181" t="s">
        <v>474</v>
      </c>
      <c r="M32" s="193">
        <f>J32*9.769444</f>
        <v>0</v>
      </c>
      <c r="N32" s="193">
        <f t="shared" ref="N32:N57" si="10">K32*9.769444</f>
        <v>-29.308332</v>
      </c>
      <c r="O32" s="233"/>
    </row>
    <row r="33" spans="1:31" x14ac:dyDescent="0.25">
      <c r="A33" s="168" t="s">
        <v>206</v>
      </c>
      <c r="B33" s="187">
        <v>17.089225371747212</v>
      </c>
      <c r="C33" s="187">
        <v>0</v>
      </c>
      <c r="D33" s="187">
        <f t="shared" si="0"/>
        <v>17.089225371747212</v>
      </c>
      <c r="E33" s="225">
        <f>M23</f>
        <v>91.639396997329996</v>
      </c>
      <c r="H33" s="185"/>
      <c r="I33" s="181" t="s">
        <v>475</v>
      </c>
      <c r="J33" s="193">
        <v>0</v>
      </c>
      <c r="K33" s="190">
        <v>-3.5</v>
      </c>
      <c r="L33" s="181" t="s">
        <v>475</v>
      </c>
      <c r="M33" s="193">
        <f t="shared" ref="M33:M57" si="11">J33*9.769444</f>
        <v>0</v>
      </c>
      <c r="N33" s="193">
        <f t="shared" si="10"/>
        <v>-34.193054000000004</v>
      </c>
      <c r="O33" s="233"/>
      <c r="P33" s="233" t="s">
        <v>202</v>
      </c>
      <c r="Q33" s="231">
        <v>23.22</v>
      </c>
      <c r="R33" s="192">
        <v>23.22</v>
      </c>
      <c r="S33" s="192">
        <v>23.22</v>
      </c>
      <c r="T33" s="231">
        <v>1.0633021584262974</v>
      </c>
      <c r="U33" s="231">
        <v>5.778816078403791</v>
      </c>
      <c r="V33" s="231">
        <v>106.33021584262976</v>
      </c>
      <c r="W33" s="208">
        <v>0.55054951394052043</v>
      </c>
      <c r="X33" s="176">
        <f>(W33/12*1000)</f>
        <v>45.879126161710033</v>
      </c>
      <c r="Y33" s="193">
        <f>$X33*Y$30</f>
        <v>22.939563080855017</v>
      </c>
      <c r="Z33" s="193">
        <f t="shared" ref="Z33:AA33" si="12">$X33*Z$30</f>
        <v>21.104398034386616</v>
      </c>
      <c r="AA33" s="193">
        <f t="shared" si="12"/>
        <v>1.8351650464684013</v>
      </c>
      <c r="AC33" s="224">
        <f t="shared" ref="AC33:AC55" si="13">Q33+(T33*Y33)</f>
        <v>47.611686937229344</v>
      </c>
      <c r="AD33" s="224">
        <f t="shared" ref="AD33:AD55" si="14">R33+(U33*(Z33+Y33))</f>
        <v>277.74195064934969</v>
      </c>
      <c r="AE33" s="224">
        <f t="shared" ref="AE33:AE55" si="15">S33+(V33*(AA33+Z33+Y33))</f>
        <v>4901.5573874458696</v>
      </c>
    </row>
    <row r="34" spans="1:31" x14ac:dyDescent="0.25">
      <c r="A34" s="168" t="s">
        <v>460</v>
      </c>
      <c r="B34" s="226">
        <f>Y20</f>
        <v>109.86096654275089</v>
      </c>
      <c r="C34" s="187">
        <f>B34*'supply(original)'!$C$24/'supply(original)'!$B$24</f>
        <v>68.663104089219289</v>
      </c>
      <c r="D34" s="187">
        <f t="shared" si="0"/>
        <v>41.197862453531599</v>
      </c>
      <c r="E34" s="225">
        <f>AA20</f>
        <v>48.060024333216944</v>
      </c>
      <c r="H34" s="185"/>
      <c r="I34" s="181" t="s">
        <v>476</v>
      </c>
      <c r="J34" s="193">
        <v>0.01</v>
      </c>
      <c r="K34" s="190">
        <v>-2.5</v>
      </c>
      <c r="L34" s="181" t="s">
        <v>476</v>
      </c>
      <c r="M34" s="193">
        <f t="shared" si="11"/>
        <v>9.7694440000000007E-2</v>
      </c>
      <c r="N34" s="193">
        <f t="shared" si="10"/>
        <v>-24.42361</v>
      </c>
      <c r="O34" s="233"/>
      <c r="P34" s="233" t="s">
        <v>504</v>
      </c>
      <c r="Q34" s="192">
        <v>13.42</v>
      </c>
      <c r="R34" s="192">
        <v>13.42</v>
      </c>
      <c r="S34" s="192">
        <v>13.42</v>
      </c>
      <c r="T34" s="192">
        <v>1.2368663594470044E-3</v>
      </c>
      <c r="U34" s="192">
        <v>6.7220997796032843E-3</v>
      </c>
      <c r="V34" s="192">
        <v>0.12368663594470043</v>
      </c>
      <c r="W34" s="208">
        <v>44.8</v>
      </c>
      <c r="X34" s="176">
        <f t="shared" ref="X34:X55" si="16">(W34/12*1000)</f>
        <v>3733.333333333333</v>
      </c>
      <c r="Y34" s="193">
        <f t="shared" ref="Y34:AA55" si="17">$X34*Y$30</f>
        <v>1866.6666666666665</v>
      </c>
      <c r="Z34" s="193">
        <f t="shared" si="17"/>
        <v>1717.3333333333333</v>
      </c>
      <c r="AA34" s="193">
        <f t="shared" si="17"/>
        <v>149.33333333333331</v>
      </c>
      <c r="AC34" s="224">
        <f t="shared" si="13"/>
        <v>15.728817204301075</v>
      </c>
      <c r="AD34" s="224">
        <f t="shared" si="14"/>
        <v>37.512005610098171</v>
      </c>
      <c r="AE34" s="224">
        <f t="shared" si="15"/>
        <v>475.18344086021494</v>
      </c>
    </row>
    <row r="35" spans="1:31" x14ac:dyDescent="0.25">
      <c r="A35" s="168" t="s">
        <v>461</v>
      </c>
      <c r="B35" s="226">
        <f>Y21</f>
        <v>38.451338289962806</v>
      </c>
      <c r="C35" s="187">
        <f>B35*'supply(original)'!$C$24/'supply(original)'!$B$24</f>
        <v>24.032086431226745</v>
      </c>
      <c r="D35" s="187">
        <f t="shared" si="0"/>
        <v>14.419251858736061</v>
      </c>
      <c r="E35" s="225">
        <f>AA21</f>
        <v>113.15548194583262</v>
      </c>
      <c r="H35" s="185"/>
      <c r="I35" s="181" t="s">
        <v>477</v>
      </c>
      <c r="J35" s="193">
        <v>0.03</v>
      </c>
      <c r="K35" s="190">
        <v>-3.5</v>
      </c>
      <c r="L35" s="181" t="s">
        <v>477</v>
      </c>
      <c r="M35" s="193">
        <f t="shared" si="11"/>
        <v>0.29308331999999998</v>
      </c>
      <c r="N35" s="193">
        <f t="shared" si="10"/>
        <v>-34.193054000000004</v>
      </c>
      <c r="O35" s="233"/>
      <c r="P35" s="233" t="s">
        <v>283</v>
      </c>
      <c r="Q35" s="192">
        <v>25.2</v>
      </c>
      <c r="R35" s="192">
        <v>25.2</v>
      </c>
      <c r="S35" s="192">
        <v>25.2</v>
      </c>
      <c r="T35" s="192">
        <v>3.6510693322853403</v>
      </c>
      <c r="U35" s="192">
        <v>19.842768110246418</v>
      </c>
      <c r="V35" s="192">
        <v>365.10693322853405</v>
      </c>
      <c r="W35" s="208">
        <v>9.158921933085501E-2</v>
      </c>
      <c r="X35" s="176">
        <f t="shared" si="16"/>
        <v>7.6324349442379171</v>
      </c>
      <c r="Y35" s="193">
        <f t="shared" si="17"/>
        <v>3.8162174721189586</v>
      </c>
      <c r="Z35" s="193">
        <f t="shared" si="17"/>
        <v>3.5109200743494422</v>
      </c>
      <c r="AA35" s="193">
        <f t="shared" si="17"/>
        <v>0.3052973977695167</v>
      </c>
      <c r="AC35" s="224">
        <f t="shared" si="13"/>
        <v>39.133274577785016</v>
      </c>
      <c r="AD35" s="224">
        <f t="shared" si="14"/>
        <v>170.59069124645234</v>
      </c>
      <c r="AE35" s="224">
        <f t="shared" si="15"/>
        <v>2811.8549155570036</v>
      </c>
    </row>
    <row r="36" spans="1:31" x14ac:dyDescent="0.25">
      <c r="A36" s="168" t="s">
        <v>462</v>
      </c>
      <c r="B36" s="226">
        <f>Y22</f>
        <v>7.0624907063196929</v>
      </c>
      <c r="C36" s="187">
        <f>B36*'supply(original)'!$C$24/'supply(original)'!$B$24</f>
        <v>4.4140566914498072</v>
      </c>
      <c r="D36" s="187">
        <f t="shared" si="0"/>
        <v>2.6484340148698857</v>
      </c>
      <c r="E36" s="225">
        <f>AA22</f>
        <v>198.89157454960127</v>
      </c>
      <c r="H36" s="233"/>
      <c r="I36" s="181" t="s">
        <v>478</v>
      </c>
      <c r="J36" s="193">
        <v>0.01</v>
      </c>
      <c r="K36" s="190">
        <v>-9</v>
      </c>
      <c r="L36" s="181" t="s">
        <v>478</v>
      </c>
      <c r="M36" s="193">
        <f t="shared" si="11"/>
        <v>9.7694440000000007E-2</v>
      </c>
      <c r="N36" s="193">
        <f t="shared" si="10"/>
        <v>-87.924995999999993</v>
      </c>
      <c r="O36" s="233"/>
      <c r="P36" s="233" t="s">
        <v>205</v>
      </c>
      <c r="Q36" s="192">
        <v>11.700000000000001</v>
      </c>
      <c r="R36" s="192">
        <v>11.700000000000001</v>
      </c>
      <c r="S36" s="192">
        <v>11.700000000000001</v>
      </c>
      <c r="T36" s="192">
        <v>0.47510679611650519</v>
      </c>
      <c r="U36" s="192">
        <v>2.5821021528070927</v>
      </c>
      <c r="V36" s="192">
        <v>47.510679611650517</v>
      </c>
      <c r="W36" s="208">
        <v>0.57381069151544839</v>
      </c>
      <c r="X36" s="176">
        <f t="shared" si="16"/>
        <v>47.817557626287368</v>
      </c>
      <c r="Y36" s="193">
        <f t="shared" si="17"/>
        <v>23.908778813143684</v>
      </c>
      <c r="Z36" s="193">
        <f t="shared" si="17"/>
        <v>21.996076508092191</v>
      </c>
      <c r="AA36" s="193">
        <f t="shared" si="17"/>
        <v>1.9127023050514946</v>
      </c>
      <c r="AC36" s="224">
        <f t="shared" si="13"/>
        <v>23.059223300970878</v>
      </c>
      <c r="AD36" s="224">
        <f t="shared" si="14"/>
        <v>130.23102574926125</v>
      </c>
      <c r="AE36" s="224">
        <f t="shared" si="15"/>
        <v>2283.5446601941749</v>
      </c>
    </row>
    <row r="37" spans="1:31" x14ac:dyDescent="0.25">
      <c r="A37" s="1"/>
      <c r="B37" s="1"/>
      <c r="C37" s="1"/>
      <c r="D37" s="1"/>
      <c r="E37" s="1"/>
      <c r="H37" s="233"/>
      <c r="I37" s="181" t="s">
        <v>479</v>
      </c>
      <c r="J37" s="193">
        <v>0.01</v>
      </c>
      <c r="K37" s="190">
        <v>-6</v>
      </c>
      <c r="L37" s="181" t="s">
        <v>479</v>
      </c>
      <c r="M37" s="193">
        <f t="shared" si="11"/>
        <v>9.7694440000000007E-2</v>
      </c>
      <c r="N37" s="193">
        <f t="shared" si="10"/>
        <v>-58.616664</v>
      </c>
      <c r="O37" s="233"/>
      <c r="P37" s="233" t="s">
        <v>203</v>
      </c>
      <c r="Q37" s="192">
        <v>22.36</v>
      </c>
      <c r="R37" s="192">
        <v>22.36</v>
      </c>
      <c r="S37" s="192">
        <v>22.36</v>
      </c>
      <c r="T37" s="192">
        <v>2.6050485436893203</v>
      </c>
      <c r="U37" s="192">
        <v>14.157872520050651</v>
      </c>
      <c r="V37" s="192">
        <v>260.504854368932</v>
      </c>
      <c r="W37" s="208">
        <v>0.22761617100371748</v>
      </c>
      <c r="X37" s="176">
        <f t="shared" si="16"/>
        <v>18.968014250309789</v>
      </c>
      <c r="Y37" s="193">
        <f t="shared" si="17"/>
        <v>9.4840071251548945</v>
      </c>
      <c r="Z37" s="193">
        <f t="shared" si="17"/>
        <v>8.7252865551425032</v>
      </c>
      <c r="AA37" s="193">
        <f t="shared" si="17"/>
        <v>0.75872057001239157</v>
      </c>
      <c r="AC37" s="224">
        <f t="shared" si="13"/>
        <v>47.066298949723894</v>
      </c>
      <c r="AD37" s="224">
        <f t="shared" si="14"/>
        <v>280.16485860581457</v>
      </c>
      <c r="AE37" s="224">
        <f t="shared" si="15"/>
        <v>4963.6197899447779</v>
      </c>
    </row>
    <row r="38" spans="1:31" x14ac:dyDescent="0.25">
      <c r="A38" s="1"/>
      <c r="B38" s="1"/>
      <c r="C38" s="1"/>
      <c r="D38" s="1"/>
      <c r="E38" s="1"/>
      <c r="H38" s="233"/>
      <c r="I38" s="181" t="s">
        <v>480</v>
      </c>
      <c r="J38" s="193">
        <v>0.01</v>
      </c>
      <c r="K38" s="190">
        <v>-7.5</v>
      </c>
      <c r="L38" s="181" t="s">
        <v>480</v>
      </c>
      <c r="M38" s="193">
        <f t="shared" si="11"/>
        <v>9.7694440000000007E-2</v>
      </c>
      <c r="N38" s="193">
        <f t="shared" si="10"/>
        <v>-73.270830000000004</v>
      </c>
      <c r="O38" s="233"/>
      <c r="P38" s="233" t="s">
        <v>200</v>
      </c>
      <c r="Q38" s="192">
        <v>21.84</v>
      </c>
      <c r="R38" s="192">
        <v>21.84</v>
      </c>
      <c r="S38" s="192">
        <v>21.84</v>
      </c>
      <c r="T38" s="192">
        <v>7.3752638243984786E-2</v>
      </c>
      <c r="U38" s="192">
        <v>0.40082955567383033</v>
      </c>
      <c r="V38" s="192">
        <v>7.3752638243984787</v>
      </c>
      <c r="W38" s="208">
        <v>1.5800836431226766</v>
      </c>
      <c r="X38" s="176">
        <f t="shared" si="16"/>
        <v>131.67363692688971</v>
      </c>
      <c r="Y38" s="193">
        <f t="shared" si="17"/>
        <v>65.836818463444857</v>
      </c>
      <c r="Z38" s="193">
        <f t="shared" si="17"/>
        <v>60.569872986369269</v>
      </c>
      <c r="AA38" s="193">
        <f t="shared" si="17"/>
        <v>5.2669454770755886</v>
      </c>
      <c r="AC38" s="224">
        <f t="shared" si="13"/>
        <v>26.695639055269346</v>
      </c>
      <c r="AD38" s="224">
        <f t="shared" si="14"/>
        <v>72.507537968027961</v>
      </c>
      <c r="AE38" s="224">
        <f t="shared" si="15"/>
        <v>992.96781105386935</v>
      </c>
    </row>
    <row r="39" spans="1:31" x14ac:dyDescent="0.25">
      <c r="A39" s="1"/>
      <c r="B39" s="1"/>
      <c r="C39" s="1"/>
      <c r="D39" s="1"/>
      <c r="E39" s="1"/>
      <c r="H39" s="233"/>
      <c r="I39" s="181" t="s">
        <v>481</v>
      </c>
      <c r="J39" s="193">
        <v>0.01</v>
      </c>
      <c r="K39" s="190">
        <v>-7.5</v>
      </c>
      <c r="L39" s="181" t="s">
        <v>481</v>
      </c>
      <c r="M39" s="193">
        <f t="shared" si="11"/>
        <v>9.7694440000000007E-2</v>
      </c>
      <c r="N39" s="193">
        <f t="shared" si="10"/>
        <v>-73.270830000000004</v>
      </c>
      <c r="O39" s="233"/>
      <c r="P39" s="233" t="s">
        <v>209</v>
      </c>
      <c r="Q39" s="192">
        <v>23.52</v>
      </c>
      <c r="R39" s="192">
        <v>23.52</v>
      </c>
      <c r="S39" s="192">
        <v>23.52</v>
      </c>
      <c r="T39" s="192">
        <v>0.24436363636363637</v>
      </c>
      <c r="U39" s="192">
        <v>1.328063241106719</v>
      </c>
      <c r="V39" s="192">
        <v>24.436363636363637</v>
      </c>
      <c r="W39" s="208">
        <v>2.799270279739777</v>
      </c>
      <c r="X39" s="176">
        <f t="shared" si="16"/>
        <v>233.27252331164809</v>
      </c>
      <c r="Y39" s="193">
        <f t="shared" si="17"/>
        <v>116.63626165582404</v>
      </c>
      <c r="Z39" s="193">
        <f t="shared" si="17"/>
        <v>107.30536072335812</v>
      </c>
      <c r="AA39" s="193">
        <f t="shared" si="17"/>
        <v>9.3309009324659229</v>
      </c>
      <c r="AC39" s="224">
        <f t="shared" si="13"/>
        <v>52.02166103007773</v>
      </c>
      <c r="AD39" s="224">
        <f t="shared" si="14"/>
        <v>320.92863683559358</v>
      </c>
      <c r="AE39" s="224">
        <f t="shared" si="15"/>
        <v>5723.8522060155465</v>
      </c>
    </row>
    <row r="40" spans="1:31" x14ac:dyDescent="0.25">
      <c r="A40" s="1"/>
      <c r="B40" s="1"/>
      <c r="C40" s="1"/>
      <c r="D40" s="1"/>
      <c r="E40" s="1"/>
      <c r="H40" s="183"/>
      <c r="I40" s="181" t="s">
        <v>482</v>
      </c>
      <c r="J40" s="193">
        <v>0.01</v>
      </c>
      <c r="K40" s="190">
        <v>0</v>
      </c>
      <c r="L40" s="181" t="s">
        <v>482</v>
      </c>
      <c r="M40" s="193">
        <f t="shared" si="11"/>
        <v>9.7694440000000007E-2</v>
      </c>
      <c r="N40" s="193">
        <f t="shared" si="10"/>
        <v>0</v>
      </c>
      <c r="O40" s="233"/>
      <c r="P40" s="181" t="s">
        <v>505</v>
      </c>
      <c r="Q40" s="192">
        <v>15.375</v>
      </c>
      <c r="R40" s="192">
        <v>15.375</v>
      </c>
      <c r="S40" s="192">
        <v>15.375</v>
      </c>
      <c r="T40" s="192">
        <v>3.4453781512605039E-3</v>
      </c>
      <c r="U40" s="192">
        <v>1.8724881256850567E-2</v>
      </c>
      <c r="V40" s="192">
        <v>0.34453781512605042</v>
      </c>
      <c r="W40" s="208">
        <v>27.617680600229964</v>
      </c>
      <c r="X40" s="176">
        <f t="shared" si="16"/>
        <v>2301.473383352497</v>
      </c>
      <c r="Y40" s="193">
        <f t="shared" si="17"/>
        <v>1150.7366916762485</v>
      </c>
      <c r="Z40" s="193">
        <f t="shared" si="17"/>
        <v>1058.6777563421485</v>
      </c>
      <c r="AA40" s="193">
        <f t="shared" si="17"/>
        <v>92.058935334099885</v>
      </c>
      <c r="AC40" s="224">
        <f t="shared" si="13"/>
        <v>19.33972305535514</v>
      </c>
      <c r="AD40" s="224">
        <f t="shared" si="14"/>
        <v>56.746023186314524</v>
      </c>
      <c r="AE40" s="224">
        <f t="shared" si="15"/>
        <v>808.31961107102836</v>
      </c>
    </row>
    <row r="41" spans="1:31" x14ac:dyDescent="0.25">
      <c r="A41" s="168"/>
      <c r="B41" s="187"/>
      <c r="C41" s="187"/>
      <c r="D41" s="187"/>
      <c r="E41" s="187"/>
      <c r="H41" s="183"/>
      <c r="I41" s="181" t="s">
        <v>483</v>
      </c>
      <c r="J41" s="193">
        <v>0.01</v>
      </c>
      <c r="K41" s="190">
        <v>0</v>
      </c>
      <c r="L41" s="181" t="s">
        <v>483</v>
      </c>
      <c r="M41" s="193">
        <f t="shared" si="11"/>
        <v>9.7694440000000007E-2</v>
      </c>
      <c r="N41" s="193">
        <f t="shared" si="10"/>
        <v>0</v>
      </c>
      <c r="O41" s="233"/>
      <c r="P41" s="233" t="s">
        <v>284</v>
      </c>
      <c r="Q41" s="192">
        <v>24.08</v>
      </c>
      <c r="R41" s="192">
        <v>24.08</v>
      </c>
      <c r="S41" s="192">
        <v>24.08</v>
      </c>
      <c r="T41" s="192">
        <v>0.43160567587752047</v>
      </c>
      <c r="U41" s="192">
        <v>2.3456830210734805</v>
      </c>
      <c r="V41" s="192">
        <v>43.160567587752048</v>
      </c>
      <c r="W41" s="208">
        <v>0.2392512244423792</v>
      </c>
      <c r="X41" s="176">
        <f t="shared" si="16"/>
        <v>19.937602036864934</v>
      </c>
      <c r="Y41" s="193">
        <f t="shared" si="17"/>
        <v>9.9688010184324671</v>
      </c>
      <c r="Z41" s="193">
        <f t="shared" si="17"/>
        <v>9.1712969369578694</v>
      </c>
      <c r="AA41" s="193">
        <f t="shared" si="17"/>
        <v>0.79750408147459739</v>
      </c>
      <c r="AC41" s="224">
        <f t="shared" si="13"/>
        <v>28.382591101249059</v>
      </c>
      <c r="AD41" s="224">
        <f t="shared" si="14"/>
        <v>68.97660279564235</v>
      </c>
      <c r="AE41" s="224">
        <f t="shared" si="15"/>
        <v>884.5982202498119</v>
      </c>
    </row>
    <row r="42" spans="1:31" x14ac:dyDescent="0.25">
      <c r="A42" s="168"/>
      <c r="B42" s="187"/>
      <c r="C42" s="187"/>
      <c r="D42" s="187"/>
      <c r="E42" s="187"/>
      <c r="H42" s="183"/>
      <c r="I42" s="181" t="s">
        <v>484</v>
      </c>
      <c r="J42" s="193">
        <v>0.02</v>
      </c>
      <c r="K42" s="190">
        <v>0</v>
      </c>
      <c r="L42" s="181" t="s">
        <v>484</v>
      </c>
      <c r="M42" s="193">
        <f t="shared" si="11"/>
        <v>0.19538888000000001</v>
      </c>
      <c r="N42" s="193">
        <f t="shared" si="10"/>
        <v>0</v>
      </c>
      <c r="O42" s="233"/>
      <c r="P42" s="233" t="s">
        <v>207</v>
      </c>
      <c r="Q42" s="192">
        <v>23.22</v>
      </c>
      <c r="R42" s="192">
        <v>23.22</v>
      </c>
      <c r="S42" s="192">
        <v>23.22</v>
      </c>
      <c r="T42" s="192">
        <v>0.90174757281553397</v>
      </c>
      <c r="U42" s="192">
        <v>4.9008020261713803</v>
      </c>
      <c r="V42" s="192">
        <v>90.174757281553411</v>
      </c>
      <c r="W42" s="208">
        <v>2.37114312267658</v>
      </c>
      <c r="X42" s="176">
        <f t="shared" si="16"/>
        <v>197.59526022304831</v>
      </c>
      <c r="Y42" s="193">
        <f t="shared" si="17"/>
        <v>98.797630111524157</v>
      </c>
      <c r="Z42" s="193">
        <f t="shared" si="17"/>
        <v>90.893819702602229</v>
      </c>
      <c r="AA42" s="193">
        <f t="shared" si="17"/>
        <v>7.9038104089219328</v>
      </c>
      <c r="AC42" s="224">
        <f t="shared" si="13"/>
        <v>112.31052315299382</v>
      </c>
      <c r="AD42" s="224">
        <f t="shared" si="14"/>
        <v>952.86024159645729</v>
      </c>
      <c r="AE42" s="224">
        <f t="shared" si="15"/>
        <v>17841.324630598767</v>
      </c>
    </row>
    <row r="43" spans="1:31" x14ac:dyDescent="0.25">
      <c r="A43" s="1"/>
      <c r="B43" s="1"/>
      <c r="C43" s="1"/>
      <c r="D43" s="1"/>
      <c r="E43" s="1"/>
      <c r="H43" s="233"/>
      <c r="I43" s="181" t="s">
        <v>485</v>
      </c>
      <c r="J43" s="193">
        <v>0.01</v>
      </c>
      <c r="K43" s="190">
        <v>0</v>
      </c>
      <c r="L43" s="181" t="s">
        <v>485</v>
      </c>
      <c r="M43" s="193">
        <f t="shared" si="11"/>
        <v>9.7694440000000007E-2</v>
      </c>
      <c r="N43" s="193">
        <f t="shared" si="10"/>
        <v>0</v>
      </c>
      <c r="O43" s="233"/>
      <c r="P43" s="233" t="s">
        <v>285</v>
      </c>
      <c r="Q43" s="192">
        <v>24.94</v>
      </c>
      <c r="R43" s="192">
        <v>24.94</v>
      </c>
      <c r="S43" s="192">
        <v>24.94</v>
      </c>
      <c r="T43" s="192">
        <v>1.937087378640777</v>
      </c>
      <c r="U43" s="192">
        <v>10.527648796960742</v>
      </c>
      <c r="V43" s="192">
        <v>193.7087378640777</v>
      </c>
      <c r="W43" s="208">
        <v>0.61047545817843873</v>
      </c>
      <c r="X43" s="176">
        <f t="shared" si="16"/>
        <v>50.872954848203229</v>
      </c>
      <c r="Y43" s="193">
        <f t="shared" si="17"/>
        <v>25.436477424101614</v>
      </c>
      <c r="Z43" s="193">
        <f t="shared" si="17"/>
        <v>23.401559230173486</v>
      </c>
      <c r="AA43" s="193">
        <f t="shared" si="17"/>
        <v>2.0349181939281293</v>
      </c>
      <c r="AC43" s="224">
        <f t="shared" si="13"/>
        <v>74.212679375308298</v>
      </c>
      <c r="AD43" s="224">
        <f t="shared" si="14"/>
        <v>539.08969782930399</v>
      </c>
      <c r="AE43" s="224">
        <f t="shared" si="15"/>
        <v>9879.4758750616602</v>
      </c>
    </row>
    <row r="44" spans="1:31" x14ac:dyDescent="0.25">
      <c r="A44" s="1"/>
      <c r="B44" s="1"/>
      <c r="C44" s="1"/>
      <c r="D44" s="1"/>
      <c r="E44" s="1"/>
      <c r="H44" s="233"/>
      <c r="I44" s="181" t="s">
        <v>486</v>
      </c>
      <c r="J44" s="193">
        <v>0.01</v>
      </c>
      <c r="K44" s="190">
        <v>0</v>
      </c>
      <c r="L44" s="181" t="s">
        <v>486</v>
      </c>
      <c r="M44" s="193">
        <f t="shared" si="11"/>
        <v>9.7694440000000007E-2</v>
      </c>
      <c r="N44" s="193">
        <f t="shared" si="10"/>
        <v>0</v>
      </c>
      <c r="O44" s="233"/>
      <c r="P44" s="233" t="s">
        <v>201</v>
      </c>
      <c r="Q44" s="192">
        <v>22.36</v>
      </c>
      <c r="R44" s="192">
        <v>22.36</v>
      </c>
      <c r="S44" s="192">
        <v>22.36</v>
      </c>
      <c r="T44" s="192">
        <v>0.14885991678224686</v>
      </c>
      <c r="U44" s="192">
        <v>0.80902128686003727</v>
      </c>
      <c r="V44" s="192">
        <v>14.885991678224684</v>
      </c>
      <c r="W44" s="208">
        <v>2.6428167272304837</v>
      </c>
      <c r="X44" s="176">
        <f t="shared" si="16"/>
        <v>220.23472726920699</v>
      </c>
      <c r="Y44" s="193">
        <f t="shared" si="17"/>
        <v>110.11736363460349</v>
      </c>
      <c r="Z44" s="193">
        <f t="shared" si="17"/>
        <v>101.30797454383521</v>
      </c>
      <c r="AA44" s="193">
        <f t="shared" si="17"/>
        <v>8.8093890907682795</v>
      </c>
      <c r="AC44" s="224">
        <f t="shared" si="13"/>
        <v>38.752061586927496</v>
      </c>
      <c r="AD44" s="224">
        <f t="shared" si="14"/>
        <v>193.40759916793905</v>
      </c>
      <c r="AE44" s="224">
        <f t="shared" si="15"/>
        <v>3300.7723173854984</v>
      </c>
    </row>
    <row r="45" spans="1:31" x14ac:dyDescent="0.25">
      <c r="A45" s="1"/>
      <c r="B45" s="1"/>
      <c r="C45" s="1"/>
      <c r="D45" s="1"/>
      <c r="E45" s="1"/>
      <c r="H45" s="189"/>
      <c r="I45" s="181" t="s">
        <v>487</v>
      </c>
      <c r="J45" s="193">
        <v>0.01</v>
      </c>
      <c r="K45" s="190">
        <v>0</v>
      </c>
      <c r="L45" s="181" t="s">
        <v>487</v>
      </c>
      <c r="M45" s="193">
        <f t="shared" si="11"/>
        <v>9.7694440000000007E-2</v>
      </c>
      <c r="N45" s="193">
        <f t="shared" si="10"/>
        <v>0</v>
      </c>
      <c r="O45" s="233"/>
      <c r="P45" s="181" t="s">
        <v>198</v>
      </c>
      <c r="Q45" s="192">
        <v>16.195</v>
      </c>
      <c r="R45" s="192">
        <v>16.195</v>
      </c>
      <c r="S45" s="192">
        <v>16.195</v>
      </c>
      <c r="T45" s="192">
        <v>1.6157635467980293E-2</v>
      </c>
      <c r="U45" s="192">
        <v>8.7813236239023332E-2</v>
      </c>
      <c r="V45" s="192">
        <v>1.6157635467980294</v>
      </c>
      <c r="W45" s="208">
        <v>5.4607986038670377</v>
      </c>
      <c r="X45" s="176">
        <f t="shared" si="16"/>
        <v>455.06655032225314</v>
      </c>
      <c r="Y45" s="193">
        <f t="shared" si="17"/>
        <v>227.53327516112657</v>
      </c>
      <c r="Z45" s="193">
        <f t="shared" si="17"/>
        <v>209.33061314823644</v>
      </c>
      <c r="AA45" s="193">
        <f t="shared" si="17"/>
        <v>18.202662012890126</v>
      </c>
      <c r="AC45" s="224">
        <f t="shared" si="13"/>
        <v>19.871399716889137</v>
      </c>
      <c r="AD45" s="224">
        <f t="shared" si="14"/>
        <v>54.557431828408397</v>
      </c>
      <c r="AE45" s="224">
        <f t="shared" si="15"/>
        <v>751.47494337782769</v>
      </c>
    </row>
    <row r="46" spans="1:31" x14ac:dyDescent="0.25">
      <c r="A46" s="1"/>
      <c r="B46" s="1"/>
      <c r="C46" s="1"/>
      <c r="D46" s="1"/>
      <c r="E46" s="1"/>
      <c r="H46" s="189"/>
      <c r="I46" s="181" t="s">
        <v>488</v>
      </c>
      <c r="J46" s="193">
        <v>0.05</v>
      </c>
      <c r="K46" s="190">
        <v>0</v>
      </c>
      <c r="L46" s="181" t="s">
        <v>488</v>
      </c>
      <c r="M46" s="193">
        <f t="shared" si="11"/>
        <v>0.48847220000000002</v>
      </c>
      <c r="N46" s="193">
        <f t="shared" si="10"/>
        <v>0</v>
      </c>
      <c r="O46" s="233"/>
      <c r="P46" s="233" t="s">
        <v>199</v>
      </c>
      <c r="Q46" s="192">
        <v>23.14</v>
      </c>
      <c r="R46" s="192">
        <v>23.14</v>
      </c>
      <c r="S46" s="192">
        <v>23.14</v>
      </c>
      <c r="T46" s="192">
        <v>6.2823529411764695E-2</v>
      </c>
      <c r="U46" s="192">
        <v>0.34143222506393855</v>
      </c>
      <c r="V46" s="192">
        <v>6.2823529411764696</v>
      </c>
      <c r="W46" s="208">
        <v>3.7225577936802976</v>
      </c>
      <c r="X46" s="176">
        <f t="shared" si="16"/>
        <v>310.21314947335816</v>
      </c>
      <c r="Y46" s="193">
        <f t="shared" si="17"/>
        <v>155.10657473667908</v>
      </c>
      <c r="Z46" s="193">
        <f t="shared" si="17"/>
        <v>142.69804875774477</v>
      </c>
      <c r="AA46" s="193">
        <f t="shared" si="17"/>
        <v>12.408525978934327</v>
      </c>
      <c r="AC46" s="224">
        <f t="shared" si="13"/>
        <v>32.884342459927836</v>
      </c>
      <c r="AD46" s="224">
        <f t="shared" si="14"/>
        <v>124.82009523402959</v>
      </c>
      <c r="AE46" s="224">
        <f t="shared" si="15"/>
        <v>1972.0084919855676</v>
      </c>
    </row>
    <row r="47" spans="1:31" x14ac:dyDescent="0.25">
      <c r="A47" s="168"/>
      <c r="B47" s="226"/>
      <c r="C47" s="187"/>
      <c r="D47" s="187"/>
      <c r="E47" s="225"/>
      <c r="H47" s="189"/>
      <c r="I47" s="181" t="s">
        <v>489</v>
      </c>
      <c r="J47" s="193">
        <v>0.01</v>
      </c>
      <c r="K47" s="190">
        <v>0</v>
      </c>
      <c r="L47" s="181" t="s">
        <v>489</v>
      </c>
      <c r="M47" s="193">
        <f t="shared" si="11"/>
        <v>9.7694440000000007E-2</v>
      </c>
      <c r="N47" s="193">
        <f t="shared" si="10"/>
        <v>0</v>
      </c>
      <c r="O47" s="233"/>
      <c r="P47" s="181" t="s">
        <v>506</v>
      </c>
      <c r="Q47" s="192">
        <v>19.8</v>
      </c>
      <c r="R47" s="192">
        <v>19.8</v>
      </c>
      <c r="S47" s="192">
        <v>19.8</v>
      </c>
      <c r="T47" s="192">
        <v>4.5239908606245242E-3</v>
      </c>
      <c r="U47" s="192">
        <v>2.4586906851220239E-2</v>
      </c>
      <c r="V47" s="192">
        <v>0.45239908606245244</v>
      </c>
      <c r="W47" s="208">
        <v>91.904171829822374</v>
      </c>
      <c r="X47" s="176">
        <f t="shared" si="16"/>
        <v>7658.6809858185316</v>
      </c>
      <c r="Y47" s="193">
        <f t="shared" si="17"/>
        <v>3829.3404929092658</v>
      </c>
      <c r="Z47" s="193">
        <f t="shared" si="17"/>
        <v>3522.9932534765248</v>
      </c>
      <c r="AA47" s="193">
        <f t="shared" si="17"/>
        <v>306.34723943274128</v>
      </c>
      <c r="AC47" s="224">
        <f t="shared" si="13"/>
        <v>37.12390139214093</v>
      </c>
      <c r="AD47" s="224">
        <f t="shared" si="14"/>
        <v>200.57114496147057</v>
      </c>
      <c r="AE47" s="224">
        <f t="shared" si="15"/>
        <v>3484.5802784281859</v>
      </c>
    </row>
    <row r="48" spans="1:31" x14ac:dyDescent="0.25">
      <c r="A48" s="238"/>
      <c r="B48" s="239"/>
      <c r="C48" s="239"/>
      <c r="D48" s="239"/>
      <c r="E48" s="240"/>
      <c r="H48" s="189"/>
      <c r="I48" s="181" t="s">
        <v>490</v>
      </c>
      <c r="J48" s="193">
        <v>0</v>
      </c>
      <c r="K48" s="190">
        <v>-7.5</v>
      </c>
      <c r="L48" s="181" t="s">
        <v>490</v>
      </c>
      <c r="M48" s="193">
        <f t="shared" si="11"/>
        <v>0</v>
      </c>
      <c r="N48" s="193">
        <f t="shared" si="10"/>
        <v>-73.270830000000004</v>
      </c>
      <c r="O48" s="233"/>
      <c r="P48" s="233" t="s">
        <v>204</v>
      </c>
      <c r="Q48" s="192">
        <v>21.060000000000002</v>
      </c>
      <c r="R48" s="192">
        <v>21.060000000000002</v>
      </c>
      <c r="S48" s="192">
        <v>21.060000000000002</v>
      </c>
      <c r="T48" s="192">
        <v>5.5763459841129744E-2</v>
      </c>
      <c r="U48" s="192">
        <v>0.30306228174527039</v>
      </c>
      <c r="V48" s="192">
        <v>5.576345984112975</v>
      </c>
      <c r="W48" s="208">
        <v>3.9483633815055765</v>
      </c>
      <c r="X48" s="176">
        <f t="shared" si="16"/>
        <v>329.0302817921314</v>
      </c>
      <c r="Y48" s="193">
        <f t="shared" si="17"/>
        <v>164.5151408960657</v>
      </c>
      <c r="Z48" s="193">
        <f t="shared" si="17"/>
        <v>151.35392962438044</v>
      </c>
      <c r="AA48" s="193">
        <f t="shared" si="17"/>
        <v>13.161211271685257</v>
      </c>
      <c r="AC48" s="224">
        <f t="shared" si="13"/>
        <v>30.233933452615563</v>
      </c>
      <c r="AD48" s="224">
        <f t="shared" si="14"/>
        <v>116.78800124468414</v>
      </c>
      <c r="AE48" s="224">
        <f t="shared" si="15"/>
        <v>1855.8466905231123</v>
      </c>
    </row>
    <row r="49" spans="1:31" x14ac:dyDescent="0.25">
      <c r="A49" s="189"/>
      <c r="B49" s="178"/>
      <c r="C49" s="192"/>
      <c r="D49" s="192"/>
      <c r="E49" s="178"/>
      <c r="H49" s="233"/>
      <c r="I49" s="181" t="s">
        <v>491</v>
      </c>
      <c r="J49" s="193">
        <v>0.01</v>
      </c>
      <c r="K49" s="190">
        <v>0</v>
      </c>
      <c r="L49" s="181" t="s">
        <v>491</v>
      </c>
      <c r="M49" s="193">
        <f t="shared" si="11"/>
        <v>9.7694440000000007E-2</v>
      </c>
      <c r="N49" s="193">
        <f t="shared" si="10"/>
        <v>0</v>
      </c>
      <c r="O49" s="233"/>
      <c r="P49" s="233" t="s">
        <v>208</v>
      </c>
      <c r="Q49" s="192">
        <v>21.060000000000002</v>
      </c>
      <c r="R49" s="192">
        <v>21.060000000000002</v>
      </c>
      <c r="S49" s="192">
        <v>21.060000000000002</v>
      </c>
      <c r="T49" s="192">
        <v>4.2225563909774437E-2</v>
      </c>
      <c r="U49" s="192">
        <v>0.22948676037920887</v>
      </c>
      <c r="V49" s="192">
        <v>4.2225563909774433</v>
      </c>
      <c r="W49" s="208">
        <v>9.540355413568772</v>
      </c>
      <c r="X49" s="176">
        <f t="shared" si="16"/>
        <v>795.02961779739769</v>
      </c>
      <c r="Y49" s="193">
        <f t="shared" si="17"/>
        <v>397.51480889869885</v>
      </c>
      <c r="Z49" s="193">
        <f t="shared" si="17"/>
        <v>365.71362418680297</v>
      </c>
      <c r="AA49" s="193">
        <f t="shared" si="17"/>
        <v>31.801184711895907</v>
      </c>
      <c r="AC49" s="224">
        <f t="shared" si="13"/>
        <v>37.845286968233779</v>
      </c>
      <c r="AD49" s="224">
        <f t="shared" si="14"/>
        <v>196.21082053809161</v>
      </c>
      <c r="AE49" s="224">
        <f t="shared" si="15"/>
        <v>3378.1173936467562</v>
      </c>
    </row>
    <row r="50" spans="1:31" x14ac:dyDescent="0.25">
      <c r="E50" s="184" t="s">
        <v>467</v>
      </c>
      <c r="H50" s="233"/>
      <c r="I50" s="181" t="s">
        <v>492</v>
      </c>
      <c r="J50" s="193">
        <v>0.01</v>
      </c>
      <c r="K50" s="190">
        <v>0</v>
      </c>
      <c r="L50" s="181" t="s">
        <v>492</v>
      </c>
      <c r="M50" s="193">
        <f t="shared" si="11"/>
        <v>9.7694440000000007E-2</v>
      </c>
      <c r="N50" s="193">
        <f t="shared" si="10"/>
        <v>0</v>
      </c>
      <c r="O50" s="233"/>
      <c r="P50" s="181" t="s">
        <v>507</v>
      </c>
      <c r="Q50" s="192">
        <v>10.8</v>
      </c>
      <c r="R50" s="192">
        <v>10.8</v>
      </c>
      <c r="S50" s="192">
        <v>10.8</v>
      </c>
      <c r="T50" s="192">
        <v>3.5335342212973957E-4</v>
      </c>
      <c r="U50" s="192">
        <v>1.920399033313802E-3</v>
      </c>
      <c r="V50" s="192">
        <v>3.5335342212973957E-2</v>
      </c>
      <c r="W50" s="208">
        <v>201.3351920693928</v>
      </c>
      <c r="X50" s="176">
        <f t="shared" si="16"/>
        <v>16777.932672449399</v>
      </c>
      <c r="Y50" s="193">
        <f t="shared" si="17"/>
        <v>8388.9663362246993</v>
      </c>
      <c r="Z50" s="193">
        <f t="shared" si="17"/>
        <v>7717.8490293267232</v>
      </c>
      <c r="AA50" s="193">
        <f t="shared" si="17"/>
        <v>671.11730689797594</v>
      </c>
      <c r="AC50" s="224">
        <f t="shared" si="13"/>
        <v>13.764269963036181</v>
      </c>
      <c r="AD50" s="224">
        <f t="shared" si="14"/>
        <v>41.731512657768846</v>
      </c>
      <c r="AE50" s="224">
        <f t="shared" si="15"/>
        <v>603.65399260723609</v>
      </c>
    </row>
    <row r="51" spans="1:31" x14ac:dyDescent="0.25">
      <c r="E51" s="181" t="s">
        <v>469</v>
      </c>
      <c r="H51" s="233"/>
      <c r="I51" s="181" t="s">
        <v>493</v>
      </c>
      <c r="J51" s="193">
        <v>0.1</v>
      </c>
      <c r="K51" s="190">
        <v>-4.5</v>
      </c>
      <c r="L51" s="181" t="s">
        <v>493</v>
      </c>
      <c r="M51" s="193">
        <f t="shared" si="11"/>
        <v>0.97694440000000005</v>
      </c>
      <c r="N51" s="193">
        <f t="shared" si="10"/>
        <v>-43.962497999999997</v>
      </c>
      <c r="O51" s="233"/>
      <c r="P51" s="233" t="s">
        <v>287</v>
      </c>
      <c r="Q51" s="192">
        <v>18</v>
      </c>
      <c r="R51" s="192">
        <v>18</v>
      </c>
      <c r="S51" s="192">
        <v>18</v>
      </c>
      <c r="T51" s="192">
        <v>0.29526040360782668</v>
      </c>
      <c r="U51" s="192">
        <v>1.6046761065642756</v>
      </c>
      <c r="V51" s="192">
        <v>29.52604036078267</v>
      </c>
      <c r="W51" s="208">
        <v>0.26022301858736058</v>
      </c>
      <c r="X51" s="176">
        <f t="shared" si="16"/>
        <v>21.685251548946713</v>
      </c>
      <c r="Y51" s="193">
        <f t="shared" si="17"/>
        <v>10.842625774473357</v>
      </c>
      <c r="Z51" s="193">
        <f t="shared" si="17"/>
        <v>9.9752157125154888</v>
      </c>
      <c r="AA51" s="193">
        <f t="shared" si="17"/>
        <v>0.86741006195786852</v>
      </c>
      <c r="AC51" s="224">
        <f t="shared" si="13"/>
        <v>21.201398062339628</v>
      </c>
      <c r="AD51" s="224">
        <f t="shared" si="14"/>
        <v>51.405892824413513</v>
      </c>
      <c r="AE51" s="224">
        <f t="shared" si="15"/>
        <v>658.27961246792552</v>
      </c>
    </row>
    <row r="52" spans="1:31" x14ac:dyDescent="0.25">
      <c r="E52" s="233"/>
      <c r="H52" s="233"/>
      <c r="I52" s="181" t="s">
        <v>494</v>
      </c>
      <c r="J52" s="193">
        <v>0.01</v>
      </c>
      <c r="K52" s="190">
        <v>0</v>
      </c>
      <c r="L52" s="181" t="s">
        <v>494</v>
      </c>
      <c r="M52" s="193">
        <f t="shared" si="11"/>
        <v>9.7694440000000007E-2</v>
      </c>
      <c r="N52" s="193">
        <f t="shared" si="10"/>
        <v>0</v>
      </c>
      <c r="O52" s="233"/>
      <c r="P52" s="233" t="s">
        <v>286</v>
      </c>
      <c r="Q52" s="192">
        <v>21.6</v>
      </c>
      <c r="R52" s="192">
        <v>21.6</v>
      </c>
      <c r="S52" s="192">
        <v>21.6</v>
      </c>
      <c r="T52" s="192">
        <v>0.50216807575438016</v>
      </c>
      <c r="U52" s="192">
        <v>2.7291743247520657</v>
      </c>
      <c r="V52" s="192">
        <v>50.216807575438011</v>
      </c>
      <c r="W52" s="208">
        <v>6.6552044609665426</v>
      </c>
      <c r="X52" s="176">
        <f t="shared" si="16"/>
        <v>554.60037174721185</v>
      </c>
      <c r="Y52" s="193">
        <f t="shared" si="17"/>
        <v>277.30018587360593</v>
      </c>
      <c r="Z52" s="193">
        <f t="shared" si="17"/>
        <v>255.11617100371745</v>
      </c>
      <c r="AA52" s="193">
        <f t="shared" si="17"/>
        <v>22.184014869888475</v>
      </c>
      <c r="AC52" s="224">
        <f t="shared" si="13"/>
        <v>160.85130074648063</v>
      </c>
      <c r="AD52" s="224">
        <f t="shared" si="14"/>
        <v>1474.6570512676235</v>
      </c>
      <c r="AE52" s="224">
        <f t="shared" si="15"/>
        <v>27871.860149296124</v>
      </c>
    </row>
    <row r="53" spans="1:31" x14ac:dyDescent="0.25">
      <c r="E53" s="233" t="s">
        <v>470</v>
      </c>
      <c r="H53" s="233"/>
      <c r="I53" s="181" t="s">
        <v>495</v>
      </c>
      <c r="J53" s="193">
        <v>0.1</v>
      </c>
      <c r="K53" s="190">
        <v>0</v>
      </c>
      <c r="L53" s="181" t="s">
        <v>495</v>
      </c>
      <c r="M53" s="193">
        <f t="shared" si="11"/>
        <v>0.97694440000000005</v>
      </c>
      <c r="N53" s="193">
        <f t="shared" si="10"/>
        <v>0</v>
      </c>
      <c r="O53" s="233"/>
      <c r="P53" s="233" t="s">
        <v>508</v>
      </c>
      <c r="Q53" s="192">
        <v>20</v>
      </c>
      <c r="R53" s="192">
        <v>20</v>
      </c>
      <c r="S53" s="192">
        <v>20</v>
      </c>
      <c r="T53" s="192">
        <v>9.5282815268397502E-3</v>
      </c>
      <c r="U53" s="192">
        <v>5.1784138732824725E-2</v>
      </c>
      <c r="V53" s="192">
        <v>0.95282815268397503</v>
      </c>
      <c r="W53" s="208">
        <v>48.909073075036751</v>
      </c>
      <c r="X53" s="176">
        <f t="shared" si="16"/>
        <v>4075.7560895863962</v>
      </c>
      <c r="Y53" s="193">
        <f t="shared" si="17"/>
        <v>2037.8780447931981</v>
      </c>
      <c r="Z53" s="193">
        <f t="shared" si="17"/>
        <v>1874.8478012097423</v>
      </c>
      <c r="AA53" s="193">
        <f t="shared" si="17"/>
        <v>163.03024358345584</v>
      </c>
      <c r="AC53" s="224">
        <f t="shared" si="13"/>
        <v>39.417475728155338</v>
      </c>
      <c r="AD53" s="224">
        <f t="shared" si="14"/>
        <v>222.61713803292528</v>
      </c>
      <c r="AE53" s="224">
        <f t="shared" si="15"/>
        <v>3903.4951456310678</v>
      </c>
    </row>
    <row r="54" spans="1:31" x14ac:dyDescent="0.25">
      <c r="E54" s="233"/>
      <c r="H54" s="233"/>
      <c r="I54" s="181" t="s">
        <v>496</v>
      </c>
      <c r="J54" s="193">
        <v>0.02</v>
      </c>
      <c r="K54" s="190">
        <v>0</v>
      </c>
      <c r="L54" s="181" t="s">
        <v>496</v>
      </c>
      <c r="M54" s="193">
        <f t="shared" si="11"/>
        <v>0.19538888000000001</v>
      </c>
      <c r="N54" s="193">
        <f t="shared" si="10"/>
        <v>0</v>
      </c>
      <c r="O54" s="233"/>
      <c r="P54" s="233" t="s">
        <v>206</v>
      </c>
      <c r="Q54" s="192">
        <v>21.58</v>
      </c>
      <c r="R54" s="192">
        <v>21.58</v>
      </c>
      <c r="S54" s="192">
        <v>21.58</v>
      </c>
      <c r="T54" s="192">
        <v>2.8129068737245352E-2</v>
      </c>
      <c r="U54" s="192">
        <v>0.15287537357198563</v>
      </c>
      <c r="V54" s="192">
        <v>2.8129068737245353</v>
      </c>
      <c r="W54" s="208">
        <v>17.089225371747212</v>
      </c>
      <c r="X54" s="176">
        <f t="shared" si="16"/>
        <v>1424.1021143122675</v>
      </c>
      <c r="Y54" s="193">
        <f t="shared" si="17"/>
        <v>712.05105715613377</v>
      </c>
      <c r="Z54" s="193">
        <f t="shared" si="17"/>
        <v>655.08697258364305</v>
      </c>
      <c r="AA54" s="193">
        <f t="shared" si="17"/>
        <v>56.964084572490705</v>
      </c>
      <c r="AC54" s="224">
        <f t="shared" si="13"/>
        <v>41.609333131173102</v>
      </c>
      <c r="AD54" s="224">
        <f t="shared" si="14"/>
        <v>230.58173702093677</v>
      </c>
      <c r="AE54" s="224">
        <f t="shared" si="15"/>
        <v>4027.4466262346214</v>
      </c>
    </row>
    <row r="55" spans="1:31" x14ac:dyDescent="0.25">
      <c r="E55" s="233" t="s">
        <v>471</v>
      </c>
      <c r="H55" s="233"/>
      <c r="I55" s="181" t="s">
        <v>497</v>
      </c>
      <c r="J55" s="193">
        <v>0.01</v>
      </c>
      <c r="K55" s="190">
        <v>0</v>
      </c>
      <c r="L55" s="181" t="s">
        <v>497</v>
      </c>
      <c r="M55" s="193">
        <f t="shared" si="11"/>
        <v>9.7694440000000007E-2</v>
      </c>
      <c r="N55" s="193">
        <f t="shared" si="10"/>
        <v>0</v>
      </c>
      <c r="O55" s="233"/>
      <c r="P55" s="233" t="s">
        <v>509</v>
      </c>
      <c r="Q55" s="192">
        <v>19.8</v>
      </c>
      <c r="R55" s="192">
        <v>19.8</v>
      </c>
      <c r="S55" s="192">
        <v>19.8</v>
      </c>
      <c r="T55" s="192">
        <v>4.5239908606245242E-3</v>
      </c>
      <c r="U55" s="192">
        <v>2.4586906851220239E-2</v>
      </c>
      <c r="V55" s="192">
        <v>0.45239908606245244</v>
      </c>
      <c r="W55" s="208">
        <v>156.94423791821555</v>
      </c>
      <c r="X55" s="176">
        <f t="shared" si="16"/>
        <v>13078.686493184628</v>
      </c>
      <c r="Y55" s="193">
        <f t="shared" si="17"/>
        <v>6539.3432465923142</v>
      </c>
      <c r="Z55" s="193">
        <f t="shared" si="17"/>
        <v>6016.1957868649297</v>
      </c>
      <c r="AA55" s="193">
        <f t="shared" si="17"/>
        <v>523.14745972738513</v>
      </c>
      <c r="AC55" s="224">
        <f t="shared" si="13"/>
        <v>49.383929082070338</v>
      </c>
      <c r="AD55" s="224">
        <f t="shared" si="14"/>
        <v>328.50186868247306</v>
      </c>
      <c r="AE55" s="224">
        <f t="shared" si="15"/>
        <v>5936.5858164140673</v>
      </c>
    </row>
    <row r="56" spans="1:31" x14ac:dyDescent="0.25">
      <c r="E56" s="233">
        <f>15*400</f>
        <v>6000</v>
      </c>
      <c r="H56" s="233"/>
      <c r="I56" s="181" t="s">
        <v>498</v>
      </c>
      <c r="J56" s="193">
        <v>0.02</v>
      </c>
      <c r="K56" s="190">
        <v>-9</v>
      </c>
      <c r="L56" s="181" t="s">
        <v>498</v>
      </c>
      <c r="M56" s="193">
        <f t="shared" si="11"/>
        <v>0.19538888000000001</v>
      </c>
      <c r="N56" s="193">
        <f t="shared" si="10"/>
        <v>-87.924995999999993</v>
      </c>
      <c r="O56" s="233"/>
    </row>
    <row r="57" spans="1:31" x14ac:dyDescent="0.25">
      <c r="E57" s="233"/>
      <c r="H57" s="233"/>
      <c r="I57" s="181" t="s">
        <v>499</v>
      </c>
      <c r="J57" s="193">
        <v>0.01</v>
      </c>
      <c r="K57" s="190">
        <v>0</v>
      </c>
      <c r="L57" s="181" t="s">
        <v>499</v>
      </c>
      <c r="M57" s="193">
        <f t="shared" si="11"/>
        <v>9.7694440000000007E-2</v>
      </c>
      <c r="N57" s="193">
        <f t="shared" si="10"/>
        <v>0</v>
      </c>
      <c r="O57" s="233"/>
    </row>
    <row r="58" spans="1:31" x14ac:dyDescent="0.25">
      <c r="E58" s="233"/>
      <c r="H58" s="233"/>
      <c r="I58" s="233"/>
      <c r="J58" s="233"/>
      <c r="K58" s="233"/>
      <c r="L58" s="233"/>
      <c r="M58" s="193"/>
      <c r="N58" s="193"/>
      <c r="O58" s="233"/>
    </row>
    <row r="59" spans="1:31" x14ac:dyDescent="0.25">
      <c r="E59" s="233"/>
      <c r="H59" s="233"/>
      <c r="I59" s="233" t="s">
        <v>510</v>
      </c>
      <c r="J59" s="193">
        <v>0</v>
      </c>
      <c r="K59" s="233">
        <v>-6.98</v>
      </c>
      <c r="L59" s="233" t="s">
        <v>510</v>
      </c>
      <c r="M59" s="193">
        <f t="shared" ref="M59:N59" si="18">J59*9769444.44/1000000</f>
        <v>0</v>
      </c>
      <c r="N59" s="193">
        <f t="shared" si="18"/>
        <v>-68.19072219120001</v>
      </c>
      <c r="O59" s="233"/>
    </row>
    <row r="60" spans="1:31" x14ac:dyDescent="0.25">
      <c r="E60" s="233"/>
      <c r="H60" s="233"/>
      <c r="I60" s="233"/>
      <c r="J60" s="233"/>
      <c r="K60" s="233"/>
      <c r="L60" s="233"/>
      <c r="M60" s="233"/>
      <c r="N60" s="233"/>
      <c r="O60" s="233"/>
    </row>
    <row r="61" spans="1:31" x14ac:dyDescent="0.25">
      <c r="H61" s="233"/>
      <c r="I61" s="233"/>
      <c r="J61" s="233"/>
      <c r="K61" s="233"/>
      <c r="L61" s="233"/>
      <c r="M61" s="233"/>
      <c r="N61" s="233"/>
      <c r="O61" s="233"/>
    </row>
  </sheetData>
  <mergeCells count="2">
    <mergeCell ref="I29:N29"/>
    <mergeCell ref="P29:U29"/>
  </mergeCells>
  <conditionalFormatting sqref="A28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{E5D33591-DC69-4418-BA71-72D51CF5D2A6}</x14:id>
        </ext>
      </extLst>
    </cfRule>
  </conditionalFormatting>
  <conditionalFormatting sqref="B1:D1">
    <cfRule type="dataBar" priority="1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{05E41611-92E9-407F-B8E2-2319D79F686B}</x14:id>
        </ext>
      </extLst>
    </cfRule>
  </conditionalFormatting>
  <conditionalFormatting sqref="B49 E49">
    <cfRule type="dataBar" priority="1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{53C30FE2-A6BC-4582-BD12-2A5100357923}</x14:id>
        </ext>
      </extLst>
    </cfRule>
  </conditionalFormatting>
  <conditionalFormatting sqref="A49">
    <cfRule type="dataBar" priority="1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{76AC1B46-A027-444D-8EF2-0CB4D5B1E4D0}</x14:id>
        </ext>
      </extLst>
    </cfRule>
  </conditionalFormatting>
  <conditionalFormatting sqref="E49 B49">
    <cfRule type="dataBar" priority="2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{D792ED09-ED45-4E79-AACB-54C52288AC96}</x14:id>
        </ext>
      </extLst>
    </cfRule>
  </conditionalFormatting>
  <conditionalFormatting sqref="H20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{179C7BED-8ECB-4876-9691-7D7667568803}</x14:id>
        </ext>
      </extLst>
    </cfRule>
  </conditionalFormatting>
  <conditionalFormatting sqref="H32 H34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{D954DF50-6459-48A2-ACE3-EF7BBA8D9DF5}</x14:id>
        </ext>
      </extLst>
    </cfRule>
  </conditionalFormatting>
  <conditionalFormatting sqref="H2:H19 H33 H35 H40:H42 H45:H48 H21:H28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{DDC2CE66-4B51-42D6-95EE-A2865657E4E6}</x14:id>
        </ext>
      </extLst>
    </cfRule>
  </conditionalFormatting>
  <conditionalFormatting sqref="O2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{6A11F6F0-F472-43AA-ACEB-82482E1C9E81}</x14:id>
        </ext>
      </extLst>
    </cfRule>
  </conditionalFormatting>
  <conditionalFormatting sqref="O14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{A377093E-0080-4356-A48D-8BD42C12EAE6}</x14:id>
        </ext>
      </extLst>
    </cfRule>
  </conditionalFormatting>
  <conditionalFormatting sqref="T2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{5B0844D7-E2BE-4D35-95A3-B2B1035D65D1}</x14:id>
        </ext>
      </extLst>
    </cfRule>
  </conditionalFormatting>
  <conditionalFormatting sqref="T1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{74F73D47-74F2-403C-9240-9EA32C5DB651}</x14:id>
        </ext>
      </extLst>
    </cfRule>
  </conditionalFormatting>
  <conditionalFormatting sqref="Y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{C5390238-FADC-4B82-A643-2A6F87F05E30}</x14:id>
        </ext>
      </extLst>
    </cfRule>
  </conditionalFormatting>
  <conditionalFormatting sqref="Y14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{8E5E9FE6-50F9-41B1-BABD-71654FF0CCDF}</x14:id>
        </ext>
      </extLst>
    </cfRule>
  </conditionalFormatting>
  <conditionalFormatting sqref="Q31:S31">
    <cfRule type="dataBar" priority="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{85B7D9DC-E7E0-4369-B636-189155369A44}</x14:id>
        </ext>
      </extLst>
    </cfRule>
  </conditionalFormatting>
  <conditionalFormatting sqref="T31:V31">
    <cfRule type="dataBar" priority="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{71CB1DE8-2060-433F-80F6-6D3FDB975AED}</x14:id>
        </ext>
      </extLst>
    </cfRule>
  </conditionalFormatting>
  <conditionalFormatting sqref="P51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{354B6360-7566-4E47-B3F3-2A22A3ED8360}</x14:id>
        </ext>
      </extLst>
    </cfRule>
  </conditionalFormatting>
  <conditionalFormatting sqref="P33:P50 P52:P55">
    <cfRule type="dataBar" priority="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{8A309699-9010-4B82-A3A7-7947970CFA1F}</x14:id>
        </ext>
      </extLst>
    </cfRule>
  </conditionalFormatting>
  <conditionalFormatting sqref="Y31:AA31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{C5C0CB72-F8F5-441B-BC0A-C2E9765D084B}</x14:id>
        </ext>
      </extLst>
    </cfRule>
  </conditionalFormatting>
  <conditionalFormatting sqref="AC31:AE31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{514935B2-BF39-4D2D-A4B2-0593874CF0B4}</x14:id>
        </ext>
      </extLst>
    </cfRule>
  </conditionalFormatting>
  <conditionalFormatting sqref="X31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{C6E50F9A-800B-4584-9F1A-565C3D647370}</x14:id>
        </ext>
      </extLst>
    </cfRule>
  </conditionalFormatting>
  <conditionalFormatting sqref="A2:A27 A41:A42 A47:A48 A29:A36">
    <cfRule type="dataBar" priority="2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{1E475685-89E4-484A-A3D4-047047A2B7EA}</x14:id>
        </ext>
      </extLst>
    </cfRule>
  </conditionalFormatting>
  <pageMargins left="0.7" right="0.7" top="0.75" bottom="0.75" header="0.3" footer="0.3"/>
  <pageSetup paperSize="9" orientation="portrait" horizontalDpi="1200" verticalDpi="1200"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E5D33591-DC69-4418-BA71-72D51CF5D2A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A28</xm:sqref>
        </x14:conditionalFormatting>
        <x14:conditionalFormatting xmlns:xm="http://schemas.microsoft.com/office/excel/2006/main">
          <x14:cfRule type="dataBar" id="{05E41611-92E9-407F-B8E2-2319D79F686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B1:D1</xm:sqref>
        </x14:conditionalFormatting>
        <x14:conditionalFormatting xmlns:xm="http://schemas.microsoft.com/office/excel/2006/main">
          <x14:cfRule type="dataBar" id="{53C30FE2-A6BC-4582-BD12-2A510035792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B49 E49</xm:sqref>
        </x14:conditionalFormatting>
        <x14:conditionalFormatting xmlns:xm="http://schemas.microsoft.com/office/excel/2006/main">
          <x14:cfRule type="dataBar" id="{76AC1B46-A027-444D-8EF2-0CB4D5B1E4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A49</xm:sqref>
        </x14:conditionalFormatting>
        <x14:conditionalFormatting xmlns:xm="http://schemas.microsoft.com/office/excel/2006/main">
          <x14:cfRule type="dataBar" id="{D792ED09-ED45-4E79-AACB-54C52288AC9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E49 B49</xm:sqref>
        </x14:conditionalFormatting>
        <x14:conditionalFormatting xmlns:xm="http://schemas.microsoft.com/office/excel/2006/main">
          <x14:cfRule type="dataBar" id="{179C7BED-8ECB-4876-9691-7D766756880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H20</xm:sqref>
        </x14:conditionalFormatting>
        <x14:conditionalFormatting xmlns:xm="http://schemas.microsoft.com/office/excel/2006/main">
          <x14:cfRule type="dataBar" id="{D954DF50-6459-48A2-ACE3-EF7BBA8D9DF5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H32 H34</xm:sqref>
        </x14:conditionalFormatting>
        <x14:conditionalFormatting xmlns:xm="http://schemas.microsoft.com/office/excel/2006/main">
          <x14:cfRule type="dataBar" id="{DDC2CE66-4B51-42D6-95EE-A2865657E4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H2:H19 H33 H35 H40:H42 H45:H48 H21:H28</xm:sqref>
        </x14:conditionalFormatting>
        <x14:conditionalFormatting xmlns:xm="http://schemas.microsoft.com/office/excel/2006/main">
          <x14:cfRule type="dataBar" id="{6A11F6F0-F472-43AA-ACEB-82482E1C9E8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O2</xm:sqref>
        </x14:conditionalFormatting>
        <x14:conditionalFormatting xmlns:xm="http://schemas.microsoft.com/office/excel/2006/main">
          <x14:cfRule type="dataBar" id="{A377093E-0080-4356-A48D-8BD42C12EAE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O14</xm:sqref>
        </x14:conditionalFormatting>
        <x14:conditionalFormatting xmlns:xm="http://schemas.microsoft.com/office/excel/2006/main">
          <x14:cfRule type="dataBar" id="{5B0844D7-E2BE-4D35-95A3-B2B1035D65D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T2</xm:sqref>
        </x14:conditionalFormatting>
        <x14:conditionalFormatting xmlns:xm="http://schemas.microsoft.com/office/excel/2006/main">
          <x14:cfRule type="dataBar" id="{74F73D47-74F2-403C-9240-9EA32C5DB65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T14</xm:sqref>
        </x14:conditionalFormatting>
        <x14:conditionalFormatting xmlns:xm="http://schemas.microsoft.com/office/excel/2006/main">
          <x14:cfRule type="dataBar" id="{C5390238-FADC-4B82-A643-2A6F87F05E3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Y2</xm:sqref>
        </x14:conditionalFormatting>
        <x14:conditionalFormatting xmlns:xm="http://schemas.microsoft.com/office/excel/2006/main">
          <x14:cfRule type="dataBar" id="{8E5E9FE6-50F9-41B1-BABD-71654FF0CC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Y14</xm:sqref>
        </x14:conditionalFormatting>
        <x14:conditionalFormatting xmlns:xm="http://schemas.microsoft.com/office/excel/2006/main">
          <x14:cfRule type="dataBar" id="{85B7D9DC-E7E0-4369-B636-189155369A4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Q31:S31</xm:sqref>
        </x14:conditionalFormatting>
        <x14:conditionalFormatting xmlns:xm="http://schemas.microsoft.com/office/excel/2006/main">
          <x14:cfRule type="dataBar" id="{71CB1DE8-2060-433F-80F6-6D3FDB975AE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T31:V31</xm:sqref>
        </x14:conditionalFormatting>
        <x14:conditionalFormatting xmlns:xm="http://schemas.microsoft.com/office/excel/2006/main">
          <x14:cfRule type="dataBar" id="{354B6360-7566-4E47-B3F3-2A22A3ED836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P51</xm:sqref>
        </x14:conditionalFormatting>
        <x14:conditionalFormatting xmlns:xm="http://schemas.microsoft.com/office/excel/2006/main">
          <x14:cfRule type="dataBar" id="{8A309699-9010-4B82-A3A7-7947970CFA1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P33:P50 P52:P55</xm:sqref>
        </x14:conditionalFormatting>
        <x14:conditionalFormatting xmlns:xm="http://schemas.microsoft.com/office/excel/2006/main">
          <x14:cfRule type="dataBar" id="{C5C0CB72-F8F5-441B-BC0A-C2E9765D084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Y31:AA31</xm:sqref>
        </x14:conditionalFormatting>
        <x14:conditionalFormatting xmlns:xm="http://schemas.microsoft.com/office/excel/2006/main">
          <x14:cfRule type="dataBar" id="{514935B2-BF39-4D2D-A4B2-0593874CF0B4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AC31:AE31</xm:sqref>
        </x14:conditionalFormatting>
        <x14:conditionalFormatting xmlns:xm="http://schemas.microsoft.com/office/excel/2006/main">
          <x14:cfRule type="dataBar" id="{C6E50F9A-800B-4584-9F1A-565C3D64737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X31</xm:sqref>
        </x14:conditionalFormatting>
        <x14:conditionalFormatting xmlns:xm="http://schemas.microsoft.com/office/excel/2006/main">
          <x14:cfRule type="dataBar" id="{1E475685-89E4-484A-A3D4-047047A2B7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A2:A27 A41:A42 A47:A48 A29:A36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data_info</vt:lpstr>
      <vt:lpstr>sets</vt:lpstr>
      <vt:lpstr>network</vt:lpstr>
      <vt:lpstr>demand</vt:lpstr>
      <vt:lpstr>supply</vt:lpstr>
      <vt:lpstr>Storage</vt:lpstr>
      <vt:lpstr>Storage (old)</vt:lpstr>
      <vt:lpstr>sets(old)</vt:lpstr>
      <vt:lpstr>supply (old-adj)</vt:lpstr>
      <vt:lpstr>supply(old)</vt:lpstr>
      <vt:lpstr>supply(original)</vt:lpstr>
      <vt:lpstr>Sheet2</vt:lpstr>
      <vt:lpstr>Map(inactive)</vt:lpstr>
      <vt:lpstr>upload_nodes(inactive)</vt:lpstr>
      <vt:lpstr>LNG</vt:lpstr>
      <vt:lpstr>upload_stor(inactive)</vt:lpstr>
      <vt:lpstr>Overview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Philipp Hauser</dc:creator>
  <cp:lastModifiedBy>Iegor Riepin</cp:lastModifiedBy>
  <dcterms:created xsi:type="dcterms:W3CDTF">2016-05-26T09:59:21Z</dcterms:created>
  <dcterms:modified xsi:type="dcterms:W3CDTF">2021-06-16T16:49:36Z</dcterms:modified>
</cp:coreProperties>
</file>