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ml.chartshape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05" yWindow="-105" windowWidth="23250" windowHeight="12570" tabRatio="841" firstSheet="4" activeTab="7"/>
  </bookViews>
  <sheets>
    <sheet name="Summary Sheet" sheetId="24" r:id="rId1"/>
    <sheet name="Input Sheet" sheetId="23" r:id="rId2"/>
    <sheet name="Ordering Plan" sheetId="22" r:id="rId3"/>
    <sheet name="Calculation Sheet" sheetId="21" r:id="rId4"/>
    <sheet name="Naive Approach" sheetId="14" r:id="rId5"/>
    <sheet name="Moving average" sheetId="18" r:id="rId6"/>
    <sheet name="Exponential Smoothing" sheetId="11" r:id="rId7"/>
    <sheet name="Holt Method" sheetId="12" r:id="rId8"/>
    <sheet name="Winter Method" sheetId="13" r:id="rId9"/>
  </sheets>
  <definedNames>
    <definedName name="Actual">OFFSET(INDIRECT(CONCATENATE(SUBSTITUTE('Summary Sheet'!$E$8," ","_"),"_Aref")),0,0,COUNT(INDIRECT(CONCATENATE(SUBSTITUTE('Summary Sheet'!$E$8," ","_"),"_A"))))</definedName>
    <definedName name="C_Actual">OFFSET(INDIRECT(CONCATENATE(SUBSTITUTE(#REF!," ","_"),"_Aref")),0,0,COUNT(INDIRECT(CONCATENATE(SUBSTITUTE(#REF!," ","_"),"_A"))))</definedName>
    <definedName name="C_Forecast">OFFSET(INDIRECT(CONCATENATE(SUBSTITUTE(#REF!," ","_"),"_Aref")),0,1,COUNTA(INDIRECT(CONCATENATE(SUBSTITUTE(#REF!," ","_"),"_F"))))</definedName>
    <definedName name="Exponential_Smoothing_A">'Exponential Smoothing'!$C$17:$C$40</definedName>
    <definedName name="Exponential_Smoothing_Aref">'Exponential Smoothing'!$C$17</definedName>
    <definedName name="Exponential_Smoothing_F">'Exponential Smoothing'!$D$17:$D$40</definedName>
    <definedName name="Exponential_Smoothing_FV">'Exponential Smoothing'!$D$41</definedName>
    <definedName name="Forecast">OFFSET(INDIRECT(CONCATENATE(SUBSTITUTE('Summary Sheet'!$E$8," ","_"),"_Aref")),0,1,COUNTA(INDIRECT(CONCATENATE(SUBSTITUTE('Summary Sheet'!$E$8," ","_"),"_F"))))</definedName>
    <definedName name="Holt_Method_A">'Holt Method'!$C$19:$C$42</definedName>
    <definedName name="Holt_Method_Aref">'Holt Method'!$C$19</definedName>
    <definedName name="Holt_Method_F">'Holt Method'!$D$19:$D$42</definedName>
    <definedName name="Holt_Method_FV">'Holt Method'!$D$43</definedName>
    <definedName name="Months">'Input Sheet'!$C$17:$C$40</definedName>
    <definedName name="Moving_Average_A">'Moving average'!$C$17:$C$40</definedName>
    <definedName name="Moving_Average_Aref">'Moving average'!$C$17</definedName>
    <definedName name="Moving_Average_F">'Moving average'!$D$17:$D$40</definedName>
    <definedName name="Moving_Average_FV">'Moving average'!$D$41</definedName>
    <definedName name="Naive_Approach_A">'Naive Approach'!$C$17:$C$40</definedName>
    <definedName name="Naive_Approach_Aref">'Naive Approach'!$C$17</definedName>
    <definedName name="Naive_Approach_F">'Naive Approach'!$D$17:$D$40</definedName>
    <definedName name="Naive_Approach_FV">'Naive Approach'!$D$41</definedName>
    <definedName name="solver_adj" localSheetId="6" hidden="1">'Exponential Smoothing'!$C$45</definedName>
    <definedName name="solver_adj" localSheetId="7" hidden="1">'Holt Method'!$C$51:$C$52</definedName>
    <definedName name="solver_adj" localSheetId="4" hidden="1">'Naive Approach'!#REF!</definedName>
    <definedName name="solver_adj" localSheetId="8" hidden="1">'Winter Method'!$C$53:$C$55</definedName>
    <definedName name="solver_cvg" localSheetId="6" hidden="1">0.0001</definedName>
    <definedName name="solver_cvg" localSheetId="7" hidden="1">0.0001</definedName>
    <definedName name="solver_cvg" localSheetId="5" hidden="1">0.0001</definedName>
    <definedName name="solver_cvg" localSheetId="4" hidden="1">0.0001</definedName>
    <definedName name="solver_cvg" localSheetId="8" hidden="1">0.0001</definedName>
    <definedName name="solver_drv" localSheetId="6" hidden="1">2</definedName>
    <definedName name="solver_drv" localSheetId="7" hidden="1">1</definedName>
    <definedName name="solver_drv" localSheetId="5" hidden="1">2</definedName>
    <definedName name="solver_drv" localSheetId="4" hidden="1">2</definedName>
    <definedName name="solver_drv" localSheetId="8" hidden="1">1</definedName>
    <definedName name="solver_eng" localSheetId="6" hidden="1">1</definedName>
    <definedName name="solver_eng" localSheetId="7" hidden="1">1</definedName>
    <definedName name="solver_eng" localSheetId="5" hidden="1">1</definedName>
    <definedName name="solver_eng" localSheetId="4" hidden="1">1</definedName>
    <definedName name="solver_eng" localSheetId="8" hidden="1">1</definedName>
    <definedName name="solver_est" localSheetId="6" hidden="1">1</definedName>
    <definedName name="solver_est" localSheetId="7" hidden="1">1</definedName>
    <definedName name="solver_est" localSheetId="5" hidden="1">1</definedName>
    <definedName name="solver_est" localSheetId="4" hidden="1">1</definedName>
    <definedName name="solver_est" localSheetId="8" hidden="1">1</definedName>
    <definedName name="solver_itr" localSheetId="6" hidden="1">2147483647</definedName>
    <definedName name="solver_itr" localSheetId="7" hidden="1">2147483647</definedName>
    <definedName name="solver_itr" localSheetId="5" hidden="1">2147483647</definedName>
    <definedName name="solver_itr" localSheetId="4" hidden="1">2147483647</definedName>
    <definedName name="solver_itr" localSheetId="8" hidden="1">2147483647</definedName>
    <definedName name="solver_lhs1" localSheetId="6" hidden="1">'Exponential Smoothing'!$C$45</definedName>
    <definedName name="solver_lhs1" localSheetId="7" hidden="1">'Holt Method'!$C$51:$C$52</definedName>
    <definedName name="solver_lhs1" localSheetId="5" hidden="1">'Moving average'!#REF!</definedName>
    <definedName name="solver_lhs1" localSheetId="4" hidden="1">'Naive Approach'!#REF!</definedName>
    <definedName name="solver_lhs1" localSheetId="8" hidden="1">'Winter Method'!$C$53:$C$55</definedName>
    <definedName name="solver_lhs2" localSheetId="6" hidden="1">'Exponential Smoothing'!$C$45</definedName>
    <definedName name="solver_lhs2" localSheetId="7" hidden="1">'Holt Method'!$C$51:$C$52</definedName>
    <definedName name="solver_lhs2" localSheetId="5" hidden="1">'Moving average'!#REF!</definedName>
    <definedName name="solver_lhs2" localSheetId="4" hidden="1">'Naive Approach'!#REF!</definedName>
    <definedName name="solver_lhs2" localSheetId="8" hidden="1">'Winter Method'!$C$53:$C$55</definedName>
    <definedName name="solver_mip" localSheetId="6" hidden="1">2147483647</definedName>
    <definedName name="solver_mip" localSheetId="7" hidden="1">2147483647</definedName>
    <definedName name="solver_mip" localSheetId="5" hidden="1">2147483647</definedName>
    <definedName name="solver_mip" localSheetId="4" hidden="1">2147483647</definedName>
    <definedName name="solver_mip" localSheetId="8" hidden="1">2147483647</definedName>
    <definedName name="solver_mni" localSheetId="6" hidden="1">30</definedName>
    <definedName name="solver_mni" localSheetId="7" hidden="1">30</definedName>
    <definedName name="solver_mni" localSheetId="5" hidden="1">30</definedName>
    <definedName name="solver_mni" localSheetId="4" hidden="1">30</definedName>
    <definedName name="solver_mni" localSheetId="8" hidden="1">30</definedName>
    <definedName name="solver_mrt" localSheetId="6" hidden="1">0.075</definedName>
    <definedName name="solver_mrt" localSheetId="7" hidden="1">0.075</definedName>
    <definedName name="solver_mrt" localSheetId="5" hidden="1">0.075</definedName>
    <definedName name="solver_mrt" localSheetId="4" hidden="1">0.075</definedName>
    <definedName name="solver_mrt" localSheetId="8" hidden="1">0.075</definedName>
    <definedName name="solver_msl" localSheetId="6" hidden="1">2</definedName>
    <definedName name="solver_msl" localSheetId="7" hidden="1">2</definedName>
    <definedName name="solver_msl" localSheetId="5" hidden="1">2</definedName>
    <definedName name="solver_msl" localSheetId="4" hidden="1">2</definedName>
    <definedName name="solver_msl" localSheetId="8" hidden="1">2</definedName>
    <definedName name="solver_neg" localSheetId="6" hidden="1">1</definedName>
    <definedName name="solver_neg" localSheetId="7" hidden="1">1</definedName>
    <definedName name="solver_neg" localSheetId="5" hidden="1">1</definedName>
    <definedName name="solver_neg" localSheetId="4" hidden="1">1</definedName>
    <definedName name="solver_neg" localSheetId="8" hidden="1">1</definedName>
    <definedName name="solver_nod" localSheetId="6" hidden="1">2147483647</definedName>
    <definedName name="solver_nod" localSheetId="7" hidden="1">2147483647</definedName>
    <definedName name="solver_nod" localSheetId="5" hidden="1">2147483647</definedName>
    <definedName name="solver_nod" localSheetId="4" hidden="1">2147483647</definedName>
    <definedName name="solver_nod" localSheetId="8" hidden="1">2147483647</definedName>
    <definedName name="solver_num" localSheetId="6" hidden="1">2</definedName>
    <definedName name="solver_num" localSheetId="7" hidden="1">2</definedName>
    <definedName name="solver_num" localSheetId="5" hidden="1">2</definedName>
    <definedName name="solver_num" localSheetId="4" hidden="1">2</definedName>
    <definedName name="solver_num" localSheetId="8" hidden="1">2</definedName>
    <definedName name="solver_nwt" localSheetId="6" hidden="1">1</definedName>
    <definedName name="solver_nwt" localSheetId="7" hidden="1">1</definedName>
    <definedName name="solver_nwt" localSheetId="5" hidden="1">1</definedName>
    <definedName name="solver_nwt" localSheetId="4" hidden="1">1</definedName>
    <definedName name="solver_nwt" localSheetId="8" hidden="1">1</definedName>
    <definedName name="solver_opt" localSheetId="6" hidden="1">'Exponential Smoothing'!$H$42</definedName>
    <definedName name="solver_opt" localSheetId="7" hidden="1">'Holt Method'!$J$47</definedName>
    <definedName name="solver_opt" localSheetId="5" hidden="1">'Moving average'!$H$42</definedName>
    <definedName name="solver_opt" localSheetId="4" hidden="1">'Naive Approach'!$H$42</definedName>
    <definedName name="solver_opt" localSheetId="8" hidden="1">'Winter Method'!$K$49</definedName>
    <definedName name="solver_pre" localSheetId="6" hidden="1">0.000001</definedName>
    <definedName name="solver_pre" localSheetId="7" hidden="1">0.000001</definedName>
    <definedName name="solver_pre" localSheetId="5" hidden="1">0.000001</definedName>
    <definedName name="solver_pre" localSheetId="4" hidden="1">0.000001</definedName>
    <definedName name="solver_pre" localSheetId="8" hidden="1">0.000001</definedName>
    <definedName name="solver_rbv" localSheetId="6" hidden="1">2</definedName>
    <definedName name="solver_rbv" localSheetId="7" hidden="1">1</definedName>
    <definedName name="solver_rbv" localSheetId="5" hidden="1">2</definedName>
    <definedName name="solver_rbv" localSheetId="4" hidden="1">2</definedName>
    <definedName name="solver_rbv" localSheetId="8" hidden="1">1</definedName>
    <definedName name="solver_rel1" localSheetId="6" hidden="1">1</definedName>
    <definedName name="solver_rel1" localSheetId="7" hidden="1">1</definedName>
    <definedName name="solver_rel1" localSheetId="5" hidden="1">1</definedName>
    <definedName name="solver_rel1" localSheetId="4" hidden="1">1</definedName>
    <definedName name="solver_rel1" localSheetId="8" hidden="1">1</definedName>
    <definedName name="solver_rel2" localSheetId="6" hidden="1">3</definedName>
    <definedName name="solver_rel2" localSheetId="7" hidden="1">3</definedName>
    <definedName name="solver_rel2" localSheetId="5" hidden="1">3</definedName>
    <definedName name="solver_rel2" localSheetId="4" hidden="1">3</definedName>
    <definedName name="solver_rel2" localSheetId="8" hidden="1">3</definedName>
    <definedName name="solver_rhs1" localSheetId="6" hidden="1">1</definedName>
    <definedName name="solver_rhs1" localSheetId="7" hidden="1">1</definedName>
    <definedName name="solver_rhs1" localSheetId="5" hidden="1">1</definedName>
    <definedName name="solver_rhs1" localSheetId="4" hidden="1">1</definedName>
    <definedName name="solver_rhs1" localSheetId="8" hidden="1">1</definedName>
    <definedName name="solver_rhs2" localSheetId="6" hidden="1">0</definedName>
    <definedName name="solver_rhs2" localSheetId="7" hidden="1">0</definedName>
    <definedName name="solver_rhs2" localSheetId="5" hidden="1">0</definedName>
    <definedName name="solver_rhs2" localSheetId="4" hidden="1">0</definedName>
    <definedName name="solver_rhs2" localSheetId="8" hidden="1">0</definedName>
    <definedName name="solver_rlx" localSheetId="6" hidden="1">2</definedName>
    <definedName name="solver_rlx" localSheetId="7" hidden="1">2</definedName>
    <definedName name="solver_rlx" localSheetId="5" hidden="1">2</definedName>
    <definedName name="solver_rlx" localSheetId="4" hidden="1">2</definedName>
    <definedName name="solver_rlx" localSheetId="8" hidden="1">2</definedName>
    <definedName name="solver_rsd" localSheetId="6" hidden="1">0</definedName>
    <definedName name="solver_rsd" localSheetId="7" hidden="1">0</definedName>
    <definedName name="solver_rsd" localSheetId="5" hidden="1">0</definedName>
    <definedName name="solver_rsd" localSheetId="4" hidden="1">0</definedName>
    <definedName name="solver_rsd" localSheetId="8" hidden="1">0</definedName>
    <definedName name="solver_scl" localSheetId="6" hidden="1">2</definedName>
    <definedName name="solver_scl" localSheetId="7" hidden="1">1</definedName>
    <definedName name="solver_scl" localSheetId="5" hidden="1">2</definedName>
    <definedName name="solver_scl" localSheetId="4" hidden="1">2</definedName>
    <definedName name="solver_scl" localSheetId="8" hidden="1">1</definedName>
    <definedName name="solver_sho" localSheetId="6" hidden="1">2</definedName>
    <definedName name="solver_sho" localSheetId="7" hidden="1">2</definedName>
    <definedName name="solver_sho" localSheetId="5" hidden="1">2</definedName>
    <definedName name="solver_sho" localSheetId="4" hidden="1">2</definedName>
    <definedName name="solver_sho" localSheetId="8" hidden="1">2</definedName>
    <definedName name="solver_ssz" localSheetId="6" hidden="1">100</definedName>
    <definedName name="solver_ssz" localSheetId="7" hidden="1">100</definedName>
    <definedName name="solver_ssz" localSheetId="5" hidden="1">100</definedName>
    <definedName name="solver_ssz" localSheetId="4" hidden="1">100</definedName>
    <definedName name="solver_ssz" localSheetId="8" hidden="1">100</definedName>
    <definedName name="solver_tim" localSheetId="6" hidden="1">2147483647</definedName>
    <definedName name="solver_tim" localSheetId="7" hidden="1">2147483647</definedName>
    <definedName name="solver_tim" localSheetId="5" hidden="1">2147483647</definedName>
    <definedName name="solver_tim" localSheetId="4" hidden="1">2147483647</definedName>
    <definedName name="solver_tim" localSheetId="8" hidden="1">2147483647</definedName>
    <definedName name="solver_tol" localSheetId="6" hidden="1">0.01</definedName>
    <definedName name="solver_tol" localSheetId="7" hidden="1">0.01</definedName>
    <definedName name="solver_tol" localSheetId="5" hidden="1">0.01</definedName>
    <definedName name="solver_tol" localSheetId="4" hidden="1">0.01</definedName>
    <definedName name="solver_tol" localSheetId="8" hidden="1">0.01</definedName>
    <definedName name="solver_typ" localSheetId="6" hidden="1">2</definedName>
    <definedName name="solver_typ" localSheetId="7" hidden="1">2</definedName>
    <definedName name="solver_typ" localSheetId="5" hidden="1">2</definedName>
    <definedName name="solver_typ" localSheetId="4" hidden="1">2</definedName>
    <definedName name="solver_typ" localSheetId="8" hidden="1">2</definedName>
    <definedName name="solver_val" localSheetId="6" hidden="1">0</definedName>
    <definedName name="solver_val" localSheetId="7" hidden="1">0</definedName>
    <definedName name="solver_val" localSheetId="5" hidden="1">0</definedName>
    <definedName name="solver_val" localSheetId="4" hidden="1">0</definedName>
    <definedName name="solver_val" localSheetId="8" hidden="1">0</definedName>
    <definedName name="solver_ver" localSheetId="6" hidden="1">3</definedName>
    <definedName name="solver_ver" localSheetId="7" hidden="1">3</definedName>
    <definedName name="solver_ver" localSheetId="5" hidden="1">3</definedName>
    <definedName name="solver_ver" localSheetId="4" hidden="1">3</definedName>
    <definedName name="solver_ver" localSheetId="8" hidden="1">3</definedName>
    <definedName name="Winter_Method_A">'Winter Method'!$C$21:$C$48</definedName>
    <definedName name="Winter_Method_Aref">'Winter Method'!$C$21</definedName>
    <definedName name="Winter_Method_F">'Winter Method'!$D$21:$D$48</definedName>
    <definedName name="Winter_Method_FV">'Winter Method'!$D$45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5" i="13" l="1"/>
  <c r="M34" i="13" l="1"/>
  <c r="M35" i="13"/>
  <c r="M36" i="13"/>
  <c r="M37" i="13"/>
  <c r="M38" i="13"/>
  <c r="F37" i="13" l="1"/>
  <c r="F35" i="13"/>
  <c r="F34" i="13"/>
  <c r="F38" i="13"/>
  <c r="F36" i="13"/>
  <c r="F42" i="13"/>
  <c r="F40" i="13"/>
  <c r="E36" i="13"/>
  <c r="E34" i="13"/>
  <c r="G22" i="13"/>
  <c r="C53" i="13"/>
  <c r="E33" i="13"/>
  <c r="G21" i="13"/>
  <c r="D41" i="23"/>
  <c r="R61" i="13"/>
  <c r="C17" i="11" l="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G40" i="18" l="1"/>
  <c r="D22" i="18"/>
  <c r="D21" i="18"/>
  <c r="D20" i="18"/>
  <c r="D41" i="18"/>
  <c r="D19" i="18"/>
  <c r="D23" i="18"/>
  <c r="D40" i="18" l="1"/>
  <c r="D29" i="18"/>
  <c r="D28" i="18"/>
  <c r="D27" i="18"/>
  <c r="D26" i="18"/>
  <c r="D25" i="18"/>
  <c r="D24" i="18"/>
  <c r="O22" i="12" l="1"/>
  <c r="C55" i="13" l="1"/>
  <c r="C54" i="13"/>
  <c r="G17" i="23" l="1"/>
  <c r="C6" i="22" l="1"/>
  <c r="C7" i="22"/>
  <c r="E7" i="24" l="1"/>
  <c r="E6" i="24"/>
  <c r="G18" i="23"/>
  <c r="G19" i="23"/>
  <c r="G20" i="23"/>
  <c r="G21" i="23"/>
  <c r="G22" i="23"/>
  <c r="G23" i="23"/>
  <c r="G24" i="23"/>
  <c r="C4" i="22"/>
  <c r="C8" i="22"/>
  <c r="N8" i="22"/>
  <c r="C9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C13" i="22"/>
  <c r="G15" i="22" l="1"/>
  <c r="F15" i="22"/>
  <c r="E15" i="22"/>
  <c r="C15" i="22"/>
  <c r="D15" i="22"/>
  <c r="E4" i="21"/>
  <c r="G14" i="21" l="1"/>
  <c r="F14" i="21"/>
  <c r="F13" i="21"/>
  <c r="E14" i="21"/>
  <c r="E13" i="21"/>
  <c r="E12" i="21"/>
  <c r="E3" i="21"/>
  <c r="S39" i="13" l="1"/>
  <c r="S38" i="13"/>
  <c r="S37" i="13"/>
  <c r="P36" i="12"/>
  <c r="P35" i="12"/>
  <c r="N30" i="11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21" i="13"/>
  <c r="B44" i="13"/>
  <c r="B45" i="13" s="1"/>
  <c r="B46" i="13" s="1"/>
  <c r="B47" i="13" s="1"/>
  <c r="B48" i="13" s="1"/>
  <c r="N25" i="18"/>
  <c r="C38" i="18"/>
  <c r="C39" i="18"/>
  <c r="C40" i="18"/>
  <c r="C34" i="18"/>
  <c r="C35" i="18"/>
  <c r="C36" i="18"/>
  <c r="C37" i="18"/>
  <c r="C40" i="14"/>
  <c r="D41" i="14" s="1"/>
  <c r="C39" i="14"/>
  <c r="D40" i="14" s="1"/>
  <c r="C38" i="14"/>
  <c r="D39" i="14" s="1"/>
  <c r="C37" i="14"/>
  <c r="D38" i="14" s="1"/>
  <c r="C36" i="14"/>
  <c r="D37" i="14" s="1"/>
  <c r="C35" i="14"/>
  <c r="D36" i="14" s="1"/>
  <c r="C34" i="14"/>
  <c r="C17" i="14"/>
  <c r="E36" i="14" l="1"/>
  <c r="G36" i="14" s="1"/>
  <c r="H36" i="14" s="1"/>
  <c r="E40" i="14"/>
  <c r="G40" i="14" s="1"/>
  <c r="H40" i="14" s="1"/>
  <c r="G32" i="13"/>
  <c r="E39" i="14"/>
  <c r="G39" i="14" s="1"/>
  <c r="D37" i="18"/>
  <c r="E37" i="18" s="1"/>
  <c r="G37" i="18" s="1"/>
  <c r="H37" i="18" s="1"/>
  <c r="D38" i="18"/>
  <c r="E38" i="18" s="1"/>
  <c r="G38" i="18" s="1"/>
  <c r="H38" i="18" s="1"/>
  <c r="D39" i="18"/>
  <c r="E39" i="18" s="1"/>
  <c r="G39" i="18" s="1"/>
  <c r="H39" i="18" s="1"/>
  <c r="E40" i="18"/>
  <c r="D35" i="14"/>
  <c r="E35" i="14" s="1"/>
  <c r="G35" i="14" s="1"/>
  <c r="H35" i="14" s="1"/>
  <c r="E37" i="14"/>
  <c r="G37" i="14" s="1"/>
  <c r="H37" i="14" s="1"/>
  <c r="E38" i="14"/>
  <c r="G38" i="14" s="1"/>
  <c r="H38" i="14" s="1"/>
  <c r="H40" i="18" l="1"/>
  <c r="H39" i="14"/>
  <c r="Q28" i="13"/>
  <c r="Q27" i="13"/>
  <c r="Q26" i="13"/>
  <c r="Q25" i="13"/>
  <c r="Q24" i="13"/>
  <c r="Q23" i="13"/>
  <c r="Q22" i="13"/>
  <c r="Q21" i="13"/>
  <c r="O26" i="12" l="1"/>
  <c r="O25" i="12"/>
  <c r="O24" i="12"/>
  <c r="O23" i="12"/>
  <c r="O21" i="12"/>
  <c r="O20" i="12"/>
  <c r="O19" i="12"/>
  <c r="B40" i="18"/>
  <c r="B41" i="18" s="1"/>
  <c r="B39" i="18"/>
  <c r="B38" i="18"/>
  <c r="B37" i="18"/>
  <c r="B36" i="18"/>
  <c r="B35" i="18"/>
  <c r="B34" i="18"/>
  <c r="C33" i="18"/>
  <c r="D36" i="18" s="1"/>
  <c r="E36" i="18" s="1"/>
  <c r="G36" i="18" s="1"/>
  <c r="H36" i="18" s="1"/>
  <c r="B33" i="18"/>
  <c r="C32" i="18"/>
  <c r="B32" i="18"/>
  <c r="C31" i="18"/>
  <c r="B31" i="18"/>
  <c r="C30" i="18"/>
  <c r="B30" i="18"/>
  <c r="C29" i="18"/>
  <c r="B29" i="18"/>
  <c r="C28" i="18"/>
  <c r="B28" i="18"/>
  <c r="C27" i="18"/>
  <c r="B27" i="18"/>
  <c r="C26" i="18"/>
  <c r="B26" i="18"/>
  <c r="C25" i="18"/>
  <c r="B25" i="18"/>
  <c r="M24" i="18"/>
  <c r="C24" i="18"/>
  <c r="B24" i="18"/>
  <c r="M23" i="18"/>
  <c r="C23" i="18"/>
  <c r="B23" i="18"/>
  <c r="M22" i="18"/>
  <c r="C22" i="18"/>
  <c r="B22" i="18"/>
  <c r="M21" i="18"/>
  <c r="C21" i="18"/>
  <c r="B21" i="18"/>
  <c r="M20" i="18"/>
  <c r="C20" i="18"/>
  <c r="B20" i="18"/>
  <c r="M19" i="18"/>
  <c r="C19" i="18"/>
  <c r="B19" i="18"/>
  <c r="M18" i="18"/>
  <c r="C18" i="18"/>
  <c r="B18" i="18"/>
  <c r="M17" i="18"/>
  <c r="C17" i="18"/>
  <c r="B17" i="18"/>
  <c r="B40" i="11"/>
  <c r="B41" i="11" s="1"/>
  <c r="B40" i="14"/>
  <c r="B41" i="14" s="1"/>
  <c r="B39" i="14"/>
  <c r="B38" i="14"/>
  <c r="B37" i="14"/>
  <c r="B36" i="14"/>
  <c r="B35" i="14"/>
  <c r="B34" i="14"/>
  <c r="C33" i="14"/>
  <c r="B33" i="14"/>
  <c r="C32" i="14"/>
  <c r="D33" i="14" s="1"/>
  <c r="B32" i="14"/>
  <c r="C31" i="14"/>
  <c r="D32" i="14" s="1"/>
  <c r="B31" i="14"/>
  <c r="C30" i="14"/>
  <c r="D31" i="14" s="1"/>
  <c r="B30" i="14"/>
  <c r="C29" i="14"/>
  <c r="D30" i="14" s="1"/>
  <c r="B29" i="14"/>
  <c r="C28" i="14"/>
  <c r="D29" i="14" s="1"/>
  <c r="B28" i="14"/>
  <c r="C27" i="14"/>
  <c r="D28" i="14" s="1"/>
  <c r="B27" i="14"/>
  <c r="C26" i="14"/>
  <c r="D27" i="14" s="1"/>
  <c r="B26" i="14"/>
  <c r="C25" i="14"/>
  <c r="D26" i="14" s="1"/>
  <c r="B25" i="14"/>
  <c r="M24" i="14"/>
  <c r="C24" i="14"/>
  <c r="D25" i="14" s="1"/>
  <c r="B24" i="14"/>
  <c r="M23" i="14"/>
  <c r="C23" i="14"/>
  <c r="D24" i="14" s="1"/>
  <c r="B23" i="14"/>
  <c r="M22" i="14"/>
  <c r="C22" i="14"/>
  <c r="D23" i="14" s="1"/>
  <c r="B22" i="14"/>
  <c r="M21" i="14"/>
  <c r="C21" i="14"/>
  <c r="D22" i="14" s="1"/>
  <c r="B21" i="14"/>
  <c r="M20" i="14"/>
  <c r="C20" i="14"/>
  <c r="D21" i="14" s="1"/>
  <c r="B20" i="14"/>
  <c r="M19" i="14"/>
  <c r="C19" i="14"/>
  <c r="D20" i="14" s="1"/>
  <c r="B19" i="14"/>
  <c r="M18" i="14"/>
  <c r="C18" i="14"/>
  <c r="D19" i="14" s="1"/>
  <c r="B18" i="14"/>
  <c r="M17" i="14"/>
  <c r="B17" i="14"/>
  <c r="M24" i="11"/>
  <c r="M23" i="11"/>
  <c r="M22" i="11"/>
  <c r="M21" i="11"/>
  <c r="M20" i="11"/>
  <c r="M19" i="11"/>
  <c r="M18" i="11"/>
  <c r="M17" i="11"/>
  <c r="E20" i="18" l="1"/>
  <c r="G20" i="18" s="1"/>
  <c r="H20" i="18" s="1"/>
  <c r="E28" i="18"/>
  <c r="G28" i="18" s="1"/>
  <c r="H28" i="18" s="1"/>
  <c r="D32" i="18"/>
  <c r="E32" i="18" s="1"/>
  <c r="G32" i="18" s="1"/>
  <c r="H32" i="18" s="1"/>
  <c r="D34" i="18"/>
  <c r="E34" i="18" s="1"/>
  <c r="G34" i="18" s="1"/>
  <c r="H34" i="18" s="1"/>
  <c r="E19" i="18"/>
  <c r="E24" i="18"/>
  <c r="G24" i="18" s="1"/>
  <c r="H24" i="18" s="1"/>
  <c r="E26" i="18"/>
  <c r="G26" i="18" s="1"/>
  <c r="H26" i="18" s="1"/>
  <c r="D35" i="18"/>
  <c r="E35" i="18" s="1"/>
  <c r="G35" i="18" s="1"/>
  <c r="H35" i="18" s="1"/>
  <c r="E23" i="18"/>
  <c r="G23" i="18" s="1"/>
  <c r="H23" i="18" s="1"/>
  <c r="E29" i="18"/>
  <c r="G29" i="18" s="1"/>
  <c r="H29" i="18" s="1"/>
  <c r="D31" i="18"/>
  <c r="E31" i="18" s="1"/>
  <c r="G31" i="18" s="1"/>
  <c r="H31" i="18" s="1"/>
  <c r="D33" i="18"/>
  <c r="E33" i="18" s="1"/>
  <c r="G33" i="18" s="1"/>
  <c r="H33" i="18" s="1"/>
  <c r="E22" i="18"/>
  <c r="G22" i="18" s="1"/>
  <c r="H22" i="18" s="1"/>
  <c r="E21" i="18"/>
  <c r="G21" i="18" s="1"/>
  <c r="H21" i="18" s="1"/>
  <c r="E25" i="18"/>
  <c r="G25" i="18" s="1"/>
  <c r="H25" i="18" s="1"/>
  <c r="D30" i="18"/>
  <c r="E30" i="18" s="1"/>
  <c r="G30" i="18" s="1"/>
  <c r="H30" i="18" s="1"/>
  <c r="E27" i="18"/>
  <c r="G27" i="18" s="1"/>
  <c r="H27" i="18" s="1"/>
  <c r="D34" i="14"/>
  <c r="D18" i="14"/>
  <c r="E19" i="14"/>
  <c r="E34" i="14" l="1"/>
  <c r="G34" i="14" s="1"/>
  <c r="H34" i="14" s="1"/>
  <c r="G19" i="18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E42" i="18"/>
  <c r="F19" i="18"/>
  <c r="F20" i="18" s="1"/>
  <c r="G19" i="14"/>
  <c r="F19" i="14"/>
  <c r="E20" i="14"/>
  <c r="G20" i="14" s="1"/>
  <c r="H20" i="14" s="1"/>
  <c r="H19" i="18" l="1"/>
  <c r="H42" i="18" s="1"/>
  <c r="D11" i="21" s="1"/>
  <c r="G42" i="18"/>
  <c r="H19" i="14"/>
  <c r="J19" i="18"/>
  <c r="J20" i="18"/>
  <c r="F21" i="18"/>
  <c r="I19" i="14"/>
  <c r="I20" i="14" s="1"/>
  <c r="E21" i="14"/>
  <c r="G21" i="14" s="1"/>
  <c r="H21" i="14" s="1"/>
  <c r="F20" i="14"/>
  <c r="J19" i="14" l="1"/>
  <c r="J21" i="18"/>
  <c r="F22" i="18"/>
  <c r="J20" i="14"/>
  <c r="F21" i="14"/>
  <c r="E22" i="14"/>
  <c r="I21" i="14"/>
  <c r="F23" i="18" l="1"/>
  <c r="J22" i="18"/>
  <c r="E23" i="14"/>
  <c r="G23" i="14" s="1"/>
  <c r="H23" i="14" s="1"/>
  <c r="F22" i="14"/>
  <c r="J21" i="14"/>
  <c r="G22" i="14"/>
  <c r="H22" i="14" l="1"/>
  <c r="F24" i="18"/>
  <c r="J23" i="18"/>
  <c r="F23" i="14"/>
  <c r="I22" i="14"/>
  <c r="I23" i="14" s="1"/>
  <c r="E24" i="14"/>
  <c r="G24" i="14" s="1"/>
  <c r="H24" i="14" s="1"/>
  <c r="J24" i="18" l="1"/>
  <c r="F25" i="18"/>
  <c r="I24" i="14"/>
  <c r="F24" i="14"/>
  <c r="J23" i="14"/>
  <c r="E25" i="14"/>
  <c r="J22" i="14"/>
  <c r="F26" i="18" l="1"/>
  <c r="J25" i="18"/>
  <c r="J24" i="14"/>
  <c r="F25" i="14"/>
  <c r="G25" i="14"/>
  <c r="E26" i="14"/>
  <c r="G26" i="14" s="1"/>
  <c r="H26" i="14" s="1"/>
  <c r="H25" i="14" l="1"/>
  <c r="F27" i="18"/>
  <c r="J26" i="18"/>
  <c r="F26" i="14"/>
  <c r="E27" i="14"/>
  <c r="G27" i="14" s="1"/>
  <c r="H27" i="14" s="1"/>
  <c r="I25" i="14"/>
  <c r="I26" i="14" s="1"/>
  <c r="N24" i="11"/>
  <c r="N23" i="11"/>
  <c r="R25" i="13"/>
  <c r="N24" i="14" l="1"/>
  <c r="N24" i="18"/>
  <c r="R24" i="13"/>
  <c r="N20" i="18"/>
  <c r="P22" i="12"/>
  <c r="R28" i="13"/>
  <c r="P26" i="12"/>
  <c r="R21" i="13"/>
  <c r="N17" i="18"/>
  <c r="P19" i="12"/>
  <c r="N21" i="18"/>
  <c r="P23" i="12"/>
  <c r="R22" i="13"/>
  <c r="N18" i="18"/>
  <c r="P20" i="12"/>
  <c r="Q20" i="12" s="1"/>
  <c r="R26" i="13"/>
  <c r="P24" i="12"/>
  <c r="N22" i="18"/>
  <c r="R23" i="13"/>
  <c r="N19" i="18"/>
  <c r="P21" i="12"/>
  <c r="R27" i="13"/>
  <c r="P25" i="12"/>
  <c r="N23" i="18"/>
  <c r="F28" i="18"/>
  <c r="J27" i="18"/>
  <c r="N20" i="14"/>
  <c r="N20" i="11"/>
  <c r="N17" i="14"/>
  <c r="O18" i="14" s="1"/>
  <c r="N17" i="11"/>
  <c r="O18" i="11" s="1"/>
  <c r="N21" i="14"/>
  <c r="N21" i="11"/>
  <c r="N18" i="14"/>
  <c r="O19" i="14" s="1"/>
  <c r="N18" i="11"/>
  <c r="N22" i="14"/>
  <c r="N22" i="11"/>
  <c r="N19" i="14"/>
  <c r="N19" i="11"/>
  <c r="N23" i="14"/>
  <c r="O24" i="14" s="1"/>
  <c r="J25" i="14"/>
  <c r="F27" i="14"/>
  <c r="J26" i="14"/>
  <c r="I27" i="14"/>
  <c r="E28" i="14"/>
  <c r="G28" i="14" s="1"/>
  <c r="H28" i="14" s="1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42" i="12"/>
  <c r="B43" i="12" s="1"/>
  <c r="B44" i="12" s="1"/>
  <c r="B45" i="12" s="1"/>
  <c r="B46" i="12" s="1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E20" i="12"/>
  <c r="B20" i="12"/>
  <c r="B19" i="12"/>
  <c r="B34" i="11"/>
  <c r="B35" i="11"/>
  <c r="B36" i="11"/>
  <c r="B37" i="11"/>
  <c r="B38" i="11"/>
  <c r="B39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O22" i="18" l="1"/>
  <c r="P22" i="18" s="1"/>
  <c r="R22" i="18" s="1"/>
  <c r="S22" i="18" s="1"/>
  <c r="U24" i="13"/>
  <c r="R20" i="12"/>
  <c r="S21" i="12" s="1"/>
  <c r="T21" i="12" s="1"/>
  <c r="O25" i="18"/>
  <c r="P24" i="14"/>
  <c r="O25" i="14"/>
  <c r="O24" i="18"/>
  <c r="P24" i="18" s="1"/>
  <c r="O19" i="11"/>
  <c r="O20" i="11" s="1"/>
  <c r="O21" i="11" s="1"/>
  <c r="O22" i="11" s="1"/>
  <c r="O23" i="11" s="1"/>
  <c r="O21" i="18"/>
  <c r="P21" i="18" s="1"/>
  <c r="R21" i="18" s="1"/>
  <c r="S21" i="18" s="1"/>
  <c r="P19" i="14"/>
  <c r="O20" i="14"/>
  <c r="P20" i="14" s="1"/>
  <c r="R20" i="14" s="1"/>
  <c r="S20" i="14" s="1"/>
  <c r="U22" i="13"/>
  <c r="D18" i="11"/>
  <c r="D19" i="11" s="1"/>
  <c r="O20" i="18"/>
  <c r="P20" i="18" s="1"/>
  <c r="R20" i="18" s="1"/>
  <c r="S20" i="18" s="1"/>
  <c r="O19" i="18"/>
  <c r="P19" i="18" s="1"/>
  <c r="O18" i="18"/>
  <c r="P18" i="18" s="1"/>
  <c r="O23" i="14"/>
  <c r="P23" i="14" s="1"/>
  <c r="R23" i="14" s="1"/>
  <c r="S23" i="14" s="1"/>
  <c r="O22" i="14"/>
  <c r="P22" i="14" s="1"/>
  <c r="R22" i="14" s="1"/>
  <c r="S22" i="14" s="1"/>
  <c r="O21" i="14"/>
  <c r="P21" i="14" s="1"/>
  <c r="R21" i="14" s="1"/>
  <c r="S21" i="14" s="1"/>
  <c r="U23" i="13"/>
  <c r="U21" i="13"/>
  <c r="O23" i="18"/>
  <c r="P23" i="18" s="1"/>
  <c r="R23" i="18" s="1"/>
  <c r="S23" i="18" s="1"/>
  <c r="J28" i="18"/>
  <c r="F29" i="18"/>
  <c r="P18" i="11"/>
  <c r="F28" i="14"/>
  <c r="J27" i="14"/>
  <c r="E29" i="14"/>
  <c r="G29" i="14" s="1"/>
  <c r="H29" i="14" s="1"/>
  <c r="I28" i="14"/>
  <c r="G24" i="13"/>
  <c r="G28" i="13"/>
  <c r="G33" i="13"/>
  <c r="G25" i="13"/>
  <c r="G29" i="13"/>
  <c r="G26" i="13"/>
  <c r="G30" i="13"/>
  <c r="F20" i="12"/>
  <c r="G23" i="13"/>
  <c r="G27" i="13"/>
  <c r="G31" i="13"/>
  <c r="E19" i="11" l="1"/>
  <c r="D20" i="11"/>
  <c r="E20" i="11" s="1"/>
  <c r="E21" i="12"/>
  <c r="F21" i="12" s="1"/>
  <c r="R24" i="18"/>
  <c r="S25" i="13"/>
  <c r="U25" i="13" s="1"/>
  <c r="Q19" i="14"/>
  <c r="Q20" i="14" s="1"/>
  <c r="P26" i="14"/>
  <c r="P26" i="18"/>
  <c r="D21" i="12"/>
  <c r="G21" i="12" s="1"/>
  <c r="H21" i="12" s="1"/>
  <c r="Q21" i="12"/>
  <c r="R21" i="12" s="1"/>
  <c r="S22" i="12" s="1"/>
  <c r="T22" i="12" s="1"/>
  <c r="O24" i="11"/>
  <c r="P23" i="11"/>
  <c r="R23" i="11" s="1"/>
  <c r="S23" i="11" s="1"/>
  <c r="R24" i="14"/>
  <c r="P19" i="11"/>
  <c r="R19" i="14"/>
  <c r="Q19" i="18"/>
  <c r="R19" i="18"/>
  <c r="V21" i="12"/>
  <c r="U21" i="12"/>
  <c r="J29" i="18"/>
  <c r="F30" i="18"/>
  <c r="F33" i="13"/>
  <c r="P20" i="11"/>
  <c r="E30" i="14"/>
  <c r="G30" i="14" s="1"/>
  <c r="H30" i="14" s="1"/>
  <c r="I29" i="14"/>
  <c r="J28" i="14"/>
  <c r="F29" i="14"/>
  <c r="D34" i="13" l="1"/>
  <c r="H34" i="13" s="1"/>
  <c r="G20" i="11"/>
  <c r="H20" i="11" s="1"/>
  <c r="G19" i="11"/>
  <c r="H19" i="11" s="1"/>
  <c r="F19" i="11"/>
  <c r="E22" i="12"/>
  <c r="F22" i="12" s="1"/>
  <c r="D23" i="12" s="1"/>
  <c r="G23" i="12" s="1"/>
  <c r="I23" i="12" s="1"/>
  <c r="J23" i="12" s="1"/>
  <c r="D22" i="12"/>
  <c r="E23" i="12"/>
  <c r="F23" i="12" s="1"/>
  <c r="R26" i="18"/>
  <c r="T25" i="13"/>
  <c r="S26" i="13" s="1"/>
  <c r="U26" i="13" s="1"/>
  <c r="R26" i="14"/>
  <c r="G34" i="13"/>
  <c r="S24" i="18"/>
  <c r="U22" i="12"/>
  <c r="V22" i="12"/>
  <c r="I21" i="12"/>
  <c r="K21" i="12" s="1"/>
  <c r="L21" i="12" s="1"/>
  <c r="Q22" i="12"/>
  <c r="R22" i="12" s="1"/>
  <c r="S23" i="12" s="1"/>
  <c r="T23" i="12" s="1"/>
  <c r="U23" i="12" s="1"/>
  <c r="O25" i="11"/>
  <c r="P24" i="11"/>
  <c r="R24" i="11" s="1"/>
  <c r="S24" i="11" s="1"/>
  <c r="R19" i="11"/>
  <c r="S24" i="14"/>
  <c r="S19" i="14"/>
  <c r="T19" i="14"/>
  <c r="T20" i="14" s="1"/>
  <c r="T21" i="14" s="1"/>
  <c r="T22" i="14" s="1"/>
  <c r="T23" i="14" s="1"/>
  <c r="T24" i="14" s="1"/>
  <c r="Q19" i="11"/>
  <c r="Q20" i="11" s="1"/>
  <c r="G22" i="12"/>
  <c r="T19" i="18"/>
  <c r="T20" i="18" s="1"/>
  <c r="T21" i="18" s="1"/>
  <c r="T22" i="18" s="1"/>
  <c r="T23" i="18" s="1"/>
  <c r="T24" i="18" s="1"/>
  <c r="S19" i="18"/>
  <c r="Q20" i="18"/>
  <c r="W21" i="12"/>
  <c r="X21" i="12"/>
  <c r="F31" i="18"/>
  <c r="J30" i="18"/>
  <c r="Q21" i="14"/>
  <c r="I30" i="14"/>
  <c r="R20" i="11"/>
  <c r="S20" i="11" s="1"/>
  <c r="D21" i="11"/>
  <c r="P21" i="11"/>
  <c r="R21" i="11" s="1"/>
  <c r="S21" i="11" s="1"/>
  <c r="F30" i="14"/>
  <c r="J29" i="14"/>
  <c r="E31" i="14"/>
  <c r="G31" i="14" s="1"/>
  <c r="H31" i="14" s="1"/>
  <c r="E24" i="12" l="1"/>
  <c r="F24" i="12" s="1"/>
  <c r="D24" i="12"/>
  <c r="T26" i="13"/>
  <c r="V27" i="13" s="1"/>
  <c r="W27" i="13" s="1"/>
  <c r="X27" i="13" s="1"/>
  <c r="V26" i="13"/>
  <c r="W26" i="13" s="1"/>
  <c r="X26" i="13" s="1"/>
  <c r="S26" i="18"/>
  <c r="J21" i="12"/>
  <c r="S26" i="14"/>
  <c r="I22" i="12"/>
  <c r="W22" i="12"/>
  <c r="Q23" i="12"/>
  <c r="V23" i="12"/>
  <c r="W23" i="12" s="1"/>
  <c r="H22" i="12"/>
  <c r="H23" i="12" s="1"/>
  <c r="X22" i="12"/>
  <c r="Y22" i="12" s="1"/>
  <c r="S19" i="11"/>
  <c r="T19" i="11"/>
  <c r="T20" i="11" s="1"/>
  <c r="T21" i="11" s="1"/>
  <c r="U20" i="14"/>
  <c r="U19" i="14"/>
  <c r="U20" i="18"/>
  <c r="Q21" i="18"/>
  <c r="Y21" i="12"/>
  <c r="U19" i="18"/>
  <c r="F32" i="18"/>
  <c r="J31" i="18"/>
  <c r="U21" i="14"/>
  <c r="Q22" i="14"/>
  <c r="I31" i="14"/>
  <c r="P22" i="11"/>
  <c r="P26" i="11" s="1"/>
  <c r="D22" i="11"/>
  <c r="E21" i="11"/>
  <c r="Q21" i="11"/>
  <c r="F31" i="14"/>
  <c r="J30" i="14"/>
  <c r="E32" i="14"/>
  <c r="G32" i="14" s="1"/>
  <c r="H32" i="14" s="1"/>
  <c r="F20" i="11"/>
  <c r="I19" i="11"/>
  <c r="E25" i="12" l="1"/>
  <c r="F25" i="12" s="1"/>
  <c r="E26" i="12" s="1"/>
  <c r="I20" i="11"/>
  <c r="J20" i="11" s="1"/>
  <c r="J19" i="11"/>
  <c r="S27" i="13"/>
  <c r="U27" i="13" s="1"/>
  <c r="Y27" i="13"/>
  <c r="Z27" i="13" s="1"/>
  <c r="U19" i="11"/>
  <c r="Y26" i="13"/>
  <c r="J22" i="12"/>
  <c r="K22" i="12"/>
  <c r="K23" i="12" s="1"/>
  <c r="L23" i="12" s="1"/>
  <c r="R23" i="12"/>
  <c r="S24" i="12" s="1"/>
  <c r="T24" i="12" s="1"/>
  <c r="X23" i="12"/>
  <c r="Y23" i="12" s="1"/>
  <c r="U21" i="11"/>
  <c r="U20" i="11"/>
  <c r="G21" i="11"/>
  <c r="I21" i="11" s="1"/>
  <c r="G24" i="12"/>
  <c r="Q22" i="18"/>
  <c r="U21" i="18"/>
  <c r="J32" i="18"/>
  <c r="F33" i="18"/>
  <c r="Q23" i="14"/>
  <c r="Q24" i="14" s="1"/>
  <c r="U22" i="14"/>
  <c r="Q22" i="11"/>
  <c r="Q23" i="11" s="1"/>
  <c r="E22" i="11"/>
  <c r="G22" i="11" s="1"/>
  <c r="H22" i="11" s="1"/>
  <c r="D23" i="11"/>
  <c r="R22" i="11"/>
  <c r="J31" i="14"/>
  <c r="F32" i="14"/>
  <c r="I32" i="14"/>
  <c r="E33" i="14"/>
  <c r="E42" i="14" s="1"/>
  <c r="D25" i="12"/>
  <c r="F21" i="11"/>
  <c r="T27" i="13" l="1"/>
  <c r="S28" i="13" s="1"/>
  <c r="U28" i="13" s="1"/>
  <c r="Z26" i="13"/>
  <c r="AA26" i="13"/>
  <c r="AA27" i="13" s="1"/>
  <c r="AB27" i="13" s="1"/>
  <c r="L22" i="12"/>
  <c r="I24" i="12"/>
  <c r="K24" i="12" s="1"/>
  <c r="Q24" i="12"/>
  <c r="R24" i="12" s="1"/>
  <c r="Q25" i="12" s="1"/>
  <c r="R25" i="12" s="1"/>
  <c r="S26" i="12" s="1"/>
  <c r="T26" i="12" s="1"/>
  <c r="V26" i="12" s="1"/>
  <c r="W26" i="12" s="1"/>
  <c r="V24" i="12"/>
  <c r="U24" i="12"/>
  <c r="H24" i="12"/>
  <c r="S22" i="11"/>
  <c r="S26" i="11" s="1"/>
  <c r="R26" i="11"/>
  <c r="T22" i="11"/>
  <c r="Q24" i="11"/>
  <c r="H21" i="11"/>
  <c r="J33" i="18"/>
  <c r="F34" i="18"/>
  <c r="F35" i="18" s="1"/>
  <c r="G25" i="12"/>
  <c r="I25" i="12" s="1"/>
  <c r="J25" i="12" s="1"/>
  <c r="Q23" i="18"/>
  <c r="U22" i="18"/>
  <c r="I22" i="11"/>
  <c r="U23" i="14"/>
  <c r="J21" i="11"/>
  <c r="D24" i="11"/>
  <c r="E23" i="11"/>
  <c r="G23" i="11" s="1"/>
  <c r="H23" i="11" s="1"/>
  <c r="F33" i="14"/>
  <c r="F34" i="14" s="1"/>
  <c r="J32" i="14"/>
  <c r="G33" i="14"/>
  <c r="D35" i="13"/>
  <c r="H35" i="13" s="1"/>
  <c r="F26" i="12"/>
  <c r="E27" i="12" s="1"/>
  <c r="D26" i="12"/>
  <c r="F22" i="11"/>
  <c r="T28" i="13" l="1"/>
  <c r="V32" i="13" s="1"/>
  <c r="V28" i="13"/>
  <c r="W28" i="13" s="1"/>
  <c r="W33" i="13" s="1"/>
  <c r="AB26" i="13"/>
  <c r="U23" i="18"/>
  <c r="Q24" i="18"/>
  <c r="U24" i="18" s="1"/>
  <c r="S25" i="12"/>
  <c r="T25" i="12" s="1"/>
  <c r="T31" i="12" s="1"/>
  <c r="J24" i="12"/>
  <c r="U26" i="12"/>
  <c r="Q26" i="12"/>
  <c r="R26" i="12" s="1"/>
  <c r="W24" i="12"/>
  <c r="X24" i="12"/>
  <c r="Y24" i="12" s="1"/>
  <c r="K25" i="12"/>
  <c r="U22" i="11"/>
  <c r="T23" i="11"/>
  <c r="J34" i="18"/>
  <c r="J22" i="11"/>
  <c r="F35" i="14"/>
  <c r="I33" i="14"/>
  <c r="I34" i="14" s="1"/>
  <c r="I35" i="14" s="1"/>
  <c r="I36" i="14" s="1"/>
  <c r="I37" i="14" s="1"/>
  <c r="I38" i="14" s="1"/>
  <c r="I39" i="14" s="1"/>
  <c r="I40" i="14" s="1"/>
  <c r="H33" i="14"/>
  <c r="H42" i="14" s="1"/>
  <c r="D10" i="21" s="1"/>
  <c r="G42" i="14"/>
  <c r="G26" i="12"/>
  <c r="I26" i="12" s="1"/>
  <c r="J26" i="12" s="1"/>
  <c r="H25" i="12"/>
  <c r="E24" i="11"/>
  <c r="G24" i="11" s="1"/>
  <c r="D25" i="11"/>
  <c r="I23" i="11"/>
  <c r="J34" i="13"/>
  <c r="E35" i="13"/>
  <c r="G35" i="13" s="1"/>
  <c r="I34" i="13"/>
  <c r="D27" i="12"/>
  <c r="L24" i="12"/>
  <c r="F27" i="12"/>
  <c r="E28" i="12" s="1"/>
  <c r="F23" i="11"/>
  <c r="V30" i="13" l="1"/>
  <c r="V29" i="13"/>
  <c r="V31" i="13"/>
  <c r="X28" i="13"/>
  <c r="Y28" i="13"/>
  <c r="Y33" i="13" s="1"/>
  <c r="L34" i="13"/>
  <c r="K34" i="13"/>
  <c r="L25" i="12"/>
  <c r="V25" i="12"/>
  <c r="W25" i="12" s="1"/>
  <c r="W31" i="12" s="1"/>
  <c r="U25" i="12"/>
  <c r="J33" i="14"/>
  <c r="S27" i="12"/>
  <c r="S30" i="12"/>
  <c r="S29" i="12"/>
  <c r="S28" i="12"/>
  <c r="H26" i="12"/>
  <c r="K26" i="12"/>
  <c r="T24" i="11"/>
  <c r="U24" i="11" s="1"/>
  <c r="U23" i="11"/>
  <c r="H24" i="11"/>
  <c r="F36" i="18"/>
  <c r="J35" i="18"/>
  <c r="J34" i="14"/>
  <c r="F36" i="14"/>
  <c r="J35" i="14"/>
  <c r="G27" i="12"/>
  <c r="I27" i="12" s="1"/>
  <c r="J23" i="11"/>
  <c r="I24" i="11"/>
  <c r="D26" i="11"/>
  <c r="E25" i="11"/>
  <c r="G25" i="11" s="1"/>
  <c r="H25" i="11" s="1"/>
  <c r="D36" i="13"/>
  <c r="H36" i="13" s="1"/>
  <c r="F28" i="12"/>
  <c r="E29" i="12" s="1"/>
  <c r="D28" i="12"/>
  <c r="F24" i="11"/>
  <c r="Z28" i="13" l="1"/>
  <c r="Z33" i="13" s="1"/>
  <c r="AA28" i="13"/>
  <c r="AB28" i="13" s="1"/>
  <c r="J24" i="11"/>
  <c r="X25" i="12"/>
  <c r="X26" i="12" s="1"/>
  <c r="Y26" i="12" s="1"/>
  <c r="V31" i="12"/>
  <c r="J27" i="12"/>
  <c r="L26" i="12"/>
  <c r="F37" i="18"/>
  <c r="J36" i="18"/>
  <c r="F37" i="14"/>
  <c r="J36" i="14"/>
  <c r="K27" i="12"/>
  <c r="H27" i="12"/>
  <c r="G28" i="12"/>
  <c r="I25" i="11"/>
  <c r="D27" i="11"/>
  <c r="E26" i="11"/>
  <c r="G26" i="11" s="1"/>
  <c r="H26" i="11" s="1"/>
  <c r="J35" i="13"/>
  <c r="K35" i="13" s="1"/>
  <c r="I35" i="13"/>
  <c r="F29" i="12"/>
  <c r="E30" i="12" s="1"/>
  <c r="D29" i="12"/>
  <c r="F25" i="11"/>
  <c r="Y25" i="12" l="1"/>
  <c r="L35" i="13"/>
  <c r="G36" i="13"/>
  <c r="H28" i="12"/>
  <c r="I28" i="12"/>
  <c r="L27" i="12"/>
  <c r="F38" i="18"/>
  <c r="J38" i="18" s="1"/>
  <c r="J37" i="18"/>
  <c r="J37" i="14"/>
  <c r="F38" i="14"/>
  <c r="G29" i="12"/>
  <c r="I29" i="12" s="1"/>
  <c r="J29" i="12" s="1"/>
  <c r="J25" i="11"/>
  <c r="D28" i="11"/>
  <c r="E27" i="11"/>
  <c r="G27" i="11" s="1"/>
  <c r="H27" i="11" s="1"/>
  <c r="I26" i="11"/>
  <c r="D37" i="13"/>
  <c r="H37" i="13" s="1"/>
  <c r="D30" i="12"/>
  <c r="F30" i="12"/>
  <c r="E31" i="12" s="1"/>
  <c r="F26" i="11"/>
  <c r="F39" i="14" l="1"/>
  <c r="J38" i="14"/>
  <c r="E37" i="13"/>
  <c r="K28" i="12"/>
  <c r="K29" i="12" s="1"/>
  <c r="J28" i="12"/>
  <c r="F39" i="18"/>
  <c r="H29" i="12"/>
  <c r="G30" i="12"/>
  <c r="I30" i="12" s="1"/>
  <c r="J30" i="12" s="1"/>
  <c r="I27" i="11"/>
  <c r="J26" i="11"/>
  <c r="D29" i="11"/>
  <c r="E28" i="11"/>
  <c r="G28" i="11" s="1"/>
  <c r="H28" i="11" s="1"/>
  <c r="J36" i="13"/>
  <c r="K36" i="13" s="1"/>
  <c r="I36" i="13"/>
  <c r="F31" i="12"/>
  <c r="E32" i="12" s="1"/>
  <c r="D31" i="12"/>
  <c r="F27" i="11"/>
  <c r="L36" i="13" l="1"/>
  <c r="F40" i="18"/>
  <c r="J40" i="18" s="1"/>
  <c r="J39" i="18"/>
  <c r="F40" i="14"/>
  <c r="J40" i="14" s="1"/>
  <c r="J39" i="14"/>
  <c r="D38" i="13"/>
  <c r="H38" i="13" s="1"/>
  <c r="J37" i="13"/>
  <c r="K37" i="13" s="1"/>
  <c r="G37" i="13"/>
  <c r="L28" i="12"/>
  <c r="K30" i="12"/>
  <c r="H30" i="12"/>
  <c r="L29" i="12"/>
  <c r="G31" i="12"/>
  <c r="I31" i="12" s="1"/>
  <c r="J27" i="11"/>
  <c r="I28" i="11"/>
  <c r="D30" i="11"/>
  <c r="E29" i="11"/>
  <c r="G29" i="11" s="1"/>
  <c r="H29" i="11" s="1"/>
  <c r="F32" i="12"/>
  <c r="E33" i="12" s="1"/>
  <c r="D32" i="12"/>
  <c r="F28" i="11"/>
  <c r="L37" i="13" l="1"/>
  <c r="I11" i="21"/>
  <c r="H11" i="21"/>
  <c r="I10" i="21"/>
  <c r="H10" i="21"/>
  <c r="I37" i="13"/>
  <c r="E38" i="13"/>
  <c r="G38" i="13" s="1"/>
  <c r="K31" i="12"/>
  <c r="L30" i="12"/>
  <c r="H31" i="12"/>
  <c r="J31" i="12"/>
  <c r="G32" i="12"/>
  <c r="I32" i="12" s="1"/>
  <c r="J32" i="12" s="1"/>
  <c r="J28" i="11"/>
  <c r="D31" i="11"/>
  <c r="E30" i="11"/>
  <c r="G30" i="11" s="1"/>
  <c r="H30" i="11" s="1"/>
  <c r="I29" i="11"/>
  <c r="D33" i="12"/>
  <c r="F33" i="12"/>
  <c r="E34" i="12" s="1"/>
  <c r="F29" i="11"/>
  <c r="J11" i="21" l="1"/>
  <c r="J10" i="21"/>
  <c r="E39" i="13"/>
  <c r="L31" i="12"/>
  <c r="H32" i="12"/>
  <c r="K32" i="12"/>
  <c r="G33" i="12"/>
  <c r="I33" i="12" s="1"/>
  <c r="J33" i="12" s="1"/>
  <c r="I30" i="11"/>
  <c r="J29" i="11"/>
  <c r="D32" i="11"/>
  <c r="E32" i="11" s="1"/>
  <c r="E31" i="11"/>
  <c r="G31" i="11" s="1"/>
  <c r="H31" i="11" s="1"/>
  <c r="F34" i="12"/>
  <c r="E35" i="12" s="1"/>
  <c r="D34" i="12"/>
  <c r="F30" i="11"/>
  <c r="D39" i="13" l="1"/>
  <c r="H39" i="13" s="1"/>
  <c r="J38" i="13"/>
  <c r="I38" i="13"/>
  <c r="G39" i="13"/>
  <c r="F39" i="13"/>
  <c r="H33" i="12"/>
  <c r="L32" i="12"/>
  <c r="K33" i="12"/>
  <c r="G34" i="12"/>
  <c r="I34" i="12" s="1"/>
  <c r="J34" i="12" s="1"/>
  <c r="J30" i="11"/>
  <c r="G32" i="11"/>
  <c r="H32" i="11" s="1"/>
  <c r="D33" i="11"/>
  <c r="I31" i="11"/>
  <c r="D35" i="12"/>
  <c r="F35" i="12"/>
  <c r="E36" i="12" s="1"/>
  <c r="F31" i="11"/>
  <c r="K38" i="13" l="1"/>
  <c r="L38" i="13"/>
  <c r="J39" i="13"/>
  <c r="K39" i="13" s="1"/>
  <c r="I39" i="13"/>
  <c r="E40" i="13"/>
  <c r="D40" i="13"/>
  <c r="H40" i="13" s="1"/>
  <c r="F36" i="12"/>
  <c r="D37" i="12" s="1"/>
  <c r="G37" i="12" s="1"/>
  <c r="I37" i="12" s="1"/>
  <c r="J37" i="12" s="1"/>
  <c r="D36" i="12"/>
  <c r="G36" i="12" s="1"/>
  <c r="I36" i="12" s="1"/>
  <c r="L33" i="12"/>
  <c r="H34" i="12"/>
  <c r="K34" i="12"/>
  <c r="G35" i="12"/>
  <c r="I32" i="11"/>
  <c r="E33" i="11"/>
  <c r="D34" i="11"/>
  <c r="J31" i="11"/>
  <c r="F32" i="11"/>
  <c r="J32" i="11" l="1"/>
  <c r="L39" i="13"/>
  <c r="M39" i="13" s="1"/>
  <c r="G40" i="13"/>
  <c r="D41" i="13"/>
  <c r="H41" i="13" s="1"/>
  <c r="J40" i="13"/>
  <c r="K40" i="13" s="1"/>
  <c r="E37" i="12"/>
  <c r="J36" i="12"/>
  <c r="I35" i="12"/>
  <c r="K35" i="12" s="1"/>
  <c r="K36" i="12" s="1"/>
  <c r="K37" i="12" s="1"/>
  <c r="H35" i="12"/>
  <c r="H36" i="12" s="1"/>
  <c r="L34" i="12"/>
  <c r="E34" i="11"/>
  <c r="G34" i="11" s="1"/>
  <c r="H34" i="11" s="1"/>
  <c r="D35" i="11"/>
  <c r="G33" i="11"/>
  <c r="H33" i="11" s="1"/>
  <c r="F33" i="11"/>
  <c r="L40" i="13" l="1"/>
  <c r="J35" i="12"/>
  <c r="F34" i="11"/>
  <c r="I40" i="13"/>
  <c r="E41" i="13"/>
  <c r="F37" i="12"/>
  <c r="D38" i="12" s="1"/>
  <c r="G38" i="12" s="1"/>
  <c r="I38" i="12" s="1"/>
  <c r="J38" i="12" s="1"/>
  <c r="L36" i="12"/>
  <c r="H37" i="12"/>
  <c r="L35" i="12"/>
  <c r="E35" i="11"/>
  <c r="G35" i="11" s="1"/>
  <c r="H35" i="11" s="1"/>
  <c r="D36" i="11"/>
  <c r="I33" i="11"/>
  <c r="F35" i="11" l="1"/>
  <c r="M40" i="13"/>
  <c r="G41" i="13"/>
  <c r="J41" i="13"/>
  <c r="K41" i="13" s="1"/>
  <c r="F41" i="13"/>
  <c r="D42" i="13" s="1"/>
  <c r="H42" i="13" s="1"/>
  <c r="E38" i="12"/>
  <c r="K38" i="12"/>
  <c r="L37" i="12"/>
  <c r="H38" i="12"/>
  <c r="J33" i="11"/>
  <c r="I34" i="11"/>
  <c r="E36" i="11"/>
  <c r="G36" i="11" s="1"/>
  <c r="H36" i="11" s="1"/>
  <c r="D37" i="11"/>
  <c r="F38" i="12" l="1"/>
  <c r="E39" i="12" s="1"/>
  <c r="F39" i="12" s="1"/>
  <c r="E40" i="12" s="1"/>
  <c r="L41" i="13"/>
  <c r="E42" i="13"/>
  <c r="I41" i="13"/>
  <c r="F36" i="11"/>
  <c r="L38" i="12"/>
  <c r="E37" i="11"/>
  <c r="G37" i="11" s="1"/>
  <c r="H37" i="11" s="1"/>
  <c r="D38" i="11"/>
  <c r="I35" i="11"/>
  <c r="J34" i="11"/>
  <c r="D39" i="12" l="1"/>
  <c r="G39" i="12" s="1"/>
  <c r="I39" i="12" s="1"/>
  <c r="K39" i="12" s="1"/>
  <c r="F37" i="11"/>
  <c r="G42" i="13"/>
  <c r="J42" i="13"/>
  <c r="K42" i="13" s="1"/>
  <c r="M41" i="13"/>
  <c r="E43" i="13"/>
  <c r="D43" i="13"/>
  <c r="H43" i="13" s="1"/>
  <c r="F40" i="12"/>
  <c r="E41" i="12" s="1"/>
  <c r="F41" i="12" s="1"/>
  <c r="D40" i="12"/>
  <c r="G40" i="12" s="1"/>
  <c r="I40" i="12" s="1"/>
  <c r="J40" i="12" s="1"/>
  <c r="I36" i="11"/>
  <c r="J35" i="11"/>
  <c r="E38" i="11"/>
  <c r="G38" i="11" s="1"/>
  <c r="H38" i="11" s="1"/>
  <c r="D39" i="11"/>
  <c r="D41" i="12" l="1"/>
  <c r="H39" i="12"/>
  <c r="L39" i="12" s="1"/>
  <c r="J39" i="12"/>
  <c r="L42" i="13"/>
  <c r="I42" i="13"/>
  <c r="J43" i="13"/>
  <c r="K43" i="13" s="1"/>
  <c r="G43" i="13"/>
  <c r="F43" i="13"/>
  <c r="G41" i="12"/>
  <c r="I41" i="12" s="1"/>
  <c r="J41" i="12" s="1"/>
  <c r="D42" i="12"/>
  <c r="G42" i="12" s="1"/>
  <c r="E42" i="12"/>
  <c r="K40" i="12"/>
  <c r="D40" i="11"/>
  <c r="E39" i="11"/>
  <c r="G39" i="11" s="1"/>
  <c r="H39" i="11" s="1"/>
  <c r="I37" i="11"/>
  <c r="J36" i="11"/>
  <c r="F38" i="11"/>
  <c r="H40" i="12" l="1"/>
  <c r="L40" i="12" s="1"/>
  <c r="M42" i="13"/>
  <c r="L43" i="13"/>
  <c r="I43" i="13"/>
  <c r="K41" i="12"/>
  <c r="E44" i="13"/>
  <c r="D44" i="13"/>
  <c r="H44" i="13" s="1"/>
  <c r="I42" i="12"/>
  <c r="G47" i="12"/>
  <c r="F42" i="12"/>
  <c r="D44" i="12" s="1"/>
  <c r="I38" i="11"/>
  <c r="I39" i="11" s="1"/>
  <c r="J37" i="11"/>
  <c r="F39" i="11"/>
  <c r="D41" i="11"/>
  <c r="E40" i="11"/>
  <c r="D46" i="12" l="1"/>
  <c r="D43" i="12"/>
  <c r="D45" i="12"/>
  <c r="H41" i="12"/>
  <c r="H42" i="12" s="1"/>
  <c r="M43" i="13"/>
  <c r="K42" i="12"/>
  <c r="L42" i="12" s="1"/>
  <c r="G44" i="13"/>
  <c r="F44" i="13"/>
  <c r="H49" i="13"/>
  <c r="J42" i="12"/>
  <c r="J47" i="12" s="1"/>
  <c r="D13" i="21" s="1"/>
  <c r="I47" i="12"/>
  <c r="J38" i="11"/>
  <c r="F40" i="11"/>
  <c r="J39" i="11"/>
  <c r="G40" i="11"/>
  <c r="I40" i="11" s="1"/>
  <c r="E42" i="11"/>
  <c r="L41" i="12" l="1"/>
  <c r="I13" i="21" s="1"/>
  <c r="D47" i="13"/>
  <c r="D46" i="13"/>
  <c r="J44" i="13"/>
  <c r="I44" i="13"/>
  <c r="D48" i="13"/>
  <c r="J40" i="11"/>
  <c r="H40" i="11"/>
  <c r="H42" i="11" s="1"/>
  <c r="G42" i="11"/>
  <c r="C3" i="22"/>
  <c r="H13" i="21" l="1"/>
  <c r="J13" i="21" s="1"/>
  <c r="D12" i="21"/>
  <c r="K44" i="13"/>
  <c r="L44" i="13"/>
  <c r="O6" i="22"/>
  <c r="P6" i="22" s="1"/>
  <c r="O5" i="22"/>
  <c r="P5" i="22" s="1"/>
  <c r="O4" i="22"/>
  <c r="O7" i="22"/>
  <c r="P7" i="22" s="1"/>
  <c r="C5" i="22"/>
  <c r="I12" i="21"/>
  <c r="H12" i="21"/>
  <c r="J49" i="13"/>
  <c r="J12" i="21" l="1"/>
  <c r="O8" i="22"/>
  <c r="P4" i="22"/>
  <c r="M44" i="13"/>
  <c r="K49" i="13"/>
  <c r="D14" i="21" s="1"/>
  <c r="Z16" i="22" l="1" a="1"/>
  <c r="Z16" i="22" s="1"/>
  <c r="I16" i="22" a="1"/>
  <c r="I16" i="22" s="1"/>
  <c r="X16" i="22" a="1"/>
  <c r="X16" i="22" s="1"/>
  <c r="J16" i="22" a="1"/>
  <c r="J16" i="22" s="1"/>
  <c r="G16" i="22" a="1"/>
  <c r="G16" i="22" s="1"/>
  <c r="M16" i="22" a="1"/>
  <c r="M16" i="22" s="1"/>
  <c r="N16" i="22" a="1"/>
  <c r="N16" i="22" s="1"/>
  <c r="AA16" i="22" a="1"/>
  <c r="AA16" i="22" s="1"/>
  <c r="Y16" i="22" a="1"/>
  <c r="Y16" i="22" s="1"/>
  <c r="R16" i="22" a="1"/>
  <c r="R16" i="22" s="1"/>
  <c r="E16" i="22" a="1"/>
  <c r="E16" i="22" s="1"/>
  <c r="W16" i="22" a="1"/>
  <c r="W16" i="22" s="1"/>
  <c r="C16" i="22" a="1"/>
  <c r="C16" i="22" s="1"/>
  <c r="F16" i="22" a="1"/>
  <c r="F16" i="22" s="1"/>
  <c r="T16" i="22" a="1"/>
  <c r="T16" i="22" s="1"/>
  <c r="AD16" i="22" a="1"/>
  <c r="AD16" i="22" s="1"/>
  <c r="V16" i="22" a="1"/>
  <c r="V16" i="22" s="1"/>
  <c r="AC16" i="22" a="1"/>
  <c r="AC16" i="22" s="1"/>
  <c r="S16" i="22" a="1"/>
  <c r="S16" i="22" s="1"/>
  <c r="H16" i="22" a="1"/>
  <c r="H16" i="22" s="1"/>
  <c r="K16" i="22" a="1"/>
  <c r="K16" i="22" s="1"/>
  <c r="Q16" i="22" a="1"/>
  <c r="Q16" i="22" s="1"/>
  <c r="D16" i="22" a="1"/>
  <c r="D16" i="22" s="1"/>
  <c r="AB16" i="22" a="1"/>
  <c r="AB16" i="22" s="1"/>
  <c r="O16" i="22" a="1"/>
  <c r="O16" i="22" s="1"/>
  <c r="U16" i="22" a="1"/>
  <c r="U16" i="22" s="1"/>
  <c r="P16" i="22" a="1"/>
  <c r="P16" i="22" s="1"/>
  <c r="L16" i="22" a="1"/>
  <c r="L16" i="22" s="1"/>
  <c r="H14" i="21"/>
  <c r="I14" i="21"/>
  <c r="J14" i="21" l="1"/>
  <c r="AH16" i="22"/>
  <c r="C14" i="22"/>
  <c r="C17" i="22"/>
  <c r="D13" i="22" s="1"/>
  <c r="D17" i="22" s="1"/>
  <c r="E13" i="22" s="1"/>
  <c r="E17" i="22" s="1"/>
  <c r="F13" i="22" s="1"/>
  <c r="F17" i="22" s="1"/>
  <c r="G13" i="22" s="1"/>
  <c r="G17" i="22" s="1"/>
  <c r="H13" i="22" s="1"/>
  <c r="D14" i="22" l="1"/>
  <c r="I15" i="22" s="1"/>
  <c r="H15" i="22"/>
  <c r="H17" i="22" s="1"/>
  <c r="I13" i="22" s="1"/>
  <c r="K14" i="21" a="1"/>
  <c r="K14" i="21" s="1"/>
  <c r="K12" i="21" a="1"/>
  <c r="K12" i="21" s="1"/>
  <c r="K10" i="21" a="1"/>
  <c r="K10" i="21" s="1"/>
  <c r="K13" i="21" a="1"/>
  <c r="K13" i="21" s="1"/>
  <c r="K11" i="21" a="1"/>
  <c r="K11" i="21" s="1"/>
  <c r="E5" i="21" l="1"/>
  <c r="E8" i="24" s="1"/>
  <c r="E14" i="22"/>
  <c r="I17" i="22"/>
  <c r="J13" i="22" s="1"/>
  <c r="J15" i="22" l="1"/>
  <c r="J17" i="22" s="1"/>
  <c r="K13" i="22" s="1"/>
  <c r="F14" i="22"/>
  <c r="K15" i="22" s="1"/>
  <c r="G14" i="22" l="1"/>
  <c r="L15" i="22" s="1"/>
  <c r="K17" i="22"/>
  <c r="L13" i="22" s="1"/>
  <c r="L17" i="22" l="1"/>
  <c r="M13" i="22" s="1"/>
  <c r="H14" i="22"/>
  <c r="M15" i="22" s="1"/>
  <c r="I14" i="22" l="1"/>
  <c r="M17" i="22"/>
  <c r="N13" i="22" s="1"/>
  <c r="N15" i="22" l="1"/>
  <c r="N17" i="22" s="1"/>
  <c r="O13" i="22" s="1"/>
  <c r="Q4" i="22"/>
  <c r="J14" i="22"/>
  <c r="K14" i="22" l="1"/>
  <c r="P15" i="22" s="1"/>
  <c r="O15" i="22"/>
  <c r="O17" i="22" s="1"/>
  <c r="P13" i="22" s="1"/>
  <c r="P17" i="22" l="1"/>
  <c r="Q13" i="22" s="1"/>
  <c r="L14" i="22"/>
  <c r="Q15" i="22" l="1"/>
  <c r="Q17" i="22" s="1"/>
  <c r="R13" i="22" s="1"/>
  <c r="M14" i="22"/>
  <c r="R15" i="22" s="1"/>
  <c r="R17" i="22" l="1"/>
  <c r="S13" i="22" s="1"/>
  <c r="N14" i="22"/>
  <c r="S15" i="22" l="1"/>
  <c r="S17" i="22" s="1"/>
  <c r="T13" i="22" s="1"/>
  <c r="O14" i="22"/>
  <c r="T15" i="22" s="1"/>
  <c r="T17" i="22" l="1"/>
  <c r="U13" i="22" s="1"/>
  <c r="P14" i="22"/>
  <c r="U15" i="22" l="1"/>
  <c r="U17" i="22" s="1"/>
  <c r="V13" i="22" s="1"/>
  <c r="Q14" i="22"/>
  <c r="V15" i="22" s="1"/>
  <c r="Q5" i="22"/>
  <c r="R14" i="22" l="1"/>
  <c r="W15" i="22" s="1"/>
  <c r="V17" i="22"/>
  <c r="W13" i="22" s="1"/>
  <c r="S14" i="22" l="1"/>
  <c r="X15" i="22" s="1"/>
  <c r="W17" i="22"/>
  <c r="X13" i="22" s="1"/>
  <c r="T14" i="22" l="1"/>
  <c r="Y15" i="22" s="1"/>
  <c r="X17" i="22"/>
  <c r="Y13" i="22" s="1"/>
  <c r="U14" i="22" l="1"/>
  <c r="Z15" i="22" s="1"/>
  <c r="Y17" i="22"/>
  <c r="Z13" i="22" s="1"/>
  <c r="Z17" i="22" l="1"/>
  <c r="AA13" i="22" s="1"/>
  <c r="V14" i="22"/>
  <c r="AA15" i="22" s="1"/>
  <c r="AA17" i="22" l="1"/>
  <c r="AB13" i="22" s="1"/>
  <c r="W14" i="22"/>
  <c r="X14" i="22" s="1"/>
  <c r="AC15" i="22" s="1"/>
  <c r="Q6" i="22" l="1"/>
  <c r="AB15" i="22"/>
  <c r="AB17" i="22" s="1"/>
  <c r="AC13" i="22" s="1"/>
  <c r="AC17" i="22" s="1"/>
  <c r="AD13" i="22" s="1"/>
  <c r="Y14" i="22"/>
  <c r="AD15" i="22" s="1"/>
  <c r="AD17" i="22" l="1"/>
  <c r="AH15" i="22"/>
  <c r="Z14" i="22"/>
  <c r="AA14" i="22" l="1"/>
  <c r="AB14" i="22" s="1"/>
  <c r="AC14" i="22" s="1"/>
  <c r="AD14" i="22" s="1"/>
  <c r="AH14" i="22" l="1"/>
  <c r="Q7" i="22"/>
  <c r="Q8" i="22" s="1"/>
</calcChain>
</file>

<file path=xl/comments1.xml><?xml version="1.0" encoding="utf-8"?>
<comments xmlns="http://schemas.openxmlformats.org/spreadsheetml/2006/main">
  <authors>
    <author>Author</author>
  </authors>
  <commentList>
    <comment ref="K9" authorId="0" shapeId="0">
      <text>
        <r>
          <rPr>
            <b/>
            <sz val="9"/>
            <color indexed="81"/>
            <rFont val="Tahoma"/>
            <family val="2"/>
          </rPr>
          <t>Gives minumum MAPE(%) against "OK" TS Check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Forecast for next period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O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period forecast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D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 enter Using Naiive Approach </t>
        </r>
      </text>
    </comment>
    <comment ref="O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 enter Using Naiive Approach 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Working</t>
        </r>
      </text>
    </comment>
    <comment ref="F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Working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Working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Values Calculation</t>
        </r>
      </text>
    </comment>
    <comment ref="U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Values Calculation</t>
        </r>
      </text>
    </comment>
    <comment ref="U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Values Calculation</t>
        </r>
      </text>
    </comment>
    <comment ref="U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Values Calculation</t>
        </r>
      </text>
    </comment>
    <comment ref="U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Initial Values Calculation</t>
        </r>
      </text>
    </comment>
  </commentList>
</comments>
</file>

<file path=xl/sharedStrings.xml><?xml version="1.0" encoding="utf-8"?>
<sst xmlns="http://schemas.openxmlformats.org/spreadsheetml/2006/main" count="435" uniqueCount="137">
  <si>
    <t>Actual Sales</t>
  </si>
  <si>
    <t>Alpha</t>
  </si>
  <si>
    <t>MAD</t>
  </si>
  <si>
    <t>MAPE</t>
  </si>
  <si>
    <t>Months</t>
  </si>
  <si>
    <t>Beta</t>
  </si>
  <si>
    <t>Level</t>
  </si>
  <si>
    <t>Gamma</t>
  </si>
  <si>
    <t>Input Category</t>
  </si>
  <si>
    <t>Enter Sales</t>
  </si>
  <si>
    <t>Enter last 24 months sales&gt;&gt;</t>
  </si>
  <si>
    <t>S#</t>
  </si>
  <si>
    <t>ft=ft-1+α(At-1−ft-1)</t>
  </si>
  <si>
    <t>Smoothed trend</t>
  </si>
  <si>
    <t>Forecast including Trend</t>
  </si>
  <si>
    <t>Ft</t>
  </si>
  <si>
    <t>Tt</t>
  </si>
  <si>
    <t>FITt</t>
  </si>
  <si>
    <t>At</t>
  </si>
  <si>
    <t>-</t>
  </si>
  <si>
    <t>Forecast</t>
  </si>
  <si>
    <t>At-Ft</t>
  </si>
  <si>
    <t>L</t>
  </si>
  <si>
    <t>Lt=α(At)+(1-α)(Lt-1+Tt-1)</t>
  </si>
  <si>
    <t>Tt=β(Lt−Lt-1)+(1-β)Tt-1</t>
  </si>
  <si>
    <t>K</t>
  </si>
  <si>
    <t>F(t+K)=Lt+K*Tt</t>
  </si>
  <si>
    <t>Exponential Smoothing</t>
  </si>
  <si>
    <t>MAPE (%)</t>
  </si>
  <si>
    <t>Season</t>
  </si>
  <si>
    <t>St</t>
  </si>
  <si>
    <t>Error/ Bias</t>
  </si>
  <si>
    <t>Running Sum</t>
  </si>
  <si>
    <t>Commulative Absolute Error</t>
  </si>
  <si>
    <t>Tracking Signal</t>
  </si>
  <si>
    <t>Input</t>
  </si>
  <si>
    <t>Average Values</t>
  </si>
  <si>
    <t>Mean Absolute deviation (MAD)</t>
  </si>
  <si>
    <t>Mean Absolute Percentage error (MAPE)</t>
  </si>
  <si>
    <t>*As alpha gets closer to 1, the more weight put on the most recent demand number</t>
  </si>
  <si>
    <t>Bias</t>
  </si>
  <si>
    <t>Mean Absolute Deviation (MAD)</t>
  </si>
  <si>
    <t>F(t+K)=(Lt+K*Tt)*St</t>
  </si>
  <si>
    <t>Quarterly Sales&gt;&gt;</t>
  </si>
  <si>
    <t>Quarter</t>
  </si>
  <si>
    <t>Quarter&gt;&gt;</t>
  </si>
  <si>
    <t>Q1- 2018</t>
  </si>
  <si>
    <t>Q2- 2018</t>
  </si>
  <si>
    <t>Q3- 2018</t>
  </si>
  <si>
    <t>Q4- 2018</t>
  </si>
  <si>
    <t>Q1- 2017</t>
  </si>
  <si>
    <t>Q2- 2017</t>
  </si>
  <si>
    <t>Q3- 2017</t>
  </si>
  <si>
    <t>Q4- 2017</t>
  </si>
  <si>
    <t>Exponential Smoothing- Monthly</t>
  </si>
  <si>
    <t>Moving Average</t>
  </si>
  <si>
    <t>ft=At-1</t>
  </si>
  <si>
    <t>Naiive Approach- Quarterly</t>
  </si>
  <si>
    <t>Naiive Approach- Monthly</t>
  </si>
  <si>
    <t>ft=Average(At-1,At-2,At-3)</t>
  </si>
  <si>
    <t>Moving Average- Monthly</t>
  </si>
  <si>
    <t>Moving Average- Quarterly</t>
  </si>
  <si>
    <t>Holt's Method- Monthly</t>
  </si>
  <si>
    <t>Holt's Method- Quarterly</t>
  </si>
  <si>
    <t>Lt</t>
  </si>
  <si>
    <t>Forecast including trend</t>
  </si>
  <si>
    <t>FIT</t>
  </si>
  <si>
    <t>Exponential Smoothing- Quarterly</t>
  </si>
  <si>
    <t>Winter's Smoothing- Monthly</t>
  </si>
  <si>
    <t>Winter's Smoothing- Quarterly</t>
  </si>
  <si>
    <t>TS (+)</t>
  </si>
  <si>
    <t>TS (-)</t>
  </si>
  <si>
    <t>Monthly</t>
  </si>
  <si>
    <t>Naive Approach</t>
  </si>
  <si>
    <t>Holt Method</t>
  </si>
  <si>
    <t>Winter Method</t>
  </si>
  <si>
    <t>Q1-2019</t>
  </si>
  <si>
    <t>Q2-2019</t>
  </si>
  <si>
    <t>Q3-2019</t>
  </si>
  <si>
    <t>Q4-2019</t>
  </si>
  <si>
    <t>Order</t>
  </si>
  <si>
    <t>Arrival</t>
  </si>
  <si>
    <t>Consumption</t>
  </si>
  <si>
    <t>W1</t>
  </si>
  <si>
    <t>W2</t>
  </si>
  <si>
    <t>Closing</t>
  </si>
  <si>
    <t>W3</t>
  </si>
  <si>
    <t>W4</t>
  </si>
  <si>
    <t>days</t>
  </si>
  <si>
    <t>Min Stock</t>
  </si>
  <si>
    <t>Demand for Month</t>
  </si>
  <si>
    <t>Opening</t>
  </si>
  <si>
    <t>Pending Arrival</t>
  </si>
  <si>
    <t>From</t>
  </si>
  <si>
    <t>To</t>
  </si>
  <si>
    <t>MOQ</t>
  </si>
  <si>
    <t>units</t>
  </si>
  <si>
    <t>Arrival Day</t>
  </si>
  <si>
    <t>Lead Time</t>
  </si>
  <si>
    <t>Month Op Stock</t>
  </si>
  <si>
    <t>Totals</t>
  </si>
  <si>
    <t>Enter no. of days&gt;&gt;</t>
  </si>
  <si>
    <t>Enter no. of units consistent with demand&gt;&gt;</t>
  </si>
  <si>
    <t>Enter arrival date of pending units&gt;&gt;</t>
  </si>
  <si>
    <t>Enter MOQ&gt;&gt;</t>
  </si>
  <si>
    <t>Enter value of beta&gt;&gt;</t>
  </si>
  <si>
    <t>Enter value of gamma&gt;&gt;</t>
  </si>
  <si>
    <t>Category:</t>
  </si>
  <si>
    <t>Data type:</t>
  </si>
  <si>
    <t>Best Suitable model:</t>
  </si>
  <si>
    <t>Order Planning</t>
  </si>
  <si>
    <t>Select data type</t>
  </si>
  <si>
    <t>Recommended model:</t>
  </si>
  <si>
    <t>Enter value of alpha&gt;&gt;</t>
  </si>
  <si>
    <t>Enter Dates&gt;&gt;</t>
  </si>
  <si>
    <r>
      <t>Alpha (</t>
    </r>
    <r>
      <rPr>
        <b/>
        <sz val="10"/>
        <color theme="1"/>
        <rFont val="Calibri"/>
        <family val="2"/>
      </rPr>
      <t>α)</t>
    </r>
  </si>
  <si>
    <r>
      <t>Beta (</t>
    </r>
    <r>
      <rPr>
        <b/>
        <sz val="10"/>
        <color theme="1"/>
        <rFont val="Calibri"/>
        <family val="2"/>
      </rPr>
      <t>β)</t>
    </r>
  </si>
  <si>
    <r>
      <t>Gamma (</t>
    </r>
    <r>
      <rPr>
        <b/>
        <sz val="10"/>
        <color theme="1"/>
        <rFont val="Calibri"/>
        <family val="2"/>
      </rPr>
      <t>γ)</t>
    </r>
  </si>
  <si>
    <t>Month opening stock</t>
  </si>
  <si>
    <t>Pending Arrivals</t>
  </si>
  <si>
    <t>Pending arrivals date</t>
  </si>
  <si>
    <t>Select Model&gt;&gt;</t>
  </si>
  <si>
    <t>TS Check</t>
  </si>
  <si>
    <t>Result</t>
  </si>
  <si>
    <t>Milk Pak Milk 250ml</t>
  </si>
  <si>
    <t>Please enter values in yellow highlighted cells</t>
  </si>
  <si>
    <t>Enter Category name&gt;&gt;</t>
  </si>
  <si>
    <t>including safety stock&gt;&gt;</t>
  </si>
  <si>
    <t>Week #</t>
  </si>
  <si>
    <t>Demand weightage per Wk</t>
  </si>
  <si>
    <t>Weighted demand in units per Wk</t>
  </si>
  <si>
    <t>Minimum Demand per day</t>
  </si>
  <si>
    <t>Order for week</t>
  </si>
  <si>
    <t>Max TS</t>
  </si>
  <si>
    <t>Min TS</t>
  </si>
  <si>
    <t>Enter TS Max value</t>
  </si>
  <si>
    <t>Enter TS Min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</si>
</sst>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0.0"/>
    <numFmt numFmtId="167" formatCode="0.0%"/>
    <numFmt numFmtId="168" formatCode="0.0000"/>
    <numFmt numFmtId="169" formatCode="0.000"/>
    <numFmt numFmtId="170" formatCode="_(* #,##0.000_);_(* \(#,##0.000\);_(* &quot;-&quot;??_);_(@_)"/>
    <numFmt numFmtId="171" formatCode="dd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haroni"/>
      <charset val="177"/>
    </font>
    <font>
      <i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Book Antiqua"/>
      <family val="1"/>
    </font>
    <font>
      <b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2"/>
      <color theme="1"/>
      <name val="Aharoni"/>
      <charset val="177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Aharoni"/>
      <charset val="177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6"/>
      <color theme="0"/>
      <name val="Aharoni"/>
      <charset val="177"/>
    </font>
    <font>
      <b/>
      <sz val="20"/>
      <color theme="0"/>
      <name val="Aharoni"/>
      <charset val="177"/>
    </font>
    <font>
      <sz val="9"/>
      <color theme="1"/>
      <name val="Calibri"/>
      <family val="2"/>
      <scheme val="minor"/>
    </font>
    <font>
      <b/>
      <sz val="26"/>
      <color theme="0"/>
      <name val="Aharoni"/>
      <charset val="177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</font>
    <font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auto="1"/>
      </left>
      <right style="dotted">
        <color auto="1"/>
      </right>
      <top/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 applyNumberFormat="0" applyFill="0" applyBorder="0" applyAlignment="0" applyProtection="0"/>
  </cellStyleXfs>
  <cellXfs count="23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6" fillId="5" borderId="3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0" fillId="0" borderId="5" xfId="0" applyNumberFormat="1" applyBorder="1"/>
    <xf numFmtId="165" fontId="0" fillId="0" borderId="5" xfId="0" applyNumberFormat="1" applyBorder="1"/>
    <xf numFmtId="0" fontId="7" fillId="0" borderId="0" xfId="0" applyFont="1"/>
    <xf numFmtId="0" fontId="6" fillId="5" borderId="3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7" borderId="0" xfId="0" applyFill="1"/>
    <xf numFmtId="0" fontId="0" fillId="5" borderId="0" xfId="0" applyFill="1"/>
    <xf numFmtId="2" fontId="0" fillId="0" borderId="5" xfId="0" applyNumberFormat="1" applyBorder="1"/>
    <xf numFmtId="0" fontId="0" fillId="9" borderId="5" xfId="0" applyFill="1" applyBorder="1" applyAlignment="1">
      <alignment horizontal="center"/>
    </xf>
    <xf numFmtId="165" fontId="0" fillId="9" borderId="5" xfId="0" applyNumberFormat="1" applyFill="1" applyBorder="1"/>
    <xf numFmtId="1" fontId="0" fillId="9" borderId="5" xfId="0" applyNumberFormat="1" applyFill="1" applyBorder="1"/>
    <xf numFmtId="1" fontId="0" fillId="9" borderId="5" xfId="0" quotePrefix="1" applyNumberFormat="1" applyFill="1" applyBorder="1"/>
    <xf numFmtId="0" fontId="0" fillId="9" borderId="5" xfId="0" quotePrefix="1" applyFill="1" applyBorder="1"/>
    <xf numFmtId="0" fontId="16" fillId="0" borderId="0" xfId="0" applyFont="1"/>
    <xf numFmtId="1" fontId="0" fillId="8" borderId="5" xfId="0" applyNumberFormat="1" applyFill="1" applyBorder="1"/>
    <xf numFmtId="167" fontId="0" fillId="9" borderId="5" xfId="2" quotePrefix="1" applyNumberFormat="1" applyFont="1" applyFill="1" applyBorder="1"/>
    <xf numFmtId="1" fontId="0" fillId="3" borderId="5" xfId="0" applyNumberFormat="1" applyFill="1" applyBorder="1"/>
    <xf numFmtId="0" fontId="18" fillId="0" borderId="8" xfId="0" applyFont="1" applyBorder="1" applyAlignment="1">
      <alignment horizontal="center"/>
    </xf>
    <xf numFmtId="1" fontId="7" fillId="5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2" fontId="7" fillId="5" borderId="0" xfId="0" applyNumberFormat="1" applyFont="1" applyFill="1" applyAlignment="1">
      <alignment horizontal="center"/>
    </xf>
    <xf numFmtId="2" fontId="0" fillId="0" borderId="5" xfId="2" applyNumberFormat="1" applyFont="1" applyBorder="1"/>
    <xf numFmtId="0" fontId="11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0" fontId="0" fillId="8" borderId="5" xfId="0" applyFill="1" applyBorder="1" applyAlignment="1">
      <alignment horizontal="center"/>
    </xf>
    <xf numFmtId="165" fontId="0" fillId="8" borderId="5" xfId="0" applyNumberFormat="1" applyFill="1" applyBorder="1"/>
    <xf numFmtId="1" fontId="0" fillId="8" borderId="5" xfId="0" quotePrefix="1" applyNumberFormat="1" applyFill="1" applyBorder="1"/>
    <xf numFmtId="0" fontId="0" fillId="0" borderId="0" xfId="0" applyAlignment="1">
      <alignment horizontal="left"/>
    </xf>
    <xf numFmtId="1" fontId="0" fillId="0" borderId="5" xfId="2" applyNumberFormat="1" applyFont="1" applyFill="1" applyBorder="1"/>
    <xf numFmtId="2" fontId="0" fillId="0" borderId="5" xfId="2" applyNumberFormat="1" applyFont="1" applyFill="1" applyBorder="1"/>
    <xf numFmtId="0" fontId="7" fillId="7" borderId="0" xfId="0" applyFont="1" applyFill="1" applyAlignment="1">
      <alignment horizontal="center"/>
    </xf>
    <xf numFmtId="0" fontId="7" fillId="7" borderId="11" xfId="0" applyFont="1" applyFill="1" applyBorder="1" applyAlignment="1">
      <alignment horizontal="center"/>
    </xf>
    <xf numFmtId="2" fontId="0" fillId="8" borderId="5" xfId="0" applyNumberFormat="1" applyFill="1" applyBorder="1"/>
    <xf numFmtId="2" fontId="0" fillId="9" borderId="5" xfId="0" applyNumberFormat="1" applyFill="1" applyBorder="1"/>
    <xf numFmtId="1" fontId="0" fillId="2" borderId="5" xfId="0" applyNumberFormat="1" applyFill="1" applyBorder="1"/>
    <xf numFmtId="0" fontId="15" fillId="0" borderId="0" xfId="0" applyFont="1" applyAlignment="1">
      <alignment horizontal="left"/>
    </xf>
    <xf numFmtId="0" fontId="0" fillId="0" borderId="10" xfId="0" applyBorder="1" applyAlignment="1">
      <alignment horizontal="center"/>
    </xf>
    <xf numFmtId="165" fontId="0" fillId="0" borderId="10" xfId="0" applyNumberFormat="1" applyBorder="1"/>
    <xf numFmtId="1" fontId="0" fillId="0" borderId="10" xfId="0" applyNumberFormat="1" applyBorder="1"/>
    <xf numFmtId="2" fontId="0" fillId="0" borderId="10" xfId="2" applyNumberFormat="1" applyFont="1" applyBorder="1"/>
    <xf numFmtId="0" fontId="0" fillId="0" borderId="0" xfId="0" applyAlignment="1">
      <alignment horizontal="center"/>
    </xf>
    <xf numFmtId="165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2" applyNumberFormat="1" applyFont="1" applyBorder="1"/>
    <xf numFmtId="166" fontId="0" fillId="0" borderId="0" xfId="2" applyNumberFormat="1" applyFont="1" applyBorder="1"/>
    <xf numFmtId="168" fontId="0" fillId="6" borderId="0" xfId="0" applyNumberFormat="1" applyFill="1"/>
    <xf numFmtId="0" fontId="18" fillId="0" borderId="0" xfId="0" applyFont="1" applyAlignment="1">
      <alignment horizontal="center"/>
    </xf>
    <xf numFmtId="164" fontId="0" fillId="9" borderId="5" xfId="1" applyNumberFormat="1" applyFont="1" applyFill="1" applyBorder="1"/>
    <xf numFmtId="164" fontId="0" fillId="9" borderId="5" xfId="1" quotePrefix="1" applyNumberFormat="1" applyFont="1" applyFill="1" applyBorder="1"/>
    <xf numFmtId="164" fontId="0" fillId="8" borderId="5" xfId="1" quotePrefix="1" applyNumberFormat="1" applyFont="1" applyFill="1" applyBorder="1"/>
    <xf numFmtId="164" fontId="0" fillId="0" borderId="5" xfId="1" applyNumberFormat="1" applyFont="1" applyBorder="1"/>
    <xf numFmtId="164" fontId="0" fillId="0" borderId="5" xfId="1" applyNumberFormat="1" applyFont="1" applyFill="1" applyBorder="1"/>
    <xf numFmtId="164" fontId="0" fillId="3" borderId="5" xfId="1" applyNumberFormat="1" applyFont="1" applyFill="1" applyBorder="1"/>
    <xf numFmtId="43" fontId="0" fillId="9" borderId="5" xfId="1" quotePrefix="1" applyFont="1" applyFill="1" applyBorder="1"/>
    <xf numFmtId="43" fontId="0" fillId="0" borderId="5" xfId="1" applyFont="1" applyFill="1" applyBorder="1"/>
    <xf numFmtId="43" fontId="0" fillId="0" borderId="5" xfId="1" applyFont="1" applyBorder="1"/>
    <xf numFmtId="0" fontId="19" fillId="0" borderId="0" xfId="0" applyFont="1" applyAlignment="1">
      <alignment vertical="center"/>
    </xf>
    <xf numFmtId="164" fontId="0" fillId="8" borderId="5" xfId="1" applyNumberFormat="1" applyFont="1" applyFill="1" applyBorder="1"/>
    <xf numFmtId="164" fontId="0" fillId="5" borderId="0" xfId="1" applyNumberFormat="1" applyFont="1" applyFill="1"/>
    <xf numFmtId="164" fontId="7" fillId="5" borderId="0" xfId="1" applyNumberFormat="1" applyFont="1" applyFill="1" applyAlignment="1">
      <alignment horizontal="center"/>
    </xf>
    <xf numFmtId="164" fontId="0" fillId="0" borderId="5" xfId="1" applyNumberFormat="1" applyFont="1" applyFill="1" applyBorder="1" applyAlignment="1">
      <alignment horizontal="left" indent="2"/>
    </xf>
    <xf numFmtId="43" fontId="0" fillId="9" borderId="5" xfId="1" applyFont="1" applyFill="1" applyBorder="1"/>
    <xf numFmtId="43" fontId="0" fillId="0" borderId="0" xfId="0" applyNumberFormat="1"/>
    <xf numFmtId="43" fontId="7" fillId="5" borderId="0" xfId="1" applyFont="1" applyFill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19" fillId="4" borderId="0" xfId="0" applyFont="1" applyFill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wrapText="1"/>
    </xf>
    <xf numFmtId="0" fontId="0" fillId="13" borderId="15" xfId="0" applyFill="1" applyBorder="1"/>
    <xf numFmtId="0" fontId="0" fillId="13" borderId="0" xfId="0" applyFill="1"/>
    <xf numFmtId="0" fontId="0" fillId="13" borderId="16" xfId="0" applyFill="1" applyBorder="1"/>
    <xf numFmtId="0" fontId="0" fillId="13" borderId="0" xfId="0" applyFill="1" applyAlignment="1">
      <alignment horizontal="center"/>
    </xf>
    <xf numFmtId="0" fontId="16" fillId="13" borderId="0" xfId="0" applyFont="1" applyFill="1"/>
    <xf numFmtId="1" fontId="16" fillId="13" borderId="0" xfId="0" applyNumberFormat="1" applyFont="1" applyFill="1"/>
    <xf numFmtId="0" fontId="0" fillId="13" borderId="0" xfId="0" applyFill="1" applyAlignment="1">
      <alignment vertical="center" wrapText="1"/>
    </xf>
    <xf numFmtId="0" fontId="0" fillId="10" borderId="21" xfId="0" applyFill="1" applyBorder="1"/>
    <xf numFmtId="0" fontId="0" fillId="0" borderId="22" xfId="0" applyBorder="1"/>
    <xf numFmtId="164" fontId="0" fillId="8" borderId="5" xfId="1" quotePrefix="1" applyNumberFormat="1" applyFont="1" applyFill="1" applyBorder="1" applyAlignment="1">
      <alignment horizontal="left"/>
    </xf>
    <xf numFmtId="164" fontId="0" fillId="0" borderId="0" xfId="1" applyNumberFormat="1" applyFont="1" applyFill="1" applyBorder="1"/>
    <xf numFmtId="164" fontId="7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43" fontId="0" fillId="0" borderId="0" xfId="1" applyFont="1" applyFill="1" applyBorder="1"/>
    <xf numFmtId="164" fontId="0" fillId="12" borderId="5" xfId="1" applyNumberFormat="1" applyFont="1" applyFill="1" applyBorder="1"/>
    <xf numFmtId="169" fontId="0" fillId="6" borderId="0" xfId="0" applyNumberFormat="1" applyFill="1"/>
    <xf numFmtId="2" fontId="0" fillId="12" borderId="5" xfId="2" applyNumberFormat="1" applyFont="1" applyFill="1" applyBorder="1"/>
    <xf numFmtId="1" fontId="0" fillId="12" borderId="5" xfId="2" applyNumberFormat="1" applyFont="1" applyFill="1" applyBorder="1"/>
    <xf numFmtId="1" fontId="0" fillId="12" borderId="5" xfId="0" applyNumberFormat="1" applyFill="1" applyBorder="1"/>
    <xf numFmtId="166" fontId="0" fillId="12" borderId="5" xfId="2" applyNumberFormat="1" applyFont="1" applyFill="1" applyBorder="1"/>
    <xf numFmtId="2" fontId="0" fillId="12" borderId="5" xfId="0" applyNumberFormat="1" applyFill="1" applyBorder="1"/>
    <xf numFmtId="43" fontId="0" fillId="12" borderId="5" xfId="1" applyFont="1" applyFill="1" applyBorder="1"/>
    <xf numFmtId="165" fontId="0" fillId="12" borderId="5" xfId="0" applyNumberFormat="1" applyFill="1" applyBorder="1"/>
    <xf numFmtId="164" fontId="0" fillId="12" borderId="0" xfId="1" applyNumberFormat="1" applyFont="1" applyFill="1" applyBorder="1"/>
    <xf numFmtId="0" fontId="7" fillId="0" borderId="0" xfId="0" applyFont="1" applyAlignment="1">
      <alignment horizontal="center"/>
    </xf>
    <xf numFmtId="0" fontId="0" fillId="0" borderId="1" xfId="0" applyBorder="1"/>
    <xf numFmtId="14" fontId="0" fillId="0" borderId="0" xfId="0" applyNumberFormat="1"/>
    <xf numFmtId="9" fontId="7" fillId="0" borderId="0" xfId="0" applyNumberFormat="1" applyFont="1"/>
    <xf numFmtId="0" fontId="0" fillId="0" borderId="8" xfId="0" applyBorder="1"/>
    <xf numFmtId="9" fontId="7" fillId="0" borderId="8" xfId="0" applyNumberFormat="1" applyFont="1" applyBorder="1"/>
    <xf numFmtId="171" fontId="0" fillId="0" borderId="0" xfId="0" applyNumberFormat="1" applyAlignment="1">
      <alignment horizontal="center"/>
    </xf>
    <xf numFmtId="3" fontId="0" fillId="0" borderId="1" xfId="0" applyNumberFormat="1" applyBorder="1"/>
    <xf numFmtId="3" fontId="0" fillId="0" borderId="12" xfId="0" applyNumberFormat="1" applyBorder="1"/>
    <xf numFmtId="171" fontId="0" fillId="0" borderId="25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71" fontId="0" fillId="0" borderId="27" xfId="0" applyNumberFormat="1" applyBorder="1" applyAlignment="1">
      <alignment horizontal="center"/>
    </xf>
    <xf numFmtId="3" fontId="0" fillId="0" borderId="28" xfId="0" applyNumberFormat="1" applyBorder="1"/>
    <xf numFmtId="3" fontId="0" fillId="0" borderId="26" xfId="0" applyNumberFormat="1" applyBorder="1"/>
    <xf numFmtId="0" fontId="3" fillId="13" borderId="0" xfId="0" applyFont="1" applyFill="1" applyAlignment="1">
      <alignment horizontal="center"/>
    </xf>
    <xf numFmtId="0" fontId="0" fillId="10" borderId="0" xfId="0" applyFill="1"/>
    <xf numFmtId="0" fontId="4" fillId="10" borderId="0" xfId="0" applyFont="1" applyFill="1"/>
    <xf numFmtId="0" fontId="8" fillId="10" borderId="0" xfId="0" applyFont="1" applyFill="1"/>
    <xf numFmtId="0" fontId="5" fillId="10" borderId="0" xfId="0" applyFont="1" applyFill="1"/>
    <xf numFmtId="0" fontId="23" fillId="13" borderId="0" xfId="0" applyFont="1" applyFill="1"/>
    <xf numFmtId="0" fontId="26" fillId="13" borderId="0" xfId="0" applyFont="1" applyFill="1"/>
    <xf numFmtId="0" fontId="27" fillId="13" borderId="0" xfId="0" applyFont="1" applyFill="1"/>
    <xf numFmtId="0" fontId="28" fillId="13" borderId="0" xfId="0" applyFont="1" applyFill="1"/>
    <xf numFmtId="0" fontId="5" fillId="13" borderId="0" xfId="0" applyFont="1" applyFill="1"/>
    <xf numFmtId="0" fontId="0" fillId="0" borderId="21" xfId="0" applyBorder="1"/>
    <xf numFmtId="0" fontId="0" fillId="6" borderId="26" xfId="0" applyFill="1" applyBorder="1"/>
    <xf numFmtId="3" fontId="0" fillId="16" borderId="1" xfId="0" applyNumberFormat="1" applyFill="1" applyBorder="1" applyAlignment="1">
      <alignment horizontal="center"/>
    </xf>
    <xf numFmtId="0" fontId="0" fillId="16" borderId="1" xfId="0" applyFill="1" applyBorder="1"/>
    <xf numFmtId="0" fontId="0" fillId="0" borderId="23" xfId="0" applyBorder="1"/>
    <xf numFmtId="0" fontId="0" fillId="0" borderId="12" xfId="0" applyBorder="1"/>
    <xf numFmtId="0" fontId="7" fillId="16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9" fontId="0" fillId="16" borderId="1" xfId="2" applyFont="1" applyFill="1" applyBorder="1" applyAlignment="1">
      <alignment horizontal="center"/>
    </xf>
    <xf numFmtId="0" fontId="29" fillId="13" borderId="17" xfId="0" applyFont="1" applyFill="1" applyBorder="1"/>
    <xf numFmtId="0" fontId="18" fillId="13" borderId="17" xfId="0" applyFont="1" applyFill="1" applyBorder="1" applyAlignment="1">
      <alignment horizontal="left"/>
    </xf>
    <xf numFmtId="1" fontId="18" fillId="13" borderId="17" xfId="0" applyNumberFormat="1" applyFont="1" applyFill="1" applyBorder="1" applyAlignment="1">
      <alignment horizontal="left"/>
    </xf>
    <xf numFmtId="43" fontId="0" fillId="13" borderId="0" xfId="0" applyNumberFormat="1" applyFill="1"/>
    <xf numFmtId="0" fontId="29" fillId="13" borderId="0" xfId="0" applyFont="1" applyFill="1"/>
    <xf numFmtId="0" fontId="30" fillId="13" borderId="0" xfId="3" applyFont="1" applyFill="1" applyBorder="1"/>
    <xf numFmtId="170" fontId="0" fillId="17" borderId="12" xfId="1" quotePrefix="1" applyNumberFormat="1" applyFont="1" applyFill="1" applyBorder="1" applyAlignment="1">
      <alignment horizontal="center" vertical="center"/>
    </xf>
    <xf numFmtId="43" fontId="0" fillId="13" borderId="12" xfId="1" quotePrefix="1" applyFont="1" applyFill="1" applyBorder="1" applyAlignment="1">
      <alignment horizontal="center" vertical="center"/>
    </xf>
    <xf numFmtId="170" fontId="0" fillId="3" borderId="12" xfId="1" applyNumberFormat="1" applyFont="1" applyFill="1" applyBorder="1" applyAlignment="1">
      <alignment horizontal="center" vertical="center"/>
    </xf>
    <xf numFmtId="170" fontId="0" fillId="3" borderId="1" xfId="1" applyNumberFormat="1" applyFont="1" applyFill="1" applyBorder="1" applyAlignment="1">
      <alignment horizontal="center" vertical="center"/>
    </xf>
    <xf numFmtId="170" fontId="0" fillId="17" borderId="1" xfId="1" quotePrefix="1" applyNumberFormat="1" applyFont="1" applyFill="1" applyBorder="1" applyAlignment="1">
      <alignment horizontal="center" vertical="center"/>
    </xf>
    <xf numFmtId="43" fontId="0" fillId="13" borderId="1" xfId="1" quotePrefix="1" applyFont="1" applyFill="1" applyBorder="1" applyAlignment="1">
      <alignment horizontal="center" vertical="center"/>
    </xf>
    <xf numFmtId="43" fontId="0" fillId="13" borderId="1" xfId="1" applyFont="1" applyFill="1" applyBorder="1" applyAlignment="1">
      <alignment horizontal="center" vertical="center"/>
    </xf>
    <xf numFmtId="0" fontId="31" fillId="13" borderId="19" xfId="0" applyFont="1" applyFill="1" applyBorder="1" applyAlignment="1">
      <alignment horizontal="center" vertical="center"/>
    </xf>
    <xf numFmtId="0" fontId="31" fillId="13" borderId="8" xfId="0" applyFont="1" applyFill="1" applyBorder="1" applyAlignment="1">
      <alignment horizontal="center" vertical="center"/>
    </xf>
    <xf numFmtId="169" fontId="0" fillId="12" borderId="12" xfId="0" applyNumberFormat="1" applyFill="1" applyBorder="1" applyAlignment="1">
      <alignment horizontal="center" vertical="center"/>
    </xf>
    <xf numFmtId="0" fontId="0" fillId="13" borderId="12" xfId="0" quotePrefix="1" applyFill="1" applyBorder="1" applyAlignment="1">
      <alignment horizontal="center" vertical="center"/>
    </xf>
    <xf numFmtId="0" fontId="0" fillId="13" borderId="1" xfId="0" quotePrefix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37" xfId="0" applyFill="1" applyBorder="1"/>
    <xf numFmtId="0" fontId="0" fillId="13" borderId="17" xfId="0" applyFill="1" applyBorder="1"/>
    <xf numFmtId="0" fontId="16" fillId="13" borderId="17" xfId="0" applyFont="1" applyFill="1" applyBorder="1"/>
    <xf numFmtId="0" fontId="3" fillId="13" borderId="17" xfId="0" applyFont="1" applyFill="1" applyBorder="1" applyAlignment="1">
      <alignment horizontal="center"/>
    </xf>
    <xf numFmtId="0" fontId="0" fillId="13" borderId="38" xfId="0" applyFill="1" applyBorder="1"/>
    <xf numFmtId="0" fontId="22" fillId="14" borderId="13" xfId="0" applyFont="1" applyFill="1" applyBorder="1" applyAlignment="1">
      <alignment vertical="center"/>
    </xf>
    <xf numFmtId="0" fontId="22" fillId="14" borderId="7" xfId="0" applyFont="1" applyFill="1" applyBorder="1" applyAlignment="1">
      <alignment vertical="center"/>
    </xf>
    <xf numFmtId="0" fontId="22" fillId="14" borderId="14" xfId="0" applyFont="1" applyFill="1" applyBorder="1" applyAlignment="1">
      <alignment vertical="center"/>
    </xf>
    <xf numFmtId="0" fontId="24" fillId="13" borderId="17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25" fillId="13" borderId="17" xfId="0" applyFont="1" applyFill="1" applyBorder="1" applyAlignment="1">
      <alignment horizontal="left" vertical="center"/>
    </xf>
    <xf numFmtId="1" fontId="25" fillId="13" borderId="17" xfId="0" applyNumberFormat="1" applyFont="1" applyFill="1" applyBorder="1" applyAlignment="1">
      <alignment horizontal="left" vertical="center"/>
    </xf>
    <xf numFmtId="164" fontId="0" fillId="11" borderId="2" xfId="1" applyNumberFormat="1" applyFont="1" applyFill="1" applyBorder="1"/>
    <xf numFmtId="165" fontId="0" fillId="18" borderId="2" xfId="0" applyNumberFormat="1" applyFill="1" applyBorder="1" applyProtection="1">
      <protection locked="0"/>
    </xf>
    <xf numFmtId="164" fontId="0" fillId="18" borderId="2" xfId="1" applyNumberFormat="1" applyFont="1" applyFill="1" applyBorder="1" applyProtection="1">
      <protection locked="0"/>
    </xf>
    <xf numFmtId="0" fontId="32" fillId="10" borderId="0" xfId="0" applyFont="1" applyFill="1"/>
    <xf numFmtId="1" fontId="0" fillId="18" borderId="2" xfId="0" applyNumberFormat="1" applyFill="1" applyBorder="1" applyAlignment="1" applyProtection="1">
      <alignment horizontal="center"/>
      <protection locked="0"/>
    </xf>
    <xf numFmtId="169" fontId="0" fillId="18" borderId="2" xfId="0" applyNumberFormat="1" applyFill="1" applyBorder="1" applyAlignment="1" applyProtection="1">
      <alignment horizontal="center"/>
      <protection locked="0"/>
    </xf>
    <xf numFmtId="15" fontId="0" fillId="18" borderId="2" xfId="0" applyNumberFormat="1" applyFill="1" applyBorder="1" applyAlignment="1" applyProtection="1">
      <alignment horizontal="center"/>
      <protection locked="0"/>
    </xf>
    <xf numFmtId="169" fontId="0" fillId="18" borderId="39" xfId="0" applyNumberFormat="1" applyFill="1" applyBorder="1" applyAlignment="1" applyProtection="1">
      <alignment horizontal="center"/>
      <protection locked="0"/>
    </xf>
    <xf numFmtId="0" fontId="8" fillId="10" borderId="0" xfId="0" applyFont="1" applyFill="1" applyAlignment="1">
      <alignment horizontal="center" vertical="center" wrapText="1"/>
    </xf>
    <xf numFmtId="0" fontId="21" fillId="10" borderId="0" xfId="0" applyFont="1" applyFill="1" applyAlignment="1">
      <alignment horizontal="center" vertical="center" wrapText="1"/>
    </xf>
    <xf numFmtId="169" fontId="7" fillId="5" borderId="0" xfId="0" applyNumberFormat="1" applyFont="1" applyFill="1" applyAlignment="1">
      <alignment horizontal="center"/>
    </xf>
    <xf numFmtId="168" fontId="7" fillId="5" borderId="0" xfId="0" applyNumberFormat="1" applyFont="1" applyFill="1" applyAlignment="1">
      <alignment horizontal="center"/>
    </xf>
    <xf numFmtId="164" fontId="0" fillId="16" borderId="1" xfId="1" applyNumberFormat="1" applyFont="1" applyFill="1" applyBorder="1" applyAlignment="1">
      <alignment horizontal="center"/>
    </xf>
    <xf numFmtId="164" fontId="0" fillId="16" borderId="18" xfId="1" applyNumberFormat="1" applyFont="1" applyFill="1" applyBorder="1" applyAlignment="1">
      <alignment horizontal="center"/>
    </xf>
    <xf numFmtId="164" fontId="0" fillId="16" borderId="34" xfId="1" applyNumberFormat="1" applyFont="1" applyFill="1" applyBorder="1" applyAlignment="1">
      <alignment horizontal="center"/>
    </xf>
    <xf numFmtId="164" fontId="0" fillId="16" borderId="35" xfId="1" applyNumberFormat="1" applyFont="1" applyFill="1" applyBorder="1" applyAlignment="1">
      <alignment horizontal="center"/>
    </xf>
    <xf numFmtId="164" fontId="0" fillId="16" borderId="36" xfId="1" applyNumberFormat="1" applyFont="1" applyFill="1" applyBorder="1" applyAlignment="1">
      <alignment horizontal="center"/>
    </xf>
    <xf numFmtId="164" fontId="7" fillId="0" borderId="8" xfId="1" applyNumberFormat="1" applyFont="1" applyBorder="1"/>
    <xf numFmtId="164" fontId="0" fillId="0" borderId="8" xfId="1" applyNumberFormat="1" applyFont="1" applyBorder="1"/>
    <xf numFmtId="164" fontId="7" fillId="0" borderId="30" xfId="1" applyNumberFormat="1" applyFont="1" applyBorder="1"/>
    <xf numFmtId="0" fontId="7" fillId="15" borderId="1" xfId="0" applyFont="1" applyFill="1" applyBorder="1" applyAlignment="1">
      <alignment vertical="center"/>
    </xf>
    <xf numFmtId="0" fontId="7" fillId="15" borderId="1" xfId="0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 vertical="center" wrapText="1"/>
    </xf>
    <xf numFmtId="0" fontId="7" fillId="15" borderId="18" xfId="0" applyFont="1" applyFill="1" applyBorder="1" applyAlignment="1">
      <alignment horizontal="center" vertical="center" wrapText="1"/>
    </xf>
    <xf numFmtId="0" fontId="7" fillId="15" borderId="20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3" fontId="0" fillId="16" borderId="1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7" fillId="6" borderId="12" xfId="0" applyFont="1" applyFill="1" applyBorder="1" applyAlignment="1">
      <alignment horizontal="center"/>
    </xf>
    <xf numFmtId="3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28" fillId="13" borderId="0" xfId="0" applyFont="1" applyFill="1" applyAlignment="1">
      <alignment vertical="center"/>
    </xf>
    <xf numFmtId="0" fontId="34" fillId="13" borderId="0" xfId="0" applyFont="1" applyFill="1" applyAlignment="1">
      <alignment horizontal="left" vertical="center" wrapText="1"/>
    </xf>
    <xf numFmtId="164" fontId="0" fillId="18" borderId="5" xfId="1" applyNumberFormat="1" applyFont="1" applyFill="1" applyBorder="1"/>
    <xf numFmtId="43" fontId="0" fillId="3" borderId="5" xfId="1" applyNumberFormat="1" applyFont="1" applyFill="1" applyBorder="1"/>
    <xf numFmtId="164" fontId="0" fillId="0" borderId="0" xfId="0" applyNumberFormat="1"/>
    <xf numFmtId="0" fontId="20" fillId="4" borderId="0" xfId="0" applyFont="1" applyFill="1" applyAlignment="1">
      <alignment horizontal="center" vertical="center"/>
    </xf>
    <xf numFmtId="169" fontId="0" fillId="18" borderId="31" xfId="0" applyNumberFormat="1" applyFill="1" applyBorder="1" applyAlignment="1" applyProtection="1">
      <alignment horizontal="center"/>
      <protection locked="0"/>
    </xf>
    <xf numFmtId="169" fontId="0" fillId="18" borderId="40" xfId="0" applyNumberFormat="1" applyFill="1" applyBorder="1" applyAlignment="1" applyProtection="1">
      <alignment horizontal="center"/>
      <protection locked="0"/>
    </xf>
    <xf numFmtId="169" fontId="0" fillId="18" borderId="32" xfId="0" applyNumberFormat="1" applyFill="1" applyBorder="1" applyAlignment="1" applyProtection="1">
      <alignment horizontal="center"/>
      <protection locked="0"/>
    </xf>
    <xf numFmtId="0" fontId="7" fillId="15" borderId="41" xfId="0" applyFont="1" applyFill="1" applyBorder="1" applyAlignment="1">
      <alignment horizontal="center" vertical="center"/>
    </xf>
    <xf numFmtId="14" fontId="0" fillId="1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7" fillId="6" borderId="22" xfId="0" applyFont="1" applyFill="1" applyBorder="1" applyAlignment="1">
      <alignment horizontal="left" vertical="center"/>
    </xf>
    <xf numFmtId="0" fontId="7" fillId="6" borderId="33" xfId="0" applyFont="1" applyFill="1" applyBorder="1" applyAlignment="1">
      <alignment horizontal="left" vertical="center"/>
    </xf>
    <xf numFmtId="0" fontId="23" fillId="18" borderId="0" xfId="0" applyFont="1" applyFill="1" applyAlignment="1">
      <alignment horizontal="left" vertical="center"/>
    </xf>
    <xf numFmtId="0" fontId="8" fillId="15" borderId="41" xfId="0" applyFont="1" applyFill="1" applyBorder="1" applyAlignment="1">
      <alignment horizontal="left"/>
    </xf>
    <xf numFmtId="0" fontId="22" fillId="14" borderId="13" xfId="0" applyFont="1" applyFill="1" applyBorder="1" applyAlignment="1">
      <alignment horizontal="left" vertical="center"/>
    </xf>
    <xf numFmtId="0" fontId="22" fillId="14" borderId="7" xfId="0" applyFont="1" applyFill="1" applyBorder="1" applyAlignment="1">
      <alignment horizontal="left" vertical="center"/>
    </xf>
    <xf numFmtId="0" fontId="6" fillId="5" borderId="4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19" fillId="4" borderId="0" xfId="0" applyFont="1" applyFill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43" fontId="6" fillId="5" borderId="4" xfId="1" applyFont="1" applyFill="1" applyBorder="1" applyAlignment="1">
      <alignment horizontal="center" vertical="center"/>
    </xf>
    <xf numFmtId="43" fontId="6" fillId="5" borderId="9" xfId="1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10"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  <border>
        <vertical/>
        <horizontal/>
      </border>
    </dxf>
    <dxf>
      <fill>
        <patternFill>
          <bgColor theme="6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CACF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[0]!Months</c:f>
              <c:numCache>
                <c:formatCode>[$-409]mmm\-yy;@</c:formatCode>
                <c:ptCount val="24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</c:numCache>
            </c:numRef>
          </c:cat>
          <c:val>
            <c:numRef>
              <c:f>[0]!Forecast</c:f>
              <c:numCache>
                <c:formatCode>_(* #,##0_);_(* \(#,##0\);_(* "-"??_);_(@_)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">
                  <c:v>164156.05711899299</c:v>
                </c:pt>
                <c:pt idx="14" formatCode="0">
                  <c:v>185841.25971673458</c:v>
                </c:pt>
                <c:pt idx="15" formatCode="0">
                  <c:v>177264.45730551984</c:v>
                </c:pt>
                <c:pt idx="16" formatCode="0">
                  <c:v>215172.69949269886</c:v>
                </c:pt>
                <c:pt idx="17" formatCode="0">
                  <c:v>127575.56925304694</c:v>
                </c:pt>
                <c:pt idx="18" formatCode="0">
                  <c:v>169339.89018878169</c:v>
                </c:pt>
                <c:pt idx="19" formatCode="0">
                  <c:v>168246.16128945691</c:v>
                </c:pt>
                <c:pt idx="20" formatCode="0">
                  <c:v>114279.94648439052</c:v>
                </c:pt>
                <c:pt idx="21" formatCode="0">
                  <c:v>166391.04347917828</c:v>
                </c:pt>
                <c:pt idx="22" formatCode="0">
                  <c:v>163902.96934975064</c:v>
                </c:pt>
                <c:pt idx="23" formatCode="0">
                  <c:v>169797.51438199813</c:v>
                </c:pt>
                <c:pt idx="24" formatCode="0">
                  <c:v>160414.60118891412</c:v>
                </c:pt>
                <c:pt idx="25" formatCode="0">
                  <c:v>160361.32393469306</c:v>
                </c:pt>
                <c:pt idx="26" formatCode="0">
                  <c:v>160308.04668047201</c:v>
                </c:pt>
                <c:pt idx="27" formatCode="0">
                  <c:v>160254.76942625095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21-47EA-B4D4-A9386A1A2C2F}"/>
            </c:ext>
          </c:extLst>
        </c:ser>
        <c:ser>
          <c:idx val="1"/>
          <c:order val="1"/>
          <c:tx>
            <c:v>Actual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[0]!Months</c:f>
              <c:numCache>
                <c:formatCode>[$-409]mmm\-yy;@</c:formatCode>
                <c:ptCount val="24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</c:numCache>
            </c:numRef>
          </c:cat>
          <c:val>
            <c:numRef>
              <c:f>[0]!Actual</c:f>
              <c:numCache>
                <c:formatCode>0</c:formatCode>
                <c:ptCount val="24"/>
                <c:pt idx="0">
                  <c:v>168959</c:v>
                </c:pt>
                <c:pt idx="1">
                  <c:v>156632</c:v>
                </c:pt>
                <c:pt idx="2">
                  <c:v>179324</c:v>
                </c:pt>
                <c:pt idx="3">
                  <c:v>176783</c:v>
                </c:pt>
                <c:pt idx="4">
                  <c:v>227729</c:v>
                </c:pt>
                <c:pt idx="5">
                  <c:v>149252</c:v>
                </c:pt>
                <c:pt idx="6">
                  <c:v>190401</c:v>
                </c:pt>
                <c:pt idx="7">
                  <c:v>199905</c:v>
                </c:pt>
                <c:pt idx="8">
                  <c:v>145658</c:v>
                </c:pt>
                <c:pt idx="9">
                  <c:v>176171</c:v>
                </c:pt>
                <c:pt idx="10">
                  <c:v>169218.5</c:v>
                </c:pt>
                <c:pt idx="11">
                  <c:v>171651.5</c:v>
                </c:pt>
                <c:pt idx="12">
                  <c:v>170123</c:v>
                </c:pt>
                <c:pt idx="13">
                  <c:v>153671</c:v>
                </c:pt>
                <c:pt idx="14">
                  <c:v>172465.5</c:v>
                </c:pt>
                <c:pt idx="15">
                  <c:v>162614.5</c:v>
                </c:pt>
                <c:pt idx="16">
                  <c:v>192675.5</c:v>
                </c:pt>
                <c:pt idx="17">
                  <c:v>140846</c:v>
                </c:pt>
                <c:pt idx="18">
                  <c:v>161309</c:v>
                </c:pt>
                <c:pt idx="19">
                  <c:v>159995</c:v>
                </c:pt>
                <c:pt idx="20">
                  <c:v>150111</c:v>
                </c:pt>
                <c:pt idx="21">
                  <c:v>166387</c:v>
                </c:pt>
                <c:pt idx="22">
                  <c:v>163152</c:v>
                </c:pt>
                <c:pt idx="23">
                  <c:v>152896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21-47EA-B4D4-A9386A1A2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034760"/>
        <c:axId val="381032408"/>
      </c:lineChart>
      <c:dateAx>
        <c:axId val="381034760"/>
        <c:scaling>
          <c:orientation val="minMax"/>
          <c:max val="43435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32408"/>
        <c:crosses val="autoZero"/>
        <c:auto val="1"/>
        <c:lblOffset val="100"/>
        <c:baseTimeUnit val="months"/>
      </c:dateAx>
      <c:valAx>
        <c:axId val="38103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Actual sales and Forecast</a:t>
                </a:r>
                <a:r>
                  <a:rPr lang="en-US" sz="1200" baseline="0"/>
                  <a:t> over time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347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 Sale- Monthly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v>Actual Sales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extLst>
                <c:ext xmlns:c15="http://schemas.microsoft.com/office/drawing/2012/chart" uri="{02D57815-91ED-43cb-92C2-25804820EDAC}">
                  <c15:fullRef>
                    <c15:sqref>'Naive Approach'!$A$17:$B$34</c15:sqref>
                  </c15:fullRef>
                </c:ext>
              </c:extLst>
              <c:f>'Naive Approach'!$A$18:$B$34</c:f>
              <c:multiLvlStrCache>
                <c:ptCount val="17"/>
                <c:lvl>
                  <c:pt idx="0">
                    <c:v>Feb-17</c:v>
                  </c:pt>
                  <c:pt idx="1">
                    <c:v>Mar-17</c:v>
                  </c:pt>
                  <c:pt idx="2">
                    <c:v>Apr-17</c:v>
                  </c:pt>
                  <c:pt idx="3">
                    <c:v>May-17</c:v>
                  </c:pt>
                  <c:pt idx="4">
                    <c:v>Jun-17</c:v>
                  </c:pt>
                  <c:pt idx="5">
                    <c:v>Jul-17</c:v>
                  </c:pt>
                  <c:pt idx="6">
                    <c:v>Aug-17</c:v>
                  </c:pt>
                  <c:pt idx="7">
                    <c:v>Sep-17</c:v>
                  </c:pt>
                  <c:pt idx="8">
                    <c:v>Oct-17</c:v>
                  </c:pt>
                  <c:pt idx="9">
                    <c:v>Nov-17</c:v>
                  </c:pt>
                  <c:pt idx="10">
                    <c:v>Dec-17</c:v>
                  </c:pt>
                  <c:pt idx="11">
                    <c:v>Jan-18</c:v>
                  </c:pt>
                  <c:pt idx="12">
                    <c:v>Feb-18</c:v>
                  </c:pt>
                  <c:pt idx="13">
                    <c:v>Mar-18</c:v>
                  </c:pt>
                  <c:pt idx="14">
                    <c:v>Apr-18</c:v>
                  </c:pt>
                  <c:pt idx="15">
                    <c:v>May-18</c:v>
                  </c:pt>
                  <c:pt idx="16">
                    <c:v>Jun-18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'Naive Approach'!$C$17:$C$34</c15:sqref>
                  </c15:fullRef>
                </c:ext>
              </c:extLst>
              <c:f>'Naive Approach'!$C$18:$C$34</c:f>
              <c:numCache>
                <c:formatCode>_(* #,##0_);_(* \(#,##0\);_(* "-"??_);_(@_)</c:formatCode>
                <c:ptCount val="17"/>
                <c:pt idx="0">
                  <c:v>156632</c:v>
                </c:pt>
                <c:pt idx="1">
                  <c:v>179324</c:v>
                </c:pt>
                <c:pt idx="2">
                  <c:v>176783</c:v>
                </c:pt>
                <c:pt idx="3">
                  <c:v>227729</c:v>
                </c:pt>
                <c:pt idx="4">
                  <c:v>149252</c:v>
                </c:pt>
                <c:pt idx="5">
                  <c:v>190401</c:v>
                </c:pt>
                <c:pt idx="6">
                  <c:v>199905</c:v>
                </c:pt>
                <c:pt idx="7">
                  <c:v>145658</c:v>
                </c:pt>
                <c:pt idx="8">
                  <c:v>176171</c:v>
                </c:pt>
                <c:pt idx="9">
                  <c:v>169218.5</c:v>
                </c:pt>
                <c:pt idx="10">
                  <c:v>171651.5</c:v>
                </c:pt>
                <c:pt idx="11">
                  <c:v>170123</c:v>
                </c:pt>
                <c:pt idx="12">
                  <c:v>153671</c:v>
                </c:pt>
                <c:pt idx="13">
                  <c:v>172465.5</c:v>
                </c:pt>
                <c:pt idx="14">
                  <c:v>162614.5</c:v>
                </c:pt>
                <c:pt idx="15">
                  <c:v>192675.5</c:v>
                </c:pt>
                <c:pt idx="16">
                  <c:v>140846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A8-467F-A5D6-42CFF93E7302}"/>
            </c:ext>
          </c:extLst>
        </c:ser>
        <c:ser>
          <c:idx val="1"/>
          <c:order val="1"/>
          <c:tx>
            <c:v>Forecasted Sale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'Naive Approach'!$A$17:$B$34</c15:sqref>
                  </c15:fullRef>
                </c:ext>
              </c:extLst>
              <c:f>'Naive Approach'!$A$18:$B$34</c:f>
              <c:multiLvlStrCache>
                <c:ptCount val="17"/>
                <c:lvl>
                  <c:pt idx="0">
                    <c:v>Feb-17</c:v>
                  </c:pt>
                  <c:pt idx="1">
                    <c:v>Mar-17</c:v>
                  </c:pt>
                  <c:pt idx="2">
                    <c:v>Apr-17</c:v>
                  </c:pt>
                  <c:pt idx="3">
                    <c:v>May-17</c:v>
                  </c:pt>
                  <c:pt idx="4">
                    <c:v>Jun-17</c:v>
                  </c:pt>
                  <c:pt idx="5">
                    <c:v>Jul-17</c:v>
                  </c:pt>
                  <c:pt idx="6">
                    <c:v>Aug-17</c:v>
                  </c:pt>
                  <c:pt idx="7">
                    <c:v>Sep-17</c:v>
                  </c:pt>
                  <c:pt idx="8">
                    <c:v>Oct-17</c:v>
                  </c:pt>
                  <c:pt idx="9">
                    <c:v>Nov-17</c:v>
                  </c:pt>
                  <c:pt idx="10">
                    <c:v>Dec-17</c:v>
                  </c:pt>
                  <c:pt idx="11">
                    <c:v>Jan-18</c:v>
                  </c:pt>
                  <c:pt idx="12">
                    <c:v>Feb-18</c:v>
                  </c:pt>
                  <c:pt idx="13">
                    <c:v>Mar-18</c:v>
                  </c:pt>
                  <c:pt idx="14">
                    <c:v>Apr-18</c:v>
                  </c:pt>
                  <c:pt idx="15">
                    <c:v>May-18</c:v>
                  </c:pt>
                  <c:pt idx="16">
                    <c:v>Jun-18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'Naive Approach'!$D$17:$D$34</c15:sqref>
                  </c15:fullRef>
                </c:ext>
              </c:extLst>
              <c:f>'Naive Approach'!$D$18:$D$34</c:f>
              <c:numCache>
                <c:formatCode>_(* #,##0_);_(* \(#,##0\);_(* "-"??_);_(@_)</c:formatCode>
                <c:ptCount val="17"/>
                <c:pt idx="0">
                  <c:v>168959</c:v>
                </c:pt>
                <c:pt idx="1">
                  <c:v>156632</c:v>
                </c:pt>
                <c:pt idx="2">
                  <c:v>179324</c:v>
                </c:pt>
                <c:pt idx="3">
                  <c:v>176783</c:v>
                </c:pt>
                <c:pt idx="4">
                  <c:v>227729</c:v>
                </c:pt>
                <c:pt idx="5">
                  <c:v>149252</c:v>
                </c:pt>
                <c:pt idx="6">
                  <c:v>190401</c:v>
                </c:pt>
                <c:pt idx="7">
                  <c:v>199905</c:v>
                </c:pt>
                <c:pt idx="8">
                  <c:v>145658</c:v>
                </c:pt>
                <c:pt idx="9">
                  <c:v>176171</c:v>
                </c:pt>
                <c:pt idx="10">
                  <c:v>169218.5</c:v>
                </c:pt>
                <c:pt idx="11">
                  <c:v>171651.5</c:v>
                </c:pt>
                <c:pt idx="12">
                  <c:v>170123</c:v>
                </c:pt>
                <c:pt idx="13">
                  <c:v>153671</c:v>
                </c:pt>
                <c:pt idx="14">
                  <c:v>172465.5</c:v>
                </c:pt>
                <c:pt idx="15">
                  <c:v>162614.5</c:v>
                </c:pt>
                <c:pt idx="16">
                  <c:v>192675.5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A8-467F-A5D6-42CFF93E7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031624"/>
        <c:axId val="381032016"/>
      </c:lineChart>
      <c:catAx>
        <c:axId val="38103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32016"/>
        <c:crosses val="autoZero"/>
        <c:auto val="1"/>
        <c:lblAlgn val="ctr"/>
        <c:lblOffset val="100"/>
        <c:noMultiLvlLbl val="0"/>
      </c:catAx>
      <c:valAx>
        <c:axId val="38103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316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464575504603621"/>
          <c:y val="0.83944450487873368"/>
          <c:w val="0.2359459191312426"/>
          <c:h val="0.16055536536193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Signal- Monthly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7"/>
          <c:order val="7"/>
          <c:tx>
            <c:strRef>
              <c:f>'Naive Approach'!$J$15:$J$18</c:f>
              <c:strCache>
                <c:ptCount val="4"/>
                <c:pt idx="0">
                  <c:v>Tracking Signal</c:v>
                </c:pt>
                <c:pt idx="2">
                  <c:v>-</c:v>
                </c:pt>
                <c:pt idx="3">
                  <c:v>-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'Naive Approach'!$B$19:$B$33</c:f>
              <c:numCache>
                <c:formatCode>[$-409]mmm\-yy;@</c:formatCode>
                <c:ptCount val="15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</c:numCache>
            </c:numRef>
          </c:xVal>
          <c:yVal>
            <c:numRef>
              <c:f>'Naive Approach'!$J$19:$J$33</c:f>
              <c:numCache>
                <c:formatCode>0.00</c:formatCode>
                <c:ptCount val="15"/>
                <c:pt idx="0">
                  <c:v>1</c:v>
                </c:pt>
                <c:pt idx="1">
                  <c:v>1.5971941505171798</c:v>
                </c:pt>
                <c:pt idx="2">
                  <c:v>2.7998661048320401</c:v>
                </c:pt>
                <c:pt idx="3">
                  <c:v>-0.19087523277467411</c:v>
                </c:pt>
                <c:pt idx="4">
                  <c:v>0.86231199407573866</c:v>
                </c:pt>
                <c:pt idx="5">
                  <c:v>1.2646206449790316</c:v>
                </c:pt>
                <c:pt idx="6">
                  <c:v>-0.29595925349442892</c:v>
                </c:pt>
                <c:pt idx="7">
                  <c:v>0.53887868058979072</c:v>
                </c:pt>
                <c:pt idx="8">
                  <c:v>0.38138148248527459</c:v>
                </c:pt>
                <c:pt idx="9">
                  <c:v>0.5015620069159088</c:v>
                </c:pt>
                <c:pt idx="10">
                  <c:v>0.49305442500074759</c:v>
                </c:pt>
                <c:pt idx="11">
                  <c:v>-0.11193472679446186</c:v>
                </c:pt>
                <c:pt idx="12">
                  <c:v>0.61218750882953465</c:v>
                </c:pt>
                <c:pt idx="13">
                  <c:v>0.24201016815451898</c:v>
                </c:pt>
                <c:pt idx="14">
                  <c:v>1.4373646619689666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3C-4480-B7AD-9D73DE2077B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83573400"/>
        <c:axId val="383573008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'Naive Approach'!$C$15:$C$18</c15:sqref>
                        </c15:formulaRef>
                      </c:ext>
                    </c:extLst>
                    <c:strCache>
                      <c:ptCount val="4"/>
                      <c:pt idx="0">
                        <c:v>Actual Sales</c:v>
                      </c:pt>
                      <c:pt idx="1">
                        <c:v>At</c:v>
                      </c:pt>
                      <c:pt idx="2">
                        <c:v> 168,959 </c:v>
                      </c:pt>
                      <c:pt idx="3">
                        <c:v> 156,632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'Naive Approach'!$C$19:$C$33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179324</c:v>
                      </c:pt>
                      <c:pt idx="1">
                        <c:v>176783</c:v>
                      </c:pt>
                      <c:pt idx="2">
                        <c:v>227729</c:v>
                      </c:pt>
                      <c:pt idx="3">
                        <c:v>149252</c:v>
                      </c:pt>
                      <c:pt idx="4">
                        <c:v>190401</c:v>
                      </c:pt>
                      <c:pt idx="5">
                        <c:v>199905</c:v>
                      </c:pt>
                      <c:pt idx="6">
                        <c:v>145658</c:v>
                      </c:pt>
                      <c:pt idx="7">
                        <c:v>176171</c:v>
                      </c:pt>
                      <c:pt idx="8">
                        <c:v>169218.5</c:v>
                      </c:pt>
                      <c:pt idx="9">
                        <c:v>171651.5</c:v>
                      </c:pt>
                      <c:pt idx="10">
                        <c:v>170123</c:v>
                      </c:pt>
                      <c:pt idx="11">
                        <c:v>153671</c:v>
                      </c:pt>
                      <c:pt idx="12">
                        <c:v>172465.5</c:v>
                      </c:pt>
                      <c:pt idx="13">
                        <c:v>162614.5</c:v>
                      </c:pt>
                      <c:pt idx="14">
                        <c:v>192675.5</c:v>
                      </c:pt>
                    </c:numCache>
                  </c:numRef>
                </c:yVal>
                <c:smooth val="1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CF3C-4480-B7AD-9D73DE2077B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Approach'!$D$15:$D$18</c15:sqref>
                        </c15:formulaRef>
                      </c:ext>
                    </c:extLst>
                    <c:strCache>
                      <c:ptCount val="4"/>
                      <c:pt idx="0">
                        <c:v>Forecast</c:v>
                      </c:pt>
                      <c:pt idx="1">
                        <c:v>Ft</c:v>
                      </c:pt>
                      <c:pt idx="2">
                        <c:v> -   </c:v>
                      </c:pt>
                      <c:pt idx="3">
                        <c:v> 168,959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Approach'!$D$19:$D$33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156632</c:v>
                      </c:pt>
                      <c:pt idx="1">
                        <c:v>179324</c:v>
                      </c:pt>
                      <c:pt idx="2">
                        <c:v>176783</c:v>
                      </c:pt>
                      <c:pt idx="3">
                        <c:v>227729</c:v>
                      </c:pt>
                      <c:pt idx="4">
                        <c:v>149252</c:v>
                      </c:pt>
                      <c:pt idx="5">
                        <c:v>190401</c:v>
                      </c:pt>
                      <c:pt idx="6">
                        <c:v>199905</c:v>
                      </c:pt>
                      <c:pt idx="7">
                        <c:v>145658</c:v>
                      </c:pt>
                      <c:pt idx="8">
                        <c:v>176171</c:v>
                      </c:pt>
                      <c:pt idx="9">
                        <c:v>169218.5</c:v>
                      </c:pt>
                      <c:pt idx="10">
                        <c:v>171651.5</c:v>
                      </c:pt>
                      <c:pt idx="11">
                        <c:v>170123</c:v>
                      </c:pt>
                      <c:pt idx="12">
                        <c:v>153671</c:v>
                      </c:pt>
                      <c:pt idx="13">
                        <c:v>172465.5</c:v>
                      </c:pt>
                      <c:pt idx="14">
                        <c:v>162614.5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2-CF3C-4480-B7AD-9D73DE2077B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Approach'!$E$15:$E$18</c15:sqref>
                        </c15:formulaRef>
                      </c:ext>
                    </c:extLst>
                    <c:strCache>
                      <c:ptCount val="4"/>
                      <c:pt idx="0">
                        <c:v>Error/ Bias</c:v>
                      </c:pt>
                      <c:pt idx="1">
                        <c:v>At-Ft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Approach'!$E$19:$E$33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22692</c:v>
                      </c:pt>
                      <c:pt idx="1">
                        <c:v>-2541</c:v>
                      </c:pt>
                      <c:pt idx="2">
                        <c:v>50946</c:v>
                      </c:pt>
                      <c:pt idx="3">
                        <c:v>-78477</c:v>
                      </c:pt>
                      <c:pt idx="4">
                        <c:v>41149</c:v>
                      </c:pt>
                      <c:pt idx="5">
                        <c:v>9504</c:v>
                      </c:pt>
                      <c:pt idx="6">
                        <c:v>-54247</c:v>
                      </c:pt>
                      <c:pt idx="7">
                        <c:v>30513</c:v>
                      </c:pt>
                      <c:pt idx="8">
                        <c:v>-6952.5</c:v>
                      </c:pt>
                      <c:pt idx="9">
                        <c:v>2433</c:v>
                      </c:pt>
                      <c:pt idx="10">
                        <c:v>-1528.5</c:v>
                      </c:pt>
                      <c:pt idx="11">
                        <c:v>-16452</c:v>
                      </c:pt>
                      <c:pt idx="12">
                        <c:v>18794.5</c:v>
                      </c:pt>
                      <c:pt idx="13">
                        <c:v>-9851</c:v>
                      </c:pt>
                      <c:pt idx="14">
                        <c:v>30061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3-CF3C-4480-B7AD-9D73DE2077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Approach'!$F$15:$F$18</c15:sqref>
                        </c15:formulaRef>
                      </c:ext>
                    </c:extLst>
                    <c:strCache>
                      <c:ptCount val="4"/>
                      <c:pt idx="0">
                        <c:v>Running Sum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Approach'!$F$19:$F$33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22692</c:v>
                      </c:pt>
                      <c:pt idx="1">
                        <c:v>20151</c:v>
                      </c:pt>
                      <c:pt idx="2">
                        <c:v>71097</c:v>
                      </c:pt>
                      <c:pt idx="3">
                        <c:v>-7380</c:v>
                      </c:pt>
                      <c:pt idx="4">
                        <c:v>33769</c:v>
                      </c:pt>
                      <c:pt idx="5">
                        <c:v>43273</c:v>
                      </c:pt>
                      <c:pt idx="6">
                        <c:v>-10974</c:v>
                      </c:pt>
                      <c:pt idx="7">
                        <c:v>19539</c:v>
                      </c:pt>
                      <c:pt idx="8">
                        <c:v>12586.5</c:v>
                      </c:pt>
                      <c:pt idx="9">
                        <c:v>15019.5</c:v>
                      </c:pt>
                      <c:pt idx="10">
                        <c:v>13491</c:v>
                      </c:pt>
                      <c:pt idx="11">
                        <c:v>-2961</c:v>
                      </c:pt>
                      <c:pt idx="12">
                        <c:v>15833.5</c:v>
                      </c:pt>
                      <c:pt idx="13">
                        <c:v>5982.5</c:v>
                      </c:pt>
                      <c:pt idx="14">
                        <c:v>36043.5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4-CF3C-4480-B7AD-9D73DE2077B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Approach'!$G$15:$G$18</c15:sqref>
                        </c15:formulaRef>
                      </c:ext>
                    </c:extLst>
                    <c:strCache>
                      <c:ptCount val="4"/>
                      <c:pt idx="0">
                        <c:v>Mean Absolute deviation (MAD)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Approach'!$G$19:$G$33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22692</c:v>
                      </c:pt>
                      <c:pt idx="1">
                        <c:v>2541</c:v>
                      </c:pt>
                      <c:pt idx="2">
                        <c:v>50946</c:v>
                      </c:pt>
                      <c:pt idx="3">
                        <c:v>78477</c:v>
                      </c:pt>
                      <c:pt idx="4">
                        <c:v>41149</c:v>
                      </c:pt>
                      <c:pt idx="5">
                        <c:v>9504</c:v>
                      </c:pt>
                      <c:pt idx="6">
                        <c:v>54247</c:v>
                      </c:pt>
                      <c:pt idx="7">
                        <c:v>30513</c:v>
                      </c:pt>
                      <c:pt idx="8">
                        <c:v>6952.5</c:v>
                      </c:pt>
                      <c:pt idx="9">
                        <c:v>2433</c:v>
                      </c:pt>
                      <c:pt idx="10">
                        <c:v>1528.5</c:v>
                      </c:pt>
                      <c:pt idx="11">
                        <c:v>16452</c:v>
                      </c:pt>
                      <c:pt idx="12">
                        <c:v>18794.5</c:v>
                      </c:pt>
                      <c:pt idx="13">
                        <c:v>9851</c:v>
                      </c:pt>
                      <c:pt idx="14">
                        <c:v>30061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5-CF3C-4480-B7AD-9D73DE2077B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Approach'!$H$15:$H$18</c15:sqref>
                        </c15:formulaRef>
                      </c:ext>
                    </c:extLst>
                    <c:strCache>
                      <c:ptCount val="4"/>
                      <c:pt idx="0">
                        <c:v>Mean Absolute Percentage error (MAPE)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Approach'!$H$19:$H$33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0.12654190180901609</c:v>
                      </c:pt>
                      <c:pt idx="1">
                        <c:v>1.4373554018203108E-2</c:v>
                      </c:pt>
                      <c:pt idx="2">
                        <c:v>0.22371327323265811</c:v>
                      </c:pt>
                      <c:pt idx="3">
                        <c:v>0.52580199930319194</c:v>
                      </c:pt>
                      <c:pt idx="4">
                        <c:v>0.21611756240776045</c:v>
                      </c:pt>
                      <c:pt idx="5">
                        <c:v>4.7542582726795228E-2</c:v>
                      </c:pt>
                      <c:pt idx="6">
                        <c:v>0.3724271924645402</c:v>
                      </c:pt>
                      <c:pt idx="7">
                        <c:v>0.17320103762821348</c:v>
                      </c:pt>
                      <c:pt idx="8">
                        <c:v>4.1085933275617027E-2</c:v>
                      </c:pt>
                      <c:pt idx="9">
                        <c:v>1.4174067805990627E-2</c:v>
                      </c:pt>
                      <c:pt idx="10">
                        <c:v>8.9846757933965422E-3</c:v>
                      </c:pt>
                      <c:pt idx="11">
                        <c:v>0.1070598876821261</c:v>
                      </c:pt>
                      <c:pt idx="12">
                        <c:v>0.10897541827206021</c:v>
                      </c:pt>
                      <c:pt idx="13">
                        <c:v>6.0578853669260739E-2</c:v>
                      </c:pt>
                      <c:pt idx="14">
                        <c:v>0.15601879844609201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6-CF3C-4480-B7AD-9D73DE2077B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Approach'!$I$15:$I$18</c15:sqref>
                        </c15:formulaRef>
                      </c:ext>
                    </c:extLst>
                    <c:strCache>
                      <c:ptCount val="4"/>
                      <c:pt idx="0">
                        <c:v>Commulative Absolute Error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'Naive Approach'!$I$19:$I$33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22692</c:v>
                      </c:pt>
                      <c:pt idx="1">
                        <c:v>25233</c:v>
                      </c:pt>
                      <c:pt idx="2">
                        <c:v>76179</c:v>
                      </c:pt>
                      <c:pt idx="3">
                        <c:v>154656</c:v>
                      </c:pt>
                      <c:pt idx="4">
                        <c:v>195805</c:v>
                      </c:pt>
                      <c:pt idx="5">
                        <c:v>205309</c:v>
                      </c:pt>
                      <c:pt idx="6">
                        <c:v>259556</c:v>
                      </c:pt>
                      <c:pt idx="7">
                        <c:v>290069</c:v>
                      </c:pt>
                      <c:pt idx="8">
                        <c:v>297021.5</c:v>
                      </c:pt>
                      <c:pt idx="9">
                        <c:v>299454.5</c:v>
                      </c:pt>
                      <c:pt idx="10">
                        <c:v>300983</c:v>
                      </c:pt>
                      <c:pt idx="11">
                        <c:v>317435</c:v>
                      </c:pt>
                      <c:pt idx="12">
                        <c:v>336229.5</c:v>
                      </c:pt>
                      <c:pt idx="13">
                        <c:v>346080.5</c:v>
                      </c:pt>
                      <c:pt idx="14">
                        <c:v>376141.5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7-CF3C-4480-B7AD-9D73DE2077B6}"/>
                  </c:ext>
                </c:extLst>
              </c15:ser>
            </c15:filteredScatterSeries>
          </c:ext>
        </c:extLst>
      </c:scatterChart>
      <c:valAx>
        <c:axId val="3835734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383573008"/>
        <c:crosses val="autoZero"/>
        <c:crossBetween val="midCat"/>
      </c:valAx>
      <c:valAx>
        <c:axId val="383573008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/>
              <a:t>Actual vs Forecasted Sale-</a:t>
            </a:r>
            <a:r>
              <a:rPr lang="en-US" sz="1400" baseline="0"/>
              <a:t>Quarterly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strRef>
              <c:f>'Naive Approach'!$N$15:$N$16</c:f>
              <c:strCache>
                <c:ptCount val="2"/>
                <c:pt idx="0">
                  <c:v>Actual Sales</c:v>
                </c:pt>
                <c:pt idx="1">
                  <c:v>At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'Naive Approach'!$M$17:$M$24</c15:sqref>
                  </c15:fullRef>
                </c:ext>
              </c:extLst>
              <c:f>'Naive Approach'!$M$18:$M$22</c:f>
              <c:strCache>
                <c:ptCount val="5"/>
                <c:pt idx="0">
                  <c:v> Q2- 2017 </c:v>
                </c:pt>
                <c:pt idx="1">
                  <c:v>Q3- 2017</c:v>
                </c:pt>
                <c:pt idx="2">
                  <c:v>Q4- 2017</c:v>
                </c:pt>
                <c:pt idx="3">
                  <c:v>Q1- 2018</c:v>
                </c:pt>
                <c:pt idx="4">
                  <c:v>Q2- 2018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'Naive Approach'!$N$17:$N$24</c15:sqref>
                  </c15:fullRef>
                </c:ext>
              </c:extLst>
              <c:f>'Naive Approach'!$N$18:$N$22</c:f>
              <c:numCache>
                <c:formatCode>_(* #,##0_);_(* \(#,##0\);_(* "-"??_);_(@_)</c:formatCode>
                <c:ptCount val="5"/>
                <c:pt idx="0">
                  <c:v>553764</c:v>
                </c:pt>
                <c:pt idx="1" formatCode="0">
                  <c:v>535964</c:v>
                </c:pt>
                <c:pt idx="2" formatCode="0">
                  <c:v>517041</c:v>
                </c:pt>
                <c:pt idx="3" formatCode="0">
                  <c:v>496259.5</c:v>
                </c:pt>
                <c:pt idx="4" formatCode="0">
                  <c:v>496136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6D-4D89-84ED-DC557DA639EC}"/>
            </c:ext>
          </c:extLst>
        </c:ser>
        <c:ser>
          <c:idx val="1"/>
          <c:order val="1"/>
          <c:tx>
            <c:strRef>
              <c:f>'Naive Approach'!$O$15:$O$16</c:f>
              <c:strCache>
                <c:ptCount val="2"/>
                <c:pt idx="0">
                  <c:v>Forecast</c:v>
                </c:pt>
                <c:pt idx="1">
                  <c:v>Ft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'Naive Approach'!$M$17:$M$24</c15:sqref>
                  </c15:fullRef>
                </c:ext>
              </c:extLst>
              <c:f>'Naive Approach'!$M$18:$M$22</c:f>
              <c:strCache>
                <c:ptCount val="5"/>
                <c:pt idx="0">
                  <c:v> Q2- 2017 </c:v>
                </c:pt>
                <c:pt idx="1">
                  <c:v>Q3- 2017</c:v>
                </c:pt>
                <c:pt idx="2">
                  <c:v>Q4- 2017</c:v>
                </c:pt>
                <c:pt idx="3">
                  <c:v>Q1- 2018</c:v>
                </c:pt>
                <c:pt idx="4">
                  <c:v>Q2- 2018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'Naive Approach'!$O$17:$O$24</c15:sqref>
                  </c15:fullRef>
                </c:ext>
              </c:extLst>
              <c:f>'Naive Approach'!$O$18:$O$22</c:f>
              <c:numCache>
                <c:formatCode>_(* #,##0_);_(* \(#,##0\);_(* "-"??_);_(@_)</c:formatCode>
                <c:ptCount val="5"/>
                <c:pt idx="0">
                  <c:v>504915</c:v>
                </c:pt>
                <c:pt idx="1" formatCode="0">
                  <c:v>553764</c:v>
                </c:pt>
                <c:pt idx="2" formatCode="0">
                  <c:v>535964</c:v>
                </c:pt>
                <c:pt idx="3" formatCode="0">
                  <c:v>517041</c:v>
                </c:pt>
                <c:pt idx="4" formatCode="0">
                  <c:v>496259.5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6D-4D89-84ED-DC557DA63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576928"/>
        <c:axId val="383575752"/>
      </c:lineChart>
      <c:catAx>
        <c:axId val="38357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5752"/>
        <c:crosses val="autoZero"/>
        <c:auto val="1"/>
        <c:lblAlgn val="ctr"/>
        <c:lblOffset val="100"/>
        <c:noMultiLvlLbl val="0"/>
      </c:catAx>
      <c:valAx>
        <c:axId val="383575752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6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557954795527859"/>
          <c:y val="0.92446878922743347"/>
          <c:w val="0.74855664514328346"/>
          <c:h val="6.39370078740157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Signal-</a:t>
            </a:r>
            <a:r>
              <a:rPr lang="en-US" b="1" baseline="0">
                <a:latin typeface="+mj-lt"/>
              </a:rPr>
              <a:t> Quarterly</a:t>
            </a:r>
            <a:endParaRPr lang="en-US" b="1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'Naive Approach'!$U$15:$U$16</c:f>
              <c:strCache>
                <c:ptCount val="2"/>
                <c:pt idx="0">
                  <c:v>Tracking Signal</c:v>
                </c:pt>
              </c:strCache>
            </c:strRef>
          </c:tx>
          <c:spPr>
            <a:ln w="19050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19050" cap="flat" cmpd="sng" algn="ctr">
                <a:solidFill>
                  <a:schemeClr val="accent2">
                    <a:lumMod val="75000"/>
                  </a:schemeClr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'Naive Approach'!$M$17:$M$23</c:f>
              <c:strCache>
                <c:ptCount val="7"/>
                <c:pt idx="0">
                  <c:v>Q1- 2017</c:v>
                </c:pt>
                <c:pt idx="1">
                  <c:v> Q2- 2017 </c:v>
                </c:pt>
                <c:pt idx="2">
                  <c:v>Q3- 2017</c:v>
                </c:pt>
                <c:pt idx="3">
                  <c:v>Q4- 2017</c:v>
                </c:pt>
                <c:pt idx="4">
                  <c:v>Q1- 2018</c:v>
                </c:pt>
                <c:pt idx="5">
                  <c:v>Q2- 2018</c:v>
                </c:pt>
                <c:pt idx="6">
                  <c:v>Q3- 2018</c:v>
                </c:pt>
              </c:strCache>
            </c:strRef>
          </c:xVal>
          <c:yVal>
            <c:numRef>
              <c:f>'Naive Approach'!$U$18:$U$23</c:f>
              <c:numCache>
                <c:formatCode>0.00</c:formatCode>
                <c:ptCount val="6"/>
                <c:pt idx="0" formatCode="0.0%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</c:numCache>
            </c:numRef>
          </c:yVal>
          <c:smooth val="1"/>
          <c:extLst xmlns:c16r2="http://schemas.microsoft.com/office/drawing/2015/06/chart" xmlns:c15="http://schemas.microsoft.com/office/drawing/2012/chart">
            <c:ext xmlns:c16="http://schemas.microsoft.com/office/drawing/2014/chart" uri="{C3380CC4-5D6E-409C-BE32-E72D297353CC}">
              <c16:uniqueId val="{00000000-3D24-4B29-AC77-C2337F689B5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83570264"/>
        <c:axId val="383572224"/>
        <c:extLst xmlns:c16r2="http://schemas.microsoft.com/office/drawing/2015/06/chart"/>
      </c:scatterChart>
      <c:valAx>
        <c:axId val="383570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383572224"/>
        <c:crosses val="autoZero"/>
        <c:crossBetween val="midCat"/>
      </c:valAx>
      <c:valAx>
        <c:axId val="383572224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0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 Sale- Monthly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v>Actual Sales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extLst>
                <c:ext xmlns:c15="http://schemas.microsoft.com/office/drawing/2012/chart" uri="{02D57815-91ED-43cb-92C2-25804820EDAC}">
                  <c15:fullRef>
                    <c15:sqref>'Moving average'!$A$17:$B$34</c15:sqref>
                  </c15:fullRef>
                </c:ext>
              </c:extLst>
              <c:f>'Moving average'!$A$19:$B$34</c:f>
              <c:multiLvlStrCache>
                <c:ptCount val="16"/>
                <c:lvl>
                  <c:pt idx="0">
                    <c:v>Mar-17</c:v>
                  </c:pt>
                  <c:pt idx="1">
                    <c:v>Apr-17</c:v>
                  </c:pt>
                  <c:pt idx="2">
                    <c:v>May-17</c:v>
                  </c:pt>
                  <c:pt idx="3">
                    <c:v>Jun-17</c:v>
                  </c:pt>
                  <c:pt idx="4">
                    <c:v>Jul-17</c:v>
                  </c:pt>
                  <c:pt idx="5">
                    <c:v>Aug-17</c:v>
                  </c:pt>
                  <c:pt idx="6">
                    <c:v>Sep-17</c:v>
                  </c:pt>
                  <c:pt idx="7">
                    <c:v>Oct-17</c:v>
                  </c:pt>
                  <c:pt idx="8">
                    <c:v>Nov-17</c:v>
                  </c:pt>
                  <c:pt idx="9">
                    <c:v>Dec-17</c:v>
                  </c:pt>
                  <c:pt idx="10">
                    <c:v>Jan-18</c:v>
                  </c:pt>
                  <c:pt idx="11">
                    <c:v>Feb-18</c:v>
                  </c:pt>
                  <c:pt idx="12">
                    <c:v>Mar-18</c:v>
                  </c:pt>
                  <c:pt idx="13">
                    <c:v>Apr-18</c:v>
                  </c:pt>
                  <c:pt idx="14">
                    <c:v>May-18</c:v>
                  </c:pt>
                  <c:pt idx="15">
                    <c:v>Jun-18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'Moving average'!$C$17:$C$34</c15:sqref>
                  </c15:fullRef>
                </c:ext>
              </c:extLst>
              <c:f>'Moving average'!$C$19:$C$34</c:f>
              <c:numCache>
                <c:formatCode>_(* #,##0_);_(* \(#,##0\);_(* "-"??_);_(@_)</c:formatCode>
                <c:ptCount val="16"/>
                <c:pt idx="0">
                  <c:v>179324</c:v>
                </c:pt>
                <c:pt idx="1">
                  <c:v>176783</c:v>
                </c:pt>
                <c:pt idx="2">
                  <c:v>227729</c:v>
                </c:pt>
                <c:pt idx="3">
                  <c:v>149252</c:v>
                </c:pt>
                <c:pt idx="4">
                  <c:v>190401</c:v>
                </c:pt>
                <c:pt idx="5">
                  <c:v>199905</c:v>
                </c:pt>
                <c:pt idx="6">
                  <c:v>145658</c:v>
                </c:pt>
                <c:pt idx="7">
                  <c:v>176171</c:v>
                </c:pt>
                <c:pt idx="8">
                  <c:v>169218.5</c:v>
                </c:pt>
                <c:pt idx="9">
                  <c:v>171651.5</c:v>
                </c:pt>
                <c:pt idx="10">
                  <c:v>170123</c:v>
                </c:pt>
                <c:pt idx="11">
                  <c:v>153671</c:v>
                </c:pt>
                <c:pt idx="12">
                  <c:v>172465.5</c:v>
                </c:pt>
                <c:pt idx="13">
                  <c:v>162614.5</c:v>
                </c:pt>
                <c:pt idx="14">
                  <c:v>192675.5</c:v>
                </c:pt>
                <c:pt idx="15">
                  <c:v>140846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55-4BA4-AD80-CA804F12C287}"/>
            </c:ext>
          </c:extLst>
        </c:ser>
        <c:ser>
          <c:idx val="1"/>
          <c:order val="1"/>
          <c:tx>
            <c:v>Forecasted Sale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'Moving average'!$A$17:$B$34</c15:sqref>
                  </c15:fullRef>
                </c:ext>
              </c:extLst>
              <c:f>'Moving average'!$A$19:$B$34</c:f>
              <c:multiLvlStrCache>
                <c:ptCount val="16"/>
                <c:lvl>
                  <c:pt idx="0">
                    <c:v>Mar-17</c:v>
                  </c:pt>
                  <c:pt idx="1">
                    <c:v>Apr-17</c:v>
                  </c:pt>
                  <c:pt idx="2">
                    <c:v>May-17</c:v>
                  </c:pt>
                  <c:pt idx="3">
                    <c:v>Jun-17</c:v>
                  </c:pt>
                  <c:pt idx="4">
                    <c:v>Jul-17</c:v>
                  </c:pt>
                  <c:pt idx="5">
                    <c:v>Aug-17</c:v>
                  </c:pt>
                  <c:pt idx="6">
                    <c:v>Sep-17</c:v>
                  </c:pt>
                  <c:pt idx="7">
                    <c:v>Oct-17</c:v>
                  </c:pt>
                  <c:pt idx="8">
                    <c:v>Nov-17</c:v>
                  </c:pt>
                  <c:pt idx="9">
                    <c:v>Dec-17</c:v>
                  </c:pt>
                  <c:pt idx="10">
                    <c:v>Jan-18</c:v>
                  </c:pt>
                  <c:pt idx="11">
                    <c:v>Feb-18</c:v>
                  </c:pt>
                  <c:pt idx="12">
                    <c:v>Mar-18</c:v>
                  </c:pt>
                  <c:pt idx="13">
                    <c:v>Apr-18</c:v>
                  </c:pt>
                  <c:pt idx="14">
                    <c:v>May-18</c:v>
                  </c:pt>
                  <c:pt idx="15">
                    <c:v>Jun-18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'Moving average'!$D$17:$D$34</c15:sqref>
                  </c15:fullRef>
                </c:ext>
              </c:extLst>
              <c:f>'Moving average'!$D$19:$D$34</c:f>
              <c:numCache>
                <c:formatCode>_(* #,##0_);_(* \(#,##0\);_(* "-"??_);_(@_)</c:formatCode>
                <c:ptCount val="16"/>
                <c:pt idx="0">
                  <c:v>162795.5</c:v>
                </c:pt>
                <c:pt idx="1">
                  <c:v>168305</c:v>
                </c:pt>
                <c:pt idx="2">
                  <c:v>170913</c:v>
                </c:pt>
                <c:pt idx="3">
                  <c:v>194612</c:v>
                </c:pt>
                <c:pt idx="4">
                  <c:v>184588</c:v>
                </c:pt>
                <c:pt idx="5">
                  <c:v>189127.33333333334</c:v>
                </c:pt>
                <c:pt idx="6">
                  <c:v>179852.66666666666</c:v>
                </c:pt>
                <c:pt idx="7">
                  <c:v>178654.66666666666</c:v>
                </c:pt>
                <c:pt idx="8">
                  <c:v>173911.33333333334</c:v>
                </c:pt>
                <c:pt idx="9">
                  <c:v>163682.5</c:v>
                </c:pt>
                <c:pt idx="10">
                  <c:v>172347</c:v>
                </c:pt>
                <c:pt idx="11">
                  <c:v>170331</c:v>
                </c:pt>
                <c:pt idx="12">
                  <c:v>165148.5</c:v>
                </c:pt>
                <c:pt idx="13">
                  <c:v>165419.83333333334</c:v>
                </c:pt>
                <c:pt idx="14">
                  <c:v>162917</c:v>
                </c:pt>
                <c:pt idx="15">
                  <c:v>175918.5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55-4BA4-AD80-CA804F12C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573792"/>
        <c:axId val="383572616"/>
      </c:lineChart>
      <c:catAx>
        <c:axId val="38357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2616"/>
        <c:crosses val="autoZero"/>
        <c:auto val="1"/>
        <c:lblAlgn val="ctr"/>
        <c:lblOffset val="100"/>
        <c:noMultiLvlLbl val="0"/>
      </c:catAx>
      <c:valAx>
        <c:axId val="38357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37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464575504603621"/>
          <c:y val="0.83944450487873368"/>
          <c:w val="0.2359459191312426"/>
          <c:h val="0.16055536536193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Signal- Monthly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7"/>
          <c:order val="7"/>
          <c:tx>
            <c:strRef>
              <c:f>'Moving average'!$J$15:$J$18</c:f>
              <c:strCache>
                <c:ptCount val="4"/>
                <c:pt idx="0">
                  <c:v>Tracking Signal</c:v>
                </c:pt>
                <c:pt idx="2">
                  <c:v>-</c:v>
                </c:pt>
                <c:pt idx="3">
                  <c:v>-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'Moving average'!$B$19:$B$33</c:f>
              <c:numCache>
                <c:formatCode>[$-409]mmm\-yy;@</c:formatCode>
                <c:ptCount val="15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</c:numCache>
            </c:numRef>
          </c:xVal>
          <c:yVal>
            <c:numRef>
              <c:f>'Moving average'!$J$19:$J$33</c:f>
              <c:numCache>
                <c:formatCode>_(* #,##0.00_);_(* \(#,##0.00\);_(* "-"??_);_(@_)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1.1467772688852633</c:v>
                </c:pt>
                <c:pt idx="4">
                  <c:v>1.5893582865585678</c:v>
                </c:pt>
                <c:pt idx="5">
                  <c:v>2.2140362306828232</c:v>
                </c:pt>
                <c:pt idx="6">
                  <c:v>0.74176044921975615</c:v>
                </c:pt>
                <c:pt idx="7">
                  <c:v>0.72594944717371024</c:v>
                </c:pt>
                <c:pt idx="8">
                  <c:v>0.56787047222617315</c:v>
                </c:pt>
                <c:pt idx="9">
                  <c:v>1.0175889805640903</c:v>
                </c:pt>
                <c:pt idx="10">
                  <c:v>0.98136386285605082</c:v>
                </c:pt>
                <c:pt idx="11">
                  <c:v>4.3415640448307535E-2</c:v>
                </c:pt>
                <c:pt idx="12">
                  <c:v>0.47918436703483436</c:v>
                </c:pt>
                <c:pt idx="13">
                  <c:v>0.33270954545522702</c:v>
                </c:pt>
                <c:pt idx="14">
                  <c:v>2.0865544122191348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317-49A3-9D5C-A6757E47FE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83574184"/>
        <c:axId val="383570656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'Moving average'!$C$15:$C$18</c15:sqref>
                        </c15:formulaRef>
                      </c:ext>
                    </c:extLst>
                    <c:strCache>
                      <c:ptCount val="4"/>
                      <c:pt idx="0">
                        <c:v>Actual Sales</c:v>
                      </c:pt>
                      <c:pt idx="1">
                        <c:v>At</c:v>
                      </c:pt>
                      <c:pt idx="2">
                        <c:v> 168,959 </c:v>
                      </c:pt>
                      <c:pt idx="3">
                        <c:v> 156,632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'Moving average'!$C$19:$C$33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179324</c:v>
                      </c:pt>
                      <c:pt idx="1">
                        <c:v>176783</c:v>
                      </c:pt>
                      <c:pt idx="2">
                        <c:v>227729</c:v>
                      </c:pt>
                      <c:pt idx="3">
                        <c:v>149252</c:v>
                      </c:pt>
                      <c:pt idx="4">
                        <c:v>190401</c:v>
                      </c:pt>
                      <c:pt idx="5">
                        <c:v>199905</c:v>
                      </c:pt>
                      <c:pt idx="6">
                        <c:v>145658</c:v>
                      </c:pt>
                      <c:pt idx="7">
                        <c:v>176171</c:v>
                      </c:pt>
                      <c:pt idx="8">
                        <c:v>169218.5</c:v>
                      </c:pt>
                      <c:pt idx="9">
                        <c:v>171651.5</c:v>
                      </c:pt>
                      <c:pt idx="10">
                        <c:v>170123</c:v>
                      </c:pt>
                      <c:pt idx="11">
                        <c:v>153671</c:v>
                      </c:pt>
                      <c:pt idx="12">
                        <c:v>172465.5</c:v>
                      </c:pt>
                      <c:pt idx="13">
                        <c:v>162614.5</c:v>
                      </c:pt>
                      <c:pt idx="14">
                        <c:v>192675.5</c:v>
                      </c:pt>
                    </c:numCache>
                  </c:numRef>
                </c:yVal>
                <c:smooth val="1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9317-49A3-9D5C-A6757E47FEB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average'!$D$15:$D$18</c15:sqref>
                        </c15:formulaRef>
                      </c:ext>
                    </c:extLst>
                    <c:strCache>
                      <c:ptCount val="4"/>
                      <c:pt idx="0">
                        <c:v>Forecast</c:v>
                      </c:pt>
                      <c:pt idx="1">
                        <c:v>Ft</c:v>
                      </c:pt>
                      <c:pt idx="2">
                        <c:v> -   </c:v>
                      </c:pt>
                      <c:pt idx="3">
                        <c:v> -  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average'!$D$19:$D$33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162795.5</c:v>
                      </c:pt>
                      <c:pt idx="1">
                        <c:v>168305</c:v>
                      </c:pt>
                      <c:pt idx="2">
                        <c:v>170913</c:v>
                      </c:pt>
                      <c:pt idx="3">
                        <c:v>194612</c:v>
                      </c:pt>
                      <c:pt idx="4">
                        <c:v>184588</c:v>
                      </c:pt>
                      <c:pt idx="5">
                        <c:v>189127.33333333334</c:v>
                      </c:pt>
                      <c:pt idx="6">
                        <c:v>179852.66666666666</c:v>
                      </c:pt>
                      <c:pt idx="7">
                        <c:v>178654.66666666666</c:v>
                      </c:pt>
                      <c:pt idx="8">
                        <c:v>173911.33333333334</c:v>
                      </c:pt>
                      <c:pt idx="9">
                        <c:v>163682.5</c:v>
                      </c:pt>
                      <c:pt idx="10">
                        <c:v>172347</c:v>
                      </c:pt>
                      <c:pt idx="11">
                        <c:v>170331</c:v>
                      </c:pt>
                      <c:pt idx="12">
                        <c:v>165148.5</c:v>
                      </c:pt>
                      <c:pt idx="13">
                        <c:v>165419.83333333334</c:v>
                      </c:pt>
                      <c:pt idx="14">
                        <c:v>162917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2-9317-49A3-9D5C-A6757E47FEB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average'!$E$15:$E$18</c15:sqref>
                        </c15:formulaRef>
                      </c:ext>
                    </c:extLst>
                    <c:strCache>
                      <c:ptCount val="4"/>
                      <c:pt idx="0">
                        <c:v>Error/ Bias</c:v>
                      </c:pt>
                      <c:pt idx="1">
                        <c:v>At-Ft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average'!$E$19:$E$33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16528.5</c:v>
                      </c:pt>
                      <c:pt idx="1">
                        <c:v>8478</c:v>
                      </c:pt>
                      <c:pt idx="2">
                        <c:v>56816</c:v>
                      </c:pt>
                      <c:pt idx="3">
                        <c:v>-45360</c:v>
                      </c:pt>
                      <c:pt idx="4">
                        <c:v>5813</c:v>
                      </c:pt>
                      <c:pt idx="5">
                        <c:v>10777.666666666657</c:v>
                      </c:pt>
                      <c:pt idx="6">
                        <c:v>-34194.666666666657</c:v>
                      </c:pt>
                      <c:pt idx="7">
                        <c:v>-2483.666666666657</c:v>
                      </c:pt>
                      <c:pt idx="8">
                        <c:v>-4692.833333333343</c:v>
                      </c:pt>
                      <c:pt idx="9">
                        <c:v>7969</c:v>
                      </c:pt>
                      <c:pt idx="10">
                        <c:v>-2224</c:v>
                      </c:pt>
                      <c:pt idx="11">
                        <c:v>-16660</c:v>
                      </c:pt>
                      <c:pt idx="12">
                        <c:v>7317</c:v>
                      </c:pt>
                      <c:pt idx="13">
                        <c:v>-2805.333333333343</c:v>
                      </c:pt>
                      <c:pt idx="14">
                        <c:v>29758.5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3-9317-49A3-9D5C-A6757E47FEB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average'!$F$15:$F$18</c15:sqref>
                        </c15:formulaRef>
                      </c:ext>
                    </c:extLst>
                    <c:strCache>
                      <c:ptCount val="4"/>
                      <c:pt idx="0">
                        <c:v>Running Sum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average'!$F$19:$F$33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16528.5</c:v>
                      </c:pt>
                      <c:pt idx="1">
                        <c:v>25006.5</c:v>
                      </c:pt>
                      <c:pt idx="2">
                        <c:v>81822.5</c:v>
                      </c:pt>
                      <c:pt idx="3">
                        <c:v>36462.5</c:v>
                      </c:pt>
                      <c:pt idx="4">
                        <c:v>42275.5</c:v>
                      </c:pt>
                      <c:pt idx="5">
                        <c:v>53053.166666666657</c:v>
                      </c:pt>
                      <c:pt idx="6">
                        <c:v>18858.5</c:v>
                      </c:pt>
                      <c:pt idx="7">
                        <c:v>16374.833333333343</c:v>
                      </c:pt>
                      <c:pt idx="8">
                        <c:v>11682</c:v>
                      </c:pt>
                      <c:pt idx="9">
                        <c:v>19651</c:v>
                      </c:pt>
                      <c:pt idx="10">
                        <c:v>17427</c:v>
                      </c:pt>
                      <c:pt idx="11">
                        <c:v>767</c:v>
                      </c:pt>
                      <c:pt idx="12">
                        <c:v>8084</c:v>
                      </c:pt>
                      <c:pt idx="13">
                        <c:v>5278.666666666657</c:v>
                      </c:pt>
                      <c:pt idx="14">
                        <c:v>35037.166666666657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4-9317-49A3-9D5C-A6757E47FEB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average'!$G$15:$G$18</c15:sqref>
                        </c15:formulaRef>
                      </c:ext>
                    </c:extLst>
                    <c:strCache>
                      <c:ptCount val="4"/>
                      <c:pt idx="0">
                        <c:v>Mean Absolute deviation (MAD)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average'!$G$19:$G$33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16528.5</c:v>
                      </c:pt>
                      <c:pt idx="1">
                        <c:v>8478</c:v>
                      </c:pt>
                      <c:pt idx="2">
                        <c:v>56816</c:v>
                      </c:pt>
                      <c:pt idx="3">
                        <c:v>45360</c:v>
                      </c:pt>
                      <c:pt idx="4">
                        <c:v>5813</c:v>
                      </c:pt>
                      <c:pt idx="5">
                        <c:v>10777.666666666657</c:v>
                      </c:pt>
                      <c:pt idx="6">
                        <c:v>34194.666666666657</c:v>
                      </c:pt>
                      <c:pt idx="7">
                        <c:v>2483.666666666657</c:v>
                      </c:pt>
                      <c:pt idx="8">
                        <c:v>4692.833333333343</c:v>
                      </c:pt>
                      <c:pt idx="9">
                        <c:v>7969</c:v>
                      </c:pt>
                      <c:pt idx="10">
                        <c:v>2224</c:v>
                      </c:pt>
                      <c:pt idx="11">
                        <c:v>16660</c:v>
                      </c:pt>
                      <c:pt idx="12">
                        <c:v>7317</c:v>
                      </c:pt>
                      <c:pt idx="13">
                        <c:v>2805.333333333343</c:v>
                      </c:pt>
                      <c:pt idx="14">
                        <c:v>29758.5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5-9317-49A3-9D5C-A6757E47FEB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average'!$H$15:$H$18</c15:sqref>
                        </c15:formulaRef>
                      </c:ext>
                    </c:extLst>
                    <c:strCache>
                      <c:ptCount val="4"/>
                      <c:pt idx="0">
                        <c:v>Mean Absolute Percentage error (MAPE)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average'!$H$19:$H$33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9.2171153889049992E-2</c:v>
                      </c:pt>
                      <c:pt idx="1">
                        <c:v>4.7957099947393132E-2</c:v>
                      </c:pt>
                      <c:pt idx="2">
                        <c:v>0.2494895248299514</c:v>
                      </c:pt>
                      <c:pt idx="3">
                        <c:v>0.30391552542009487</c:v>
                      </c:pt>
                      <c:pt idx="4">
                        <c:v>3.0530301836650016E-2</c:v>
                      </c:pt>
                      <c:pt idx="5">
                        <c:v>5.3913942455999883E-2</c:v>
                      </c:pt>
                      <c:pt idx="6">
                        <c:v>0.23475996283531736</c:v>
                      </c:pt>
                      <c:pt idx="7">
                        <c:v>1.4098044891989356E-2</c:v>
                      </c:pt>
                      <c:pt idx="8">
                        <c:v>2.7732389386109339E-2</c:v>
                      </c:pt>
                      <c:pt idx="9">
                        <c:v>4.6425460890233992E-2</c:v>
                      </c:pt>
                      <c:pt idx="10">
                        <c:v>1.3072894317640766E-2</c:v>
                      </c:pt>
                      <c:pt idx="11">
                        <c:v>0.10841342868856192</c:v>
                      </c:pt>
                      <c:pt idx="12">
                        <c:v>4.2425876479643757E-2</c:v>
                      </c:pt>
                      <c:pt idx="13">
                        <c:v>1.7251434117703791E-2</c:v>
                      </c:pt>
                      <c:pt idx="14">
                        <c:v>0.15444880122278132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6-9317-49A3-9D5C-A6757E47FEB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average'!$I$15:$I$18</c15:sqref>
                        </c15:formulaRef>
                      </c:ext>
                    </c:extLst>
                    <c:strCache>
                      <c:ptCount val="4"/>
                      <c:pt idx="0">
                        <c:v>Commulative Absolute Error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'Moving average'!$I$19:$I$33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16528.5</c:v>
                      </c:pt>
                      <c:pt idx="1">
                        <c:v>25006.5</c:v>
                      </c:pt>
                      <c:pt idx="2">
                        <c:v>81822.5</c:v>
                      </c:pt>
                      <c:pt idx="3">
                        <c:v>127182.5</c:v>
                      </c:pt>
                      <c:pt idx="4">
                        <c:v>132995.5</c:v>
                      </c:pt>
                      <c:pt idx="5">
                        <c:v>143773.16666666666</c:v>
                      </c:pt>
                      <c:pt idx="6">
                        <c:v>177967.83333333331</c:v>
                      </c:pt>
                      <c:pt idx="7">
                        <c:v>180451.49999999997</c:v>
                      </c:pt>
                      <c:pt idx="8">
                        <c:v>185144.33333333331</c:v>
                      </c:pt>
                      <c:pt idx="9">
                        <c:v>193113.33333333331</c:v>
                      </c:pt>
                      <c:pt idx="10">
                        <c:v>195337.33333333331</c:v>
                      </c:pt>
                      <c:pt idx="11">
                        <c:v>211997.33333333331</c:v>
                      </c:pt>
                      <c:pt idx="12">
                        <c:v>219314.33333333331</c:v>
                      </c:pt>
                      <c:pt idx="13">
                        <c:v>222119.66666666666</c:v>
                      </c:pt>
                      <c:pt idx="14">
                        <c:v>251878.16666666666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07-9317-49A3-9D5C-A6757E47FEBC}"/>
                  </c:ext>
                </c:extLst>
              </c15:ser>
            </c15:filteredScatterSeries>
          </c:ext>
        </c:extLst>
      </c:scatterChart>
      <c:valAx>
        <c:axId val="3835741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383570656"/>
        <c:crosses val="autoZero"/>
        <c:crossBetween val="midCat"/>
      </c:valAx>
      <c:valAx>
        <c:axId val="383570656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4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/>
              <a:t>Actual vs Forecasted Sale-</a:t>
            </a:r>
            <a:r>
              <a:rPr lang="en-US" sz="1400" baseline="0"/>
              <a:t>Quarterly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strRef>
              <c:f>'Moving average'!$N$15:$N$16</c:f>
              <c:strCache>
                <c:ptCount val="2"/>
                <c:pt idx="0">
                  <c:v>Actual Sales</c:v>
                </c:pt>
                <c:pt idx="1">
                  <c:v>At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'Moving average'!$M$17:$M$24</c15:sqref>
                  </c15:fullRef>
                </c:ext>
              </c:extLst>
              <c:f>'Moving average'!$M$18:$M$22</c:f>
              <c:strCache>
                <c:ptCount val="5"/>
                <c:pt idx="0">
                  <c:v>Q2- 2017</c:v>
                </c:pt>
                <c:pt idx="1">
                  <c:v>Q3- 2017</c:v>
                </c:pt>
                <c:pt idx="2">
                  <c:v>Q4- 2017</c:v>
                </c:pt>
                <c:pt idx="3">
                  <c:v>Q1- 2018</c:v>
                </c:pt>
                <c:pt idx="4">
                  <c:v>Q2- 2018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'Moving average'!$N$17:$N$24</c15:sqref>
                  </c15:fullRef>
                </c:ext>
              </c:extLst>
              <c:f>'Moving average'!$N$18:$N$22</c:f>
              <c:numCache>
                <c:formatCode>_(* #,##0_);_(* \(#,##0\);_(* "-"??_);_(@_)</c:formatCode>
                <c:ptCount val="5"/>
                <c:pt idx="0">
                  <c:v>553764</c:v>
                </c:pt>
                <c:pt idx="1">
                  <c:v>535964</c:v>
                </c:pt>
                <c:pt idx="2">
                  <c:v>517041</c:v>
                </c:pt>
                <c:pt idx="3">
                  <c:v>496259.5</c:v>
                </c:pt>
                <c:pt idx="4">
                  <c:v>496136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FF-4BA9-B51A-AC9724696D14}"/>
            </c:ext>
          </c:extLst>
        </c:ser>
        <c:ser>
          <c:idx val="1"/>
          <c:order val="1"/>
          <c:tx>
            <c:strRef>
              <c:f>'Moving average'!$O$15:$O$16</c:f>
              <c:strCache>
                <c:ptCount val="2"/>
                <c:pt idx="0">
                  <c:v>Forecast</c:v>
                </c:pt>
                <c:pt idx="1">
                  <c:v>Ft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'Moving average'!$M$17:$M$24</c15:sqref>
                  </c15:fullRef>
                </c:ext>
              </c:extLst>
              <c:f>'Moving average'!$M$18:$M$22</c:f>
              <c:strCache>
                <c:ptCount val="5"/>
                <c:pt idx="0">
                  <c:v>Q2- 2017</c:v>
                </c:pt>
                <c:pt idx="1">
                  <c:v>Q3- 2017</c:v>
                </c:pt>
                <c:pt idx="2">
                  <c:v>Q4- 2017</c:v>
                </c:pt>
                <c:pt idx="3">
                  <c:v>Q1- 2018</c:v>
                </c:pt>
                <c:pt idx="4">
                  <c:v>Q2- 2018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'Moving average'!$O$17:$O$24</c15:sqref>
                  </c15:fullRef>
                </c:ext>
              </c:extLst>
              <c:f>'Moving average'!$O$18:$O$22</c:f>
              <c:numCache>
                <c:formatCode>_(* #,##0_);_(* \(#,##0\);_(* "-"??_);_(@_)</c:formatCode>
                <c:ptCount val="5"/>
                <c:pt idx="0">
                  <c:v>504915</c:v>
                </c:pt>
                <c:pt idx="1">
                  <c:v>529339.5</c:v>
                </c:pt>
                <c:pt idx="2">
                  <c:v>531547.66666666663</c:v>
                </c:pt>
                <c:pt idx="3">
                  <c:v>535589.66666666663</c:v>
                </c:pt>
                <c:pt idx="4">
                  <c:v>516421.5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FF-4BA9-B51A-AC9724696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425048"/>
        <c:axId val="415424656"/>
      </c:lineChart>
      <c:catAx>
        <c:axId val="415425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4656"/>
        <c:crosses val="autoZero"/>
        <c:auto val="1"/>
        <c:lblAlgn val="ctr"/>
        <c:lblOffset val="100"/>
        <c:noMultiLvlLbl val="0"/>
      </c:catAx>
      <c:valAx>
        <c:axId val="415424656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50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557954795527859"/>
          <c:y val="0.92446878922743347"/>
          <c:w val="0.74855664514328346"/>
          <c:h val="6.39370078740157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Signal-</a:t>
            </a:r>
            <a:r>
              <a:rPr lang="en-US" b="1" baseline="0">
                <a:latin typeface="+mj-lt"/>
              </a:rPr>
              <a:t> Quarterly</a:t>
            </a:r>
            <a:endParaRPr lang="en-US" b="1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'Moving average'!$U$15:$U$16</c:f>
              <c:strCache>
                <c:ptCount val="2"/>
                <c:pt idx="0">
                  <c:v>Tracking Signal</c:v>
                </c:pt>
              </c:strCache>
            </c:strRef>
          </c:tx>
          <c:spPr>
            <a:ln w="19050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19050" cap="flat" cmpd="sng" algn="ctr">
                <a:solidFill>
                  <a:schemeClr val="accent2">
                    <a:lumMod val="75000"/>
                  </a:schemeClr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'Moving average'!$M$17:$M$23</c:f>
              <c:strCache>
                <c:ptCount val="7"/>
                <c:pt idx="0">
                  <c:v>Q1- 2017</c:v>
                </c:pt>
                <c:pt idx="1">
                  <c:v>Q2- 2017</c:v>
                </c:pt>
                <c:pt idx="2">
                  <c:v>Q3- 2017</c:v>
                </c:pt>
                <c:pt idx="3">
                  <c:v>Q4- 2017</c:v>
                </c:pt>
                <c:pt idx="4">
                  <c:v>Q1- 2018</c:v>
                </c:pt>
                <c:pt idx="5">
                  <c:v>Q2- 2018</c:v>
                </c:pt>
                <c:pt idx="6">
                  <c:v>Q3- 2018</c:v>
                </c:pt>
              </c:strCache>
            </c:strRef>
          </c:xVal>
          <c:yVal>
            <c:numRef>
              <c:f>'Moving average'!$U$18:$U$23</c:f>
              <c:numCache>
                <c:formatCode>_(* #,##0.00_);_(* \(#,##0.00\);_(* "-"??_);_(@_)</c:formatCode>
                <c:ptCount val="6"/>
                <c:pt idx="0">
                  <c:v>0</c:v>
                </c:pt>
                <c:pt idx="1">
                  <c:v>1</c:v>
                </c:pt>
                <c:pt idx="2">
                  <c:v>-0.74602285723299477</c:v>
                </c:pt>
                <c:pt idx="3">
                  <c:v>-2.3426046398800326</c:v>
                </c:pt>
                <c:pt idx="4">
                  <c:v>-3.3436770482227365</c:v>
                </c:pt>
                <c:pt idx="5">
                  <c:v>-4.4110368903956942</c:v>
                </c:pt>
              </c:numCache>
            </c:numRef>
          </c:yVal>
          <c:smooth val="1"/>
          <c:extLst xmlns:c16r2="http://schemas.microsoft.com/office/drawing/2015/06/chart" xmlns:c15="http://schemas.microsoft.com/office/drawing/2012/chart">
            <c:ext xmlns:c16="http://schemas.microsoft.com/office/drawing/2014/chart" uri="{C3380CC4-5D6E-409C-BE32-E72D297353CC}">
              <c16:uniqueId val="{00000000-8695-4433-83AD-1B608783FFE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5429360"/>
        <c:axId val="415430928"/>
        <c:extLst xmlns:c16r2="http://schemas.microsoft.com/office/drawing/2015/06/chart"/>
      </c:scatterChart>
      <c:valAx>
        <c:axId val="4154293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415430928"/>
        <c:crosses val="autoZero"/>
        <c:crossBetween val="midCat"/>
      </c:valAx>
      <c:valAx>
        <c:axId val="415430928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/>
              <a:t>Actual vs Forecasted Sale- Monthly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v>Actual Sales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extLst>
                <c:ext xmlns:c15="http://schemas.microsoft.com/office/drawing/2012/chart" uri="{02D57815-91ED-43cb-92C2-25804820EDAC}">
                  <c15:fullRef>
                    <c15:sqref>'Exponential Smoothing'!$A$17:$B$34</c15:sqref>
                  </c15:fullRef>
                </c:ext>
              </c:extLst>
              <c:f>'Exponential Smoothing'!$A$18:$B$34</c:f>
              <c:multiLvlStrCache>
                <c:ptCount val="17"/>
                <c:lvl>
                  <c:pt idx="0">
                    <c:v>Feb-17</c:v>
                  </c:pt>
                  <c:pt idx="1">
                    <c:v>Mar-17</c:v>
                  </c:pt>
                  <c:pt idx="2">
                    <c:v>Apr-17</c:v>
                  </c:pt>
                  <c:pt idx="3">
                    <c:v>May-17</c:v>
                  </c:pt>
                  <c:pt idx="4">
                    <c:v>Jun-17</c:v>
                  </c:pt>
                  <c:pt idx="5">
                    <c:v>Jul-17</c:v>
                  </c:pt>
                  <c:pt idx="6">
                    <c:v>Aug-17</c:v>
                  </c:pt>
                  <c:pt idx="7">
                    <c:v>Sep-17</c:v>
                  </c:pt>
                  <c:pt idx="8">
                    <c:v>Oct-17</c:v>
                  </c:pt>
                  <c:pt idx="9">
                    <c:v>Nov-17</c:v>
                  </c:pt>
                  <c:pt idx="10">
                    <c:v>Dec-17</c:v>
                  </c:pt>
                  <c:pt idx="11">
                    <c:v>Jan-18</c:v>
                  </c:pt>
                  <c:pt idx="12">
                    <c:v>Feb-18</c:v>
                  </c:pt>
                  <c:pt idx="13">
                    <c:v>Mar-18</c:v>
                  </c:pt>
                  <c:pt idx="14">
                    <c:v>Apr-18</c:v>
                  </c:pt>
                  <c:pt idx="15">
                    <c:v>May-18</c:v>
                  </c:pt>
                  <c:pt idx="16">
                    <c:v>Jun-18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'Exponential Smoothing'!$C$17:$C$34</c15:sqref>
                  </c15:fullRef>
                </c:ext>
              </c:extLst>
              <c:f>'Exponential Smoothing'!$C$18:$C$34</c:f>
              <c:numCache>
                <c:formatCode>_(* #,##0_);_(* \(#,##0\);_(* "-"??_);_(@_)</c:formatCode>
                <c:ptCount val="17"/>
                <c:pt idx="0">
                  <c:v>156632</c:v>
                </c:pt>
                <c:pt idx="1">
                  <c:v>179324</c:v>
                </c:pt>
                <c:pt idx="2">
                  <c:v>176783</c:v>
                </c:pt>
                <c:pt idx="3">
                  <c:v>227729</c:v>
                </c:pt>
                <c:pt idx="4">
                  <c:v>149252</c:v>
                </c:pt>
                <c:pt idx="5">
                  <c:v>190401</c:v>
                </c:pt>
                <c:pt idx="6">
                  <c:v>199905</c:v>
                </c:pt>
                <c:pt idx="7">
                  <c:v>145658</c:v>
                </c:pt>
                <c:pt idx="8">
                  <c:v>176171</c:v>
                </c:pt>
                <c:pt idx="9">
                  <c:v>169218.5</c:v>
                </c:pt>
                <c:pt idx="10">
                  <c:v>171651.5</c:v>
                </c:pt>
                <c:pt idx="11">
                  <c:v>170123</c:v>
                </c:pt>
                <c:pt idx="12">
                  <c:v>153671</c:v>
                </c:pt>
                <c:pt idx="13">
                  <c:v>172465.5</c:v>
                </c:pt>
                <c:pt idx="14">
                  <c:v>162614.5</c:v>
                </c:pt>
                <c:pt idx="15">
                  <c:v>192675.5</c:v>
                </c:pt>
                <c:pt idx="16">
                  <c:v>140846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F7-476B-959A-01E0B49DDE21}"/>
            </c:ext>
          </c:extLst>
        </c:ser>
        <c:ser>
          <c:idx val="1"/>
          <c:order val="1"/>
          <c:tx>
            <c:v>Forecasted Sale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'Exponential Smoothing'!$A$17:$B$34</c15:sqref>
                  </c15:fullRef>
                </c:ext>
              </c:extLst>
              <c:f>'Exponential Smoothing'!$A$18:$B$34</c:f>
              <c:multiLvlStrCache>
                <c:ptCount val="17"/>
                <c:lvl>
                  <c:pt idx="0">
                    <c:v>Feb-17</c:v>
                  </c:pt>
                  <c:pt idx="1">
                    <c:v>Mar-17</c:v>
                  </c:pt>
                  <c:pt idx="2">
                    <c:v>Apr-17</c:v>
                  </c:pt>
                  <c:pt idx="3">
                    <c:v>May-17</c:v>
                  </c:pt>
                  <c:pt idx="4">
                    <c:v>Jun-17</c:v>
                  </c:pt>
                  <c:pt idx="5">
                    <c:v>Jul-17</c:v>
                  </c:pt>
                  <c:pt idx="6">
                    <c:v>Aug-17</c:v>
                  </c:pt>
                  <c:pt idx="7">
                    <c:v>Sep-17</c:v>
                  </c:pt>
                  <c:pt idx="8">
                    <c:v>Oct-17</c:v>
                  </c:pt>
                  <c:pt idx="9">
                    <c:v>Nov-17</c:v>
                  </c:pt>
                  <c:pt idx="10">
                    <c:v>Dec-17</c:v>
                  </c:pt>
                  <c:pt idx="11">
                    <c:v>Jan-18</c:v>
                  </c:pt>
                  <c:pt idx="12">
                    <c:v>Feb-18</c:v>
                  </c:pt>
                  <c:pt idx="13">
                    <c:v>Mar-18</c:v>
                  </c:pt>
                  <c:pt idx="14">
                    <c:v>Apr-18</c:v>
                  </c:pt>
                  <c:pt idx="15">
                    <c:v>May-18</c:v>
                  </c:pt>
                  <c:pt idx="16">
                    <c:v>Jun-18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'Exponential Smoothing'!$D$17:$D$34</c15:sqref>
                  </c15:fullRef>
                </c:ext>
              </c:extLst>
              <c:f>'Exponential Smoothing'!$D$18:$D$34</c:f>
              <c:numCache>
                <c:formatCode>_(* #,##0_);_(* \(#,##0\);_(* "-"??_);_(@_)</c:formatCode>
                <c:ptCount val="17"/>
                <c:pt idx="0">
                  <c:v>168959</c:v>
                </c:pt>
                <c:pt idx="1">
                  <c:v>166493.6</c:v>
                </c:pt>
                <c:pt idx="2">
                  <c:v>169059.68</c:v>
                </c:pt>
                <c:pt idx="3">
                  <c:v>170604.34399999998</c:v>
                </c:pt>
                <c:pt idx="4">
                  <c:v>182029.27519999997</c:v>
                </c:pt>
                <c:pt idx="5">
                  <c:v>175473.82015999997</c:v>
                </c:pt>
                <c:pt idx="6">
                  <c:v>178459.25612799998</c:v>
                </c:pt>
                <c:pt idx="7">
                  <c:v>182748.40490239998</c:v>
                </c:pt>
                <c:pt idx="8">
                  <c:v>175330.32392191997</c:v>
                </c:pt>
                <c:pt idx="9">
                  <c:v>175498.45913753597</c:v>
                </c:pt>
                <c:pt idx="10">
                  <c:v>174242.46731002879</c:v>
                </c:pt>
                <c:pt idx="11">
                  <c:v>173724.27384802303</c:v>
                </c:pt>
                <c:pt idx="12">
                  <c:v>173004.01907841844</c:v>
                </c:pt>
                <c:pt idx="13">
                  <c:v>169137.41526273475</c:v>
                </c:pt>
                <c:pt idx="14">
                  <c:v>169803.03221018781</c:v>
                </c:pt>
                <c:pt idx="15">
                  <c:v>168365.32576815024</c:v>
                </c:pt>
                <c:pt idx="16">
                  <c:v>173227.36061452021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F7-476B-959A-01E0B49DD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425440"/>
        <c:axId val="415425832"/>
      </c:lineChart>
      <c:catAx>
        <c:axId val="4154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5832"/>
        <c:crosses val="autoZero"/>
        <c:auto val="1"/>
        <c:lblAlgn val="ctr"/>
        <c:lblOffset val="100"/>
        <c:noMultiLvlLbl val="0"/>
      </c:catAx>
      <c:valAx>
        <c:axId val="41542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54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464575504603621"/>
          <c:y val="0.83944450487873368"/>
          <c:w val="0.2359459191312426"/>
          <c:h val="0.16055536536193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7"/>
          <c:order val="7"/>
          <c:tx>
            <c:strRef>
              <c:f>'Exponential Smoothing'!$J$15:$J$18</c:f>
              <c:strCache>
                <c:ptCount val="4"/>
                <c:pt idx="0">
                  <c:v>Tracking Signal</c:v>
                </c:pt>
                <c:pt idx="2">
                  <c:v>-</c:v>
                </c:pt>
                <c:pt idx="3">
                  <c:v>-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'Exponential Smoothing'!$B$19:$B$33</c:f>
              <c:numCache>
                <c:formatCode>[$-409]mmm\-yy;@</c:formatCode>
                <c:ptCount val="15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</c:numCache>
            </c:numRef>
          </c:xVal>
          <c:yVal>
            <c:numRef>
              <c:f>'Exponential Smoothing'!$J$19:$J$33</c:f>
              <c:numCache>
                <c:formatCode>0.00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1.6260318168311174</c:v>
                </c:pt>
                <c:pt idx="4">
                  <c:v>2.3858242848621543</c:v>
                </c:pt>
                <c:pt idx="5">
                  <c:v>3.3211801406113506</c:v>
                </c:pt>
                <c:pt idx="6">
                  <c:v>1.6816390433402411</c:v>
                </c:pt>
                <c:pt idx="7">
                  <c:v>1.9495293155939539</c:v>
                </c:pt>
                <c:pt idx="8">
                  <c:v>1.8252707894983462</c:v>
                </c:pt>
                <c:pt idx="9">
                  <c:v>1.8671311526928396</c:v>
                </c:pt>
                <c:pt idx="10">
                  <c:v>1.8154929747838495</c:v>
                </c:pt>
                <c:pt idx="11">
                  <c:v>0.73247758007336838</c:v>
                </c:pt>
                <c:pt idx="12">
                  <c:v>0.97826275865557011</c:v>
                </c:pt>
                <c:pt idx="13">
                  <c:v>0.576977024825434</c:v>
                </c:pt>
                <c:pt idx="14">
                  <c:v>2.0089450586379045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38-A428-4B8A-9AA3-F996190202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5431712"/>
        <c:axId val="415426224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'Exponential Smoothing'!$C$15:$C$18</c15:sqref>
                        </c15:formulaRef>
                      </c:ext>
                    </c:extLst>
                    <c:strCache>
                      <c:ptCount val="4"/>
                      <c:pt idx="0">
                        <c:v>Actual Sales</c:v>
                      </c:pt>
                      <c:pt idx="1">
                        <c:v>At</c:v>
                      </c:pt>
                      <c:pt idx="2">
                        <c:v> 168,959 </c:v>
                      </c:pt>
                      <c:pt idx="3">
                        <c:v> 156,632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'Exponential Smoothing'!$C$19:$C$33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179324</c:v>
                      </c:pt>
                      <c:pt idx="1">
                        <c:v>176783</c:v>
                      </c:pt>
                      <c:pt idx="2">
                        <c:v>227729</c:v>
                      </c:pt>
                      <c:pt idx="3">
                        <c:v>149252</c:v>
                      </c:pt>
                      <c:pt idx="4">
                        <c:v>190401</c:v>
                      </c:pt>
                      <c:pt idx="5">
                        <c:v>199905</c:v>
                      </c:pt>
                      <c:pt idx="6">
                        <c:v>145658</c:v>
                      </c:pt>
                      <c:pt idx="7">
                        <c:v>176171</c:v>
                      </c:pt>
                      <c:pt idx="8">
                        <c:v>169218.5</c:v>
                      </c:pt>
                      <c:pt idx="9">
                        <c:v>171651.5</c:v>
                      </c:pt>
                      <c:pt idx="10">
                        <c:v>170123</c:v>
                      </c:pt>
                      <c:pt idx="11">
                        <c:v>153671</c:v>
                      </c:pt>
                      <c:pt idx="12">
                        <c:v>172465.5</c:v>
                      </c:pt>
                      <c:pt idx="13">
                        <c:v>162614.5</c:v>
                      </c:pt>
                      <c:pt idx="14">
                        <c:v>192675.5</c:v>
                      </c:pt>
                    </c:numCache>
                  </c:numRef>
                </c:yVal>
                <c:smooth val="1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0-A428-4B8A-9AA3-F9961902025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Smoothing'!$D$15:$D$18</c15:sqref>
                        </c15:formulaRef>
                      </c:ext>
                    </c:extLst>
                    <c:strCache>
                      <c:ptCount val="4"/>
                      <c:pt idx="0">
                        <c:v>Forecast</c:v>
                      </c:pt>
                      <c:pt idx="1">
                        <c:v>Ft</c:v>
                      </c:pt>
                      <c:pt idx="2">
                        <c:v> -   </c:v>
                      </c:pt>
                      <c:pt idx="3">
                        <c:v> 168,959 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Smoothing'!$D$19:$D$33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166493.6</c:v>
                      </c:pt>
                      <c:pt idx="1">
                        <c:v>169059.68</c:v>
                      </c:pt>
                      <c:pt idx="2">
                        <c:v>170604.34399999998</c:v>
                      </c:pt>
                      <c:pt idx="3">
                        <c:v>182029.27519999997</c:v>
                      </c:pt>
                      <c:pt idx="4">
                        <c:v>175473.82015999997</c:v>
                      </c:pt>
                      <c:pt idx="5">
                        <c:v>178459.25612799998</c:v>
                      </c:pt>
                      <c:pt idx="6">
                        <c:v>182748.40490239998</c:v>
                      </c:pt>
                      <c:pt idx="7">
                        <c:v>175330.32392191997</c:v>
                      </c:pt>
                      <c:pt idx="8">
                        <c:v>175498.45913753597</c:v>
                      </c:pt>
                      <c:pt idx="9">
                        <c:v>174242.46731002879</c:v>
                      </c:pt>
                      <c:pt idx="10">
                        <c:v>173724.27384802303</c:v>
                      </c:pt>
                      <c:pt idx="11">
                        <c:v>173004.01907841844</c:v>
                      </c:pt>
                      <c:pt idx="12">
                        <c:v>169137.41526273475</c:v>
                      </c:pt>
                      <c:pt idx="13">
                        <c:v>169803.03221018781</c:v>
                      </c:pt>
                      <c:pt idx="14">
                        <c:v>168365.32576815024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2-A428-4B8A-9AA3-F9961902025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Smoothing'!$E$15:$E$18</c15:sqref>
                        </c15:formulaRef>
                      </c:ext>
                    </c:extLst>
                    <c:strCache>
                      <c:ptCount val="4"/>
                      <c:pt idx="0">
                        <c:v>Error/ Bias</c:v>
                      </c:pt>
                      <c:pt idx="1">
                        <c:v>At-Ft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Smoothing'!$E$19:$E$33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12830.399999999994</c:v>
                      </c:pt>
                      <c:pt idx="1">
                        <c:v>7723.320000000007</c:v>
                      </c:pt>
                      <c:pt idx="2">
                        <c:v>57124.656000000017</c:v>
                      </c:pt>
                      <c:pt idx="3">
                        <c:v>-32777.275199999975</c:v>
                      </c:pt>
                      <c:pt idx="4">
                        <c:v>14927.179840000026</c:v>
                      </c:pt>
                      <c:pt idx="5">
                        <c:v>21445.743872000021</c:v>
                      </c:pt>
                      <c:pt idx="6">
                        <c:v>-37090.404902399983</c:v>
                      </c:pt>
                      <c:pt idx="7">
                        <c:v>840.67607808002504</c:v>
                      </c:pt>
                      <c:pt idx="8">
                        <c:v>-6279.9591375359742</c:v>
                      </c:pt>
                      <c:pt idx="9">
                        <c:v>-2590.967310028791</c:v>
                      </c:pt>
                      <c:pt idx="10">
                        <c:v>-3601.2738480230328</c:v>
                      </c:pt>
                      <c:pt idx="11">
                        <c:v>-19333.019078418438</c:v>
                      </c:pt>
                      <c:pt idx="12">
                        <c:v>3328.0847372652497</c:v>
                      </c:pt>
                      <c:pt idx="13">
                        <c:v>-7188.5322101878119</c:v>
                      </c:pt>
                      <c:pt idx="14">
                        <c:v>24310.174231849756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3-A428-4B8A-9AA3-F996190202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Smoothing'!$F$15:$F$18</c15:sqref>
                        </c15:formulaRef>
                      </c:ext>
                    </c:extLst>
                    <c:strCache>
                      <c:ptCount val="4"/>
                      <c:pt idx="0">
                        <c:v>Running Sum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Smoothing'!$F$19:$F$33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12830.399999999994</c:v>
                      </c:pt>
                      <c:pt idx="1">
                        <c:v>20553.72</c:v>
                      </c:pt>
                      <c:pt idx="2">
                        <c:v>77678.376000000018</c:v>
                      </c:pt>
                      <c:pt idx="3">
                        <c:v>44901.100800000044</c:v>
                      </c:pt>
                      <c:pt idx="4">
                        <c:v>59828.28064000007</c:v>
                      </c:pt>
                      <c:pt idx="5">
                        <c:v>81274.024512000091</c:v>
                      </c:pt>
                      <c:pt idx="6">
                        <c:v>44183.619609600108</c:v>
                      </c:pt>
                      <c:pt idx="7">
                        <c:v>45024.295687680133</c:v>
                      </c:pt>
                      <c:pt idx="8">
                        <c:v>38744.336550144159</c:v>
                      </c:pt>
                      <c:pt idx="9">
                        <c:v>36153.369240115368</c:v>
                      </c:pt>
                      <c:pt idx="10">
                        <c:v>32552.095392092335</c:v>
                      </c:pt>
                      <c:pt idx="11">
                        <c:v>13219.076313673897</c:v>
                      </c:pt>
                      <c:pt idx="12">
                        <c:v>16547.161050939147</c:v>
                      </c:pt>
                      <c:pt idx="13">
                        <c:v>9358.6288407513348</c:v>
                      </c:pt>
                      <c:pt idx="14">
                        <c:v>33668.803072601091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4-A428-4B8A-9AA3-F9961902025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Smoothing'!$G$15:$G$18</c15:sqref>
                        </c15:formulaRef>
                      </c:ext>
                    </c:extLst>
                    <c:strCache>
                      <c:ptCount val="4"/>
                      <c:pt idx="0">
                        <c:v>Mean Absolute deviation (MAD)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Smoothing'!$G$19:$G$33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5"/>
                      <c:pt idx="0">
                        <c:v>12830.399999999994</c:v>
                      </c:pt>
                      <c:pt idx="1">
                        <c:v>7723.320000000007</c:v>
                      </c:pt>
                      <c:pt idx="2">
                        <c:v>57124.656000000017</c:v>
                      </c:pt>
                      <c:pt idx="3">
                        <c:v>32777.275199999975</c:v>
                      </c:pt>
                      <c:pt idx="4">
                        <c:v>14927.179840000026</c:v>
                      </c:pt>
                      <c:pt idx="5">
                        <c:v>21445.743872000021</c:v>
                      </c:pt>
                      <c:pt idx="6">
                        <c:v>37090.404902399983</c:v>
                      </c:pt>
                      <c:pt idx="7">
                        <c:v>840.67607808002504</c:v>
                      </c:pt>
                      <c:pt idx="8">
                        <c:v>6279.9591375359742</c:v>
                      </c:pt>
                      <c:pt idx="9">
                        <c:v>2590.967310028791</c:v>
                      </c:pt>
                      <c:pt idx="10">
                        <c:v>3601.2738480230328</c:v>
                      </c:pt>
                      <c:pt idx="11">
                        <c:v>19333.019078418438</c:v>
                      </c:pt>
                      <c:pt idx="12">
                        <c:v>3328.0847372652497</c:v>
                      </c:pt>
                      <c:pt idx="13">
                        <c:v>7188.5322101878119</c:v>
                      </c:pt>
                      <c:pt idx="14">
                        <c:v>24310.174231849756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5-A428-4B8A-9AA3-F996190202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Smoothing'!$H$15:$H$18</c15:sqref>
                        </c15:formulaRef>
                      </c:ext>
                    </c:extLst>
                    <c:strCache>
                      <c:ptCount val="4"/>
                      <c:pt idx="0">
                        <c:v>Mean Absolute Percentage error (MAPE)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Smoothing'!$H$19:$H$33</c15:sqref>
                        </c15:formulaRef>
                      </c:ext>
                    </c:extLst>
                    <c:numCache>
                      <c:formatCode>0.00</c:formatCode>
                      <c:ptCount val="15"/>
                      <c:pt idx="0">
                        <c:v>7.1548705137070304E-2</c:v>
                      </c:pt>
                      <c:pt idx="1">
                        <c:v>4.3688137434029328E-2</c:v>
                      </c:pt>
                      <c:pt idx="2">
                        <c:v>0.2508448901984377</c:v>
                      </c:pt>
                      <c:pt idx="3">
                        <c:v>0.21961029131937915</c:v>
                      </c:pt>
                      <c:pt idx="4">
                        <c:v>7.8398642023939091E-2</c:v>
                      </c:pt>
                      <c:pt idx="5">
                        <c:v>0.10727967720667328</c:v>
                      </c:pt>
                      <c:pt idx="6">
                        <c:v>0.25464035550673486</c:v>
                      </c:pt>
                      <c:pt idx="7">
                        <c:v>4.7719322594526057E-3</c:v>
                      </c:pt>
                      <c:pt idx="8">
                        <c:v>3.71115400357288E-2</c:v>
                      </c:pt>
                      <c:pt idx="9">
                        <c:v>1.5094347034711558E-2</c:v>
                      </c:pt>
                      <c:pt idx="10">
                        <c:v>2.1168647672701709E-2</c:v>
                      </c:pt>
                      <c:pt idx="11">
                        <c:v>0.1258078562540651</c:v>
                      </c:pt>
                      <c:pt idx="12">
                        <c:v>1.9297104274566507E-2</c:v>
                      </c:pt>
                      <c:pt idx="13">
                        <c:v>4.4205973084736061E-2</c:v>
                      </c:pt>
                      <c:pt idx="14">
                        <c:v>0.12617159022215982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6-A428-4B8A-9AA3-F9961902025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Smoothing'!$I$15:$I$18</c15:sqref>
                        </c15:formulaRef>
                      </c:ext>
                    </c:extLst>
                    <c:strCache>
                      <c:ptCount val="4"/>
                      <c:pt idx="0">
                        <c:v>Commulative Absolute Error</c:v>
                      </c:pt>
                      <c:pt idx="2">
                        <c:v>-</c:v>
                      </c:pt>
                      <c:pt idx="3">
                        <c:v>-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Smoothing'!$B$19:$B$33</c15:sqref>
                        </c15:formulaRef>
                      </c:ext>
                    </c:extLst>
                    <c:numCache>
                      <c:formatCode>[$-409]mmm\-yy;@</c:formatCode>
                      <c:ptCount val="15"/>
                      <c:pt idx="0">
                        <c:v>42795</c:v>
                      </c:pt>
                      <c:pt idx="1">
                        <c:v>42826</c:v>
                      </c:pt>
                      <c:pt idx="2">
                        <c:v>42856</c:v>
                      </c:pt>
                      <c:pt idx="3">
                        <c:v>42887</c:v>
                      </c:pt>
                      <c:pt idx="4">
                        <c:v>42917</c:v>
                      </c:pt>
                      <c:pt idx="5">
                        <c:v>42948</c:v>
                      </c:pt>
                      <c:pt idx="6">
                        <c:v>42979</c:v>
                      </c:pt>
                      <c:pt idx="7">
                        <c:v>43009</c:v>
                      </c:pt>
                      <c:pt idx="8">
                        <c:v>43040</c:v>
                      </c:pt>
                      <c:pt idx="9">
                        <c:v>43070</c:v>
                      </c:pt>
                      <c:pt idx="10">
                        <c:v>43101</c:v>
                      </c:pt>
                      <c:pt idx="11">
                        <c:v>43132</c:v>
                      </c:pt>
                      <c:pt idx="12">
                        <c:v>43160</c:v>
                      </c:pt>
                      <c:pt idx="13">
                        <c:v>43191</c:v>
                      </c:pt>
                      <c:pt idx="14">
                        <c:v>43221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'Exponential Smoothing'!$I$19:$I$33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12830.399999999994</c:v>
                      </c:pt>
                      <c:pt idx="1">
                        <c:v>20553.72</c:v>
                      </c:pt>
                      <c:pt idx="2">
                        <c:v>77678.376000000018</c:v>
                      </c:pt>
                      <c:pt idx="3">
                        <c:v>110455.65119999999</c:v>
                      </c:pt>
                      <c:pt idx="4">
                        <c:v>125382.83104000002</c:v>
                      </c:pt>
                      <c:pt idx="5">
                        <c:v>146828.57491200004</c:v>
                      </c:pt>
                      <c:pt idx="6">
                        <c:v>183918.97981440002</c:v>
                      </c:pt>
                      <c:pt idx="7">
                        <c:v>184759.65589248005</c:v>
                      </c:pt>
                      <c:pt idx="8">
                        <c:v>191039.61503001602</c:v>
                      </c:pt>
                      <c:pt idx="9">
                        <c:v>193630.58234004481</c:v>
                      </c:pt>
                      <c:pt idx="10">
                        <c:v>197231.85618806785</c:v>
                      </c:pt>
                      <c:pt idx="11">
                        <c:v>216564.87526648628</c:v>
                      </c:pt>
                      <c:pt idx="12">
                        <c:v>219892.96000375153</c:v>
                      </c:pt>
                      <c:pt idx="13">
                        <c:v>227081.49221393935</c:v>
                      </c:pt>
                      <c:pt idx="14">
                        <c:v>251391.6664457891</c:v>
                      </c:pt>
                    </c:numCache>
                  </c:numRef>
                </c:yVal>
                <c:smooth val="1"/>
                <c:extLst xmlns:c16r2="http://schemas.microsoft.com/office/drawing/2015/06/chart" xmlns:c15="http://schemas.microsoft.com/office/drawing/2012/chart">
                  <c:ext xmlns:c16="http://schemas.microsoft.com/office/drawing/2014/chart" uri="{C3380CC4-5D6E-409C-BE32-E72D297353CC}">
                    <c16:uniqueId val="{00000037-A428-4B8A-9AA3-F99619020251}"/>
                  </c:ext>
                </c:extLst>
              </c15:ser>
            </c15:filteredScatterSeries>
          </c:ext>
        </c:extLst>
      </c:scatterChart>
      <c:valAx>
        <c:axId val="41543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415426224"/>
        <c:crosses val="autoZero"/>
        <c:crossBetween val="midCat"/>
      </c:valAx>
      <c:valAx>
        <c:axId val="415426224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/>
              <a:t>Actual vs Forecasted Sale-</a:t>
            </a:r>
            <a:r>
              <a:rPr lang="en-US" sz="1400" baseline="0"/>
              <a:t>Quarterly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774499663518313E-2"/>
          <c:y val="0.1002112389226056"/>
          <c:w val="0.89532014046951192"/>
          <c:h val="0.57426958134216388"/>
        </c:manualLayout>
      </c:layout>
      <c:lineChart>
        <c:grouping val="standard"/>
        <c:varyColors val="0"/>
        <c:ser>
          <c:idx val="0"/>
          <c:order val="0"/>
          <c:tx>
            <c:strRef>
              <c:f>'Exponential Smoothing'!$N$15:$N$16</c:f>
              <c:strCache>
                <c:ptCount val="2"/>
                <c:pt idx="0">
                  <c:v>Actual Sales</c:v>
                </c:pt>
                <c:pt idx="1">
                  <c:v>At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extLst>
                <c:ext xmlns:c15="http://schemas.microsoft.com/office/drawing/2012/chart" uri="{02D57815-91ED-43cb-92C2-25804820EDAC}">
                  <c15:fullRef>
                    <c15:sqref>'Exponential Smoothing'!$L$17:$M$24</c15:sqref>
                  </c15:fullRef>
                </c:ext>
              </c:extLst>
              <c:f>'Exponential Smoothing'!$L$18:$M$23</c:f>
              <c:multiLvlStrCache>
                <c:ptCount val="6"/>
                <c:lvl>
                  <c:pt idx="0">
                    <c:v>Q2- 2017</c:v>
                  </c:pt>
                  <c:pt idx="1">
                    <c:v>Q3- 2017</c:v>
                  </c:pt>
                  <c:pt idx="2">
                    <c:v>Q4- 2017</c:v>
                  </c:pt>
                  <c:pt idx="3">
                    <c:v>Q1- 2018</c:v>
                  </c:pt>
                  <c:pt idx="4">
                    <c:v>Q2- 2018</c:v>
                  </c:pt>
                  <c:pt idx="5">
                    <c:v>Q3- 2018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'Exponential Smoothing'!$N$17:$N$24</c15:sqref>
                  </c15:fullRef>
                </c:ext>
              </c:extLst>
              <c:f>'Exponential Smoothing'!$N$18:$N$23</c:f>
              <c:numCache>
                <c:formatCode>_(* #,##0_);_(* \(#,##0\);_(* "-"??_);_(@_)</c:formatCode>
                <c:ptCount val="6"/>
                <c:pt idx="0">
                  <c:v>553764</c:v>
                </c:pt>
                <c:pt idx="1">
                  <c:v>535964</c:v>
                </c:pt>
                <c:pt idx="2">
                  <c:v>517041</c:v>
                </c:pt>
                <c:pt idx="3">
                  <c:v>496259.5</c:v>
                </c:pt>
                <c:pt idx="4">
                  <c:v>496136</c:v>
                </c:pt>
                <c:pt idx="5">
                  <c:v>471415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22-4BA1-A4DE-B5CD8BD3AA1A}"/>
            </c:ext>
          </c:extLst>
        </c:ser>
        <c:ser>
          <c:idx val="1"/>
          <c:order val="1"/>
          <c:tx>
            <c:strRef>
              <c:f>'Exponential Smoothing'!$O$15:$O$16</c:f>
              <c:strCache>
                <c:ptCount val="2"/>
                <c:pt idx="0">
                  <c:v>Forecast</c:v>
                </c:pt>
                <c:pt idx="1">
                  <c:v>Ft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'Exponential Smoothing'!$L$17:$M$24</c15:sqref>
                  </c15:fullRef>
                </c:ext>
              </c:extLst>
              <c:f>'Exponential Smoothing'!$L$18:$M$23</c:f>
              <c:multiLvlStrCache>
                <c:ptCount val="6"/>
                <c:lvl>
                  <c:pt idx="0">
                    <c:v>Q2- 2017</c:v>
                  </c:pt>
                  <c:pt idx="1">
                    <c:v>Q3- 2017</c:v>
                  </c:pt>
                  <c:pt idx="2">
                    <c:v>Q4- 2017</c:v>
                  </c:pt>
                  <c:pt idx="3">
                    <c:v>Q1- 2018</c:v>
                  </c:pt>
                  <c:pt idx="4">
                    <c:v>Q2- 2018</c:v>
                  </c:pt>
                  <c:pt idx="5">
                    <c:v>Q3- 2018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'Exponential Smoothing'!$O$17:$O$24</c15:sqref>
                  </c15:fullRef>
                </c:ext>
              </c:extLst>
              <c:f>'Exponential Smoothing'!$O$18:$O$23</c:f>
              <c:numCache>
                <c:formatCode>_(* #,##0_);_(* \(#,##0\);_(* "-"??_);_(@_)</c:formatCode>
                <c:ptCount val="6"/>
                <c:pt idx="0">
                  <c:v>504915</c:v>
                </c:pt>
                <c:pt idx="1">
                  <c:v>531879.64800000004</c:v>
                </c:pt>
                <c:pt idx="2">
                  <c:v>534134.21030400007</c:v>
                </c:pt>
                <c:pt idx="3">
                  <c:v>524698.75821619201</c:v>
                </c:pt>
                <c:pt idx="4">
                  <c:v>509000.28768085403</c:v>
                </c:pt>
                <c:pt idx="5">
                  <c:v>501899.20088102261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22-4BA1-A4DE-B5CD8BD3A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427008"/>
        <c:axId val="415430536"/>
      </c:lineChart>
      <c:catAx>
        <c:axId val="41542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30536"/>
        <c:crosses val="autoZero"/>
        <c:auto val="1"/>
        <c:lblAlgn val="ctr"/>
        <c:lblOffset val="100"/>
        <c:noMultiLvlLbl val="0"/>
      </c:catAx>
      <c:valAx>
        <c:axId val="415430536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70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557954795527859"/>
          <c:y val="0.92446878922743347"/>
          <c:w val="0.74855664514328346"/>
          <c:h val="6.39370078740157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'Exponential Smoothing'!$U$15</c:f>
              <c:strCache>
                <c:ptCount val="1"/>
                <c:pt idx="0">
                  <c:v>Tracking Signal</c:v>
                </c:pt>
              </c:strCache>
            </c:strRef>
          </c:tx>
          <c:spPr>
            <a:ln w="19050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19050" cap="flat" cmpd="sng" algn="ctr">
                <a:solidFill>
                  <a:schemeClr val="accent2">
                    <a:lumMod val="75000"/>
                  </a:schemeClr>
                </a:solidFill>
                <a:prstDash val="solid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'Exponential Smoothing'!$M$16:$M$25</c:f>
              <c:strCache>
                <c:ptCount val="10"/>
                <c:pt idx="1">
                  <c:v>Q1- 2017</c:v>
                </c:pt>
                <c:pt idx="2">
                  <c:v>Q2- 2017</c:v>
                </c:pt>
                <c:pt idx="3">
                  <c:v>Q3- 2017</c:v>
                </c:pt>
                <c:pt idx="4">
                  <c:v>Q4- 2017</c:v>
                </c:pt>
                <c:pt idx="5">
                  <c:v>Q1- 2018</c:v>
                </c:pt>
                <c:pt idx="6">
                  <c:v>Q2- 2018</c:v>
                </c:pt>
                <c:pt idx="7">
                  <c:v>Q3- 2018</c:v>
                </c:pt>
                <c:pt idx="8">
                  <c:v>Q4- 2018</c:v>
                </c:pt>
                <c:pt idx="9">
                  <c:v>Q1-2019</c:v>
                </c:pt>
              </c:strCache>
            </c:strRef>
          </c:xVal>
          <c:yVal>
            <c:numRef>
              <c:f>'Exponential Smoothing'!$U$16:$U$25</c:f>
              <c:numCache>
                <c:formatCode>General</c:formatCode>
                <c:ptCount val="10"/>
                <c:pt idx="1">
                  <c:v>0</c:v>
                </c:pt>
                <c:pt idx="2" formatCode="0.0%">
                  <c:v>0</c:v>
                </c:pt>
                <c:pt idx="3" formatCode="0.00">
                  <c:v>1</c:v>
                </c:pt>
                <c:pt idx="4" formatCode="0.00">
                  <c:v>-1.2285510595846998</c:v>
                </c:pt>
                <c:pt idx="5" formatCode="0.00">
                  <c:v>-2.5060926568233701</c:v>
                </c:pt>
                <c:pt idx="6" formatCode="0.00">
                  <c:v>-3.4770448709894586</c:v>
                </c:pt>
                <c:pt idx="7" formatCode="0.00">
                  <c:v>-4.5606584821447393</c:v>
                </c:pt>
                <c:pt idx="8" formatCode="0.00">
                  <c:v>-5.4873317970932751</c:v>
                </c:pt>
              </c:numCache>
            </c:numRef>
          </c:yVal>
          <c:smooth val="1"/>
          <c:extLst xmlns:c16r2="http://schemas.microsoft.com/office/drawing/2015/06/chart" xmlns:c15="http://schemas.microsoft.com/office/drawing/2012/chart">
            <c:ext xmlns:c16="http://schemas.microsoft.com/office/drawing/2014/chart" uri="{C3380CC4-5D6E-409C-BE32-E72D297353CC}">
              <c16:uniqueId val="{00000001-04BC-403A-B508-6BC5A9A8C1F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5427792"/>
        <c:axId val="415428576"/>
        <c:extLst xmlns:c16r2="http://schemas.microsoft.com/office/drawing/2015/06/chart"/>
      </c:scatterChart>
      <c:valAx>
        <c:axId val="4154277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415428576"/>
        <c:crosses val="autoZero"/>
        <c:crossBetween val="midCat"/>
      </c:valAx>
      <c:valAx>
        <c:axId val="415428576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1550545553340029E-2"/>
          <c:y val="0.10153333929882973"/>
          <c:w val="0.87678518928202365"/>
          <c:h val="0.66328493898212681"/>
        </c:manualLayout>
      </c:layout>
      <c:lineChart>
        <c:grouping val="standard"/>
        <c:varyColors val="0"/>
        <c:ser>
          <c:idx val="0"/>
          <c:order val="0"/>
          <c:tx>
            <c:v>Actual Sales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'Holt Method'!$B$21:$B$42</c:f>
              <c:numCache>
                <c:formatCode>[$-409]mmm\-yy;@</c:formatCode>
                <c:ptCount val="22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  <c:pt idx="15">
                  <c:v>43252</c:v>
                </c:pt>
                <c:pt idx="16">
                  <c:v>43282</c:v>
                </c:pt>
                <c:pt idx="17">
                  <c:v>43313</c:v>
                </c:pt>
                <c:pt idx="18">
                  <c:v>43344</c:v>
                </c:pt>
                <c:pt idx="19">
                  <c:v>43374</c:v>
                </c:pt>
                <c:pt idx="20">
                  <c:v>43405</c:v>
                </c:pt>
                <c:pt idx="21">
                  <c:v>43435</c:v>
                </c:pt>
              </c:numCache>
            </c:numRef>
          </c:cat>
          <c:val>
            <c:numRef>
              <c:f>'Holt Method'!$C$21:$C$42</c:f>
              <c:numCache>
                <c:formatCode>_(* #,##0_);_(* \(#,##0\);_(* "-"??_);_(@_)</c:formatCode>
                <c:ptCount val="22"/>
                <c:pt idx="0">
                  <c:v>179324</c:v>
                </c:pt>
                <c:pt idx="1">
                  <c:v>176783</c:v>
                </c:pt>
                <c:pt idx="2">
                  <c:v>227729</c:v>
                </c:pt>
                <c:pt idx="3">
                  <c:v>149252</c:v>
                </c:pt>
                <c:pt idx="4">
                  <c:v>190401</c:v>
                </c:pt>
                <c:pt idx="5">
                  <c:v>199905</c:v>
                </c:pt>
                <c:pt idx="6">
                  <c:v>145658</c:v>
                </c:pt>
                <c:pt idx="7">
                  <c:v>176171</c:v>
                </c:pt>
                <c:pt idx="8">
                  <c:v>169218.5</c:v>
                </c:pt>
                <c:pt idx="9">
                  <c:v>171651.5</c:v>
                </c:pt>
                <c:pt idx="10">
                  <c:v>170123</c:v>
                </c:pt>
                <c:pt idx="11">
                  <c:v>153671</c:v>
                </c:pt>
                <c:pt idx="12">
                  <c:v>172465.5</c:v>
                </c:pt>
                <c:pt idx="13">
                  <c:v>162614.5</c:v>
                </c:pt>
                <c:pt idx="14">
                  <c:v>192675.5</c:v>
                </c:pt>
                <c:pt idx="15">
                  <c:v>140846</c:v>
                </c:pt>
                <c:pt idx="16">
                  <c:v>161309</c:v>
                </c:pt>
                <c:pt idx="17">
                  <c:v>159995</c:v>
                </c:pt>
                <c:pt idx="18">
                  <c:v>150111</c:v>
                </c:pt>
                <c:pt idx="19">
                  <c:v>166387</c:v>
                </c:pt>
                <c:pt idx="20">
                  <c:v>163152</c:v>
                </c:pt>
                <c:pt idx="21">
                  <c:v>152896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16-4B1D-887F-108508717993}"/>
            </c:ext>
          </c:extLst>
        </c:ser>
        <c:ser>
          <c:idx val="1"/>
          <c:order val="1"/>
          <c:tx>
            <c:v>Forecasted Sales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'Holt Method'!$B$21:$B$42</c:f>
              <c:numCache>
                <c:formatCode>[$-409]mmm\-yy;@</c:formatCode>
                <c:ptCount val="22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  <c:pt idx="15">
                  <c:v>43252</c:v>
                </c:pt>
                <c:pt idx="16">
                  <c:v>43282</c:v>
                </c:pt>
                <c:pt idx="17">
                  <c:v>43313</c:v>
                </c:pt>
                <c:pt idx="18">
                  <c:v>43344</c:v>
                </c:pt>
                <c:pt idx="19">
                  <c:v>43374</c:v>
                </c:pt>
                <c:pt idx="20">
                  <c:v>43405</c:v>
                </c:pt>
                <c:pt idx="21">
                  <c:v>43435</c:v>
                </c:pt>
              </c:numCache>
            </c:numRef>
          </c:cat>
          <c:val>
            <c:numRef>
              <c:f>'Holt Method'!$D$21:$D$42</c:f>
              <c:numCache>
                <c:formatCode>_(* #,##0_);_(* \(#,##0\);_(* "-"??_);_(@_)</c:formatCode>
                <c:ptCount val="22"/>
                <c:pt idx="0">
                  <c:v>168959</c:v>
                </c:pt>
                <c:pt idx="1">
                  <c:v>189467.7164</c:v>
                </c:pt>
                <c:pt idx="2">
                  <c:v>194242.14506249601</c:v>
                </c:pt>
                <c:pt idx="3">
                  <c:v>232451.72099126017</c:v>
                </c:pt>
                <c:pt idx="4">
                  <c:v>186502.02123286101</c:v>
                </c:pt>
                <c:pt idx="5">
                  <c:v>189556.26534126632</c:v>
                </c:pt>
                <c:pt idx="6">
                  <c:v>198627.15036042893</c:v>
                </c:pt>
                <c:pt idx="7">
                  <c:v>160173.80531946232</c:v>
                </c:pt>
                <c:pt idx="8">
                  <c:v>163586.97687048171</c:v>
                </c:pt>
                <c:pt idx="9">
                  <c:v>162614.99605536085</c:v>
                </c:pt>
                <c:pt idx="10">
                  <c:v>165667.46922648628</c:v>
                </c:pt>
                <c:pt idx="11">
                  <c:v>167248.80999155168</c:v>
                </c:pt>
                <c:pt idx="12">
                  <c:v>155652.91767470626</c:v>
                </c:pt>
                <c:pt idx="13">
                  <c:v>164823.15645749125</c:v>
                </c:pt>
                <c:pt idx="14">
                  <c:v>162969.42473542877</c:v>
                </c:pt>
                <c:pt idx="15">
                  <c:v>185783.6589487434</c:v>
                </c:pt>
                <c:pt idx="16">
                  <c:v>156728.14914823463</c:v>
                </c:pt>
                <c:pt idx="17">
                  <c:v>156094.16751578177</c:v>
                </c:pt>
                <c:pt idx="18">
                  <c:v>156010.71734289691</c:v>
                </c:pt>
                <c:pt idx="19">
                  <c:v>149117.00675693445</c:v>
                </c:pt>
                <c:pt idx="20">
                  <c:v>159112.18201059735</c:v>
                </c:pt>
                <c:pt idx="21">
                  <c:v>162763.19172220293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016-4B1D-887F-108508717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431320"/>
        <c:axId val="415429752"/>
      </c:lineChart>
      <c:dateAx>
        <c:axId val="41543132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9752"/>
        <c:crosses val="autoZero"/>
        <c:auto val="1"/>
        <c:lblOffset val="100"/>
        <c:baseTimeUnit val="months"/>
      </c:dateAx>
      <c:valAx>
        <c:axId val="41542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31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Tracking Signal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'Holt Method'!$B$21:$B$35</c:f>
              <c:numCache>
                <c:formatCode>[$-409]mmm\-yy;@</c:formatCode>
                <c:ptCount val="15"/>
                <c:pt idx="0">
                  <c:v>42795</c:v>
                </c:pt>
                <c:pt idx="1">
                  <c:v>42826</c:v>
                </c:pt>
                <c:pt idx="2">
                  <c:v>42856</c:v>
                </c:pt>
                <c:pt idx="3">
                  <c:v>42887</c:v>
                </c:pt>
                <c:pt idx="4">
                  <c:v>42917</c:v>
                </c:pt>
                <c:pt idx="5">
                  <c:v>42948</c:v>
                </c:pt>
                <c:pt idx="6">
                  <c:v>42979</c:v>
                </c:pt>
                <c:pt idx="7">
                  <c:v>43009</c:v>
                </c:pt>
                <c:pt idx="8">
                  <c:v>43040</c:v>
                </c:pt>
                <c:pt idx="9">
                  <c:v>43070</c:v>
                </c:pt>
                <c:pt idx="10">
                  <c:v>43101</c:v>
                </c:pt>
                <c:pt idx="11">
                  <c:v>43132</c:v>
                </c:pt>
                <c:pt idx="12">
                  <c:v>43160</c:v>
                </c:pt>
                <c:pt idx="13">
                  <c:v>43191</c:v>
                </c:pt>
                <c:pt idx="14">
                  <c:v>43221</c:v>
                </c:pt>
              </c:numCache>
            </c:numRef>
          </c:xVal>
          <c:yVal>
            <c:numRef>
              <c:f>'Holt Method'!$L$21:$L$35</c:f>
              <c:numCache>
                <c:formatCode>0.00</c:formatCode>
                <c:ptCount val="15"/>
                <c:pt idx="0">
                  <c:v>1</c:v>
                </c:pt>
                <c:pt idx="1">
                  <c:v>-0.20127938754161889</c:v>
                </c:pt>
                <c:pt idx="2">
                  <c:v>1.6538218254223533</c:v>
                </c:pt>
                <c:pt idx="3">
                  <c:v>-1.4894507815145597</c:v>
                </c:pt>
                <c:pt idx="4">
                  <c:v>-1.6755495819156805</c:v>
                </c:pt>
                <c:pt idx="5">
                  <c:v>-1.472290664580755</c:v>
                </c:pt>
                <c:pt idx="6">
                  <c:v>-3.0696711644492778</c:v>
                </c:pt>
                <c:pt idx="7">
                  <c:v>-2.6824564102636601</c:v>
                </c:pt>
                <c:pt idx="8">
                  <c:v>-2.7216843729617128</c:v>
                </c:pt>
                <c:pt idx="9">
                  <c:v>-2.5287942023807655</c:v>
                </c:pt>
                <c:pt idx="10">
                  <c:v>-2.5280127829180721</c:v>
                </c:pt>
                <c:pt idx="11">
                  <c:v>-3.2486889845876585</c:v>
                </c:pt>
                <c:pt idx="12">
                  <c:v>-2.5000722165888547</c:v>
                </c:pt>
                <c:pt idx="13">
                  <c:v>-2.7833104538631281</c:v>
                </c:pt>
                <c:pt idx="14">
                  <c:v>-1.2271414771832543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7-6F38-4D04-ABA9-081D6E34BF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83577320"/>
        <c:axId val="383576144"/>
        <c:extLst xmlns:c16r2="http://schemas.microsoft.com/office/drawing/2015/06/chart"/>
      </c:scatterChart>
      <c:valAx>
        <c:axId val="3835773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383576144"/>
        <c:crosses val="autoZero"/>
        <c:crossBetween val="midCat"/>
      </c:valAx>
      <c:valAx>
        <c:axId val="38357614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1550545553340029E-2"/>
          <c:y val="0.10153333929882973"/>
          <c:w val="0.87678518928202365"/>
          <c:h val="0.66328493898212681"/>
        </c:manualLayout>
      </c:layout>
      <c:lineChart>
        <c:grouping val="standard"/>
        <c:varyColors val="0"/>
        <c:ser>
          <c:idx val="0"/>
          <c:order val="0"/>
          <c:tx>
            <c:strRef>
              <c:f>'Holt Method'!$P$18</c:f>
              <c:strCache>
                <c:ptCount val="1"/>
                <c:pt idx="0">
                  <c:v>At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'Holt Method'!$O$19:$O$26</c15:sqref>
                  </c15:fullRef>
                </c:ext>
              </c:extLst>
              <c:f>'Holt Method'!$O$21:$O$24</c:f>
              <c:strCache>
                <c:ptCount val="4"/>
                <c:pt idx="0">
                  <c:v>Q3- 2017</c:v>
                </c:pt>
                <c:pt idx="1">
                  <c:v>Q4- 2017</c:v>
                </c:pt>
                <c:pt idx="2">
                  <c:v>Q1- 2018</c:v>
                </c:pt>
                <c:pt idx="3">
                  <c:v>Q2- 2018</c:v>
                </c:pt>
                <c:pt idx="4">
                  <c:v>Q4- 2018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'Holt Method'!$P$19:$P$25</c15:sqref>
                  </c15:fullRef>
                </c:ext>
              </c:extLst>
              <c:f>'Holt Method'!$P$21:$P$24</c:f>
              <c:numCache>
                <c:formatCode>_(* #,##0_);_(* \(#,##0\);_(* "-"??_);_(@_)</c:formatCode>
                <c:ptCount val="4"/>
                <c:pt idx="0">
                  <c:v>535964</c:v>
                </c:pt>
                <c:pt idx="1">
                  <c:v>517041</c:v>
                </c:pt>
                <c:pt idx="2">
                  <c:v>496259.5</c:v>
                </c:pt>
                <c:pt idx="3">
                  <c:v>496136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703-41B0-BB89-5DD1E45F6AD6}"/>
            </c:ext>
          </c:extLst>
        </c:ser>
        <c:ser>
          <c:idx val="1"/>
          <c:order val="1"/>
          <c:tx>
            <c:strRef>
              <c:f>'Holt Method'!$S$18</c:f>
              <c:strCache>
                <c:ptCount val="1"/>
                <c:pt idx="0">
                  <c:v>FIT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'Holt Method'!$O$19:$O$26</c15:sqref>
                  </c15:fullRef>
                </c:ext>
              </c:extLst>
              <c:f>'Holt Method'!$O$21:$O$24</c:f>
              <c:strCache>
                <c:ptCount val="4"/>
                <c:pt idx="0">
                  <c:v>Q3- 2017</c:v>
                </c:pt>
                <c:pt idx="1">
                  <c:v>Q4- 2017</c:v>
                </c:pt>
                <c:pt idx="2">
                  <c:v>Q1- 2018</c:v>
                </c:pt>
                <c:pt idx="3">
                  <c:v>Q2- 2018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'Holt Method'!$S$19:$S$28</c15:sqref>
                  </c15:fullRef>
                </c:ext>
              </c:extLst>
              <c:f>'Holt Method'!$S$21:$S$24</c:f>
              <c:numCache>
                <c:formatCode>_(* #,##0_);_(* \(#,##0\);_(* "-"??_);_(@_)</c:formatCode>
                <c:ptCount val="4"/>
                <c:pt idx="0">
                  <c:v>504915</c:v>
                </c:pt>
                <c:pt idx="1">
                  <c:v>494210.11800000002</c:v>
                </c:pt>
                <c:pt idx="2">
                  <c:v>490941.72476400004</c:v>
                </c:pt>
                <c:pt idx="3">
                  <c:v>484830.64383727201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703-41B0-BB89-5DD1E45F6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576536"/>
        <c:axId val="416184408"/>
      </c:lineChart>
      <c:catAx>
        <c:axId val="38357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4408"/>
        <c:crosses val="autoZero"/>
        <c:auto val="1"/>
        <c:lblAlgn val="ctr"/>
        <c:lblOffset val="100"/>
        <c:noMultiLvlLbl val="0"/>
      </c:catAx>
      <c:valAx>
        <c:axId val="41618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65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Tracking Signal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'Holt Method'!$O$19:$O$22</c:f>
              <c:strCache>
                <c:ptCount val="4"/>
                <c:pt idx="0">
                  <c:v>Q1- 2017</c:v>
                </c:pt>
                <c:pt idx="1">
                  <c:v>Q2- 2017</c:v>
                </c:pt>
                <c:pt idx="2">
                  <c:v>Q3- 2017</c:v>
                </c:pt>
                <c:pt idx="3">
                  <c:v>Q4- 2017</c:v>
                </c:pt>
              </c:strCache>
            </c:strRef>
          </c:xVal>
          <c:yVal>
            <c:numRef>
              <c:f>'Holt Method'!$Y$21:$Y$24</c:f>
              <c:numCache>
                <c:formatCode>0.00</c:formatCode>
                <c:ptCount val="4"/>
                <c:pt idx="0">
                  <c:v>1</c:v>
                </c:pt>
                <c:pt idx="1">
                  <c:v>0.84747334821557296</c:v>
                </c:pt>
                <c:pt idx="2">
                  <c:v>0.26949251799610341</c:v>
                </c:pt>
                <c:pt idx="3">
                  <c:v>0.6414112315336562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1D-4732-A4D0-E98EAF9CB7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6185976"/>
        <c:axId val="416187544"/>
        <c:extLst xmlns:c16r2="http://schemas.microsoft.com/office/drawing/2015/06/chart"/>
      </c:scatterChart>
      <c:valAx>
        <c:axId val="41618597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416187544"/>
        <c:crosses val="autoZero"/>
        <c:crossBetween val="midCat"/>
      </c:valAx>
      <c:valAx>
        <c:axId val="416187544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5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</a:t>
            </a:r>
            <a:r>
              <a:rPr lang="en-US" baseline="0"/>
              <a:t>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791099641956518E-2"/>
          <c:y val="0.12080508686850942"/>
          <c:w val="0.92033716373688579"/>
          <c:h val="0.66252986481898024"/>
        </c:manualLayout>
      </c:layout>
      <c:lineChart>
        <c:grouping val="standard"/>
        <c:varyColors val="0"/>
        <c:ser>
          <c:idx val="0"/>
          <c:order val="0"/>
          <c:tx>
            <c:v>Actual Sales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extLst>
                <c:ext xmlns:c15="http://schemas.microsoft.com/office/drawing/2012/chart" uri="{02D57815-91ED-43cb-92C2-25804820EDAC}">
                  <c15:fullRef>
                    <c15:sqref>'Winter Method'!$B$21:$B$44</c15:sqref>
                  </c15:fullRef>
                </c:ext>
              </c:extLst>
              <c:f>'Winter Method'!$B$34:$B$44</c:f>
              <c:numCache>
                <c:formatCode>[$-409]mmm\-yy;@</c:formatCode>
                <c:ptCount val="11"/>
                <c:pt idx="0">
                  <c:v>43132</c:v>
                </c:pt>
                <c:pt idx="1">
                  <c:v>43160</c:v>
                </c:pt>
                <c:pt idx="2">
                  <c:v>43191</c:v>
                </c:pt>
                <c:pt idx="3">
                  <c:v>43221</c:v>
                </c:pt>
                <c:pt idx="4">
                  <c:v>43252</c:v>
                </c:pt>
                <c:pt idx="5">
                  <c:v>43282</c:v>
                </c:pt>
                <c:pt idx="6">
                  <c:v>43313</c:v>
                </c:pt>
                <c:pt idx="7">
                  <c:v>43344</c:v>
                </c:pt>
                <c:pt idx="8">
                  <c:v>43374</c:v>
                </c:pt>
                <c:pt idx="9">
                  <c:v>43405</c:v>
                </c:pt>
                <c:pt idx="10">
                  <c:v>43435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'Winter Method'!$C$21:$C$44</c15:sqref>
                  </c15:fullRef>
                </c:ext>
              </c:extLst>
              <c:f>'Winter Method'!$C$34:$C$44</c:f>
              <c:numCache>
                <c:formatCode>0</c:formatCode>
                <c:ptCount val="11"/>
                <c:pt idx="0">
                  <c:v>153671</c:v>
                </c:pt>
                <c:pt idx="1">
                  <c:v>172465.5</c:v>
                </c:pt>
                <c:pt idx="2">
                  <c:v>162614.5</c:v>
                </c:pt>
                <c:pt idx="3">
                  <c:v>192675.5</c:v>
                </c:pt>
                <c:pt idx="4">
                  <c:v>140846</c:v>
                </c:pt>
                <c:pt idx="5">
                  <c:v>161309</c:v>
                </c:pt>
                <c:pt idx="6">
                  <c:v>159995</c:v>
                </c:pt>
                <c:pt idx="7">
                  <c:v>150111</c:v>
                </c:pt>
                <c:pt idx="8">
                  <c:v>166387</c:v>
                </c:pt>
                <c:pt idx="9">
                  <c:v>163152</c:v>
                </c:pt>
                <c:pt idx="10">
                  <c:v>152896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48-4658-AD29-BD3DB96DD19E}"/>
            </c:ext>
          </c:extLst>
        </c:ser>
        <c:ser>
          <c:idx val="1"/>
          <c:order val="1"/>
          <c:tx>
            <c:v>Forecasted Sales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'Winter Method'!$B$21:$B$44</c15:sqref>
                  </c15:fullRef>
                </c:ext>
              </c:extLst>
              <c:f>'Winter Method'!$B$34:$B$44</c:f>
              <c:numCache>
                <c:formatCode>[$-409]mmm\-yy;@</c:formatCode>
                <c:ptCount val="11"/>
                <c:pt idx="0">
                  <c:v>43132</c:v>
                </c:pt>
                <c:pt idx="1">
                  <c:v>43160</c:v>
                </c:pt>
                <c:pt idx="2">
                  <c:v>43191</c:v>
                </c:pt>
                <c:pt idx="3">
                  <c:v>43221</c:v>
                </c:pt>
                <c:pt idx="4">
                  <c:v>43252</c:v>
                </c:pt>
                <c:pt idx="5">
                  <c:v>43282</c:v>
                </c:pt>
                <c:pt idx="6">
                  <c:v>43313</c:v>
                </c:pt>
                <c:pt idx="7">
                  <c:v>43344</c:v>
                </c:pt>
                <c:pt idx="8">
                  <c:v>43374</c:v>
                </c:pt>
                <c:pt idx="9">
                  <c:v>43405</c:v>
                </c:pt>
                <c:pt idx="10">
                  <c:v>43435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'Winter Method'!$D$21:$D$44</c15:sqref>
                  </c15:fullRef>
                </c:ext>
              </c:extLst>
              <c:f>'Winter Method'!$D$34:$D$44</c:f>
              <c:numCache>
                <c:formatCode>_(* #,##0_);_(* \(#,##0\);_(* "-"??_);_(@_)</c:formatCode>
                <c:ptCount val="11"/>
                <c:pt idx="0" formatCode="0">
                  <c:v>164156.05711899299</c:v>
                </c:pt>
                <c:pt idx="1" formatCode="0">
                  <c:v>185841.25971673458</c:v>
                </c:pt>
                <c:pt idx="2" formatCode="0">
                  <c:v>177264.45730551984</c:v>
                </c:pt>
                <c:pt idx="3" formatCode="0">
                  <c:v>215172.69949269886</c:v>
                </c:pt>
                <c:pt idx="4" formatCode="0">
                  <c:v>127575.56925304694</c:v>
                </c:pt>
                <c:pt idx="5" formatCode="0">
                  <c:v>169339.89018878169</c:v>
                </c:pt>
                <c:pt idx="6" formatCode="0">
                  <c:v>168246.16128945691</c:v>
                </c:pt>
                <c:pt idx="7" formatCode="0">
                  <c:v>114279.94648439052</c:v>
                </c:pt>
                <c:pt idx="8" formatCode="0">
                  <c:v>166391.04347917828</c:v>
                </c:pt>
                <c:pt idx="9" formatCode="0">
                  <c:v>163902.96934975064</c:v>
                </c:pt>
                <c:pt idx="10" formatCode="0">
                  <c:v>169797.51438199813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648-4658-AD29-BD3DB96DD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87936"/>
        <c:axId val="416182840"/>
      </c:lineChart>
      <c:dateAx>
        <c:axId val="41618793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2840"/>
        <c:crosses val="autoZero"/>
        <c:auto val="1"/>
        <c:lblOffset val="100"/>
        <c:baseTimeUnit val="months"/>
      </c:dateAx>
      <c:valAx>
        <c:axId val="41618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79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883227831815139"/>
          <c:y val="0.92638117250067875"/>
          <c:w val="0.57062617172853392"/>
          <c:h val="5.7438790650324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'Winter Method'!$B$32:$B$44</c:f>
              <c:numCache>
                <c:formatCode>[$-409]mmm\-yy;@</c:formatCode>
                <c:ptCount val="13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</c:numCache>
            </c:numRef>
          </c:xVal>
          <c:yVal>
            <c:numRef>
              <c:f>'Winter Method'!$M$32:$M$44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 formatCode="0.00">
                  <c:v>-1</c:v>
                </c:pt>
                <c:pt idx="3" formatCode="0.00">
                  <c:v>-2</c:v>
                </c:pt>
                <c:pt idx="4" formatCode="0.00">
                  <c:v>-3</c:v>
                </c:pt>
                <c:pt idx="5" formatCode="0.00">
                  <c:v>-4</c:v>
                </c:pt>
                <c:pt idx="6" formatCode="0.00">
                  <c:v>-3.2134200569384408</c:v>
                </c:pt>
                <c:pt idx="7" formatCode="0.00">
                  <c:v>-4.0652832733413398</c:v>
                </c:pt>
                <c:pt idx="8" formatCode="0.00">
                  <c:v>-4.9484861389575672</c:v>
                </c:pt>
                <c:pt idx="9" formatCode="0.00">
                  <c:v>-1.7842047136912693</c:v>
                </c:pt>
                <c:pt idx="10" formatCode="0.00">
                  <c:v>-2.0074540063323498</c:v>
                </c:pt>
                <c:pt idx="11" formatCode="0.00">
                  <c:v>-2.2763936580338777</c:v>
                </c:pt>
                <c:pt idx="12" formatCode="0.00">
                  <c:v>-3.5008859587343739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216-4562-B0CA-4E6DB3EF88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6186760"/>
        <c:axId val="416189896"/>
        <c:extLst xmlns:c16r2="http://schemas.microsoft.com/office/drawing/2015/06/chart"/>
      </c:scatterChart>
      <c:valAx>
        <c:axId val="4161867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out"/>
        <c:minorTickMark val="none"/>
        <c:tickLblPos val="nextTo"/>
        <c:crossAx val="416189896"/>
        <c:crosses val="autoZero"/>
        <c:crossBetween val="midCat"/>
      </c:valAx>
      <c:valAx>
        <c:axId val="416189896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 Forecasted</a:t>
            </a:r>
            <a:r>
              <a:rPr lang="en-US" baseline="0"/>
              <a:t>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791099641956518E-2"/>
          <c:y val="0.12080508686850942"/>
          <c:w val="0.92033716373688579"/>
          <c:h val="0.66252986481898024"/>
        </c:manualLayout>
      </c:layout>
      <c:lineChart>
        <c:grouping val="standard"/>
        <c:varyColors val="0"/>
        <c:ser>
          <c:idx val="0"/>
          <c:order val="0"/>
          <c:tx>
            <c:strRef>
              <c:f>'Winter Method'!$R$19</c:f>
              <c:strCache>
                <c:ptCount val="1"/>
                <c:pt idx="0">
                  <c:v>Actual Sales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'Winter Method'!$Q$21:$Q$28</c15:sqref>
                  </c15:fullRef>
                </c:ext>
              </c:extLst>
              <c:f>'Winter Method'!$Q$26:$Q$28</c:f>
              <c:strCache>
                <c:ptCount val="3"/>
                <c:pt idx="0">
                  <c:v>Q2- 2018</c:v>
                </c:pt>
                <c:pt idx="1">
                  <c:v>Q3- 2018</c:v>
                </c:pt>
                <c:pt idx="2">
                  <c:v>Q4- 2018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'Winter Method'!$R$21:$R$28</c15:sqref>
                  </c15:fullRef>
                </c:ext>
              </c:extLst>
              <c:f>'Winter Method'!$R$26:$R$28</c:f>
              <c:numCache>
                <c:formatCode>_(* #,##0_);_(* \(#,##0\);_(* "-"??_);_(@_)</c:formatCode>
                <c:ptCount val="3"/>
                <c:pt idx="0">
                  <c:v>496136</c:v>
                </c:pt>
                <c:pt idx="1">
                  <c:v>471415</c:v>
                </c:pt>
                <c:pt idx="2">
                  <c:v>482435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C8-449A-9B87-7242AFFB16BE}"/>
            </c:ext>
          </c:extLst>
        </c:ser>
        <c:ser>
          <c:idx val="1"/>
          <c:order val="1"/>
          <c:tx>
            <c:strRef>
              <c:f>'Winter Method'!$V$19</c:f>
              <c:strCache>
                <c:ptCount val="1"/>
                <c:pt idx="0">
                  <c:v>Forecast including Trend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'Winter Method'!$Q$21:$Q$28</c15:sqref>
                  </c15:fullRef>
                </c:ext>
              </c:extLst>
              <c:f>'Winter Method'!$Q$26:$Q$28</c:f>
              <c:strCache>
                <c:ptCount val="3"/>
                <c:pt idx="0">
                  <c:v>Q2- 2018</c:v>
                </c:pt>
                <c:pt idx="1">
                  <c:v>Q3- 2018</c:v>
                </c:pt>
                <c:pt idx="2">
                  <c:v>Q4- 2018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'Winter Method'!$V$21:$V$28</c15:sqref>
                  </c15:fullRef>
                </c:ext>
              </c:extLst>
              <c:f>'Winter Method'!$V$26:$V$28</c:f>
              <c:numCache>
                <c:formatCode>_(* #,##0_);_(* \(#,##0\);_(* "-"??_);_(@_)</c:formatCode>
                <c:ptCount val="3"/>
                <c:pt idx="0">
                  <c:v>546231.21127128892</c:v>
                </c:pt>
                <c:pt idx="1">
                  <c:v>492298.34811375267</c:v>
                </c:pt>
                <c:pt idx="2">
                  <c:v>449742.6062634897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C8-449A-9B87-7242AFFB1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188720"/>
        <c:axId val="416183624"/>
      </c:lineChart>
      <c:catAx>
        <c:axId val="41618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3624"/>
        <c:crosses val="autoZero"/>
        <c:auto val="1"/>
        <c:lblAlgn val="ctr"/>
        <c:lblOffset val="100"/>
        <c:noMultiLvlLbl val="0"/>
      </c:catAx>
      <c:valAx>
        <c:axId val="41618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8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883227831815139"/>
          <c:y val="0.92638117250067875"/>
          <c:w val="0.57062617172853392"/>
          <c:h val="5.7438790650324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+mj-lt"/>
              </a:rPr>
              <a:t>Tracking Signal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'Winter Method'!$AB$19</c:f>
              <c:strCache>
                <c:ptCount val="1"/>
                <c:pt idx="0">
                  <c:v>Tracking Signal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'Winter Method'!$Q$26:$Q$28</c:f>
              <c:strCache>
                <c:ptCount val="3"/>
                <c:pt idx="0">
                  <c:v>Q2- 2018</c:v>
                </c:pt>
                <c:pt idx="1">
                  <c:v>Q3- 2018</c:v>
                </c:pt>
                <c:pt idx="2">
                  <c:v>Q4- 2018</c:v>
                </c:pt>
              </c:strCache>
            </c:strRef>
          </c:xVal>
          <c:yVal>
            <c:numRef>
              <c:f>'Winter Method'!$AB$26:$AB$28</c:f>
              <c:numCache>
                <c:formatCode>0</c:formatCode>
                <c:ptCount val="3"/>
                <c:pt idx="0">
                  <c:v>-1</c:v>
                </c:pt>
                <c:pt idx="1">
                  <c:v>-0.58844102485838112</c:v>
                </c:pt>
                <c:pt idx="2">
                  <c:v>0.94604301645165345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6C7-47FD-8061-8981FEF7EEC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16183232"/>
        <c:axId val="416189504"/>
        <c:extLst xmlns:c16r2="http://schemas.microsoft.com/office/drawing/2015/06/chart"/>
      </c:scatterChart>
      <c:valAx>
        <c:axId val="4161832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416189504"/>
        <c:crosses val="autoZero"/>
        <c:crossBetween val="midCat"/>
      </c:valAx>
      <c:valAx>
        <c:axId val="416189504"/>
        <c:scaling>
          <c:orientation val="minMax"/>
          <c:max val="5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8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hyperlink" Target="#'Summary Sheet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Summary Sheet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Summary Sheet'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Summary Sheet'!A1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image" Target="../media/image2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hyperlink" Target="#'Summary Sheet'!A1"/><Relationship Id="rId5" Type="http://schemas.openxmlformats.org/officeDocument/2006/relationships/image" Target="../media/image3.png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Summary Sheet'!A1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1.xml"/><Relationship Id="rId2" Type="http://schemas.openxmlformats.org/officeDocument/2006/relationships/chart" Target="../charts/chart18.xml"/><Relationship Id="rId1" Type="http://schemas.openxmlformats.org/officeDocument/2006/relationships/image" Target="../media/image4.png"/><Relationship Id="rId6" Type="http://schemas.openxmlformats.org/officeDocument/2006/relationships/chart" Target="../charts/chart20.xml"/><Relationship Id="rId5" Type="http://schemas.openxmlformats.org/officeDocument/2006/relationships/image" Target="../media/image2.png"/><Relationship Id="rId4" Type="http://schemas.openxmlformats.org/officeDocument/2006/relationships/hyperlink" Target="#'Summary Sheet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573882</xdr:colOff>
      <xdr:row>0</xdr:row>
      <xdr:rowOff>0</xdr:rowOff>
    </xdr:from>
    <xdr:to>
      <xdr:col>23</xdr:col>
      <xdr:colOff>0</xdr:colOff>
      <xdr:row>10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619124</xdr:colOff>
      <xdr:row>1</xdr:row>
      <xdr:rowOff>226219</xdr:rowOff>
    </xdr:from>
    <xdr:to>
      <xdr:col>2</xdr:col>
      <xdr:colOff>619124</xdr:colOff>
      <xdr:row>4</xdr:row>
      <xdr:rowOff>127128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5230"/>
        <a:stretch/>
      </xdr:blipFill>
      <xdr:spPr>
        <a:xfrm>
          <a:off x="1061084" y="546259"/>
          <a:ext cx="2714594" cy="4952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38100</xdr:rowOff>
    </xdr:from>
    <xdr:to>
      <xdr:col>0</xdr:col>
      <xdr:colOff>85725</xdr:colOff>
      <xdr:row>0</xdr:row>
      <xdr:rowOff>416753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8100"/>
          <a:ext cx="409575" cy="150053"/>
        </a:xfrm>
        <a:prstGeom prst="rect">
          <a:avLst/>
        </a:prstGeom>
      </xdr:spPr>
    </xdr:pic>
    <xdr:clientData/>
  </xdr:twoCellAnchor>
  <xdr:twoCellAnchor editAs="oneCell">
    <xdr:from>
      <xdr:col>6</xdr:col>
      <xdr:colOff>277695</xdr:colOff>
      <xdr:row>4</xdr:row>
      <xdr:rowOff>40968</xdr:rowOff>
    </xdr:from>
    <xdr:to>
      <xdr:col>6</xdr:col>
      <xdr:colOff>277695</xdr:colOff>
      <xdr:row>8</xdr:row>
      <xdr:rowOff>92179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5230"/>
        <a:stretch/>
      </xdr:blipFill>
      <xdr:spPr>
        <a:xfrm>
          <a:off x="7257615" y="421968"/>
          <a:ext cx="2693040" cy="8132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0</xdr:col>
      <xdr:colOff>457200</xdr:colOff>
      <xdr:row>1</xdr:row>
      <xdr:rowOff>16087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0"/>
          <a:ext cx="409575" cy="190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</xdr:row>
      <xdr:rowOff>47625</xdr:rowOff>
    </xdr:from>
    <xdr:to>
      <xdr:col>5</xdr:col>
      <xdr:colOff>571501</xdr:colOff>
      <xdr:row>13</xdr:row>
      <xdr:rowOff>247650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</xdr:row>
      <xdr:rowOff>61912</xdr:rowOff>
    </xdr:from>
    <xdr:to>
      <xdr:col>9</xdr:col>
      <xdr:colOff>1209675</xdr:colOff>
      <xdr:row>13</xdr:row>
      <xdr:rowOff>257175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GrpSpPr/>
      </xdr:nvGrpSpPr>
      <xdr:grpSpPr>
        <a:xfrm>
          <a:off x="5629275" y="433387"/>
          <a:ext cx="5038725" cy="3281363"/>
          <a:chOff x="5648325" y="319087"/>
          <a:chExt cx="4572000" cy="274320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xmlns="" id="{00000000-0008-0000-0400-000005000000}"/>
              </a:ext>
            </a:extLst>
          </xdr:cNvPr>
          <xdr:cNvGraphicFramePr/>
        </xdr:nvGraphicFramePr>
        <xdr:xfrm>
          <a:off x="5648325" y="3190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xmlns="" id="{00000000-0008-0000-0400-000006000000}"/>
              </a:ext>
            </a:extLst>
          </xdr:cNvPr>
          <xdr:cNvCxnSpPr/>
        </xdr:nvCxnSpPr>
        <xdr:spPr>
          <a:xfrm>
            <a:off x="6067425" y="1831924"/>
            <a:ext cx="4048125" cy="0"/>
          </a:xfrm>
          <a:prstGeom prst="line">
            <a:avLst/>
          </a:prstGeom>
          <a:ln w="127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xmlns="" id="{00000000-0008-0000-0400-000007000000}"/>
              </a:ext>
            </a:extLst>
          </xdr:cNvPr>
          <xdr:cNvSpPr txBox="1"/>
        </xdr:nvSpPr>
        <xdr:spPr>
          <a:xfrm>
            <a:off x="9439275" y="1876425"/>
            <a:ext cx="6381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MAD=0</a:t>
            </a:r>
          </a:p>
        </xdr:txBody>
      </xdr:sp>
    </xdr:grpSp>
    <xdr:clientData/>
  </xdr:twoCellAnchor>
  <xdr:twoCellAnchor>
    <xdr:from>
      <xdr:col>5</xdr:col>
      <xdr:colOff>1000125</xdr:colOff>
      <xdr:row>3</xdr:row>
      <xdr:rowOff>14287</xdr:rowOff>
    </xdr:from>
    <xdr:to>
      <xdr:col>9</xdr:col>
      <xdr:colOff>638175</xdr:colOff>
      <xdr:row>13</xdr:row>
      <xdr:rowOff>119062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GrpSpPr/>
      </xdr:nvGrpSpPr>
      <xdr:grpSpPr>
        <a:xfrm>
          <a:off x="6038850" y="900112"/>
          <a:ext cx="4057650" cy="2676525"/>
          <a:chOff x="6038850" y="338137"/>
          <a:chExt cx="4057650" cy="2676525"/>
        </a:xfrm>
      </xdr:grpSpPr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xmlns="" id="{00000000-0008-0000-0400-000009000000}"/>
              </a:ext>
            </a:extLst>
          </xdr:cNvPr>
          <xdr:cNvCxnSpPr/>
        </xdr:nvCxnSpPr>
        <xdr:spPr>
          <a:xfrm>
            <a:off x="6048375" y="3014662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xmlns="" id="{00000000-0008-0000-0400-00000A000000}"/>
              </a:ext>
            </a:extLst>
          </xdr:cNvPr>
          <xdr:cNvCxnSpPr/>
        </xdr:nvCxnSpPr>
        <xdr:spPr>
          <a:xfrm>
            <a:off x="6038850" y="338137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9526</xdr:colOff>
      <xdr:row>2</xdr:row>
      <xdr:rowOff>61912</xdr:rowOff>
    </xdr:from>
    <xdr:to>
      <xdr:col>9</xdr:col>
      <xdr:colOff>704850</xdr:colOff>
      <xdr:row>3</xdr:row>
      <xdr:rowOff>42862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 txBox="1"/>
      </xdr:nvSpPr>
      <xdr:spPr>
        <a:xfrm>
          <a:off x="9467851" y="6905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Upper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1076326</xdr:colOff>
      <xdr:row>12</xdr:row>
      <xdr:rowOff>157162</xdr:rowOff>
    </xdr:from>
    <xdr:to>
      <xdr:col>9</xdr:col>
      <xdr:colOff>666750</xdr:colOff>
      <xdr:row>13</xdr:row>
      <xdr:rowOff>138112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 txBox="1"/>
      </xdr:nvSpPr>
      <xdr:spPr>
        <a:xfrm>
          <a:off x="9429751" y="33575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Lower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76200</xdr:colOff>
      <xdr:row>3</xdr:row>
      <xdr:rowOff>19050</xdr:rowOff>
    </xdr:from>
    <xdr:to>
      <xdr:col>6</xdr:col>
      <xdr:colOff>76200</xdr:colOff>
      <xdr:row>13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CxnSpPr/>
      </xdr:nvCxnSpPr>
      <xdr:spPr>
        <a:xfrm>
          <a:off x="6219825" y="904875"/>
          <a:ext cx="0" cy="2705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</xdr:row>
      <xdr:rowOff>157162</xdr:rowOff>
    </xdr:from>
    <xdr:to>
      <xdr:col>7</xdr:col>
      <xdr:colOff>38099</xdr:colOff>
      <xdr:row>4</xdr:row>
      <xdr:rowOff>138112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 txBox="1"/>
      </xdr:nvSpPr>
      <xdr:spPr>
        <a:xfrm>
          <a:off x="6181725" y="1042987"/>
          <a:ext cx="110489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92D050"/>
              </a:solidFill>
            </a:rPr>
            <a:t>Acceptable Range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19050</xdr:rowOff>
    </xdr:from>
    <xdr:to>
      <xdr:col>0</xdr:col>
      <xdr:colOff>400049</xdr:colOff>
      <xdr:row>0</xdr:row>
      <xdr:rowOff>344866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9050"/>
          <a:ext cx="352424" cy="325816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1</xdr:row>
      <xdr:rowOff>171450</xdr:rowOff>
    </xdr:from>
    <xdr:to>
      <xdr:col>15</xdr:col>
      <xdr:colOff>600075</xdr:colOff>
      <xdr:row>13</xdr:row>
      <xdr:rowOff>310963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638175</xdr:colOff>
      <xdr:row>1</xdr:row>
      <xdr:rowOff>171450</xdr:rowOff>
    </xdr:from>
    <xdr:to>
      <xdr:col>20</xdr:col>
      <xdr:colOff>1085850</xdr:colOff>
      <xdr:row>13</xdr:row>
      <xdr:rowOff>306201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GrpSpPr/>
      </xdr:nvGrpSpPr>
      <xdr:grpSpPr>
        <a:xfrm>
          <a:off x="16240125" y="542925"/>
          <a:ext cx="6067425" cy="3220851"/>
          <a:chOff x="15782925" y="542925"/>
          <a:chExt cx="5535146" cy="3220851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xmlns="" id="{00000000-0008-0000-0400-000012000000}"/>
              </a:ext>
            </a:extLst>
          </xdr:cNvPr>
          <xdr:cNvGrpSpPr/>
        </xdr:nvGrpSpPr>
        <xdr:grpSpPr>
          <a:xfrm>
            <a:off x="15782925" y="542925"/>
            <a:ext cx="5535146" cy="3220851"/>
            <a:chOff x="4727816" y="246075"/>
            <a:chExt cx="4572000" cy="2743200"/>
          </a:xfrm>
        </xdr:grpSpPr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xmlns="" id="{00000000-0008-0000-0400-000013000000}"/>
                </a:ext>
              </a:extLst>
            </xdr:cNvPr>
            <xdr:cNvGraphicFramePr/>
          </xdr:nvGraphicFramePr>
          <xdr:xfrm>
            <a:off x="4727816" y="246075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cxnSp macro="">
          <xdr:nvCxnSpPr>
            <xdr:cNvPr id="20" name="Straight Connector 19">
              <a:extLst>
                <a:ext uri="{FF2B5EF4-FFF2-40B4-BE49-F238E27FC236}">
                  <a16:creationId xmlns:a16="http://schemas.microsoft.com/office/drawing/2014/main" xmlns="" id="{00000000-0008-0000-0400-000014000000}"/>
                </a:ext>
              </a:extLst>
            </xdr:cNvPr>
            <xdr:cNvCxnSpPr/>
          </xdr:nvCxnSpPr>
          <xdr:spPr>
            <a:xfrm>
              <a:off x="5172814" y="1754990"/>
              <a:ext cx="3945121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xmlns="" id="{00000000-0008-0000-0400-000015000000}"/>
                </a:ext>
              </a:extLst>
            </xdr:cNvPr>
            <xdr:cNvSpPr txBox="1"/>
          </xdr:nvSpPr>
          <xdr:spPr>
            <a:xfrm>
              <a:off x="8487296" y="1495140"/>
              <a:ext cx="63817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MAD=0</a:t>
              </a:r>
            </a:p>
          </xdr:txBody>
        </xdr:sp>
      </xdr:grpSp>
      <xdr:grpSp>
        <xdr:nvGrpSpPr>
          <xdr:cNvPr id="22" name="Group 21">
            <a:extLst>
              <a:ext uri="{FF2B5EF4-FFF2-40B4-BE49-F238E27FC236}">
                <a16:creationId xmlns:a16="http://schemas.microsoft.com/office/drawing/2014/main" xmlns="" id="{00000000-0008-0000-0400-000016000000}"/>
              </a:ext>
            </a:extLst>
          </xdr:cNvPr>
          <xdr:cNvGrpSpPr/>
        </xdr:nvGrpSpPr>
        <xdr:grpSpPr>
          <a:xfrm>
            <a:off x="16356425" y="1000125"/>
            <a:ext cx="4770480" cy="2619375"/>
            <a:chOff x="5397883" y="236294"/>
            <a:chExt cx="3786062" cy="2674808"/>
          </a:xfrm>
        </xdr:grpSpPr>
        <xdr:cxnSp macro="">
          <xdr:nvCxnSpPr>
            <xdr:cNvPr id="23" name="Straight Connector 22">
              <a:extLst>
                <a:ext uri="{FF2B5EF4-FFF2-40B4-BE49-F238E27FC236}">
                  <a16:creationId xmlns:a16="http://schemas.microsoft.com/office/drawing/2014/main" xmlns="" id="{00000000-0008-0000-0400-000017000000}"/>
                </a:ext>
              </a:extLst>
            </xdr:cNvPr>
            <xdr:cNvCxnSpPr/>
          </xdr:nvCxnSpPr>
          <xdr:spPr>
            <a:xfrm>
              <a:off x="5397883" y="2911102"/>
              <a:ext cx="3786062" cy="0"/>
            </a:xfrm>
            <a:prstGeom prst="line">
              <a:avLst/>
            </a:prstGeom>
            <a:ln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4" name="Straight Connector 23">
              <a:extLst>
                <a:ext uri="{FF2B5EF4-FFF2-40B4-BE49-F238E27FC236}">
                  <a16:creationId xmlns:a16="http://schemas.microsoft.com/office/drawing/2014/main" xmlns="" id="{00000000-0008-0000-0400-000018000000}"/>
                </a:ext>
              </a:extLst>
            </xdr:cNvPr>
            <xdr:cNvCxnSpPr/>
          </xdr:nvCxnSpPr>
          <xdr:spPr>
            <a:xfrm>
              <a:off x="5404779" y="236294"/>
              <a:ext cx="3723995" cy="0"/>
            </a:xfrm>
            <a:prstGeom prst="line">
              <a:avLst/>
            </a:prstGeom>
            <a:ln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</xdr:row>
      <xdr:rowOff>47625</xdr:rowOff>
    </xdr:from>
    <xdr:to>
      <xdr:col>5</xdr:col>
      <xdr:colOff>571501</xdr:colOff>
      <xdr:row>13</xdr:row>
      <xdr:rowOff>247650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</xdr:row>
      <xdr:rowOff>61912</xdr:rowOff>
    </xdr:from>
    <xdr:to>
      <xdr:col>9</xdr:col>
      <xdr:colOff>1209675</xdr:colOff>
      <xdr:row>13</xdr:row>
      <xdr:rowOff>257175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pSpPr/>
      </xdr:nvGrpSpPr>
      <xdr:grpSpPr>
        <a:xfrm>
          <a:off x="5632450" y="430212"/>
          <a:ext cx="5038725" cy="3243263"/>
          <a:chOff x="5648325" y="319087"/>
          <a:chExt cx="4572000" cy="27432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xmlns="" id="{00000000-0008-0000-0500-000004000000}"/>
              </a:ext>
            </a:extLst>
          </xdr:cNvPr>
          <xdr:cNvGraphicFramePr/>
        </xdr:nvGraphicFramePr>
        <xdr:xfrm>
          <a:off x="5648325" y="3190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xmlns="" id="{00000000-0008-0000-0500-000005000000}"/>
              </a:ext>
            </a:extLst>
          </xdr:cNvPr>
          <xdr:cNvCxnSpPr/>
        </xdr:nvCxnSpPr>
        <xdr:spPr>
          <a:xfrm>
            <a:off x="6067425" y="1831924"/>
            <a:ext cx="4048125" cy="0"/>
          </a:xfrm>
          <a:prstGeom prst="line">
            <a:avLst/>
          </a:prstGeom>
          <a:ln w="127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xmlns="" id="{00000000-0008-0000-0500-000006000000}"/>
              </a:ext>
            </a:extLst>
          </xdr:cNvPr>
          <xdr:cNvSpPr txBox="1"/>
        </xdr:nvSpPr>
        <xdr:spPr>
          <a:xfrm>
            <a:off x="9439275" y="1876425"/>
            <a:ext cx="6381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MAD=0</a:t>
            </a:r>
          </a:p>
        </xdr:txBody>
      </xdr:sp>
    </xdr:grpSp>
    <xdr:clientData/>
  </xdr:twoCellAnchor>
  <xdr:twoCellAnchor>
    <xdr:from>
      <xdr:col>5</xdr:col>
      <xdr:colOff>1000125</xdr:colOff>
      <xdr:row>3</xdr:row>
      <xdr:rowOff>14287</xdr:rowOff>
    </xdr:from>
    <xdr:to>
      <xdr:col>9</xdr:col>
      <xdr:colOff>638175</xdr:colOff>
      <xdr:row>13</xdr:row>
      <xdr:rowOff>119062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GrpSpPr/>
      </xdr:nvGrpSpPr>
      <xdr:grpSpPr>
        <a:xfrm>
          <a:off x="6042025" y="890587"/>
          <a:ext cx="4057650" cy="2644775"/>
          <a:chOff x="6038850" y="338137"/>
          <a:chExt cx="4057650" cy="2676525"/>
        </a:xfrm>
      </xdr:grpSpPr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xmlns="" id="{00000000-0008-0000-0500-000008000000}"/>
              </a:ext>
            </a:extLst>
          </xdr:cNvPr>
          <xdr:cNvCxnSpPr/>
        </xdr:nvCxnSpPr>
        <xdr:spPr>
          <a:xfrm>
            <a:off x="6048375" y="3014662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xmlns="" id="{00000000-0008-0000-0500-000009000000}"/>
              </a:ext>
            </a:extLst>
          </xdr:cNvPr>
          <xdr:cNvCxnSpPr/>
        </xdr:nvCxnSpPr>
        <xdr:spPr>
          <a:xfrm>
            <a:off x="6038850" y="338137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9526</xdr:colOff>
      <xdr:row>2</xdr:row>
      <xdr:rowOff>61912</xdr:rowOff>
    </xdr:from>
    <xdr:to>
      <xdr:col>9</xdr:col>
      <xdr:colOff>704850</xdr:colOff>
      <xdr:row>3</xdr:row>
      <xdr:rowOff>42862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 txBox="1"/>
      </xdr:nvSpPr>
      <xdr:spPr>
        <a:xfrm>
          <a:off x="9467851" y="6905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Upper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1076326</xdr:colOff>
      <xdr:row>12</xdr:row>
      <xdr:rowOff>157162</xdr:rowOff>
    </xdr:from>
    <xdr:to>
      <xdr:col>9</xdr:col>
      <xdr:colOff>666750</xdr:colOff>
      <xdr:row>13</xdr:row>
      <xdr:rowOff>138112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 txBox="1"/>
      </xdr:nvSpPr>
      <xdr:spPr>
        <a:xfrm>
          <a:off x="9429751" y="33575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Lower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76200</xdr:colOff>
      <xdr:row>3</xdr:row>
      <xdr:rowOff>19050</xdr:rowOff>
    </xdr:from>
    <xdr:to>
      <xdr:col>6</xdr:col>
      <xdr:colOff>76200</xdr:colOff>
      <xdr:row>13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CxnSpPr/>
      </xdr:nvCxnSpPr>
      <xdr:spPr>
        <a:xfrm>
          <a:off x="6219825" y="904875"/>
          <a:ext cx="0" cy="2705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</xdr:row>
      <xdr:rowOff>157162</xdr:rowOff>
    </xdr:from>
    <xdr:to>
      <xdr:col>7</xdr:col>
      <xdr:colOff>38099</xdr:colOff>
      <xdr:row>4</xdr:row>
      <xdr:rowOff>138112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SpPr txBox="1"/>
      </xdr:nvSpPr>
      <xdr:spPr>
        <a:xfrm>
          <a:off x="6181725" y="1042987"/>
          <a:ext cx="110489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92D050"/>
              </a:solidFill>
            </a:rPr>
            <a:t>Acceptable Range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19050</xdr:rowOff>
    </xdr:from>
    <xdr:to>
      <xdr:col>0</xdr:col>
      <xdr:colOff>400049</xdr:colOff>
      <xdr:row>0</xdr:row>
      <xdr:rowOff>344866</xdr:rowOff>
    </xdr:to>
    <xdr:pic>
      <xdr:nvPicPr>
        <xdr:cNvPr id="14" name="Picture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9050"/>
          <a:ext cx="352424" cy="325816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1</xdr:row>
      <xdr:rowOff>171450</xdr:rowOff>
    </xdr:from>
    <xdr:to>
      <xdr:col>15</xdr:col>
      <xdr:colOff>600075</xdr:colOff>
      <xdr:row>13</xdr:row>
      <xdr:rowOff>310963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638175</xdr:colOff>
      <xdr:row>1</xdr:row>
      <xdr:rowOff>171450</xdr:rowOff>
    </xdr:from>
    <xdr:to>
      <xdr:col>20</xdr:col>
      <xdr:colOff>1085850</xdr:colOff>
      <xdr:row>13</xdr:row>
      <xdr:rowOff>306201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GrpSpPr/>
      </xdr:nvGrpSpPr>
      <xdr:grpSpPr>
        <a:xfrm>
          <a:off x="16271875" y="539750"/>
          <a:ext cx="6099175" cy="3182751"/>
          <a:chOff x="15782925" y="542925"/>
          <a:chExt cx="5535146" cy="3220851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xmlns="" id="{00000000-0008-0000-0500-000011000000}"/>
              </a:ext>
            </a:extLst>
          </xdr:cNvPr>
          <xdr:cNvGrpSpPr/>
        </xdr:nvGrpSpPr>
        <xdr:grpSpPr>
          <a:xfrm>
            <a:off x="15782925" y="542925"/>
            <a:ext cx="5535146" cy="3220851"/>
            <a:chOff x="4727816" y="246075"/>
            <a:chExt cx="4572000" cy="2743200"/>
          </a:xfrm>
        </xdr:grpSpPr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xmlns="" id="{00000000-0008-0000-0500-000015000000}"/>
                </a:ext>
              </a:extLst>
            </xdr:cNvPr>
            <xdr:cNvGraphicFramePr/>
          </xdr:nvGraphicFramePr>
          <xdr:xfrm>
            <a:off x="4727816" y="246075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cxnSp macro="">
          <xdr:nvCxnSpPr>
            <xdr:cNvPr id="22" name="Straight Connector 21">
              <a:extLst>
                <a:ext uri="{FF2B5EF4-FFF2-40B4-BE49-F238E27FC236}">
                  <a16:creationId xmlns:a16="http://schemas.microsoft.com/office/drawing/2014/main" xmlns="" id="{00000000-0008-0000-0500-000016000000}"/>
                </a:ext>
              </a:extLst>
            </xdr:cNvPr>
            <xdr:cNvCxnSpPr/>
          </xdr:nvCxnSpPr>
          <xdr:spPr>
            <a:xfrm>
              <a:off x="5172814" y="1754990"/>
              <a:ext cx="3945121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xmlns="" id="{00000000-0008-0000-0500-000017000000}"/>
                </a:ext>
              </a:extLst>
            </xdr:cNvPr>
            <xdr:cNvSpPr txBox="1"/>
          </xdr:nvSpPr>
          <xdr:spPr>
            <a:xfrm>
              <a:off x="8487296" y="1495140"/>
              <a:ext cx="63817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MAD=0</a:t>
              </a:r>
            </a:p>
          </xdr:txBody>
        </xdr:sp>
      </xdr:grpSp>
      <xdr:grpSp>
        <xdr:nvGrpSpPr>
          <xdr:cNvPr id="18" name="Group 17">
            <a:extLst>
              <a:ext uri="{FF2B5EF4-FFF2-40B4-BE49-F238E27FC236}">
                <a16:creationId xmlns:a16="http://schemas.microsoft.com/office/drawing/2014/main" xmlns="" id="{00000000-0008-0000-0500-000012000000}"/>
              </a:ext>
            </a:extLst>
          </xdr:cNvPr>
          <xdr:cNvGrpSpPr/>
        </xdr:nvGrpSpPr>
        <xdr:grpSpPr>
          <a:xfrm>
            <a:off x="16356425" y="1000125"/>
            <a:ext cx="4770480" cy="2619375"/>
            <a:chOff x="5397883" y="236294"/>
            <a:chExt cx="3786062" cy="2674808"/>
          </a:xfrm>
        </xdr:grpSpPr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xmlns="" id="{00000000-0008-0000-0500-000013000000}"/>
                </a:ext>
              </a:extLst>
            </xdr:cNvPr>
            <xdr:cNvCxnSpPr/>
          </xdr:nvCxnSpPr>
          <xdr:spPr>
            <a:xfrm>
              <a:off x="5397883" y="2911102"/>
              <a:ext cx="3786062" cy="0"/>
            </a:xfrm>
            <a:prstGeom prst="line">
              <a:avLst/>
            </a:prstGeom>
            <a:ln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" name="Straight Connector 19">
              <a:extLst>
                <a:ext uri="{FF2B5EF4-FFF2-40B4-BE49-F238E27FC236}">
                  <a16:creationId xmlns:a16="http://schemas.microsoft.com/office/drawing/2014/main" xmlns="" id="{00000000-0008-0000-0500-000014000000}"/>
                </a:ext>
              </a:extLst>
            </xdr:cNvPr>
            <xdr:cNvCxnSpPr/>
          </xdr:nvCxnSpPr>
          <xdr:spPr>
            <a:xfrm>
              <a:off x="5404779" y="236294"/>
              <a:ext cx="3723995" cy="0"/>
            </a:xfrm>
            <a:prstGeom prst="line">
              <a:avLst/>
            </a:prstGeom>
            <a:ln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</xdr:row>
      <xdr:rowOff>47625</xdr:rowOff>
    </xdr:from>
    <xdr:to>
      <xdr:col>5</xdr:col>
      <xdr:colOff>571501</xdr:colOff>
      <xdr:row>13</xdr:row>
      <xdr:rowOff>247650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1</xdr:row>
      <xdr:rowOff>61912</xdr:rowOff>
    </xdr:from>
    <xdr:to>
      <xdr:col>9</xdr:col>
      <xdr:colOff>1209675</xdr:colOff>
      <xdr:row>13</xdr:row>
      <xdr:rowOff>257175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GrpSpPr/>
      </xdr:nvGrpSpPr>
      <xdr:grpSpPr>
        <a:xfrm>
          <a:off x="5644403" y="431706"/>
          <a:ext cx="5056654" cy="3288087"/>
          <a:chOff x="5648325" y="319087"/>
          <a:chExt cx="4572000" cy="2743200"/>
        </a:xfrm>
      </xdr:grpSpPr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xmlns="" id="{00000000-0008-0000-0600-000008000000}"/>
              </a:ext>
            </a:extLst>
          </xdr:cNvPr>
          <xdr:cNvGraphicFramePr/>
        </xdr:nvGraphicFramePr>
        <xdr:xfrm>
          <a:off x="5648325" y="3190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xmlns="" id="{00000000-0008-0000-0600-00000A000000}"/>
              </a:ext>
            </a:extLst>
          </xdr:cNvPr>
          <xdr:cNvCxnSpPr/>
        </xdr:nvCxnSpPr>
        <xdr:spPr>
          <a:xfrm>
            <a:off x="6067425" y="1831924"/>
            <a:ext cx="4048125" cy="0"/>
          </a:xfrm>
          <a:prstGeom prst="line">
            <a:avLst/>
          </a:prstGeom>
          <a:ln w="127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xmlns="" id="{00000000-0008-0000-0600-00000B000000}"/>
              </a:ext>
            </a:extLst>
          </xdr:cNvPr>
          <xdr:cNvSpPr txBox="1"/>
        </xdr:nvSpPr>
        <xdr:spPr>
          <a:xfrm>
            <a:off x="9439275" y="1876425"/>
            <a:ext cx="6381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MAD=0</a:t>
            </a:r>
          </a:p>
        </xdr:txBody>
      </xdr:sp>
    </xdr:grpSp>
    <xdr:clientData/>
  </xdr:twoCellAnchor>
  <xdr:twoCellAnchor>
    <xdr:from>
      <xdr:col>5</xdr:col>
      <xdr:colOff>1000125</xdr:colOff>
      <xdr:row>3</xdr:row>
      <xdr:rowOff>14287</xdr:rowOff>
    </xdr:from>
    <xdr:to>
      <xdr:col>9</xdr:col>
      <xdr:colOff>638175</xdr:colOff>
      <xdr:row>13</xdr:row>
      <xdr:rowOff>119062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GrpSpPr/>
      </xdr:nvGrpSpPr>
      <xdr:grpSpPr>
        <a:xfrm>
          <a:off x="6053978" y="899552"/>
          <a:ext cx="4075579" cy="2682128"/>
          <a:chOff x="6038850" y="338137"/>
          <a:chExt cx="4057650" cy="2676525"/>
        </a:xfrm>
      </xdr:grpSpPr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xmlns="" id="{00000000-0008-0000-0600-00000D000000}"/>
              </a:ext>
            </a:extLst>
          </xdr:cNvPr>
          <xdr:cNvCxnSpPr/>
        </xdr:nvCxnSpPr>
        <xdr:spPr>
          <a:xfrm>
            <a:off x="6048375" y="3014662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xmlns="" id="{00000000-0008-0000-0600-00000E000000}"/>
              </a:ext>
            </a:extLst>
          </xdr:cNvPr>
          <xdr:cNvCxnSpPr/>
        </xdr:nvCxnSpPr>
        <xdr:spPr>
          <a:xfrm>
            <a:off x="6038850" y="338137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9526</xdr:colOff>
      <xdr:row>2</xdr:row>
      <xdr:rowOff>61912</xdr:rowOff>
    </xdr:from>
    <xdr:to>
      <xdr:col>9</xdr:col>
      <xdr:colOff>704850</xdr:colOff>
      <xdr:row>3</xdr:row>
      <xdr:rowOff>42862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SpPr txBox="1"/>
      </xdr:nvSpPr>
      <xdr:spPr>
        <a:xfrm>
          <a:off x="9467851" y="5762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Upper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1076326</xdr:colOff>
      <xdr:row>12</xdr:row>
      <xdr:rowOff>157162</xdr:rowOff>
    </xdr:from>
    <xdr:to>
      <xdr:col>9</xdr:col>
      <xdr:colOff>666750</xdr:colOff>
      <xdr:row>13</xdr:row>
      <xdr:rowOff>138112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600-000011000000}"/>
            </a:ext>
          </a:extLst>
        </xdr:cNvPr>
        <xdr:cNvSpPr txBox="1"/>
      </xdr:nvSpPr>
      <xdr:spPr>
        <a:xfrm>
          <a:off x="9429751" y="3243262"/>
          <a:ext cx="69532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FF0000"/>
              </a:solidFill>
            </a:rPr>
            <a:t>Lower</a:t>
          </a:r>
          <a:r>
            <a:rPr lang="en-US" sz="1000" baseline="0">
              <a:solidFill>
                <a:srgbClr val="FF0000"/>
              </a:solidFill>
            </a:rPr>
            <a:t> CL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76200</xdr:colOff>
      <xdr:row>3</xdr:row>
      <xdr:rowOff>19050</xdr:rowOff>
    </xdr:from>
    <xdr:to>
      <xdr:col>6</xdr:col>
      <xdr:colOff>76200</xdr:colOff>
      <xdr:row>13</xdr:row>
      <xdr:rowOff>152400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xmlns="" id="{00000000-0008-0000-0600-000013000000}"/>
            </a:ext>
          </a:extLst>
        </xdr:cNvPr>
        <xdr:cNvCxnSpPr/>
      </xdr:nvCxnSpPr>
      <xdr:spPr>
        <a:xfrm>
          <a:off x="6219825" y="790575"/>
          <a:ext cx="0" cy="2705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</xdr:row>
      <xdr:rowOff>157162</xdr:rowOff>
    </xdr:from>
    <xdr:to>
      <xdr:col>7</xdr:col>
      <xdr:colOff>38099</xdr:colOff>
      <xdr:row>4</xdr:row>
      <xdr:rowOff>138112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00000000-0008-0000-0600-000014000000}"/>
            </a:ext>
          </a:extLst>
        </xdr:cNvPr>
        <xdr:cNvSpPr txBox="1"/>
      </xdr:nvSpPr>
      <xdr:spPr>
        <a:xfrm>
          <a:off x="6181725" y="928687"/>
          <a:ext cx="110489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92D050"/>
              </a:solidFill>
            </a:rPr>
            <a:t>Acceptable Range</a:t>
          </a:r>
        </a:p>
      </xdr:txBody>
    </xdr:sp>
    <xdr:clientData/>
  </xdr:twoCellAnchor>
  <xdr:twoCellAnchor>
    <xdr:from>
      <xdr:col>11</xdr:col>
      <xdr:colOff>28014</xdr:colOff>
      <xdr:row>1</xdr:row>
      <xdr:rowOff>33057</xdr:rowOff>
    </xdr:from>
    <xdr:to>
      <xdr:col>15</xdr:col>
      <xdr:colOff>570939</xdr:colOff>
      <xdr:row>13</xdr:row>
      <xdr:rowOff>233082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xmlns="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600074</xdr:colOff>
      <xdr:row>1</xdr:row>
      <xdr:rowOff>23812</xdr:rowOff>
    </xdr:from>
    <xdr:to>
      <xdr:col>21</xdr:col>
      <xdr:colOff>0</xdr:colOff>
      <xdr:row>13</xdr:row>
      <xdr:rowOff>219075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GrpSpPr/>
      </xdr:nvGrpSpPr>
      <xdr:grpSpPr>
        <a:xfrm>
          <a:off x="15884898" y="393606"/>
          <a:ext cx="5518337" cy="3288087"/>
          <a:chOff x="5648325" y="319087"/>
          <a:chExt cx="4572000" cy="27432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xmlns="" id="{00000000-0008-0000-0600-000016000000}"/>
              </a:ext>
            </a:extLst>
          </xdr:cNvPr>
          <xdr:cNvGraphicFramePr/>
        </xdr:nvGraphicFramePr>
        <xdr:xfrm>
          <a:off x="5648325" y="3190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xmlns="" id="{00000000-0008-0000-0600-000017000000}"/>
              </a:ext>
            </a:extLst>
          </xdr:cNvPr>
          <xdr:cNvCxnSpPr/>
        </xdr:nvCxnSpPr>
        <xdr:spPr>
          <a:xfrm>
            <a:off x="6067425" y="1831924"/>
            <a:ext cx="4048125" cy="0"/>
          </a:xfrm>
          <a:prstGeom prst="line">
            <a:avLst/>
          </a:prstGeom>
          <a:ln w="127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xmlns="" id="{00000000-0008-0000-0600-000018000000}"/>
              </a:ext>
            </a:extLst>
          </xdr:cNvPr>
          <xdr:cNvSpPr txBox="1"/>
        </xdr:nvSpPr>
        <xdr:spPr>
          <a:xfrm>
            <a:off x="9439275" y="1876425"/>
            <a:ext cx="638175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MAD=0</a:t>
            </a:r>
          </a:p>
        </xdr:txBody>
      </xdr:sp>
    </xdr:grpSp>
    <xdr:clientData/>
  </xdr:twoCellAnchor>
  <xdr:twoCellAnchor editAs="oneCell">
    <xdr:from>
      <xdr:col>0</xdr:col>
      <xdr:colOff>95250</xdr:colOff>
      <xdr:row>49</xdr:row>
      <xdr:rowOff>104775</xdr:rowOff>
    </xdr:from>
    <xdr:to>
      <xdr:col>2</xdr:col>
      <xdr:colOff>361951</xdr:colOff>
      <xdr:row>52</xdr:row>
      <xdr:rowOff>123825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6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5761" t="41411" r="38937" b="50514"/>
        <a:stretch/>
      </xdr:blipFill>
      <xdr:spPr>
        <a:xfrm>
          <a:off x="95250" y="10620375"/>
          <a:ext cx="1990726" cy="590550"/>
        </a:xfrm>
        <a:prstGeom prst="rect">
          <a:avLst/>
        </a:prstGeom>
      </xdr:spPr>
    </xdr:pic>
    <xdr:clientData/>
  </xdr:twoCellAnchor>
  <xdr:twoCellAnchor>
    <xdr:from>
      <xdr:col>15</xdr:col>
      <xdr:colOff>866775</xdr:colOff>
      <xdr:row>2</xdr:row>
      <xdr:rowOff>242887</xdr:rowOff>
    </xdr:from>
    <xdr:to>
      <xdr:col>20</xdr:col>
      <xdr:colOff>866775</xdr:colOff>
      <xdr:row>13</xdr:row>
      <xdr:rowOff>90487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xmlns="" id="{00000000-0008-0000-0600-00001A000000}"/>
            </a:ext>
          </a:extLst>
        </xdr:cNvPr>
        <xdr:cNvGrpSpPr/>
      </xdr:nvGrpSpPr>
      <xdr:grpSpPr>
        <a:xfrm>
          <a:off x="16151599" y="870416"/>
          <a:ext cx="5098676" cy="2682689"/>
          <a:chOff x="6038850" y="338137"/>
          <a:chExt cx="4057650" cy="2676525"/>
        </a:xfrm>
      </xdr:grpSpPr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xmlns="" id="{00000000-0008-0000-0600-00001B000000}"/>
              </a:ext>
            </a:extLst>
          </xdr:cNvPr>
          <xdr:cNvCxnSpPr/>
        </xdr:nvCxnSpPr>
        <xdr:spPr>
          <a:xfrm>
            <a:off x="6048375" y="3014662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xmlns="" id="{00000000-0008-0000-0600-00001C000000}"/>
              </a:ext>
            </a:extLst>
          </xdr:cNvPr>
          <xdr:cNvCxnSpPr/>
        </xdr:nvCxnSpPr>
        <xdr:spPr>
          <a:xfrm>
            <a:off x="6038850" y="338137"/>
            <a:ext cx="4048125" cy="0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95250</xdr:colOff>
      <xdr:row>2</xdr:row>
      <xdr:rowOff>209550</xdr:rowOff>
    </xdr:from>
    <xdr:to>
      <xdr:col>16</xdr:col>
      <xdr:colOff>95250</xdr:colOff>
      <xdr:row>13</xdr:row>
      <xdr:rowOff>85725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xmlns="" id="{00000000-0008-0000-0600-00001D000000}"/>
            </a:ext>
          </a:extLst>
        </xdr:cNvPr>
        <xdr:cNvCxnSpPr/>
      </xdr:nvCxnSpPr>
      <xdr:spPr>
        <a:xfrm>
          <a:off x="16983075" y="838200"/>
          <a:ext cx="0" cy="2705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90487</xdr:rowOff>
    </xdr:from>
    <xdr:to>
      <xdr:col>17</xdr:col>
      <xdr:colOff>142874</xdr:colOff>
      <xdr:row>4</xdr:row>
      <xdr:rowOff>71437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600-00001E000000}"/>
            </a:ext>
          </a:extLst>
        </xdr:cNvPr>
        <xdr:cNvSpPr txBox="1"/>
      </xdr:nvSpPr>
      <xdr:spPr>
        <a:xfrm>
          <a:off x="16944975" y="976312"/>
          <a:ext cx="110489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92D050"/>
              </a:solidFill>
            </a:rPr>
            <a:t>Acceptable Range</a:t>
          </a:r>
        </a:p>
      </xdr:txBody>
    </xdr:sp>
    <xdr:clientData/>
  </xdr:twoCellAnchor>
  <xdr:twoCellAnchor editAs="oneCell">
    <xdr:from>
      <xdr:col>0</xdr:col>
      <xdr:colOff>56030</xdr:colOff>
      <xdr:row>0</xdr:row>
      <xdr:rowOff>0</xdr:rowOff>
    </xdr:from>
    <xdr:to>
      <xdr:col>0</xdr:col>
      <xdr:colOff>465605</xdr:colOff>
      <xdr:row>1</xdr:row>
      <xdr:rowOff>454</xdr:rowOff>
    </xdr:to>
    <xdr:pic>
      <xdr:nvPicPr>
        <xdr:cNvPr id="31" name="Picture 3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30" y="0"/>
          <a:ext cx="409575" cy="3786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1</xdr:row>
      <xdr:rowOff>52387</xdr:rowOff>
    </xdr:from>
    <xdr:to>
      <xdr:col>6</xdr:col>
      <xdr:colOff>9525</xdr:colOff>
      <xdr:row>15</xdr:row>
      <xdr:rowOff>314325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104775</xdr:colOff>
      <xdr:row>1</xdr:row>
      <xdr:rowOff>38100</xdr:rowOff>
    </xdr:from>
    <xdr:to>
      <xdr:col>11</xdr:col>
      <xdr:colOff>942975</xdr:colOff>
      <xdr:row>15</xdr:row>
      <xdr:rowOff>295275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66676</xdr:colOff>
      <xdr:row>0</xdr:row>
      <xdr:rowOff>38101</xdr:rowOff>
    </xdr:from>
    <xdr:to>
      <xdr:col>0</xdr:col>
      <xdr:colOff>390526</xdr:colOff>
      <xdr:row>0</xdr:row>
      <xdr:rowOff>337501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6" y="38101"/>
          <a:ext cx="323850" cy="299400"/>
        </a:xfrm>
        <a:prstGeom prst="rect">
          <a:avLst/>
        </a:prstGeom>
      </xdr:spPr>
    </xdr:pic>
    <xdr:clientData/>
  </xdr:twoCellAnchor>
  <xdr:twoCellAnchor>
    <xdr:from>
      <xdr:col>13</xdr:col>
      <xdr:colOff>40969</xdr:colOff>
      <xdr:row>1</xdr:row>
      <xdr:rowOff>34770</xdr:rowOff>
    </xdr:from>
    <xdr:to>
      <xdr:col>18</xdr:col>
      <xdr:colOff>460887</xdr:colOff>
      <xdr:row>15</xdr:row>
      <xdr:rowOff>296708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553064</xdr:colOff>
      <xdr:row>1</xdr:row>
      <xdr:rowOff>51210</xdr:rowOff>
    </xdr:from>
    <xdr:to>
      <xdr:col>22</xdr:col>
      <xdr:colOff>1054919</xdr:colOff>
      <xdr:row>15</xdr:row>
      <xdr:rowOff>308385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0.23699</cdr:y>
    </cdr:from>
    <cdr:to>
      <cdr:x>1</cdr:x>
      <cdr:y>0.85934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xmlns="" id="{7444D32D-7191-492C-BFAE-2841CA08EFFF}"/>
            </a:ext>
          </a:extLst>
        </cdr:cNvPr>
        <cdr:cNvGrpSpPr/>
      </cdr:nvGrpSpPr>
      <cdr:grpSpPr>
        <a:xfrm xmlns:a="http://schemas.openxmlformats.org/drawingml/2006/main">
          <a:off x="448722" y="787623"/>
          <a:ext cx="5308553" cy="2068344"/>
          <a:chOff x="447675" y="781050"/>
          <a:chExt cx="5295900" cy="2051050"/>
        </a:xfrm>
      </cdr:grpSpPr>
      <cdr:grpSp>
        <cdr:nvGrpSpPr>
          <cdr:cNvPr id="2" name="Group 1">
            <a:extLst xmlns:a="http://schemas.openxmlformats.org/drawingml/2006/main">
              <a:ext uri="{FF2B5EF4-FFF2-40B4-BE49-F238E27FC236}">
                <a16:creationId xmlns:a16="http://schemas.microsoft.com/office/drawing/2014/main" xmlns="" id="{2BD447DD-1B97-48BF-B91D-6DC67CEE6E9E}"/>
              </a:ext>
            </a:extLst>
          </cdr:cNvPr>
          <cdr:cNvGrpSpPr/>
        </cdr:nvGrpSpPr>
        <cdr:grpSpPr>
          <a:xfrm xmlns:a="http://schemas.openxmlformats.org/drawingml/2006/main">
            <a:off x="469899" y="1009650"/>
            <a:ext cx="5121275" cy="1609725"/>
            <a:chOff x="0" y="209550"/>
            <a:chExt cx="4057650" cy="2676525"/>
          </a:xfrm>
        </cdr:grpSpPr>
        <cdr:cxnSp macro="">
          <cdr:nvCxnSpPr>
            <cdr:cNvPr id="4" name="Straight Connector 3">
              <a:extLst xmlns:a="http://schemas.openxmlformats.org/drawingml/2006/main">
                <a:ext uri="{FF2B5EF4-FFF2-40B4-BE49-F238E27FC236}">
                  <a16:creationId xmlns:a16="http://schemas.microsoft.com/office/drawing/2014/main" xmlns="" id="{ACEAC5FD-A0BE-4A8D-88AB-22B7A80730B3}"/>
                </a:ext>
              </a:extLst>
            </cdr:cNvPr>
            <cdr:cNvCxnSpPr/>
          </cdr:nvCxnSpPr>
          <cdr:spPr>
            <a:xfrm xmlns:a="http://schemas.openxmlformats.org/drawingml/2006/main">
              <a:off x="9525" y="2886075"/>
              <a:ext cx="4048125" cy="0"/>
            </a:xfrm>
            <a:prstGeom xmlns:a="http://schemas.openxmlformats.org/drawingml/2006/main" prst="line">
              <a:avLst/>
            </a:prstGeom>
            <a:ln xmlns:a="http://schemas.openxmlformats.org/drawingml/2006/main"/>
          </cdr:spPr>
          <cdr:style>
            <a:lnRef xmlns:a="http://schemas.openxmlformats.org/drawingml/2006/main" idx="1">
              <a:schemeClr val="accent2"/>
            </a:lnRef>
            <a:fillRef xmlns:a="http://schemas.openxmlformats.org/drawingml/2006/main" idx="0">
              <a:schemeClr val="accent2"/>
            </a:fillRef>
            <a:effectRef xmlns:a="http://schemas.openxmlformats.org/drawingml/2006/main" idx="0">
              <a:schemeClr val="accent2"/>
            </a:effectRef>
            <a:fontRef xmlns:a="http://schemas.openxmlformats.org/drawingml/2006/main" idx="minor">
              <a:schemeClr val="tx1"/>
            </a:fontRef>
          </cdr:style>
        </cdr:cxnSp>
        <cdr:cxnSp macro="">
          <cdr:nvCxnSpPr>
            <cdr:cNvPr id="5" name="Straight Connector 4">
              <a:extLst xmlns:a="http://schemas.openxmlformats.org/drawingml/2006/main">
                <a:ext uri="{FF2B5EF4-FFF2-40B4-BE49-F238E27FC236}">
                  <a16:creationId xmlns:a16="http://schemas.microsoft.com/office/drawing/2014/main" xmlns="" id="{4CF6474F-73B5-44A7-B1D2-F9642D107783}"/>
                </a:ext>
              </a:extLst>
            </cdr:cNvPr>
            <cdr:cNvCxnSpPr/>
          </cdr:nvCxnSpPr>
          <cdr:spPr>
            <a:xfrm xmlns:a="http://schemas.openxmlformats.org/drawingml/2006/main">
              <a:off x="0" y="209550"/>
              <a:ext cx="4048125" cy="0"/>
            </a:xfrm>
            <a:prstGeom xmlns:a="http://schemas.openxmlformats.org/drawingml/2006/main" prst="line">
              <a:avLst/>
            </a:prstGeom>
            <a:ln xmlns:a="http://schemas.openxmlformats.org/drawingml/2006/main"/>
          </cdr:spPr>
          <cdr:style>
            <a:lnRef xmlns:a="http://schemas.openxmlformats.org/drawingml/2006/main" idx="1">
              <a:schemeClr val="accent2"/>
            </a:lnRef>
            <a:fillRef xmlns:a="http://schemas.openxmlformats.org/drawingml/2006/main" idx="0">
              <a:schemeClr val="accent2"/>
            </a:fillRef>
            <a:effectRef xmlns:a="http://schemas.openxmlformats.org/drawingml/2006/main" idx="0">
              <a:schemeClr val="accent2"/>
            </a:effectRef>
            <a:fontRef xmlns:a="http://schemas.openxmlformats.org/drawingml/2006/main" idx="minor">
              <a:schemeClr val="tx1"/>
            </a:fontRef>
          </cdr:style>
        </cdr:cxnSp>
      </cdr:grpSp>
      <cdr:sp macro="" textlink="">
        <cdr:nvSpPr>
          <cdr:cNvPr id="3" name="TextBox 15">
            <a:extLst xmlns:a="http://schemas.openxmlformats.org/drawingml/2006/main">
              <a:ext uri="{FF2B5EF4-FFF2-40B4-BE49-F238E27FC236}">
                <a16:creationId xmlns:a16="http://schemas.microsoft.com/office/drawing/2014/main" xmlns="" id="{AD44634E-86A2-42DF-8A9D-181E594241FF}"/>
              </a:ext>
            </a:extLst>
          </cdr:cNvPr>
          <cdr:cNvSpPr txBox="1"/>
        </cdr:nvSpPr>
        <cdr:spPr>
          <a:xfrm xmlns:a="http://schemas.openxmlformats.org/drawingml/2006/main">
            <a:off x="4975226" y="781050"/>
            <a:ext cx="695324" cy="2381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FF0000"/>
                </a:solidFill>
              </a:rPr>
              <a:t>Upper</a:t>
            </a:r>
            <a:r>
              <a:rPr lang="en-US" sz="1000" baseline="0">
                <a:solidFill>
                  <a:srgbClr val="FF0000"/>
                </a:solidFill>
              </a:rPr>
              <a:t> CL</a:t>
            </a:r>
            <a:endParaRPr lang="en-US" sz="1000">
              <a:solidFill>
                <a:srgbClr val="FF0000"/>
              </a:solidFill>
            </a:endParaRPr>
          </a:p>
        </cdr:txBody>
      </cdr:sp>
      <cdr:cxnSp macro="">
        <cdr:nvCxnSpPr>
          <cdr:cNvPr id="6" name="Straight Connector 5">
            <a:extLst xmlns:a="http://schemas.openxmlformats.org/drawingml/2006/main">
              <a:ext uri="{FF2B5EF4-FFF2-40B4-BE49-F238E27FC236}">
                <a16:creationId xmlns:a16="http://schemas.microsoft.com/office/drawing/2014/main" xmlns="" id="{2FC65323-C1AE-4DB0-8E87-6E9547433F90}"/>
              </a:ext>
            </a:extLst>
          </cdr:cNvPr>
          <cdr:cNvCxnSpPr/>
        </cdr:nvCxnSpPr>
        <cdr:spPr>
          <a:xfrm xmlns:a="http://schemas.openxmlformats.org/drawingml/2006/main">
            <a:off x="447675" y="1800225"/>
            <a:ext cx="5153025" cy="0"/>
          </a:xfrm>
          <a:prstGeom xmlns:a="http://schemas.openxmlformats.org/drawingml/2006/main" prst="line">
            <a:avLst/>
          </a:prstGeom>
          <a:ln xmlns:a="http://schemas.openxmlformats.org/drawingml/2006/main" w="12700"/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7" name="TextBox 10">
            <a:extLst xmlns:a="http://schemas.openxmlformats.org/drawingml/2006/main">
              <a:ext uri="{FF2B5EF4-FFF2-40B4-BE49-F238E27FC236}">
                <a16:creationId xmlns:a16="http://schemas.microsoft.com/office/drawing/2014/main" xmlns="" id="{5B2958E0-E45E-4F8F-913B-13A2C33B2292}"/>
              </a:ext>
            </a:extLst>
          </cdr:cNvPr>
          <cdr:cNvSpPr txBox="1"/>
        </cdr:nvSpPr>
        <cdr:spPr>
          <a:xfrm xmlns:a="http://schemas.openxmlformats.org/drawingml/2006/main">
            <a:off x="4889500" y="1851025"/>
            <a:ext cx="703322" cy="284841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solidFill>
              <a:schemeClr val="lt1">
                <a:shade val="50000"/>
              </a:schemeClr>
            </a:solidFill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MAD=0</a:t>
            </a:r>
          </a:p>
        </cdr:txBody>
      </cdr:sp>
      <cdr:sp macro="" textlink="">
        <cdr:nvSpPr>
          <cdr:cNvPr id="9" name="TextBox 16">
            <a:extLst xmlns:a="http://schemas.openxmlformats.org/drawingml/2006/main">
              <a:ext uri="{FF2B5EF4-FFF2-40B4-BE49-F238E27FC236}">
                <a16:creationId xmlns:a16="http://schemas.microsoft.com/office/drawing/2014/main" xmlns="" id="{37C46D4D-143E-421B-AF69-33F03DEBC15F}"/>
              </a:ext>
            </a:extLst>
          </cdr:cNvPr>
          <cdr:cNvSpPr txBox="1"/>
        </cdr:nvSpPr>
        <cdr:spPr>
          <a:xfrm xmlns:a="http://schemas.openxmlformats.org/drawingml/2006/main">
            <a:off x="5048251" y="2593975"/>
            <a:ext cx="695324" cy="2381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FF0000"/>
                </a:solidFill>
              </a:rPr>
              <a:t>Lower</a:t>
            </a:r>
            <a:r>
              <a:rPr lang="en-US" sz="1000" baseline="0">
                <a:solidFill>
                  <a:srgbClr val="FF0000"/>
                </a:solidFill>
              </a:rPr>
              <a:t> CL</a:t>
            </a:r>
            <a:endParaRPr lang="en-US" sz="1000">
              <a:solidFill>
                <a:srgbClr val="FF0000"/>
              </a:solidFill>
            </a:endParaRPr>
          </a:p>
        </cdr:txBody>
      </cdr:sp>
      <cdr:cxnSp macro="">
        <cdr:nvCxnSpPr>
          <cdr:cNvPr id="10" name="Straight Arrow Connector 9">
            <a:extLst xmlns:a="http://schemas.openxmlformats.org/drawingml/2006/main">
              <a:ext uri="{FF2B5EF4-FFF2-40B4-BE49-F238E27FC236}">
                <a16:creationId xmlns:a16="http://schemas.microsoft.com/office/drawing/2014/main" xmlns="" id="{8E9D7AFF-C3A8-4C35-8CBC-939584BB3478}"/>
              </a:ext>
            </a:extLst>
          </cdr:cNvPr>
          <cdr:cNvCxnSpPr/>
        </cdr:nvCxnSpPr>
        <cdr:spPr>
          <a:xfrm xmlns:a="http://schemas.openxmlformats.org/drawingml/2006/main">
            <a:off x="600075" y="1000125"/>
            <a:ext cx="3175" cy="1647825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headEnd type="triangle"/>
            <a:tailEnd type="triangle"/>
          </a:ln>
        </cdr:spPr>
        <cdr:style>
          <a:lnRef xmlns:a="http://schemas.openxmlformats.org/drawingml/2006/main" idx="1">
            <a:schemeClr val="accent3"/>
          </a:lnRef>
          <a:fillRef xmlns:a="http://schemas.openxmlformats.org/drawingml/2006/main" idx="0">
            <a:schemeClr val="accent3"/>
          </a:fillRef>
          <a:effectRef xmlns:a="http://schemas.openxmlformats.org/drawingml/2006/main" idx="0">
            <a:schemeClr val="accent3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11" name="TextBox 19">
            <a:extLst xmlns:a="http://schemas.openxmlformats.org/drawingml/2006/main">
              <a:ext uri="{FF2B5EF4-FFF2-40B4-BE49-F238E27FC236}">
                <a16:creationId xmlns:a16="http://schemas.microsoft.com/office/drawing/2014/main" xmlns="" id="{53E252A8-9542-4047-BEC7-79A7B9A74E83}"/>
              </a:ext>
            </a:extLst>
          </cdr:cNvPr>
          <cdr:cNvSpPr txBox="1"/>
        </cdr:nvSpPr>
        <cdr:spPr>
          <a:xfrm xmlns:a="http://schemas.openxmlformats.org/drawingml/2006/main">
            <a:off x="555625" y="1041400"/>
            <a:ext cx="1104899" cy="2381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92D050"/>
                </a:solidFill>
              </a:rPr>
              <a:t>Acceptable Range</a:t>
            </a:r>
          </a:p>
        </cdr:txBody>
      </cdr:sp>
    </cdr:grp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0.23699</cdr:y>
    </cdr:from>
    <cdr:to>
      <cdr:x>1</cdr:x>
      <cdr:y>0.85775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xmlns="" id="{7444D32D-7191-492C-BFAE-2841CA08EFFF}"/>
            </a:ext>
          </a:extLst>
        </cdr:cNvPr>
        <cdr:cNvGrpSpPr/>
      </cdr:nvGrpSpPr>
      <cdr:grpSpPr>
        <a:xfrm xmlns:a="http://schemas.openxmlformats.org/drawingml/2006/main">
          <a:off x="380812" y="787623"/>
          <a:ext cx="4505153" cy="2063059"/>
          <a:chOff x="447675" y="781050"/>
          <a:chExt cx="5295900" cy="2045798"/>
        </a:xfrm>
      </cdr:grpSpPr>
      <cdr:grpSp>
        <cdr:nvGrpSpPr>
          <cdr:cNvPr id="2" name="Group 1">
            <a:extLst xmlns:a="http://schemas.openxmlformats.org/drawingml/2006/main">
              <a:ext uri="{FF2B5EF4-FFF2-40B4-BE49-F238E27FC236}">
                <a16:creationId xmlns:a16="http://schemas.microsoft.com/office/drawing/2014/main" xmlns="" id="{2BD447DD-1B97-48BF-B91D-6DC67CEE6E9E}"/>
              </a:ext>
            </a:extLst>
          </cdr:cNvPr>
          <cdr:cNvGrpSpPr/>
        </cdr:nvGrpSpPr>
        <cdr:grpSpPr>
          <a:xfrm xmlns:a="http://schemas.openxmlformats.org/drawingml/2006/main">
            <a:off x="469900" y="1009650"/>
            <a:ext cx="5121275" cy="1609725"/>
            <a:chOff x="0" y="209550"/>
            <a:chExt cx="4057650" cy="2676525"/>
          </a:xfrm>
        </cdr:grpSpPr>
        <cdr:cxnSp macro="">
          <cdr:nvCxnSpPr>
            <cdr:cNvPr id="4" name="Straight Connector 3">
              <a:extLst xmlns:a="http://schemas.openxmlformats.org/drawingml/2006/main">
                <a:ext uri="{FF2B5EF4-FFF2-40B4-BE49-F238E27FC236}">
                  <a16:creationId xmlns:a16="http://schemas.microsoft.com/office/drawing/2014/main" xmlns="" id="{ACEAC5FD-A0BE-4A8D-88AB-22B7A80730B3}"/>
                </a:ext>
              </a:extLst>
            </cdr:cNvPr>
            <cdr:cNvCxnSpPr/>
          </cdr:nvCxnSpPr>
          <cdr:spPr>
            <a:xfrm xmlns:a="http://schemas.openxmlformats.org/drawingml/2006/main">
              <a:off x="9525" y="2886075"/>
              <a:ext cx="4048125" cy="0"/>
            </a:xfrm>
            <a:prstGeom xmlns:a="http://schemas.openxmlformats.org/drawingml/2006/main" prst="line">
              <a:avLst/>
            </a:prstGeom>
            <a:ln xmlns:a="http://schemas.openxmlformats.org/drawingml/2006/main"/>
          </cdr:spPr>
          <cdr:style>
            <a:lnRef xmlns:a="http://schemas.openxmlformats.org/drawingml/2006/main" idx="1">
              <a:schemeClr val="accent2"/>
            </a:lnRef>
            <a:fillRef xmlns:a="http://schemas.openxmlformats.org/drawingml/2006/main" idx="0">
              <a:schemeClr val="accent2"/>
            </a:fillRef>
            <a:effectRef xmlns:a="http://schemas.openxmlformats.org/drawingml/2006/main" idx="0">
              <a:schemeClr val="accent2"/>
            </a:effectRef>
            <a:fontRef xmlns:a="http://schemas.openxmlformats.org/drawingml/2006/main" idx="minor">
              <a:schemeClr val="tx1"/>
            </a:fontRef>
          </cdr:style>
        </cdr:cxnSp>
        <cdr:cxnSp macro="">
          <cdr:nvCxnSpPr>
            <cdr:cNvPr id="5" name="Straight Connector 4">
              <a:extLst xmlns:a="http://schemas.openxmlformats.org/drawingml/2006/main">
                <a:ext uri="{FF2B5EF4-FFF2-40B4-BE49-F238E27FC236}">
                  <a16:creationId xmlns:a16="http://schemas.microsoft.com/office/drawing/2014/main" xmlns="" id="{4CF6474F-73B5-44A7-B1D2-F9642D107783}"/>
                </a:ext>
              </a:extLst>
            </cdr:cNvPr>
            <cdr:cNvCxnSpPr/>
          </cdr:nvCxnSpPr>
          <cdr:spPr>
            <a:xfrm xmlns:a="http://schemas.openxmlformats.org/drawingml/2006/main">
              <a:off x="0" y="209550"/>
              <a:ext cx="4048125" cy="0"/>
            </a:xfrm>
            <a:prstGeom xmlns:a="http://schemas.openxmlformats.org/drawingml/2006/main" prst="line">
              <a:avLst/>
            </a:prstGeom>
            <a:ln xmlns:a="http://schemas.openxmlformats.org/drawingml/2006/main"/>
          </cdr:spPr>
          <cdr:style>
            <a:lnRef xmlns:a="http://schemas.openxmlformats.org/drawingml/2006/main" idx="1">
              <a:schemeClr val="accent2"/>
            </a:lnRef>
            <a:fillRef xmlns:a="http://schemas.openxmlformats.org/drawingml/2006/main" idx="0">
              <a:schemeClr val="accent2"/>
            </a:fillRef>
            <a:effectRef xmlns:a="http://schemas.openxmlformats.org/drawingml/2006/main" idx="0">
              <a:schemeClr val="accent2"/>
            </a:effectRef>
            <a:fontRef xmlns:a="http://schemas.openxmlformats.org/drawingml/2006/main" idx="minor">
              <a:schemeClr val="tx1"/>
            </a:fontRef>
          </cdr:style>
        </cdr:cxnSp>
      </cdr:grpSp>
      <cdr:sp macro="" textlink="">
        <cdr:nvSpPr>
          <cdr:cNvPr id="3" name="TextBox 15">
            <a:extLst xmlns:a="http://schemas.openxmlformats.org/drawingml/2006/main">
              <a:ext uri="{FF2B5EF4-FFF2-40B4-BE49-F238E27FC236}">
                <a16:creationId xmlns:a16="http://schemas.microsoft.com/office/drawing/2014/main" xmlns="" id="{AD44634E-86A2-42DF-8A9D-181E594241FF}"/>
              </a:ext>
            </a:extLst>
          </cdr:cNvPr>
          <cdr:cNvSpPr txBox="1"/>
        </cdr:nvSpPr>
        <cdr:spPr>
          <a:xfrm xmlns:a="http://schemas.openxmlformats.org/drawingml/2006/main">
            <a:off x="4647846" y="781050"/>
            <a:ext cx="1022705" cy="18549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FF0000"/>
                </a:solidFill>
              </a:rPr>
              <a:t>Upper</a:t>
            </a:r>
            <a:r>
              <a:rPr lang="en-US" sz="1000" baseline="0">
                <a:solidFill>
                  <a:srgbClr val="FF0000"/>
                </a:solidFill>
              </a:rPr>
              <a:t> CL</a:t>
            </a:r>
            <a:endParaRPr lang="en-US" sz="1000">
              <a:solidFill>
                <a:srgbClr val="FF0000"/>
              </a:solidFill>
            </a:endParaRPr>
          </a:p>
        </cdr:txBody>
      </cdr:sp>
      <cdr:cxnSp macro="">
        <cdr:nvCxnSpPr>
          <cdr:cNvPr id="6" name="Straight Connector 5">
            <a:extLst xmlns:a="http://schemas.openxmlformats.org/drawingml/2006/main">
              <a:ext uri="{FF2B5EF4-FFF2-40B4-BE49-F238E27FC236}">
                <a16:creationId xmlns:a16="http://schemas.microsoft.com/office/drawing/2014/main" xmlns="" id="{2FC65323-C1AE-4DB0-8E87-6E9547433F90}"/>
              </a:ext>
            </a:extLst>
          </cdr:cNvPr>
          <cdr:cNvCxnSpPr/>
        </cdr:nvCxnSpPr>
        <cdr:spPr>
          <a:xfrm xmlns:a="http://schemas.openxmlformats.org/drawingml/2006/main">
            <a:off x="447675" y="1800225"/>
            <a:ext cx="5153025" cy="0"/>
          </a:xfrm>
          <a:prstGeom xmlns:a="http://schemas.openxmlformats.org/drawingml/2006/main" prst="line">
            <a:avLst/>
          </a:prstGeom>
          <a:ln xmlns:a="http://schemas.openxmlformats.org/drawingml/2006/main" w="12700"/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7" name="TextBox 10">
            <a:extLst xmlns:a="http://schemas.openxmlformats.org/drawingml/2006/main">
              <a:ext uri="{FF2B5EF4-FFF2-40B4-BE49-F238E27FC236}">
                <a16:creationId xmlns:a16="http://schemas.microsoft.com/office/drawing/2014/main" xmlns="" id="{5B2958E0-E45E-4F8F-913B-13A2C33B2292}"/>
              </a:ext>
            </a:extLst>
          </cdr:cNvPr>
          <cdr:cNvSpPr txBox="1"/>
        </cdr:nvSpPr>
        <cdr:spPr>
          <a:xfrm xmlns:a="http://schemas.openxmlformats.org/drawingml/2006/main">
            <a:off x="4889500" y="1851025"/>
            <a:ext cx="703322" cy="284841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solidFill>
              <a:schemeClr val="lt1">
                <a:shade val="50000"/>
              </a:schemeClr>
            </a:solidFill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MAD=0</a:t>
            </a:r>
          </a:p>
        </cdr:txBody>
      </cdr:sp>
      <cdr:sp macro="" textlink="">
        <cdr:nvSpPr>
          <cdr:cNvPr id="9" name="TextBox 16">
            <a:extLst xmlns:a="http://schemas.openxmlformats.org/drawingml/2006/main">
              <a:ext uri="{FF2B5EF4-FFF2-40B4-BE49-F238E27FC236}">
                <a16:creationId xmlns:a16="http://schemas.microsoft.com/office/drawing/2014/main" xmlns="" id="{37C46D4D-143E-421B-AF69-33F03DEBC15F}"/>
              </a:ext>
            </a:extLst>
          </cdr:cNvPr>
          <cdr:cNvSpPr txBox="1"/>
        </cdr:nvSpPr>
        <cdr:spPr>
          <a:xfrm xmlns:a="http://schemas.openxmlformats.org/drawingml/2006/main">
            <a:off x="4780298" y="2593975"/>
            <a:ext cx="963277" cy="23287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FF0000"/>
                </a:solidFill>
              </a:rPr>
              <a:t>Lower</a:t>
            </a:r>
            <a:r>
              <a:rPr lang="en-US" sz="1000" baseline="0">
                <a:solidFill>
                  <a:srgbClr val="FF0000"/>
                </a:solidFill>
              </a:rPr>
              <a:t> CL</a:t>
            </a:r>
            <a:endParaRPr lang="en-US" sz="1000">
              <a:solidFill>
                <a:srgbClr val="FF0000"/>
              </a:solidFill>
            </a:endParaRPr>
          </a:p>
        </cdr:txBody>
      </cdr:sp>
      <cdr:cxnSp macro="">
        <cdr:nvCxnSpPr>
          <cdr:cNvPr id="10" name="Straight Arrow Connector 9">
            <a:extLst xmlns:a="http://schemas.openxmlformats.org/drawingml/2006/main">
              <a:ext uri="{FF2B5EF4-FFF2-40B4-BE49-F238E27FC236}">
                <a16:creationId xmlns:a16="http://schemas.microsoft.com/office/drawing/2014/main" xmlns="" id="{8E9D7AFF-C3A8-4C35-8CBC-939584BB3478}"/>
              </a:ext>
            </a:extLst>
          </cdr:cNvPr>
          <cdr:cNvCxnSpPr/>
        </cdr:nvCxnSpPr>
        <cdr:spPr>
          <a:xfrm xmlns:a="http://schemas.openxmlformats.org/drawingml/2006/main">
            <a:off x="600075" y="1000125"/>
            <a:ext cx="3175" cy="1647825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headEnd type="triangle"/>
            <a:tailEnd type="triangle"/>
          </a:ln>
        </cdr:spPr>
        <cdr:style>
          <a:lnRef xmlns:a="http://schemas.openxmlformats.org/drawingml/2006/main" idx="1">
            <a:schemeClr val="accent3"/>
          </a:lnRef>
          <a:fillRef xmlns:a="http://schemas.openxmlformats.org/drawingml/2006/main" idx="0">
            <a:schemeClr val="accent3"/>
          </a:fillRef>
          <a:effectRef xmlns:a="http://schemas.openxmlformats.org/drawingml/2006/main" idx="0">
            <a:schemeClr val="accent3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11" name="TextBox 19">
            <a:extLst xmlns:a="http://schemas.openxmlformats.org/drawingml/2006/main">
              <a:ext uri="{FF2B5EF4-FFF2-40B4-BE49-F238E27FC236}">
                <a16:creationId xmlns:a16="http://schemas.microsoft.com/office/drawing/2014/main" xmlns="" id="{53E252A8-9542-4047-BEC7-79A7B9A74E83}"/>
              </a:ext>
            </a:extLst>
          </cdr:cNvPr>
          <cdr:cNvSpPr txBox="1"/>
        </cdr:nvSpPr>
        <cdr:spPr>
          <a:xfrm xmlns:a="http://schemas.openxmlformats.org/drawingml/2006/main">
            <a:off x="555625" y="1041400"/>
            <a:ext cx="1104899" cy="23812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000">
                <a:solidFill>
                  <a:srgbClr val="92D050"/>
                </a:solidFill>
              </a:rPr>
              <a:t>Acceptable Range</a:t>
            </a:r>
          </a:p>
        </cdr:txBody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</xdr:colOff>
      <xdr:row>51</xdr:row>
      <xdr:rowOff>192939</xdr:rowOff>
    </xdr:from>
    <xdr:to>
      <xdr:col>7</xdr:col>
      <xdr:colOff>792228</xdr:colOff>
      <xdr:row>67</xdr:row>
      <xdr:rowOff>26130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981" t="19403" r="20561" b="40488"/>
        <a:stretch/>
      </xdr:blipFill>
      <xdr:spPr>
        <a:xfrm>
          <a:off x="3811464" y="10719285"/>
          <a:ext cx="3941341" cy="2971557"/>
        </a:xfrm>
        <a:prstGeom prst="rect">
          <a:avLst/>
        </a:prstGeom>
      </xdr:spPr>
    </xdr:pic>
    <xdr:clientData/>
  </xdr:twoCellAnchor>
  <xdr:twoCellAnchor editAs="oneCell">
    <xdr:from>
      <xdr:col>8</xdr:col>
      <xdr:colOff>195385</xdr:colOff>
      <xdr:row>51</xdr:row>
      <xdr:rowOff>77665</xdr:rowOff>
    </xdr:from>
    <xdr:to>
      <xdr:col>11</xdr:col>
      <xdr:colOff>195384</xdr:colOff>
      <xdr:row>58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201" t="60424" r="27956" b="23168"/>
        <a:stretch/>
      </xdr:blipFill>
      <xdr:spPr>
        <a:xfrm>
          <a:off x="7961923" y="10604011"/>
          <a:ext cx="3407019" cy="1302239"/>
        </a:xfrm>
        <a:prstGeom prst="rect">
          <a:avLst/>
        </a:prstGeom>
      </xdr:spPr>
    </xdr:pic>
    <xdr:clientData/>
  </xdr:twoCellAnchor>
  <xdr:twoCellAnchor>
    <xdr:from>
      <xdr:col>0</xdr:col>
      <xdr:colOff>420885</xdr:colOff>
      <xdr:row>1</xdr:row>
      <xdr:rowOff>71437</xdr:rowOff>
    </xdr:from>
    <xdr:to>
      <xdr:col>7</xdr:col>
      <xdr:colOff>287535</xdr:colOff>
      <xdr:row>17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382785</xdr:colOff>
      <xdr:row>1</xdr:row>
      <xdr:rowOff>51776</xdr:rowOff>
    </xdr:from>
    <xdr:to>
      <xdr:col>12</xdr:col>
      <xdr:colOff>782835</xdr:colOff>
      <xdr:row>17</xdr:row>
      <xdr:rowOff>89876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38101</xdr:colOff>
      <xdr:row>0</xdr:row>
      <xdr:rowOff>28576</xdr:rowOff>
    </xdr:from>
    <xdr:to>
      <xdr:col>0</xdr:col>
      <xdr:colOff>390525</xdr:colOff>
      <xdr:row>0</xdr:row>
      <xdr:rowOff>354392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1" y="28576"/>
          <a:ext cx="352424" cy="325816"/>
        </a:xfrm>
        <a:prstGeom prst="rect">
          <a:avLst/>
        </a:prstGeom>
      </xdr:spPr>
    </xdr:pic>
    <xdr:clientData/>
  </xdr:twoCellAnchor>
  <xdr:twoCellAnchor>
    <xdr:from>
      <xdr:col>15</xdr:col>
      <xdr:colOff>286941</xdr:colOff>
      <xdr:row>1</xdr:row>
      <xdr:rowOff>71437</xdr:rowOff>
    </xdr:from>
    <xdr:to>
      <xdr:col>22</xdr:col>
      <xdr:colOff>153591</xdr:colOff>
      <xdr:row>17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248841</xdr:colOff>
      <xdr:row>1</xdr:row>
      <xdr:rowOff>76200</xdr:rowOff>
    </xdr:from>
    <xdr:to>
      <xdr:col>27</xdr:col>
      <xdr:colOff>648891</xdr:colOff>
      <xdr:row>17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Y12"/>
  <sheetViews>
    <sheetView showGridLines="0" zoomScale="80" zoomScaleNormal="80" workbookViewId="0"/>
  </sheetViews>
  <sheetFormatPr defaultColWidth="0" defaultRowHeight="15" zeroHeight="1"/>
  <cols>
    <col min="1" max="1" width="3.140625" customWidth="1"/>
    <col min="2" max="2" width="3.28515625" customWidth="1"/>
    <col min="3" max="3" width="22.5703125" bestFit="1" customWidth="1"/>
    <col min="4" max="4" width="4.28515625" customWidth="1"/>
    <col min="5" max="5" width="19.42578125" customWidth="1"/>
    <col min="6" max="8" width="8.85546875" customWidth="1"/>
    <col min="9" max="11" width="0" hidden="1" customWidth="1"/>
    <col min="12" max="17" width="9.140625" customWidth="1"/>
    <col min="18" max="18" width="11.140625" customWidth="1"/>
    <col min="19" max="20" width="9.140625" customWidth="1"/>
    <col min="21" max="23" width="12.28515625" customWidth="1"/>
    <col min="24" max="28" width="0" hidden="1" customWidth="1"/>
  </cols>
  <sheetData>
    <row r="1" spans="1:25" ht="52.5" customHeight="1">
      <c r="A1" s="91"/>
      <c r="B1" s="165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7"/>
      <c r="Y1" s="92"/>
    </row>
    <row r="2" spans="1:25" ht="24" customHeight="1">
      <c r="A2" s="91"/>
      <c r="B2" s="84"/>
      <c r="C2" s="127"/>
      <c r="D2" s="127"/>
      <c r="E2" s="127"/>
      <c r="F2" s="127"/>
      <c r="G2" s="127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90"/>
      <c r="T2" s="85"/>
      <c r="U2" s="85"/>
      <c r="V2" s="85"/>
      <c r="W2" s="85"/>
      <c r="X2" s="86"/>
      <c r="Y2" s="92"/>
    </row>
    <row r="3" spans="1:25" ht="24" customHeight="1">
      <c r="A3" s="91"/>
      <c r="B3" s="84"/>
      <c r="C3" s="85"/>
      <c r="D3" s="127"/>
      <c r="E3" s="127"/>
      <c r="F3" s="127"/>
      <c r="G3" s="127"/>
      <c r="H3" s="127"/>
      <c r="I3" s="85"/>
      <c r="J3" s="85"/>
      <c r="K3" s="85"/>
      <c r="L3" s="85"/>
      <c r="M3" s="85"/>
      <c r="N3" s="85"/>
      <c r="O3" s="85"/>
      <c r="P3" s="85"/>
      <c r="Q3" s="85"/>
      <c r="R3" s="85"/>
      <c r="S3" s="90"/>
      <c r="T3" s="85"/>
      <c r="U3" s="85"/>
      <c r="V3" s="85"/>
      <c r="W3" s="85"/>
      <c r="X3" s="86"/>
      <c r="Y3" s="92"/>
    </row>
    <row r="4" spans="1:25" ht="24" customHeight="1">
      <c r="A4" s="91"/>
      <c r="B4" s="84"/>
      <c r="C4" s="85"/>
      <c r="D4" s="127"/>
      <c r="E4" s="127"/>
      <c r="F4" s="127"/>
      <c r="G4" s="127"/>
      <c r="H4" s="127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6"/>
      <c r="Y4" s="92"/>
    </row>
    <row r="5" spans="1:25" ht="24" customHeight="1">
      <c r="A5" s="91"/>
      <c r="B5" s="84"/>
      <c r="C5" s="85"/>
      <c r="D5" s="127"/>
      <c r="E5" s="127"/>
      <c r="F5" s="127"/>
      <c r="G5" s="127"/>
      <c r="H5" s="127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6"/>
      <c r="Y5" s="92"/>
    </row>
    <row r="6" spans="1:25" ht="24" customHeight="1">
      <c r="A6" s="91"/>
      <c r="B6" s="84"/>
      <c r="C6" s="168" t="s">
        <v>107</v>
      </c>
      <c r="D6" s="85"/>
      <c r="E6" s="170" t="str">
        <f>'Input Sheet'!C5</f>
        <v>Milk Pak Milk 250ml</v>
      </c>
      <c r="F6" s="128"/>
      <c r="G6" s="129"/>
      <c r="H6" s="129"/>
      <c r="I6" s="130"/>
      <c r="J6" s="130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6"/>
      <c r="Y6" s="92"/>
    </row>
    <row r="7" spans="1:25" ht="26.25" customHeight="1">
      <c r="A7" s="91"/>
      <c r="B7" s="84"/>
      <c r="C7" s="168" t="s">
        <v>108</v>
      </c>
      <c r="D7" s="85"/>
      <c r="E7" s="171" t="str">
        <f>'Input Sheet'!C14</f>
        <v>Monthly</v>
      </c>
      <c r="F7" s="88"/>
      <c r="G7" s="131"/>
      <c r="H7" s="131"/>
      <c r="I7" s="131"/>
      <c r="J7" s="130"/>
      <c r="K7" s="85"/>
      <c r="L7" s="85"/>
      <c r="M7" s="85"/>
      <c r="N7" s="85"/>
      <c r="O7" s="85"/>
      <c r="P7" s="85"/>
      <c r="Q7" s="85"/>
      <c r="R7" s="122"/>
      <c r="S7" s="85"/>
      <c r="T7" s="85"/>
      <c r="U7" s="85"/>
      <c r="V7" s="85"/>
      <c r="W7" s="85"/>
      <c r="X7" s="86"/>
      <c r="Y7" s="92"/>
    </row>
    <row r="8" spans="1:25" ht="30.75" customHeight="1">
      <c r="A8" s="91"/>
      <c r="B8" s="84"/>
      <c r="C8" s="168" t="s">
        <v>112</v>
      </c>
      <c r="D8" s="85"/>
      <c r="E8" s="171" t="str">
        <f>'Calculation Sheet'!E5</f>
        <v>Winter Method</v>
      </c>
      <c r="F8" s="89"/>
      <c r="G8" s="131"/>
      <c r="H8" s="131"/>
      <c r="I8" s="131"/>
      <c r="J8" s="130"/>
      <c r="K8" s="85"/>
      <c r="L8" s="85"/>
      <c r="M8" s="85"/>
      <c r="N8" s="85"/>
      <c r="O8" s="85"/>
      <c r="P8" s="85"/>
      <c r="Q8" s="85"/>
      <c r="R8" s="122"/>
      <c r="S8" s="85"/>
      <c r="T8" s="85"/>
      <c r="U8" s="85"/>
      <c r="V8" s="85"/>
      <c r="W8" s="85"/>
      <c r="X8" s="86"/>
      <c r="Y8" s="92"/>
    </row>
    <row r="9" spans="1:25" ht="21.75" customHeight="1">
      <c r="A9" s="91"/>
      <c r="B9" s="84"/>
      <c r="C9" s="169"/>
      <c r="D9" s="85"/>
      <c r="E9" s="88"/>
      <c r="F9" s="88"/>
      <c r="G9" s="88"/>
      <c r="H9" s="122"/>
      <c r="I9" s="122"/>
      <c r="J9" s="122"/>
      <c r="K9" s="122"/>
      <c r="L9" s="85"/>
      <c r="M9" s="85"/>
      <c r="N9" s="85"/>
      <c r="O9" s="85"/>
      <c r="P9" s="85"/>
      <c r="Q9" s="85"/>
      <c r="R9" s="122"/>
      <c r="S9" s="85"/>
      <c r="T9" s="85"/>
      <c r="U9" s="85"/>
      <c r="V9" s="85"/>
      <c r="W9" s="85"/>
      <c r="X9" s="86"/>
      <c r="Y9" s="92"/>
    </row>
    <row r="10" spans="1:25">
      <c r="B10" s="84"/>
      <c r="C10" s="85"/>
      <c r="D10" s="85"/>
      <c r="E10" s="88"/>
      <c r="F10" s="88"/>
      <c r="G10" s="88"/>
      <c r="H10" s="122"/>
      <c r="I10" s="122"/>
      <c r="J10" s="122"/>
      <c r="K10" s="122"/>
      <c r="L10" s="85"/>
      <c r="M10" s="85"/>
      <c r="N10" s="85"/>
      <c r="O10" s="85"/>
      <c r="P10" s="85"/>
      <c r="Q10" s="85"/>
      <c r="R10" s="122"/>
      <c r="S10" s="85"/>
      <c r="T10" s="85"/>
      <c r="U10" s="85"/>
      <c r="V10" s="85"/>
      <c r="W10" s="85"/>
      <c r="X10" s="86"/>
    </row>
    <row r="11" spans="1:25">
      <c r="A11" s="132"/>
      <c r="B11" s="160"/>
      <c r="C11" s="161"/>
      <c r="D11" s="161"/>
      <c r="E11" s="162"/>
      <c r="F11" s="162"/>
      <c r="G11" s="162"/>
      <c r="H11" s="163"/>
      <c r="I11" s="163"/>
      <c r="J11" s="163"/>
      <c r="K11" s="163"/>
      <c r="L11" s="161"/>
      <c r="M11" s="161"/>
      <c r="N11" s="161"/>
      <c r="O11" s="161"/>
      <c r="P11" s="161"/>
      <c r="Q11" s="161"/>
      <c r="R11" s="163"/>
      <c r="S11" s="161"/>
      <c r="T11" s="161"/>
      <c r="U11" s="161"/>
      <c r="V11" s="161"/>
      <c r="W11" s="161"/>
      <c r="X11" s="164"/>
      <c r="Y11" s="92"/>
    </row>
    <row r="12" spans="1:25" hidden="1">
      <c r="A12" s="132"/>
      <c r="Y12" s="9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41"/>
  <sheetViews>
    <sheetView topLeftCell="A21" zoomScale="131" zoomScaleNormal="91" workbookViewId="0">
      <selection activeCell="D42" sqref="D42"/>
    </sheetView>
  </sheetViews>
  <sheetFormatPr defaultColWidth="0" defaultRowHeight="15"/>
  <cols>
    <col min="1" max="1" width="9.140625" customWidth="1"/>
    <col min="2" max="2" width="18.42578125" customWidth="1"/>
    <col min="3" max="3" width="14" customWidth="1"/>
    <col min="4" max="4" width="13.5703125" customWidth="1"/>
    <col min="5" max="5" width="2.7109375" customWidth="1"/>
    <col min="6" max="6" width="14" customWidth="1"/>
    <col min="7" max="7" width="12.28515625" customWidth="1"/>
    <col min="8" max="8" width="18" customWidth="1"/>
    <col min="9" max="9" width="9.140625" customWidth="1"/>
  </cols>
  <sheetData>
    <row r="1" spans="1:9" ht="36.75" customHeight="1">
      <c r="A1" s="210"/>
      <c r="B1" s="210"/>
      <c r="C1" s="210"/>
      <c r="D1" s="210"/>
      <c r="E1" s="210"/>
      <c r="F1" s="210"/>
      <c r="G1" s="210"/>
      <c r="H1" s="210"/>
      <c r="I1" s="210"/>
    </row>
    <row r="2" spans="1:9" ht="9" customHeight="1">
      <c r="A2" s="123"/>
      <c r="B2" s="123"/>
      <c r="C2" s="123"/>
      <c r="D2" s="123"/>
      <c r="E2" s="123"/>
      <c r="F2" s="123"/>
      <c r="G2" s="123"/>
      <c r="H2" s="123"/>
      <c r="I2" s="175"/>
    </row>
    <row r="3" spans="1:9" ht="25.5" customHeight="1">
      <c r="A3" s="123"/>
      <c r="B3" s="123"/>
      <c r="C3" s="214" t="s">
        <v>125</v>
      </c>
      <c r="D3" s="214"/>
      <c r="E3" s="214"/>
      <c r="F3" s="214"/>
      <c r="G3" s="123"/>
      <c r="H3" s="123"/>
      <c r="I3" s="175"/>
    </row>
    <row r="4" spans="1:9" ht="9" customHeight="1">
      <c r="A4" s="123"/>
      <c r="B4" s="123"/>
      <c r="C4" s="123"/>
      <c r="D4" s="123"/>
      <c r="E4" s="123"/>
      <c r="F4" s="123"/>
      <c r="G4" s="123"/>
      <c r="H4" s="123"/>
      <c r="I4" s="175"/>
    </row>
    <row r="5" spans="1:9">
      <c r="A5" s="123"/>
      <c r="B5" s="124" t="s">
        <v>8</v>
      </c>
      <c r="C5" s="211" t="s">
        <v>124</v>
      </c>
      <c r="D5" s="212"/>
      <c r="E5" s="212"/>
      <c r="F5" s="213"/>
      <c r="G5" s="125" t="s">
        <v>126</v>
      </c>
      <c r="H5" s="123"/>
      <c r="I5" s="123"/>
    </row>
    <row r="6" spans="1:9">
      <c r="A6" s="123"/>
      <c r="B6" s="124" t="s">
        <v>115</v>
      </c>
      <c r="C6" s="179">
        <v>0.55200000000000005</v>
      </c>
      <c r="D6" s="125" t="s">
        <v>113</v>
      </c>
      <c r="E6" s="123"/>
      <c r="F6" s="123"/>
      <c r="G6" s="123"/>
      <c r="H6" s="123"/>
      <c r="I6" s="123"/>
    </row>
    <row r="7" spans="1:9">
      <c r="A7" s="123"/>
      <c r="B7" s="124" t="s">
        <v>116</v>
      </c>
      <c r="C7" s="177">
        <v>0.43</v>
      </c>
      <c r="D7" s="125" t="s">
        <v>105</v>
      </c>
      <c r="E7" s="123"/>
      <c r="F7" s="123"/>
      <c r="G7" s="123"/>
      <c r="H7" s="123"/>
      <c r="I7" s="123"/>
    </row>
    <row r="8" spans="1:9">
      <c r="A8" s="123"/>
      <c r="B8" s="124" t="s">
        <v>117</v>
      </c>
      <c r="C8" s="177">
        <v>0</v>
      </c>
      <c r="D8" s="125" t="s">
        <v>106</v>
      </c>
      <c r="E8" s="123"/>
      <c r="F8" s="123"/>
      <c r="G8" s="123"/>
      <c r="H8" s="123"/>
      <c r="I8" s="123"/>
    </row>
    <row r="9" spans="1:9">
      <c r="A9" s="123"/>
      <c r="B9" s="124" t="s">
        <v>98</v>
      </c>
      <c r="C9" s="176">
        <v>5</v>
      </c>
      <c r="D9" s="125" t="s">
        <v>101</v>
      </c>
      <c r="E9" s="123"/>
      <c r="F9" s="123"/>
      <c r="G9" s="123"/>
      <c r="H9" s="123"/>
      <c r="I9" s="123"/>
    </row>
    <row r="10" spans="1:9">
      <c r="A10" s="123"/>
      <c r="B10" s="124" t="s">
        <v>118</v>
      </c>
      <c r="C10" s="176">
        <v>30000</v>
      </c>
      <c r="D10" s="125" t="s">
        <v>102</v>
      </c>
      <c r="E10" s="123"/>
      <c r="F10" s="123"/>
      <c r="G10" s="123"/>
      <c r="H10" s="123"/>
      <c r="I10" s="123"/>
    </row>
    <row r="11" spans="1:9">
      <c r="A11" s="123"/>
      <c r="B11" s="124" t="s">
        <v>119</v>
      </c>
      <c r="C11" s="176">
        <v>20000</v>
      </c>
      <c r="D11" s="125" t="s">
        <v>102</v>
      </c>
      <c r="E11" s="123"/>
      <c r="F11" s="123"/>
      <c r="G11" s="123"/>
      <c r="H11" s="123"/>
      <c r="I11" s="123"/>
    </row>
    <row r="12" spans="1:9">
      <c r="A12" s="123"/>
      <c r="B12" s="124" t="s">
        <v>120</v>
      </c>
      <c r="C12" s="178">
        <v>43499</v>
      </c>
      <c r="D12" s="125" t="s">
        <v>103</v>
      </c>
      <c r="E12" s="123"/>
      <c r="F12" s="123"/>
      <c r="G12" s="123"/>
      <c r="H12" s="123"/>
      <c r="I12" s="123"/>
    </row>
    <row r="13" spans="1:9">
      <c r="A13" s="123"/>
      <c r="B13" s="124" t="s">
        <v>95</v>
      </c>
      <c r="C13" s="176">
        <v>10000</v>
      </c>
      <c r="D13" s="125" t="s">
        <v>104</v>
      </c>
      <c r="E13" s="123"/>
      <c r="F13" s="123"/>
      <c r="G13" s="123"/>
      <c r="H13" s="123"/>
      <c r="I13" s="123"/>
    </row>
    <row r="14" spans="1:9">
      <c r="A14" s="123"/>
      <c r="B14" s="124" t="s">
        <v>111</v>
      </c>
      <c r="C14" s="176" t="s">
        <v>72</v>
      </c>
      <c r="D14" s="125"/>
      <c r="E14" s="123"/>
      <c r="F14" s="123"/>
      <c r="G14" s="123"/>
      <c r="H14" s="123"/>
      <c r="I14" s="123"/>
    </row>
    <row r="15" spans="1:9">
      <c r="A15" s="123"/>
      <c r="B15" s="126"/>
      <c r="C15" s="123"/>
      <c r="D15" s="123"/>
      <c r="E15" s="123"/>
      <c r="F15" s="123"/>
      <c r="G15" s="123"/>
      <c r="H15" s="123"/>
      <c r="I15" s="123"/>
    </row>
    <row r="16" spans="1:9" ht="24">
      <c r="A16" s="123"/>
      <c r="B16" s="126"/>
      <c r="C16" s="180" t="s">
        <v>114</v>
      </c>
      <c r="D16" s="180" t="s">
        <v>10</v>
      </c>
      <c r="E16" s="181"/>
      <c r="F16" s="180" t="s">
        <v>45</v>
      </c>
      <c r="G16" s="180" t="s">
        <v>43</v>
      </c>
      <c r="H16" s="123"/>
      <c r="I16" s="123"/>
    </row>
    <row r="17" spans="1:9">
      <c r="A17" s="123"/>
      <c r="B17" s="124" t="s">
        <v>9</v>
      </c>
      <c r="C17" s="173">
        <v>42736</v>
      </c>
      <c r="D17" s="174">
        <v>168959</v>
      </c>
      <c r="E17" s="123"/>
      <c r="F17" s="173" t="s">
        <v>50</v>
      </c>
      <c r="G17" s="172">
        <f>SUM($D$17:$D$19)</f>
        <v>504915</v>
      </c>
      <c r="H17" s="123"/>
      <c r="I17" s="123"/>
    </row>
    <row r="18" spans="1:9">
      <c r="A18" s="123"/>
      <c r="B18" s="123"/>
      <c r="C18" s="173">
        <v>42767</v>
      </c>
      <c r="D18" s="174">
        <v>156632</v>
      </c>
      <c r="E18" s="123"/>
      <c r="F18" s="173" t="s">
        <v>51</v>
      </c>
      <c r="G18" s="172">
        <f>SUM($D$20:$D$22)</f>
        <v>553764</v>
      </c>
      <c r="H18" s="123"/>
      <c r="I18" s="123"/>
    </row>
    <row r="19" spans="1:9">
      <c r="A19" s="123"/>
      <c r="B19" s="123"/>
      <c r="C19" s="173">
        <v>42795</v>
      </c>
      <c r="D19" s="174">
        <v>179324</v>
      </c>
      <c r="E19" s="123"/>
      <c r="F19" s="173" t="s">
        <v>52</v>
      </c>
      <c r="G19" s="172">
        <f>SUM($D$23:$D$25)</f>
        <v>535964</v>
      </c>
      <c r="H19" s="123"/>
      <c r="I19" s="123"/>
    </row>
    <row r="20" spans="1:9">
      <c r="A20" s="123"/>
      <c r="B20" s="123"/>
      <c r="C20" s="173">
        <v>42826</v>
      </c>
      <c r="D20" s="174">
        <v>176783</v>
      </c>
      <c r="E20" s="123"/>
      <c r="F20" s="173" t="s">
        <v>53</v>
      </c>
      <c r="G20" s="172">
        <f>SUM($D$26:$D$28)</f>
        <v>517041</v>
      </c>
      <c r="H20" s="123"/>
      <c r="I20" s="123"/>
    </row>
    <row r="21" spans="1:9">
      <c r="A21" s="123"/>
      <c r="B21" s="123"/>
      <c r="C21" s="173">
        <v>42856</v>
      </c>
      <c r="D21" s="174">
        <v>227729</v>
      </c>
      <c r="E21" s="123"/>
      <c r="F21" s="173" t="s">
        <v>46</v>
      </c>
      <c r="G21" s="172">
        <f>SUM($D$29:$D$31)</f>
        <v>496259.5</v>
      </c>
      <c r="H21" s="123"/>
      <c r="I21" s="123"/>
    </row>
    <row r="22" spans="1:9">
      <c r="A22" s="123"/>
      <c r="B22" s="123"/>
      <c r="C22" s="173">
        <v>42887</v>
      </c>
      <c r="D22" s="174">
        <v>149252</v>
      </c>
      <c r="E22" s="123"/>
      <c r="F22" s="173" t="s">
        <v>47</v>
      </c>
      <c r="G22" s="172">
        <f>SUM($D$32:$D$34)</f>
        <v>496136</v>
      </c>
      <c r="H22" s="123"/>
      <c r="I22" s="123"/>
    </row>
    <row r="23" spans="1:9">
      <c r="A23" s="123"/>
      <c r="B23" s="123"/>
      <c r="C23" s="173">
        <v>42917</v>
      </c>
      <c r="D23" s="174">
        <v>190401</v>
      </c>
      <c r="E23" s="123"/>
      <c r="F23" s="173" t="s">
        <v>48</v>
      </c>
      <c r="G23" s="172">
        <f>SUM($D$35:$D$37)</f>
        <v>471415</v>
      </c>
      <c r="H23" s="123"/>
      <c r="I23" s="123"/>
    </row>
    <row r="24" spans="1:9">
      <c r="A24" s="123"/>
      <c r="B24" s="123"/>
      <c r="C24" s="173">
        <v>42948</v>
      </c>
      <c r="D24" s="174">
        <v>199905</v>
      </c>
      <c r="E24" s="123"/>
      <c r="F24" s="173" t="s">
        <v>49</v>
      </c>
      <c r="G24" s="172">
        <f>SUM($D$38:$D$40)</f>
        <v>482435</v>
      </c>
      <c r="H24" s="123"/>
      <c r="I24" s="123"/>
    </row>
    <row r="25" spans="1:9">
      <c r="A25" s="123"/>
      <c r="B25" s="123"/>
      <c r="C25" s="173">
        <v>42979</v>
      </c>
      <c r="D25" s="174">
        <v>145658</v>
      </c>
      <c r="E25" s="123"/>
      <c r="F25" s="123"/>
      <c r="G25" s="123"/>
      <c r="H25" s="123"/>
      <c r="I25" s="123"/>
    </row>
    <row r="26" spans="1:9">
      <c r="A26" s="123"/>
      <c r="B26" s="123"/>
      <c r="C26" s="173">
        <v>43009</v>
      </c>
      <c r="D26" s="174">
        <v>176171</v>
      </c>
      <c r="E26" s="123"/>
      <c r="F26" s="123"/>
      <c r="G26" s="123"/>
      <c r="H26" s="123"/>
      <c r="I26" s="123"/>
    </row>
    <row r="27" spans="1:9">
      <c r="A27" s="123"/>
      <c r="B27" s="123"/>
      <c r="C27" s="173">
        <v>43040</v>
      </c>
      <c r="D27" s="174">
        <v>169218.5</v>
      </c>
      <c r="E27" s="123"/>
      <c r="F27" s="123"/>
      <c r="G27" s="123"/>
      <c r="H27" s="123"/>
      <c r="I27" s="123"/>
    </row>
    <row r="28" spans="1:9">
      <c r="A28" s="123"/>
      <c r="B28" s="123"/>
      <c r="C28" s="173">
        <v>43070</v>
      </c>
      <c r="D28" s="174">
        <v>171651.5</v>
      </c>
      <c r="E28" s="123"/>
      <c r="F28" s="123"/>
      <c r="G28" s="123"/>
      <c r="H28" s="123"/>
      <c r="I28" s="123"/>
    </row>
    <row r="29" spans="1:9">
      <c r="A29" s="123"/>
      <c r="B29" s="123"/>
      <c r="C29" s="173">
        <v>43101</v>
      </c>
      <c r="D29" s="174">
        <v>170123</v>
      </c>
      <c r="E29" s="123"/>
      <c r="F29" s="123"/>
      <c r="G29" s="123"/>
      <c r="H29" s="123"/>
      <c r="I29" s="123"/>
    </row>
    <row r="30" spans="1:9">
      <c r="A30" s="123"/>
      <c r="B30" s="123"/>
      <c r="C30" s="173">
        <v>43132</v>
      </c>
      <c r="D30" s="174">
        <v>153671</v>
      </c>
      <c r="E30" s="123"/>
      <c r="F30" s="123"/>
      <c r="G30" s="123"/>
      <c r="H30" s="123"/>
      <c r="I30" s="123"/>
    </row>
    <row r="31" spans="1:9">
      <c r="A31" s="123"/>
      <c r="B31" s="123"/>
      <c r="C31" s="173">
        <v>43160</v>
      </c>
      <c r="D31" s="174">
        <v>172465.5</v>
      </c>
      <c r="E31" s="123"/>
      <c r="F31" s="123"/>
      <c r="G31" s="123"/>
      <c r="H31" s="123"/>
      <c r="I31" s="123"/>
    </row>
    <row r="32" spans="1:9">
      <c r="A32" s="123"/>
      <c r="B32" s="123"/>
      <c r="C32" s="173">
        <v>43191</v>
      </c>
      <c r="D32" s="174">
        <v>162614.5</v>
      </c>
      <c r="E32" s="123"/>
      <c r="F32" s="123"/>
      <c r="G32" s="123"/>
      <c r="H32" s="123"/>
      <c r="I32" s="123"/>
    </row>
    <row r="33" spans="1:9">
      <c r="A33" s="123"/>
      <c r="B33" s="123"/>
      <c r="C33" s="173">
        <v>43221</v>
      </c>
      <c r="D33" s="174">
        <v>192675.5</v>
      </c>
      <c r="E33" s="123"/>
      <c r="F33" s="123"/>
      <c r="G33" s="123"/>
      <c r="H33" s="123"/>
      <c r="I33" s="123"/>
    </row>
    <row r="34" spans="1:9">
      <c r="A34" s="123"/>
      <c r="B34" s="123"/>
      <c r="C34" s="173">
        <v>43252</v>
      </c>
      <c r="D34" s="174">
        <v>140846</v>
      </c>
      <c r="E34" s="123"/>
      <c r="F34" s="123"/>
      <c r="G34" s="123"/>
      <c r="H34" s="123"/>
      <c r="I34" s="123"/>
    </row>
    <row r="35" spans="1:9">
      <c r="A35" s="123"/>
      <c r="B35" s="123"/>
      <c r="C35" s="173">
        <v>43282</v>
      </c>
      <c r="D35" s="174">
        <v>161309</v>
      </c>
      <c r="E35" s="123"/>
      <c r="F35" s="123"/>
      <c r="G35" s="123"/>
      <c r="H35" s="123"/>
      <c r="I35" s="123"/>
    </row>
    <row r="36" spans="1:9">
      <c r="A36" s="123"/>
      <c r="B36" s="123"/>
      <c r="C36" s="173">
        <v>43313</v>
      </c>
      <c r="D36" s="174">
        <v>159995</v>
      </c>
      <c r="E36" s="123"/>
      <c r="F36" s="123"/>
      <c r="G36" s="123"/>
      <c r="H36" s="123"/>
      <c r="I36" s="123"/>
    </row>
    <row r="37" spans="1:9">
      <c r="A37" s="123"/>
      <c r="B37" s="123"/>
      <c r="C37" s="173">
        <v>43344</v>
      </c>
      <c r="D37" s="174">
        <v>150111</v>
      </c>
      <c r="E37" s="123"/>
      <c r="F37" s="123"/>
      <c r="G37" s="123"/>
      <c r="H37" s="123"/>
      <c r="I37" s="123"/>
    </row>
    <row r="38" spans="1:9">
      <c r="A38" s="123"/>
      <c r="B38" s="123"/>
      <c r="C38" s="173">
        <v>43374</v>
      </c>
      <c r="D38" s="174">
        <v>166387</v>
      </c>
      <c r="E38" s="123"/>
      <c r="F38" s="123"/>
      <c r="G38" s="123"/>
      <c r="H38" s="123"/>
      <c r="I38" s="123"/>
    </row>
    <row r="39" spans="1:9">
      <c r="A39" s="123"/>
      <c r="B39" s="123"/>
      <c r="C39" s="173">
        <v>43405</v>
      </c>
      <c r="D39" s="174">
        <v>163152</v>
      </c>
      <c r="E39" s="123"/>
      <c r="F39" s="123"/>
      <c r="G39" s="123"/>
      <c r="H39" s="123"/>
      <c r="I39" s="123"/>
    </row>
    <row r="40" spans="1:9">
      <c r="A40" s="123"/>
      <c r="B40" s="123"/>
      <c r="C40" s="173">
        <v>43435</v>
      </c>
      <c r="D40" s="174">
        <v>152896</v>
      </c>
      <c r="E40" s="123"/>
      <c r="F40" s="123"/>
      <c r="G40" s="123"/>
      <c r="H40" s="123"/>
      <c r="I40" s="123"/>
    </row>
    <row r="41" spans="1:9">
      <c r="D41" s="209">
        <f>SUM(D17:D28)</f>
        <v>2111684</v>
      </c>
    </row>
  </sheetData>
  <mergeCells count="3">
    <mergeCell ref="A1:I1"/>
    <mergeCell ref="C5:F5"/>
    <mergeCell ref="C3:F3"/>
  </mergeCells>
  <dataValidations disablePrompts="1" count="1">
    <dataValidation type="list" allowBlank="1" showInputMessage="1" showErrorMessage="1" sqref="C14">
      <formula1>"Monthly, Quarterly"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H17"/>
  <sheetViews>
    <sheetView showGridLines="0" zoomScale="90" zoomScaleNormal="90" workbookViewId="0">
      <selection sqref="A1:AH1"/>
    </sheetView>
  </sheetViews>
  <sheetFormatPr defaultColWidth="8.85546875" defaultRowHeight="15"/>
  <cols>
    <col min="1" max="1" width="16.7109375" bestFit="1" customWidth="1"/>
    <col min="2" max="2" width="0.7109375" customWidth="1"/>
    <col min="3" max="3" width="9.140625" customWidth="1"/>
    <col min="4" max="5" width="7.28515625" customWidth="1"/>
    <col min="6" max="6" width="8" customWidth="1"/>
    <col min="7" max="13" width="7.28515625" bestFit="1" customWidth="1"/>
    <col min="14" max="16" width="12.5703125" customWidth="1"/>
    <col min="17" max="17" width="10" customWidth="1"/>
    <col min="18" max="30" width="7.28515625" bestFit="1" customWidth="1"/>
    <col min="31" max="33" width="0" hidden="1" customWidth="1"/>
    <col min="34" max="34" width="9.140625" customWidth="1"/>
  </cols>
  <sheetData>
    <row r="1" spans="1:34" ht="26.25">
      <c r="A1" s="210"/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</row>
    <row r="2" spans="1:34">
      <c r="F2" s="221" t="s">
        <v>125</v>
      </c>
      <c r="G2" s="221"/>
      <c r="H2" s="221"/>
      <c r="I2" s="221"/>
    </row>
    <row r="3" spans="1:34" ht="47.25" customHeight="1" thickBot="1">
      <c r="A3" s="197" t="s">
        <v>90</v>
      </c>
      <c r="B3" s="197"/>
      <c r="C3" s="198">
        <f ca="1">INDIRECT(CONCATENATE(SUBSTITUTE(F3," ","_"),"_FV"))</f>
        <v>152896</v>
      </c>
      <c r="D3" s="199" t="s">
        <v>96</v>
      </c>
      <c r="E3" s="200"/>
      <c r="F3" s="220" t="s">
        <v>73</v>
      </c>
      <c r="G3" s="220"/>
      <c r="H3" s="220"/>
      <c r="I3" s="201" t="s">
        <v>121</v>
      </c>
      <c r="K3" s="192" t="s">
        <v>128</v>
      </c>
      <c r="L3" s="193" t="s">
        <v>93</v>
      </c>
      <c r="M3" s="193" t="s">
        <v>94</v>
      </c>
      <c r="N3" s="194" t="s">
        <v>129</v>
      </c>
      <c r="O3" s="194" t="s">
        <v>130</v>
      </c>
      <c r="P3" s="195" t="s">
        <v>131</v>
      </c>
      <c r="Q3" s="196" t="s">
        <v>132</v>
      </c>
    </row>
    <row r="4" spans="1:34" ht="15.75" thickTop="1">
      <c r="A4" s="137" t="s">
        <v>98</v>
      </c>
      <c r="B4" s="136"/>
      <c r="C4" s="134">
        <f>'Input Sheet'!C9</f>
        <v>5</v>
      </c>
      <c r="D4" s="135" t="s">
        <v>88</v>
      </c>
      <c r="K4" s="138" t="s">
        <v>83</v>
      </c>
      <c r="L4" s="139">
        <v>1</v>
      </c>
      <c r="M4" s="139">
        <v>7</v>
      </c>
      <c r="N4" s="140">
        <v>0.4</v>
      </c>
      <c r="O4" s="184">
        <f ca="1">$C$3*N4</f>
        <v>61158.400000000001</v>
      </c>
      <c r="P4" s="185">
        <f ca="1">O4/(M4-L4+1)</f>
        <v>8736.9142857142851</v>
      </c>
      <c r="Q4" s="186">
        <f ca="1">SUMIF($C$11:$AG$11,$K4,$C$14:$AG$14)</f>
        <v>50000</v>
      </c>
    </row>
    <row r="5" spans="1:34">
      <c r="A5" s="109" t="s">
        <v>89</v>
      </c>
      <c r="B5" s="136"/>
      <c r="C5" s="134">
        <f ca="1">(C3/30)*3</f>
        <v>15289.600000000002</v>
      </c>
      <c r="D5" s="135" t="s">
        <v>96</v>
      </c>
      <c r="E5" s="125" t="s">
        <v>127</v>
      </c>
      <c r="K5" s="138" t="s">
        <v>84</v>
      </c>
      <c r="L5" s="139">
        <v>8</v>
      </c>
      <c r="M5" s="139">
        <v>14</v>
      </c>
      <c r="N5" s="140">
        <v>0.15</v>
      </c>
      <c r="O5" s="184">
        <f ca="1">$C$3*N5</f>
        <v>22934.399999999998</v>
      </c>
      <c r="P5" s="185">
        <f ca="1">O5/(M5-L5+1)</f>
        <v>3276.3428571428567</v>
      </c>
      <c r="Q5" s="187">
        <f ca="1">SUMIF($C$11:$AG$11,$K5,$C$14:$AG$14)</f>
        <v>20000</v>
      </c>
    </row>
    <row r="6" spans="1:34">
      <c r="A6" s="109" t="s">
        <v>99</v>
      </c>
      <c r="B6" s="136"/>
      <c r="C6" s="134">
        <f>'Input Sheet'!C10</f>
        <v>30000</v>
      </c>
      <c r="D6" s="135" t="s">
        <v>96</v>
      </c>
      <c r="K6" s="138" t="s">
        <v>86</v>
      </c>
      <c r="L6" s="139">
        <v>15</v>
      </c>
      <c r="M6" s="139">
        <v>21</v>
      </c>
      <c r="N6" s="140">
        <v>0.1</v>
      </c>
      <c r="O6" s="184">
        <f ca="1">$C$3*N6</f>
        <v>15289.6</v>
      </c>
      <c r="P6" s="185">
        <f ca="1">O6/(M6-L6+1)</f>
        <v>2184.2285714285713</v>
      </c>
      <c r="Q6" s="187">
        <f ca="1">SUMIF($C$11:$AG$11,$K6,$C$14:$AG$14)</f>
        <v>40000</v>
      </c>
    </row>
    <row r="7" spans="1:34" ht="15.75" thickBot="1">
      <c r="A7" s="109" t="s">
        <v>92</v>
      </c>
      <c r="B7" s="136"/>
      <c r="C7" s="134">
        <f>'Input Sheet'!C11</f>
        <v>20000</v>
      </c>
      <c r="D7" s="135" t="s">
        <v>96</v>
      </c>
      <c r="K7" s="138" t="s">
        <v>87</v>
      </c>
      <c r="L7" s="139">
        <v>22</v>
      </c>
      <c r="M7" s="139">
        <v>28</v>
      </c>
      <c r="N7" s="140">
        <v>0.35</v>
      </c>
      <c r="O7" s="184">
        <f ca="1">$C$3*N7</f>
        <v>53513.599999999999</v>
      </c>
      <c r="P7" s="185">
        <f ca="1">O7/(M7-L7+1)</f>
        <v>7644.8</v>
      </c>
      <c r="Q7" s="188">
        <f ca="1">SUMIF($C$11:$AG$11,$K7,$C$14:$AG$14)</f>
        <v>30000</v>
      </c>
    </row>
    <row r="8" spans="1:34" ht="16.5" thickTop="1" thickBot="1">
      <c r="A8" s="109" t="s">
        <v>95</v>
      </c>
      <c r="B8" s="136"/>
      <c r="C8" s="134">
        <f>'Input Sheet'!C13</f>
        <v>10000</v>
      </c>
      <c r="D8" s="135" t="s">
        <v>96</v>
      </c>
      <c r="H8" s="111"/>
      <c r="I8" s="7"/>
      <c r="K8" s="112"/>
      <c r="L8" s="112"/>
      <c r="M8" s="112"/>
      <c r="N8" s="113">
        <f>SUM(N4:N7)</f>
        <v>1</v>
      </c>
      <c r="O8" s="189">
        <f ca="1">SUM(O4:O7)</f>
        <v>152896</v>
      </c>
      <c r="P8" s="190"/>
      <c r="Q8" s="191">
        <f ca="1">SUM(Q4:Q7)</f>
        <v>140000</v>
      </c>
    </row>
    <row r="9" spans="1:34" ht="15.75" thickTop="1">
      <c r="A9" s="109" t="s">
        <v>97</v>
      </c>
      <c r="B9" s="136"/>
      <c r="C9" s="215">
        <f>'Input Sheet'!C12</f>
        <v>43499</v>
      </c>
      <c r="D9" s="215"/>
      <c r="H9" s="111"/>
      <c r="I9" s="7"/>
    </row>
    <row r="10" spans="1:34">
      <c r="B10" s="110"/>
    </row>
    <row r="11" spans="1:34" s="52" customFormat="1">
      <c r="A11" s="218" t="s">
        <v>110</v>
      </c>
      <c r="C11" s="52" t="str">
        <f t="shared" ref="C11:AD11" si="0">IF(DAY(C12)&lt;=$M$4,$K$4,IF(DAY(C12)&lt;=$M$5,$K$5,IF(DAY(C12)&lt;=$M$6,$K$6,$K$7)))</f>
        <v>W1</v>
      </c>
      <c r="D11" s="52" t="str">
        <f t="shared" si="0"/>
        <v>W1</v>
      </c>
      <c r="E11" s="52" t="str">
        <f t="shared" si="0"/>
        <v>W1</v>
      </c>
      <c r="F11" s="52" t="str">
        <f t="shared" si="0"/>
        <v>W1</v>
      </c>
      <c r="G11" s="52" t="str">
        <f t="shared" si="0"/>
        <v>W1</v>
      </c>
      <c r="H11" s="52" t="str">
        <f t="shared" si="0"/>
        <v>W1</v>
      </c>
      <c r="I11" s="52" t="str">
        <f t="shared" si="0"/>
        <v>W1</v>
      </c>
      <c r="J11" s="52" t="str">
        <f t="shared" si="0"/>
        <v>W2</v>
      </c>
      <c r="K11" s="52" t="str">
        <f t="shared" si="0"/>
        <v>W2</v>
      </c>
      <c r="L11" s="52" t="str">
        <f t="shared" si="0"/>
        <v>W2</v>
      </c>
      <c r="M11" s="52" t="str">
        <f t="shared" si="0"/>
        <v>W2</v>
      </c>
      <c r="N11" s="52" t="str">
        <f t="shared" si="0"/>
        <v>W2</v>
      </c>
      <c r="O11" s="52" t="str">
        <f t="shared" si="0"/>
        <v>W2</v>
      </c>
      <c r="P11" s="52" t="str">
        <f t="shared" si="0"/>
        <v>W2</v>
      </c>
      <c r="Q11" s="52" t="str">
        <f t="shared" si="0"/>
        <v>W3</v>
      </c>
      <c r="R11" s="52" t="str">
        <f t="shared" si="0"/>
        <v>W3</v>
      </c>
      <c r="S11" s="52" t="str">
        <f t="shared" si="0"/>
        <v>W3</v>
      </c>
      <c r="T11" s="52" t="str">
        <f t="shared" si="0"/>
        <v>W3</v>
      </c>
      <c r="U11" s="52" t="str">
        <f t="shared" si="0"/>
        <v>W3</v>
      </c>
      <c r="V11" s="52" t="str">
        <f t="shared" si="0"/>
        <v>W3</v>
      </c>
      <c r="W11" s="52" t="str">
        <f t="shared" si="0"/>
        <v>W3</v>
      </c>
      <c r="X11" s="52" t="str">
        <f t="shared" si="0"/>
        <v>W4</v>
      </c>
      <c r="Y11" s="52" t="str">
        <f t="shared" si="0"/>
        <v>W4</v>
      </c>
      <c r="Z11" s="52" t="str">
        <f t="shared" si="0"/>
        <v>W4</v>
      </c>
      <c r="AA11" s="52" t="str">
        <f t="shared" si="0"/>
        <v>W4</v>
      </c>
      <c r="AB11" s="52" t="str">
        <f t="shared" si="0"/>
        <v>W4</v>
      </c>
      <c r="AC11" s="52" t="str">
        <f t="shared" si="0"/>
        <v>W4</v>
      </c>
      <c r="AD11" s="118" t="str">
        <f t="shared" si="0"/>
        <v>W4</v>
      </c>
      <c r="AH11" s="216" t="s">
        <v>100</v>
      </c>
    </row>
    <row r="12" spans="1:34" s="52" customFormat="1" ht="15.75" thickBot="1">
      <c r="A12" s="219"/>
      <c r="C12" s="117">
        <v>43497</v>
      </c>
      <c r="D12" s="117">
        <v>43498</v>
      </c>
      <c r="E12" s="117">
        <v>43499</v>
      </c>
      <c r="F12" s="117">
        <v>43500</v>
      </c>
      <c r="G12" s="117">
        <v>43501</v>
      </c>
      <c r="H12" s="117">
        <v>43502</v>
      </c>
      <c r="I12" s="117">
        <v>43503</v>
      </c>
      <c r="J12" s="117">
        <v>43504</v>
      </c>
      <c r="K12" s="117">
        <v>43505</v>
      </c>
      <c r="L12" s="117">
        <v>43506</v>
      </c>
      <c r="M12" s="117">
        <v>43507</v>
      </c>
      <c r="N12" s="117">
        <v>43508</v>
      </c>
      <c r="O12" s="117">
        <v>43509</v>
      </c>
      <c r="P12" s="117">
        <v>43510</v>
      </c>
      <c r="Q12" s="117">
        <v>43511</v>
      </c>
      <c r="R12" s="117">
        <v>43512</v>
      </c>
      <c r="S12" s="117">
        <v>43513</v>
      </c>
      <c r="T12" s="117">
        <v>43514</v>
      </c>
      <c r="U12" s="117">
        <v>43515</v>
      </c>
      <c r="V12" s="117">
        <v>43516</v>
      </c>
      <c r="W12" s="117">
        <v>43517</v>
      </c>
      <c r="X12" s="117">
        <v>43518</v>
      </c>
      <c r="Y12" s="117">
        <v>43519</v>
      </c>
      <c r="Z12" s="117">
        <v>43520</v>
      </c>
      <c r="AA12" s="117">
        <v>43521</v>
      </c>
      <c r="AB12" s="117">
        <v>43522</v>
      </c>
      <c r="AC12" s="117">
        <v>43523</v>
      </c>
      <c r="AD12" s="119">
        <v>43524</v>
      </c>
      <c r="AE12" s="114">
        <v>43525</v>
      </c>
      <c r="AF12" s="114">
        <v>43526</v>
      </c>
      <c r="AG12" s="114">
        <v>43527</v>
      </c>
      <c r="AH12" s="217"/>
    </row>
    <row r="13" spans="1:34">
      <c r="A13" s="133" t="s">
        <v>91</v>
      </c>
      <c r="C13" s="116">
        <f>C6</f>
        <v>30000</v>
      </c>
      <c r="D13" s="116">
        <f t="shared" ref="D13:AD13" ca="1" si="1">C17</f>
        <v>21263.085714285713</v>
      </c>
      <c r="E13" s="116">
        <f t="shared" ca="1" si="1"/>
        <v>12526.171428571428</v>
      </c>
      <c r="F13" s="116">
        <f t="shared" ca="1" si="1"/>
        <v>23789.257142857139</v>
      </c>
      <c r="G13" s="116">
        <f t="shared" ca="1" si="1"/>
        <v>15052.342857142854</v>
      </c>
      <c r="H13" s="116">
        <f t="shared" ca="1" si="1"/>
        <v>6315.4285714285688</v>
      </c>
      <c r="I13" s="116">
        <f t="shared" ca="1" si="1"/>
        <v>7578.5142857142837</v>
      </c>
      <c r="J13" s="116">
        <f t="shared" ca="1" si="1"/>
        <v>8841.6</v>
      </c>
      <c r="K13" s="116">
        <f t="shared" ca="1" si="1"/>
        <v>15565.257142857143</v>
      </c>
      <c r="L13" s="116">
        <f t="shared" ca="1" si="1"/>
        <v>22288.914285714287</v>
      </c>
      <c r="M13" s="116">
        <f t="shared" ca="1" si="1"/>
        <v>19012.571428571431</v>
      </c>
      <c r="N13" s="116">
        <f t="shared" ca="1" si="1"/>
        <v>15736.228571428575</v>
      </c>
      <c r="O13" s="116">
        <f t="shared" ca="1" si="1"/>
        <v>22459.88571428572</v>
      </c>
      <c r="P13" s="116">
        <f t="shared" ca="1" si="1"/>
        <v>19183.542857142864</v>
      </c>
      <c r="Q13" s="116">
        <f t="shared" ca="1" si="1"/>
        <v>15907.200000000008</v>
      </c>
      <c r="R13" s="116">
        <f t="shared" ca="1" si="1"/>
        <v>23722.971428571436</v>
      </c>
      <c r="S13" s="116">
        <f t="shared" ca="1" si="1"/>
        <v>21538.742857142865</v>
      </c>
      <c r="T13" s="116">
        <f t="shared" ca="1" si="1"/>
        <v>19354.514285714293</v>
      </c>
      <c r="U13" s="116">
        <f t="shared" ca="1" si="1"/>
        <v>17170.285714285721</v>
      </c>
      <c r="V13" s="116">
        <f t="shared" ca="1" si="1"/>
        <v>24986.057142857149</v>
      </c>
      <c r="W13" s="116">
        <f t="shared" ca="1" si="1"/>
        <v>22801.828571428578</v>
      </c>
      <c r="X13" s="116">
        <f t="shared" ca="1" si="1"/>
        <v>20617.600000000006</v>
      </c>
      <c r="Y13" s="116">
        <f t="shared" ca="1" si="1"/>
        <v>22972.800000000007</v>
      </c>
      <c r="Z13" s="116">
        <f t="shared" ca="1" si="1"/>
        <v>15328.000000000007</v>
      </c>
      <c r="AA13" s="116">
        <f t="shared" ca="1" si="1"/>
        <v>17683.200000000008</v>
      </c>
      <c r="AB13" s="116">
        <f t="shared" ca="1" si="1"/>
        <v>20038.400000000009</v>
      </c>
      <c r="AC13" s="116">
        <f t="shared" ca="1" si="1"/>
        <v>22393.600000000009</v>
      </c>
      <c r="AD13" s="120">
        <f t="shared" ca="1" si="1"/>
        <v>24748.80000000001</v>
      </c>
      <c r="AH13" s="202"/>
    </row>
    <row r="14" spans="1:34">
      <c r="A14" s="133" t="s">
        <v>80</v>
      </c>
      <c r="C14" s="115">
        <f ca="1">IF(($C$13+SUM($B$14:B14)+$C$7-SUM(OFFSET($C$16,0,0,1,$C$4+DAY(C12))))&lt;$C$5,$C$8,0)</f>
        <v>10000</v>
      </c>
      <c r="D14" s="115">
        <f ca="1">IF(($C$13+SUM($B$14:C14)+$C$7-SUM(OFFSET($C$16,0,0,1,$C$4+DAY(D12))))&lt;$C$5,$C$8,0)</f>
        <v>10000</v>
      </c>
      <c r="E14" s="115">
        <f ca="1">IF(($C$13+SUM($B$14:D14)+$C$7-SUM(OFFSET($C$16,0,0,1,$C$4+DAY(E12))))&lt;$C$5,$C$8,0)</f>
        <v>10000</v>
      </c>
      <c r="F14" s="115">
        <f ca="1">IF(($C$13+SUM($B$14:E14)+$C$7-SUM(OFFSET($C$16,0,0,1,$C$4+DAY(F12))))&lt;$C$5,$C$8,0)</f>
        <v>10000</v>
      </c>
      <c r="G14" s="115">
        <f ca="1">IF(($C$13+SUM($B$14:F14)+$C$7-SUM(OFFSET($C$16,0,0,1,$C$4+DAY(G12))))&lt;$C$5,$C$8,0)</f>
        <v>0</v>
      </c>
      <c r="H14" s="115">
        <f ca="1">IF(($C$13+SUM($B$14:G14)+$C$7-SUM(OFFSET($C$16,0,0,1,$C$4+DAY(H12))))&lt;$C$5,$C$8,0)</f>
        <v>0</v>
      </c>
      <c r="I14" s="115">
        <f ca="1">IF(($C$13+SUM($B$14:H14)+$C$7-SUM(OFFSET($C$16,0,0,1,$C$4+DAY(I12))))&lt;$C$5,$C$8,0)</f>
        <v>10000</v>
      </c>
      <c r="J14" s="115">
        <f ca="1">IF(($C$13+SUM($B$14:I14)+$C$7-SUM(OFFSET($C$16,0,0,1,$C$4+DAY(J12))))&lt;$C$5,$C$8,0)</f>
        <v>0</v>
      </c>
      <c r="K14" s="115">
        <f ca="1">IF(($C$13+SUM($B$14:J14)+$C$7-SUM(OFFSET($C$16,0,0,1,$C$4+DAY(K12))))&lt;$C$5,$C$8,0)</f>
        <v>0</v>
      </c>
      <c r="L14" s="115">
        <f ca="1">IF(($C$13+SUM($B$14:K14)+$C$7-SUM(OFFSET($C$16,0,0,1,$C$4+DAY(L12))))&lt;$C$5,$C$8,0)</f>
        <v>10000</v>
      </c>
      <c r="M14" s="115">
        <f ca="1">IF(($C$13+SUM($B$14:L14)+$C$7-SUM(OFFSET($C$16,0,0,1,$C$4+DAY(M12))))&lt;$C$5,$C$8,0)</f>
        <v>0</v>
      </c>
      <c r="N14" s="115">
        <f ca="1">IF(($C$13+SUM($B$14:M14)+$C$7-SUM(OFFSET($C$16,0,0,1,$C$4+DAY(N12))))&lt;$C$5,$C$8,0)</f>
        <v>0</v>
      </c>
      <c r="O14" s="115">
        <f ca="1">IF(($C$13+SUM($B$14:N14)+$C$7-SUM(OFFSET($C$16,0,0,1,$C$4+DAY(O12))))&lt;$C$5,$C$8,0)</f>
        <v>0</v>
      </c>
      <c r="P14" s="115">
        <f ca="1">IF(($C$13+SUM($B$14:O14)+$C$7-SUM(OFFSET($C$16,0,0,1,$C$4+DAY(P12))))&lt;$C$5,$C$8,0)</f>
        <v>10000</v>
      </c>
      <c r="Q14" s="115">
        <f ca="1">IF(($C$13+SUM($B$14:P14)+$C$7-SUM(OFFSET($C$16,0,0,1,$C$4+DAY(Q12))))&lt;$C$5,$C$8,0)</f>
        <v>0</v>
      </c>
      <c r="R14" s="115">
        <f ca="1">IF(($C$13+SUM($B$14:Q14)+$C$7-SUM(OFFSET($C$16,0,0,1,$C$4+DAY(R12))))&lt;$C$5,$C$8,0)</f>
        <v>0</v>
      </c>
      <c r="S14" s="115">
        <f ca="1">IF(($C$13+SUM($B$14:R14)+$C$7-SUM(OFFSET($C$16,0,0,1,$C$4+DAY(S12))))&lt;$C$5,$C$8,0)</f>
        <v>10000</v>
      </c>
      <c r="T14" s="115">
        <f ca="1">IF(($C$13+SUM($B$14:S14)+$C$7-SUM(OFFSET($C$16,0,0,1,$C$4+DAY(T12))))&lt;$C$5,$C$8,0)</f>
        <v>0</v>
      </c>
      <c r="U14" s="115">
        <f ca="1">IF(($C$13+SUM($B$14:T14)+$C$7-SUM(OFFSET($C$16,0,0,1,$C$4+DAY(U12))))&lt;$C$5,$C$8,0)</f>
        <v>10000</v>
      </c>
      <c r="V14" s="115">
        <f ca="1">IF(($C$13+SUM($B$14:U14)+$C$7-SUM(OFFSET($C$16,0,0,1,$C$4+DAY(V12))))&lt;$C$5,$C$8,0)</f>
        <v>10000</v>
      </c>
      <c r="W14" s="115">
        <f ca="1">IF(($C$13+SUM($B$14:V14)+$C$7-SUM(OFFSET($C$16,0,0,1,$C$4+DAY(W12))))&lt;$C$5,$C$8,0)</f>
        <v>10000</v>
      </c>
      <c r="X14" s="115">
        <f ca="1">IF(($C$13+SUM($B$14:W14)+$C$7-SUM(OFFSET($C$16,0,0,1,$C$4+DAY(X12))))&lt;$C$5,$C$8,0)</f>
        <v>10000</v>
      </c>
      <c r="Y14" s="115">
        <f ca="1">IF(($C$13+SUM($B$14:X14)+$C$7-SUM(OFFSET($C$16,0,0,1,$C$4+DAY(Y12))))&lt;$C$5,$C$8,0)</f>
        <v>0</v>
      </c>
      <c r="Z14" s="115">
        <f ca="1">IF(($C$13+SUM($B$14:Y14)+$C$7-SUM(OFFSET($C$16,0,0,1,$C$4+DAY(Z12))))&lt;$C$5,$C$8,0)</f>
        <v>0</v>
      </c>
      <c r="AA14" s="115">
        <f ca="1">IF(($C$13+SUM($B$14:Z14)+$C$7-SUM(OFFSET($C$16,0,0,1,$C$4+DAY(AA12))))&lt;$C$5,$C$8,0)</f>
        <v>0</v>
      </c>
      <c r="AB14" s="115">
        <f ca="1">IF(($C$13+SUM($B$14:AA14)+$C$7-SUM(OFFSET($C$16,0,0,1,$C$4+DAY(AB12))))&lt;$C$5,$C$8,0)</f>
        <v>0</v>
      </c>
      <c r="AC14" s="115">
        <f ca="1">IF(($C$13+SUM($B$14:AB14)+$C$7-SUM(OFFSET($C$16,0,0,1,$C$4+DAY(AC12))))&lt;$C$5,$C$8,0)</f>
        <v>10000</v>
      </c>
      <c r="AD14" s="121">
        <f ca="1">IF(($C$13+SUM($B$14:AC14)+$C$7-SUM(OFFSET($C$16,0,0,1,$C$4+DAY(AD12))))&lt;$C$5,$C$8,0)</f>
        <v>10000</v>
      </c>
      <c r="AH14" s="203">
        <f ca="1">SUM(C14:AG14)</f>
        <v>140000</v>
      </c>
    </row>
    <row r="15" spans="1:34">
      <c r="A15" s="133" t="s">
        <v>81</v>
      </c>
      <c r="C15" s="115">
        <f t="shared" ref="C15:AD15" ca="1" si="2">IF(C12=$C$9,$C$7,IF(DAY(C12)&lt;=$C$4,0,OFFSET(C14,0,-$C$4,1,1)))</f>
        <v>0</v>
      </c>
      <c r="D15" s="115">
        <f t="shared" ca="1" si="2"/>
        <v>0</v>
      </c>
      <c r="E15" s="115">
        <f t="shared" ca="1" si="2"/>
        <v>20000</v>
      </c>
      <c r="F15" s="115">
        <f t="shared" ca="1" si="2"/>
        <v>0</v>
      </c>
      <c r="G15" s="115">
        <f t="shared" ca="1" si="2"/>
        <v>0</v>
      </c>
      <c r="H15" s="115">
        <f t="shared" ca="1" si="2"/>
        <v>10000</v>
      </c>
      <c r="I15" s="115">
        <f t="shared" ca="1" si="2"/>
        <v>10000</v>
      </c>
      <c r="J15" s="115">
        <f t="shared" ca="1" si="2"/>
        <v>10000</v>
      </c>
      <c r="K15" s="115">
        <f t="shared" ca="1" si="2"/>
        <v>10000</v>
      </c>
      <c r="L15" s="115">
        <f t="shared" ca="1" si="2"/>
        <v>0</v>
      </c>
      <c r="M15" s="115">
        <f t="shared" ca="1" si="2"/>
        <v>0</v>
      </c>
      <c r="N15" s="115">
        <f t="shared" ca="1" si="2"/>
        <v>10000</v>
      </c>
      <c r="O15" s="115">
        <f t="shared" ca="1" si="2"/>
        <v>0</v>
      </c>
      <c r="P15" s="115">
        <f t="shared" ca="1" si="2"/>
        <v>0</v>
      </c>
      <c r="Q15" s="115">
        <f t="shared" ca="1" si="2"/>
        <v>10000</v>
      </c>
      <c r="R15" s="115">
        <f t="shared" ca="1" si="2"/>
        <v>0</v>
      </c>
      <c r="S15" s="115">
        <f t="shared" ca="1" si="2"/>
        <v>0</v>
      </c>
      <c r="T15" s="115">
        <f t="shared" ca="1" si="2"/>
        <v>0</v>
      </c>
      <c r="U15" s="115">
        <f t="shared" ca="1" si="2"/>
        <v>10000</v>
      </c>
      <c r="V15" s="115">
        <f t="shared" ca="1" si="2"/>
        <v>0</v>
      </c>
      <c r="W15" s="115">
        <f t="shared" ca="1" si="2"/>
        <v>0</v>
      </c>
      <c r="X15" s="115">
        <f t="shared" ca="1" si="2"/>
        <v>10000</v>
      </c>
      <c r="Y15" s="115">
        <f t="shared" ca="1" si="2"/>
        <v>0</v>
      </c>
      <c r="Z15" s="115">
        <f t="shared" ca="1" si="2"/>
        <v>10000</v>
      </c>
      <c r="AA15" s="115">
        <f t="shared" ca="1" si="2"/>
        <v>10000</v>
      </c>
      <c r="AB15" s="115">
        <f t="shared" ca="1" si="2"/>
        <v>10000</v>
      </c>
      <c r="AC15" s="115">
        <f t="shared" ca="1" si="2"/>
        <v>10000</v>
      </c>
      <c r="AD15" s="121">
        <f t="shared" ca="1" si="2"/>
        <v>0</v>
      </c>
      <c r="AH15" s="203">
        <f ca="1">SUM(C15:AG15)</f>
        <v>140000</v>
      </c>
    </row>
    <row r="16" spans="1:34">
      <c r="A16" s="133" t="s">
        <v>82</v>
      </c>
      <c r="C16" s="115">
        <f t="array" aca="1" ref="C16" ca="1">SUM(IF(C$11=$K$4:$K$7,$P$4:$P$7))</f>
        <v>8736.9142857142851</v>
      </c>
      <c r="D16" s="115">
        <f t="array" aca="1" ref="D16" ca="1">SUM(IF(D$11=$K$4:$K$7,$P$4:$P$7))</f>
        <v>8736.9142857142851</v>
      </c>
      <c r="E16" s="115">
        <f t="array" aca="1" ref="E16" ca="1">SUM(IF(E$11=$K$4:$K$7,$P$4:$P$7))</f>
        <v>8736.9142857142851</v>
      </c>
      <c r="F16" s="115">
        <f t="array" aca="1" ref="F16" ca="1">SUM(IF(F$11=$K$4:$K$7,$P$4:$P$7))</f>
        <v>8736.9142857142851</v>
      </c>
      <c r="G16" s="115">
        <f t="array" aca="1" ref="G16" ca="1">SUM(IF(G$11=$K$4:$K$7,$P$4:$P$7))</f>
        <v>8736.9142857142851</v>
      </c>
      <c r="H16" s="115">
        <f t="array" aca="1" ref="H16" ca="1">SUM(IF(H$11=$K$4:$K$7,$P$4:$P$7))</f>
        <v>8736.9142857142851</v>
      </c>
      <c r="I16" s="115">
        <f t="array" aca="1" ref="I16" ca="1">SUM(IF(I$11=$K$4:$K$7,$P$4:$P$7))</f>
        <v>8736.9142857142851</v>
      </c>
      <c r="J16" s="115">
        <f t="array" aca="1" ref="J16" ca="1">SUM(IF(J$11=$K$4:$K$7,$P$4:$P$7))</f>
        <v>3276.3428571428567</v>
      </c>
      <c r="K16" s="115">
        <f t="array" aca="1" ref="K16" ca="1">SUM(IF(K$11=$K$4:$K$7,$P$4:$P$7))</f>
        <v>3276.3428571428567</v>
      </c>
      <c r="L16" s="115">
        <f t="array" aca="1" ref="L16" ca="1">SUM(IF(L$11=$K$4:$K$7,$P$4:$P$7))</f>
        <v>3276.3428571428567</v>
      </c>
      <c r="M16" s="115">
        <f t="array" aca="1" ref="M16" ca="1">SUM(IF(M$11=$K$4:$K$7,$P$4:$P$7))</f>
        <v>3276.3428571428567</v>
      </c>
      <c r="N16" s="115">
        <f t="array" aca="1" ref="N16" ca="1">SUM(IF(N$11=$K$4:$K$7,$P$4:$P$7))</f>
        <v>3276.3428571428567</v>
      </c>
      <c r="O16" s="115">
        <f t="array" aca="1" ref="O16" ca="1">SUM(IF(O$11=$K$4:$K$7,$P$4:$P$7))</f>
        <v>3276.3428571428567</v>
      </c>
      <c r="P16" s="115">
        <f t="array" aca="1" ref="P16" ca="1">SUM(IF(P$11=$K$4:$K$7,$P$4:$P$7))</f>
        <v>3276.3428571428567</v>
      </c>
      <c r="Q16" s="115">
        <f t="array" aca="1" ref="Q16" ca="1">SUM(IF(Q$11=$K$4:$K$7,$P$4:$P$7))</f>
        <v>2184.2285714285713</v>
      </c>
      <c r="R16" s="115">
        <f t="array" aca="1" ref="R16" ca="1">SUM(IF(R$11=$K$4:$K$7,$P$4:$P$7))</f>
        <v>2184.2285714285713</v>
      </c>
      <c r="S16" s="115">
        <f t="array" aca="1" ref="S16" ca="1">SUM(IF(S$11=$K$4:$K$7,$P$4:$P$7))</f>
        <v>2184.2285714285713</v>
      </c>
      <c r="T16" s="115">
        <f t="array" aca="1" ref="T16" ca="1">SUM(IF(T$11=$K$4:$K$7,$P$4:$P$7))</f>
        <v>2184.2285714285713</v>
      </c>
      <c r="U16" s="115">
        <f t="array" aca="1" ref="U16" ca="1">SUM(IF(U$11=$K$4:$K$7,$P$4:$P$7))</f>
        <v>2184.2285714285713</v>
      </c>
      <c r="V16" s="115">
        <f t="array" aca="1" ref="V16" ca="1">SUM(IF(V$11=$K$4:$K$7,$P$4:$P$7))</f>
        <v>2184.2285714285713</v>
      </c>
      <c r="W16" s="115">
        <f t="array" aca="1" ref="W16" ca="1">SUM(IF(W$11=$K$4:$K$7,$P$4:$P$7))</f>
        <v>2184.2285714285713</v>
      </c>
      <c r="X16" s="115">
        <f t="array" aca="1" ref="X16" ca="1">SUM(IF(X$11=$K$4:$K$7,$P$4:$P$7))</f>
        <v>7644.8</v>
      </c>
      <c r="Y16" s="115">
        <f t="array" aca="1" ref="Y16" ca="1">SUM(IF(Y$11=$K$4:$K$7,$P$4:$P$7))</f>
        <v>7644.8</v>
      </c>
      <c r="Z16" s="115">
        <f t="array" aca="1" ref="Z16" ca="1">SUM(IF(Z$11=$K$4:$K$7,$P$4:$P$7))</f>
        <v>7644.8</v>
      </c>
      <c r="AA16" s="115">
        <f t="array" aca="1" ref="AA16" ca="1">SUM(IF(AA$11=$K$4:$K$7,$P$4:$P$7))</f>
        <v>7644.8</v>
      </c>
      <c r="AB16" s="115">
        <f t="array" aca="1" ref="AB16" ca="1">SUM(IF(AB$11=$K$4:$K$7,$P$4:$P$7))</f>
        <v>7644.8</v>
      </c>
      <c r="AC16" s="115">
        <f t="array" aca="1" ref="AC16" ca="1">SUM(IF(AC$11=$K$4:$K$7,$P$4:$P$7))</f>
        <v>7644.8</v>
      </c>
      <c r="AD16" s="121">
        <f t="array" aca="1" ref="AD16" ca="1">SUM(IF(AD$11=$K$4:$K$7,$P$4:$P$7))</f>
        <v>7644.8</v>
      </c>
      <c r="AH16" s="203">
        <f ca="1">SUM(C16:AG16)</f>
        <v>152895.99999999994</v>
      </c>
    </row>
    <row r="17" spans="1:34">
      <c r="A17" s="133" t="s">
        <v>85</v>
      </c>
      <c r="C17" s="115">
        <f t="shared" ref="C17:AD17" ca="1" si="3">C13+C15-C16</f>
        <v>21263.085714285713</v>
      </c>
      <c r="D17" s="115">
        <f t="shared" ca="1" si="3"/>
        <v>12526.171428571428</v>
      </c>
      <c r="E17" s="115">
        <f t="shared" ca="1" si="3"/>
        <v>23789.257142857139</v>
      </c>
      <c r="F17" s="115">
        <f t="shared" ca="1" si="3"/>
        <v>15052.342857142854</v>
      </c>
      <c r="G17" s="115">
        <f t="shared" ca="1" si="3"/>
        <v>6315.4285714285688</v>
      </c>
      <c r="H17" s="115">
        <f t="shared" ca="1" si="3"/>
        <v>7578.5142857142837</v>
      </c>
      <c r="I17" s="115">
        <f t="shared" ca="1" si="3"/>
        <v>8841.6</v>
      </c>
      <c r="J17" s="115">
        <f t="shared" ca="1" si="3"/>
        <v>15565.257142857143</v>
      </c>
      <c r="K17" s="115">
        <f t="shared" ca="1" si="3"/>
        <v>22288.914285714287</v>
      </c>
      <c r="L17" s="115">
        <f t="shared" ca="1" si="3"/>
        <v>19012.571428571431</v>
      </c>
      <c r="M17" s="115">
        <f t="shared" ca="1" si="3"/>
        <v>15736.228571428575</v>
      </c>
      <c r="N17" s="115">
        <f t="shared" ca="1" si="3"/>
        <v>22459.88571428572</v>
      </c>
      <c r="O17" s="115">
        <f t="shared" ca="1" si="3"/>
        <v>19183.542857142864</v>
      </c>
      <c r="P17" s="115">
        <f t="shared" ca="1" si="3"/>
        <v>15907.200000000008</v>
      </c>
      <c r="Q17" s="115">
        <f t="shared" ca="1" si="3"/>
        <v>23722.971428571436</v>
      </c>
      <c r="R17" s="115">
        <f t="shared" ca="1" si="3"/>
        <v>21538.742857142865</v>
      </c>
      <c r="S17" s="115">
        <f t="shared" ca="1" si="3"/>
        <v>19354.514285714293</v>
      </c>
      <c r="T17" s="115">
        <f t="shared" ca="1" si="3"/>
        <v>17170.285714285721</v>
      </c>
      <c r="U17" s="115">
        <f t="shared" ca="1" si="3"/>
        <v>24986.057142857149</v>
      </c>
      <c r="V17" s="115">
        <f t="shared" ca="1" si="3"/>
        <v>22801.828571428578</v>
      </c>
      <c r="W17" s="115">
        <f t="shared" ca="1" si="3"/>
        <v>20617.600000000006</v>
      </c>
      <c r="X17" s="115">
        <f t="shared" ca="1" si="3"/>
        <v>22972.800000000007</v>
      </c>
      <c r="Y17" s="115">
        <f t="shared" ca="1" si="3"/>
        <v>15328.000000000007</v>
      </c>
      <c r="Z17" s="115">
        <f t="shared" ca="1" si="3"/>
        <v>17683.200000000008</v>
      </c>
      <c r="AA17" s="115">
        <f t="shared" ca="1" si="3"/>
        <v>20038.400000000009</v>
      </c>
      <c r="AB17" s="115">
        <f t="shared" ca="1" si="3"/>
        <v>22393.600000000009</v>
      </c>
      <c r="AC17" s="115">
        <f t="shared" ca="1" si="3"/>
        <v>24748.80000000001</v>
      </c>
      <c r="AD17" s="121">
        <f t="shared" ca="1" si="3"/>
        <v>17104.000000000011</v>
      </c>
      <c r="AH17" s="204"/>
    </row>
  </sheetData>
  <mergeCells count="6">
    <mergeCell ref="C9:D9"/>
    <mergeCell ref="AH11:AH12"/>
    <mergeCell ref="A11:A12"/>
    <mergeCell ref="A1:AH1"/>
    <mergeCell ref="F3:H3"/>
    <mergeCell ref="F2:I2"/>
  </mergeCells>
  <conditionalFormatting sqref="C11:AD17">
    <cfRule type="expression" dxfId="9" priority="1">
      <formula>C$11="W4"</formula>
    </cfRule>
    <cfRule type="expression" dxfId="8" priority="2">
      <formula>C$11="W3"</formula>
    </cfRule>
    <cfRule type="expression" dxfId="7" priority="3">
      <formula>C$11="W2"</formula>
    </cfRule>
    <cfRule type="expression" dxfId="6" priority="4">
      <formula>C$11="W1"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'Calculation Sheet'!$C$10:$C$14</xm:f>
          </x14:formula1>
          <xm:sqref>F3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T15"/>
  <sheetViews>
    <sheetView zoomScale="140" zoomScaleNormal="140" workbookViewId="0">
      <selection activeCell="A5" sqref="A5"/>
    </sheetView>
  </sheetViews>
  <sheetFormatPr defaultColWidth="0" defaultRowHeight="15" zeroHeight="1"/>
  <cols>
    <col min="1" max="2" width="8.85546875" customWidth="1"/>
    <col min="3" max="3" width="22.28515625" customWidth="1"/>
    <col min="4" max="7" width="8.85546875" customWidth="1"/>
    <col min="8" max="8" width="10.42578125" bestFit="1" customWidth="1"/>
    <col min="9" max="9" width="11.140625" bestFit="1" customWidth="1"/>
    <col min="10" max="10" width="8.85546875" customWidth="1"/>
    <col min="11" max="11" width="15" customWidth="1"/>
    <col min="12" max="20" width="0" hidden="1" customWidth="1"/>
    <col min="21" max="16384" width="8.85546875" hidden="1"/>
  </cols>
  <sheetData>
    <row r="1" spans="1:11" ht="33.75">
      <c r="A1" s="222"/>
      <c r="B1" s="223"/>
      <c r="C1" s="223"/>
      <c r="D1" s="223"/>
      <c r="E1" s="223"/>
      <c r="F1" s="223"/>
      <c r="G1" s="223"/>
      <c r="H1" s="223"/>
      <c r="I1" s="223"/>
      <c r="J1" s="223"/>
      <c r="K1" s="223"/>
    </row>
    <row r="2" spans="1:11" ht="22.5" customHeight="1">
      <c r="A2" s="84"/>
      <c r="B2" s="85"/>
      <c r="C2" s="127"/>
      <c r="D2" s="127"/>
      <c r="E2" s="127"/>
      <c r="F2" s="127"/>
      <c r="G2" s="127"/>
      <c r="H2" s="85"/>
      <c r="I2" s="85"/>
      <c r="J2" s="85"/>
      <c r="K2" s="90"/>
    </row>
    <row r="3" spans="1:11" ht="22.5" customHeight="1">
      <c r="A3" s="84"/>
      <c r="B3" s="85"/>
      <c r="C3" s="141" t="s">
        <v>107</v>
      </c>
      <c r="D3" s="85"/>
      <c r="E3" s="142" t="str">
        <f>'Input Sheet'!C5</f>
        <v>Milk Pak Milk 250ml</v>
      </c>
      <c r="F3" s="128"/>
      <c r="G3" s="129"/>
      <c r="H3" s="129"/>
      <c r="I3" s="205" t="s">
        <v>133</v>
      </c>
      <c r="J3" s="205">
        <v>6</v>
      </c>
      <c r="K3" s="206" t="s">
        <v>135</v>
      </c>
    </row>
    <row r="4" spans="1:11" ht="22.5" customHeight="1">
      <c r="A4" s="84"/>
      <c r="B4" s="85"/>
      <c r="C4" s="141" t="s">
        <v>108</v>
      </c>
      <c r="D4" s="85"/>
      <c r="E4" s="143" t="str">
        <f>'Input Sheet'!C14</f>
        <v>Monthly</v>
      </c>
      <c r="F4" s="88"/>
      <c r="G4" s="131"/>
      <c r="H4" s="130"/>
      <c r="I4" s="205" t="s">
        <v>134</v>
      </c>
      <c r="J4" s="205">
        <v>-6</v>
      </c>
      <c r="K4" s="206" t="s">
        <v>136</v>
      </c>
    </row>
    <row r="5" spans="1:11" ht="22.5" customHeight="1">
      <c r="A5" s="84"/>
      <c r="B5" s="85"/>
      <c r="C5" s="141" t="s">
        <v>109</v>
      </c>
      <c r="D5" s="85"/>
      <c r="E5" s="143" t="str">
        <f>INDEX($C$10:$C$14,MATCH("Preferred",$K$10:$K$14,0))</f>
        <v>Winter Method</v>
      </c>
      <c r="F5" s="89"/>
      <c r="G5" s="131"/>
      <c r="H5" s="131"/>
      <c r="I5" s="131"/>
      <c r="J5" s="130"/>
      <c r="K5" s="85"/>
    </row>
    <row r="6" spans="1:11" ht="22.5" customHeight="1">
      <c r="A6" s="84"/>
      <c r="B6" s="85"/>
      <c r="C6" s="145"/>
      <c r="D6" s="85"/>
      <c r="E6" s="85"/>
      <c r="F6" s="85"/>
      <c r="G6" s="85"/>
      <c r="H6" s="85"/>
      <c r="I6" s="85"/>
      <c r="J6" s="85"/>
      <c r="K6" s="85"/>
    </row>
    <row r="7" spans="1:11" ht="22.5" customHeight="1">
      <c r="A7" s="84"/>
      <c r="B7" s="85"/>
      <c r="C7" s="85"/>
      <c r="D7" s="85"/>
      <c r="E7" s="88"/>
      <c r="F7" s="88"/>
      <c r="G7" s="88"/>
      <c r="H7" s="122"/>
      <c r="I7" s="122"/>
      <c r="J7" s="122"/>
      <c r="K7" s="85"/>
    </row>
    <row r="8" spans="1:11" ht="22.5" customHeight="1">
      <c r="A8" s="84"/>
      <c r="B8" s="85"/>
      <c r="C8" s="85"/>
      <c r="D8" s="85"/>
      <c r="E8" s="88"/>
      <c r="F8" s="88"/>
      <c r="G8" s="88"/>
      <c r="H8" s="122"/>
      <c r="I8" s="122"/>
      <c r="J8" s="122"/>
      <c r="K8" s="85"/>
    </row>
    <row r="9" spans="1:11" ht="22.5" customHeight="1" thickBot="1">
      <c r="A9" s="84"/>
      <c r="B9" s="85"/>
      <c r="C9" s="85"/>
      <c r="D9" s="154" t="s">
        <v>28</v>
      </c>
      <c r="E9" s="155" t="s">
        <v>1</v>
      </c>
      <c r="F9" s="155" t="s">
        <v>5</v>
      </c>
      <c r="G9" s="155" t="s">
        <v>7</v>
      </c>
      <c r="H9" s="155" t="s">
        <v>70</v>
      </c>
      <c r="I9" s="155" t="s">
        <v>71</v>
      </c>
      <c r="J9" s="155" t="s">
        <v>122</v>
      </c>
      <c r="K9" s="155" t="s">
        <v>123</v>
      </c>
    </row>
    <row r="10" spans="1:11" ht="22.5" customHeight="1" thickTop="1">
      <c r="A10" s="84"/>
      <c r="B10" s="85"/>
      <c r="C10" s="146" t="s">
        <v>73</v>
      </c>
      <c r="D10" s="156">
        <f>IF($E$4="Monthly",'Naive Approach'!$H$42,'Naive Approach'!$S$26)</f>
        <v>0.13410107219235756</v>
      </c>
      <c r="E10" s="147"/>
      <c r="F10" s="147"/>
      <c r="G10" s="147"/>
      <c r="H10" s="148">
        <f>IF(E4="Monthly",MAX('Naive Approach'!J19:J40),MAX('Naive Approach'!U19:U24))</f>
        <v>2.7998661048320401</v>
      </c>
      <c r="I10" s="148">
        <f>IF(E4="Monthly",MIN('Naive Approach'!J19:J40),MIN('Naive Approach'!U19:U24))</f>
        <v>-0.59017082933189402</v>
      </c>
      <c r="J10" s="157" t="str">
        <f>IF(AND(H10&lt;=$J$3,I10&gt;=$J$4),"OK","NA")</f>
        <v>OK</v>
      </c>
      <c r="K10" s="157" t="str">
        <f t="array" ref="K10">IF(MIN(IF($J$10:$J$14="OK",$D$10:$D$14))=D10,"Preferred","")</f>
        <v/>
      </c>
    </row>
    <row r="11" spans="1:11" ht="22.5" customHeight="1">
      <c r="A11" s="84"/>
      <c r="B11" s="85"/>
      <c r="C11" s="146" t="s">
        <v>55</v>
      </c>
      <c r="D11" s="156">
        <f>IF($E$4="Monthly",'Moving average'!$H$42,'Moving average'!$S$26)</f>
        <v>8.6172150894526497E-2</v>
      </c>
      <c r="E11" s="147"/>
      <c r="F11" s="147"/>
      <c r="G11" s="147"/>
      <c r="H11" s="148">
        <f>IF(E4="Monthly",MAX('Moving average'!J19:J40),MAX('Moving average'!U19:U24))</f>
        <v>3</v>
      </c>
      <c r="I11" s="148">
        <f>IF(E4="Monthly",MIN('Moving average'!J19:J40),MIN('Moving average'!U19:U24))</f>
        <v>-0.82311121138883248</v>
      </c>
      <c r="J11" s="157" t="str">
        <f t="shared" ref="J11:J14" si="0">IF(AND(H11&lt;=$J$3,I11&gt;=$J$4),"OK","NA")</f>
        <v>OK</v>
      </c>
      <c r="K11" s="157" t="str">
        <f t="array" ref="K11">IF(MIN(IF($J$10:$J$14="OK",$D$10:$D$14))=D11,"Preferred","")</f>
        <v/>
      </c>
    </row>
    <row r="12" spans="1:11" ht="22.5" customHeight="1">
      <c r="A12" s="84"/>
      <c r="B12" s="85"/>
      <c r="C12" s="146" t="s">
        <v>27</v>
      </c>
      <c r="D12" s="156">
        <f>IF($E$4="Monthly",'Exponential Smoothing'!$H$42,'Exponential Smoothing'!$S$26)</f>
        <v>8.6856020900192385E-2</v>
      </c>
      <c r="E12" s="149">
        <f>'Input Sheet'!C6</f>
        <v>0.55200000000000005</v>
      </c>
      <c r="F12" s="147"/>
      <c r="G12" s="147"/>
      <c r="H12" s="148">
        <f>IF(E4="Monthly",MAX('Exponential Smoothing'!J19:J40),MAX('Exponential Smoothing'!U19:U24))</f>
        <v>3.3211801406113506</v>
      </c>
      <c r="I12" s="148">
        <f>IF(E4="Monthly",MIN('Exponential Smoothing'!J19:J40),MIN('Exponential Smoothing'!U19:U24))</f>
        <v>-1.9497076355491256</v>
      </c>
      <c r="J12" s="157" t="str">
        <f t="shared" si="0"/>
        <v>OK</v>
      </c>
      <c r="K12" s="157" t="str">
        <f t="array" ref="K12">IF(MIN(IF($J$10:$J$14="OK",$D$10:$D$14))=D12,"Preferred","")</f>
        <v/>
      </c>
    </row>
    <row r="13" spans="1:11" ht="22.5" customHeight="1">
      <c r="A13" s="84"/>
      <c r="B13" s="85"/>
      <c r="C13" s="146" t="s">
        <v>74</v>
      </c>
      <c r="D13" s="156">
        <f>IF($E$4="Monthly",'Holt Method'!$J$47,'Holt Method'!$W$31)</f>
        <v>0.11048592509818235</v>
      </c>
      <c r="E13" s="150">
        <f>'Input Sheet'!C6</f>
        <v>0.55200000000000005</v>
      </c>
      <c r="F13" s="150">
        <f>'Input Sheet'!C7</f>
        <v>0.43</v>
      </c>
      <c r="G13" s="151"/>
      <c r="H13" s="152">
        <f>IF(E4="Monthly",MAX('Holt Method'!L21:L42),MAX('Holt Method'!Y21:Y26))</f>
        <v>1.6538218254223533</v>
      </c>
      <c r="I13" s="152">
        <f>IF(E4="Monthly",MIN('Holt Method'!L21:L42),MIN('Holt Method'!Y21:Y26))</f>
        <v>-3.5135697212711823</v>
      </c>
      <c r="J13" s="157" t="str">
        <f t="shared" si="0"/>
        <v>OK</v>
      </c>
      <c r="K13" s="158" t="str">
        <f t="array" ref="K13">IF(MIN(IF($J$10:$J$14="OK",$D$10:$D$14))=D13,"Preferred","")</f>
        <v/>
      </c>
    </row>
    <row r="14" spans="1:11" ht="22.5" customHeight="1">
      <c r="A14" s="84"/>
      <c r="B14" s="85"/>
      <c r="C14" s="146" t="s">
        <v>75</v>
      </c>
      <c r="D14" s="156">
        <f>IF($E$4="Monthly",'Winter Method'!$K$49,'Winter Method'!$Z$33)</f>
        <v>8.200747942792122E-2</v>
      </c>
      <c r="E14" s="150">
        <f>'Input Sheet'!C6</f>
        <v>0.55200000000000005</v>
      </c>
      <c r="F14" s="150">
        <f>'Input Sheet'!C7</f>
        <v>0.43</v>
      </c>
      <c r="G14" s="150">
        <f>'Input Sheet'!C8</f>
        <v>0</v>
      </c>
      <c r="H14" s="153">
        <f>IF(E4="Monthly",MAX('Winter Method'!M34:M44),MAX('Winter Method'!AB26:AB28))</f>
        <v>-1</v>
      </c>
      <c r="I14" s="153">
        <f>IF(E4="Monthly",MIN('Winter Method'!M34:M44),MIN('Winter Method'!AA25))</f>
        <v>-4.9484861389575672</v>
      </c>
      <c r="J14" s="157" t="str">
        <f t="shared" si="0"/>
        <v>OK</v>
      </c>
      <c r="K14" s="159" t="str">
        <f t="array" ref="K14">IF(MIN(IF($J$10:$J$14="OK",$D$10:$D$14))=D14,"Preferred","")</f>
        <v>Preferred</v>
      </c>
    </row>
    <row r="15" spans="1:11" ht="22.5" customHeight="1">
      <c r="A15" s="84"/>
      <c r="B15" s="85"/>
      <c r="C15" s="85"/>
      <c r="D15" s="87"/>
      <c r="E15" s="87"/>
      <c r="F15" s="87"/>
      <c r="G15" s="85"/>
      <c r="H15" s="144"/>
      <c r="I15" s="144"/>
      <c r="J15" s="85"/>
      <c r="K15" s="85"/>
    </row>
  </sheetData>
  <mergeCells count="1">
    <mergeCell ref="A1:K1"/>
  </mergeCells>
  <conditionalFormatting sqref="E13:I14 D10:J10 D11:I11">
    <cfRule type="expression" dxfId="5" priority="12">
      <formula>$K10:$K14="Preferred"</formula>
    </cfRule>
  </conditionalFormatting>
  <conditionalFormatting sqref="D12:I12">
    <cfRule type="expression" dxfId="4" priority="13">
      <formula>$K12:$K17="Preferred"</formula>
    </cfRule>
  </conditionalFormatting>
  <conditionalFormatting sqref="D13:D14">
    <cfRule type="expression" dxfId="3" priority="11">
      <formula>$K13:$K18="Preferred"</formula>
    </cfRule>
  </conditionalFormatting>
  <conditionalFormatting sqref="K13:K14 K10:K11">
    <cfRule type="expression" dxfId="2" priority="7">
      <formula>$K10:$K14="Preferred"</formula>
    </cfRule>
  </conditionalFormatting>
  <conditionalFormatting sqref="K12">
    <cfRule type="expression" dxfId="1" priority="8">
      <formula>$K12:$K17="Preferred"</formula>
    </cfRule>
  </conditionalFormatting>
  <conditionalFormatting sqref="J11:J14">
    <cfRule type="expression" dxfId="0" priority="1">
      <formula>$K11:$K15="Preferred"</formula>
    </cfRule>
  </conditionalFormatting>
  <hyperlinks>
    <hyperlink ref="C12" location="'Exponential Smoothing'!A1" display="Exponential Smoothing"/>
    <hyperlink ref="C13" location="'Holt''s Model'!A1" display="Holt's Method"/>
    <hyperlink ref="C14" location="'Winter''s Model'!A1" display="Winter's Method"/>
    <hyperlink ref="C10" location="'Naiive Approach'!A1" display="Naiive Approach"/>
    <hyperlink ref="C11" location="'Moving average'!A1" display="Moving Average"/>
  </hyperlink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0" tint="-0.249977111117893"/>
  </sheetPr>
  <dimension ref="A1:U48"/>
  <sheetViews>
    <sheetView topLeftCell="A16" zoomScaleNormal="100" workbookViewId="0">
      <selection activeCell="I49" sqref="I49"/>
    </sheetView>
  </sheetViews>
  <sheetFormatPr defaultRowHeight="15"/>
  <cols>
    <col min="1" max="1" width="9.28515625" customWidth="1"/>
    <col min="2" max="9" width="16.5703125" customWidth="1"/>
    <col min="10" max="10" width="18.42578125" customWidth="1"/>
    <col min="11" max="11" width="6.28515625" customWidth="1"/>
    <col min="12" max="21" width="16.85546875" customWidth="1"/>
  </cols>
  <sheetData>
    <row r="1" spans="1:21" ht="29.25" customHeight="1">
      <c r="A1" s="230" t="s">
        <v>58</v>
      </c>
      <c r="B1" s="230"/>
      <c r="C1" s="230"/>
      <c r="D1" s="230"/>
      <c r="E1" s="230"/>
      <c r="F1" s="230"/>
      <c r="G1" s="230"/>
      <c r="H1" s="230"/>
      <c r="I1" s="230"/>
      <c r="J1" s="230"/>
      <c r="K1" s="1"/>
      <c r="L1" s="230" t="s">
        <v>57</v>
      </c>
      <c r="M1" s="230"/>
      <c r="N1" s="230"/>
      <c r="O1" s="230"/>
      <c r="P1" s="230"/>
      <c r="Q1" s="230"/>
      <c r="R1" s="230"/>
      <c r="S1" s="230"/>
      <c r="T1" s="230"/>
      <c r="U1" s="230"/>
    </row>
    <row r="2" spans="1:21" ht="20.25">
      <c r="A2" s="2"/>
      <c r="B2" s="2"/>
      <c r="C2" s="2"/>
      <c r="D2" s="2"/>
      <c r="E2" s="2"/>
      <c r="F2" s="2"/>
      <c r="G2" s="2"/>
      <c r="H2" s="2"/>
      <c r="I2" s="2"/>
      <c r="J2" s="2"/>
      <c r="K2" s="1"/>
      <c r="L2" s="1"/>
      <c r="M2" s="1"/>
    </row>
    <row r="3" spans="1:21" ht="20.25">
      <c r="A3" s="2"/>
      <c r="B3" s="2"/>
      <c r="C3" s="2"/>
      <c r="D3" s="2"/>
      <c r="E3" s="2"/>
      <c r="F3" s="2"/>
      <c r="G3" s="2"/>
      <c r="H3" s="2"/>
      <c r="I3" s="2"/>
      <c r="J3" s="2"/>
      <c r="K3" s="1"/>
      <c r="L3" s="1"/>
      <c r="M3" s="1"/>
    </row>
    <row r="4" spans="1:21" ht="2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</row>
    <row r="5" spans="1:21" ht="2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</row>
    <row r="6" spans="1:21" ht="20.25">
      <c r="A6" s="2"/>
      <c r="B6" s="2"/>
      <c r="C6" s="2"/>
      <c r="D6" s="2"/>
      <c r="E6" s="2"/>
      <c r="F6" s="2"/>
      <c r="G6" s="2"/>
      <c r="H6" s="2"/>
      <c r="I6" s="2"/>
      <c r="J6" s="2"/>
      <c r="K6" s="1"/>
      <c r="L6" s="1"/>
      <c r="M6" s="1"/>
    </row>
    <row r="7" spans="1:21" ht="20.25">
      <c r="A7" s="2"/>
      <c r="B7" s="2"/>
      <c r="C7" s="2"/>
      <c r="D7" s="2"/>
      <c r="E7" s="2"/>
      <c r="F7" s="2"/>
      <c r="G7" s="2"/>
      <c r="H7" s="2"/>
      <c r="I7" s="2"/>
      <c r="J7" s="2"/>
      <c r="K7" s="1"/>
      <c r="L7" s="1"/>
      <c r="M7" s="1"/>
    </row>
    <row r="8" spans="1:21" ht="20.25">
      <c r="A8" s="2"/>
      <c r="B8" s="2"/>
      <c r="C8" s="2"/>
      <c r="D8" s="2"/>
      <c r="E8" s="2"/>
      <c r="F8" s="2"/>
      <c r="G8" s="2"/>
      <c r="H8" s="2"/>
      <c r="I8" s="2"/>
      <c r="J8" s="2"/>
      <c r="K8" s="1"/>
      <c r="L8" s="1"/>
      <c r="M8" s="1"/>
    </row>
    <row r="9" spans="1:21" ht="20.25">
      <c r="A9" s="2"/>
      <c r="B9" s="2"/>
      <c r="C9" s="2"/>
      <c r="D9" s="2"/>
      <c r="E9" s="2"/>
      <c r="F9" s="2"/>
      <c r="G9" s="2"/>
      <c r="H9" s="2"/>
      <c r="I9" s="2"/>
      <c r="J9" s="2"/>
      <c r="K9" s="1"/>
      <c r="L9" s="1"/>
      <c r="M9" s="1"/>
    </row>
    <row r="10" spans="1:21" ht="20.25">
      <c r="A10" s="2"/>
      <c r="B10" s="2"/>
      <c r="C10" s="2"/>
      <c r="D10" s="2"/>
      <c r="E10" s="2"/>
      <c r="F10" s="2"/>
      <c r="G10" s="2"/>
      <c r="H10" s="2"/>
      <c r="I10" s="2"/>
      <c r="J10" s="2"/>
      <c r="K10" s="1"/>
      <c r="L10" s="1"/>
      <c r="M10" s="1"/>
    </row>
    <row r="11" spans="1:21" ht="20.25">
      <c r="A11" s="2"/>
      <c r="B11" s="2"/>
      <c r="C11" s="2"/>
      <c r="D11" s="2"/>
      <c r="E11" s="2"/>
      <c r="F11" s="2"/>
      <c r="G11" s="2"/>
      <c r="H11" s="2"/>
      <c r="I11" s="2"/>
      <c r="J11" s="2"/>
      <c r="K11" s="1"/>
      <c r="L11" s="1"/>
      <c r="M11" s="1"/>
    </row>
    <row r="12" spans="1:21" ht="20.25">
      <c r="A12" s="2"/>
      <c r="B12" s="2"/>
      <c r="C12" s="2"/>
      <c r="D12" s="2"/>
      <c r="E12" s="2"/>
      <c r="F12" s="2"/>
      <c r="G12" s="2"/>
      <c r="H12" s="2"/>
      <c r="I12" s="2"/>
      <c r="J12" s="2"/>
      <c r="K12" s="1"/>
      <c r="L12" s="1"/>
      <c r="M12" s="1"/>
    </row>
    <row r="13" spans="1:21" ht="20.25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</row>
    <row r="14" spans="1:21" ht="27.75" customHeight="1"/>
    <row r="15" spans="1:21" ht="22.5" customHeight="1">
      <c r="A15" s="226" t="s">
        <v>11</v>
      </c>
      <c r="B15" s="226" t="s">
        <v>4</v>
      </c>
      <c r="C15" s="3" t="s">
        <v>0</v>
      </c>
      <c r="D15" s="3" t="s">
        <v>20</v>
      </c>
      <c r="E15" s="3" t="s">
        <v>31</v>
      </c>
      <c r="F15" s="226" t="s">
        <v>32</v>
      </c>
      <c r="G15" s="224" t="s">
        <v>37</v>
      </c>
      <c r="H15" s="224" t="s">
        <v>38</v>
      </c>
      <c r="I15" s="224" t="s">
        <v>33</v>
      </c>
      <c r="J15" s="226" t="s">
        <v>34</v>
      </c>
      <c r="L15" s="226" t="s">
        <v>11</v>
      </c>
      <c r="M15" s="226" t="s">
        <v>44</v>
      </c>
      <c r="N15" s="3" t="s">
        <v>0</v>
      </c>
      <c r="O15" s="3" t="s">
        <v>20</v>
      </c>
      <c r="P15" s="3" t="s">
        <v>31</v>
      </c>
      <c r="Q15" s="226" t="s">
        <v>32</v>
      </c>
      <c r="R15" s="224" t="s">
        <v>37</v>
      </c>
      <c r="S15" s="224" t="s">
        <v>38</v>
      </c>
      <c r="T15" s="224" t="s">
        <v>33</v>
      </c>
      <c r="U15" s="226" t="s">
        <v>34</v>
      </c>
    </row>
    <row r="16" spans="1:21" ht="20.25" customHeight="1">
      <c r="A16" s="231"/>
      <c r="B16" s="231"/>
      <c r="C16" s="9" t="s">
        <v>18</v>
      </c>
      <c r="D16" s="9" t="s">
        <v>15</v>
      </c>
      <c r="E16" s="9" t="s">
        <v>21</v>
      </c>
      <c r="F16" s="227"/>
      <c r="G16" s="225"/>
      <c r="H16" s="225"/>
      <c r="I16" s="225"/>
      <c r="J16" s="227"/>
      <c r="L16" s="231"/>
      <c r="M16" s="231"/>
      <c r="N16" s="9" t="s">
        <v>18</v>
      </c>
      <c r="O16" s="9" t="s">
        <v>15</v>
      </c>
      <c r="P16" s="9" t="s">
        <v>21</v>
      </c>
      <c r="Q16" s="227"/>
      <c r="R16" s="225"/>
      <c r="S16" s="225"/>
      <c r="T16" s="225"/>
      <c r="U16" s="227"/>
    </row>
    <row r="17" spans="1:21">
      <c r="A17" s="19">
        <v>0</v>
      </c>
      <c r="B17" s="20">
        <f>'Input Sheet'!C17</f>
        <v>42736</v>
      </c>
      <c r="C17" s="60">
        <f>'Input Sheet'!D17</f>
        <v>168959</v>
      </c>
      <c r="D17" s="60">
        <v>0</v>
      </c>
      <c r="E17" s="61" t="s">
        <v>19</v>
      </c>
      <c r="F17" s="61" t="s">
        <v>19</v>
      </c>
      <c r="G17" s="61" t="s">
        <v>19</v>
      </c>
      <c r="H17" s="23" t="s">
        <v>19</v>
      </c>
      <c r="I17" s="23" t="s">
        <v>19</v>
      </c>
      <c r="J17" s="23" t="s">
        <v>19</v>
      </c>
      <c r="K17" s="34"/>
      <c r="L17" s="19">
        <v>0</v>
      </c>
      <c r="M17" s="20" t="str">
        <f>'Input Sheet'!F17</f>
        <v>Q1- 2017</v>
      </c>
      <c r="N17" s="21">
        <f>'Input Sheet'!G17</f>
        <v>504915</v>
      </c>
      <c r="O17" s="21">
        <v>0</v>
      </c>
      <c r="P17" s="22" t="s">
        <v>19</v>
      </c>
      <c r="Q17" s="23" t="s">
        <v>19</v>
      </c>
      <c r="R17" s="23" t="s">
        <v>19</v>
      </c>
      <c r="S17" s="23" t="s">
        <v>19</v>
      </c>
      <c r="T17" s="23" t="s">
        <v>19</v>
      </c>
      <c r="U17" s="23" t="s">
        <v>19</v>
      </c>
    </row>
    <row r="18" spans="1:21">
      <c r="A18" s="19">
        <v>1</v>
      </c>
      <c r="B18" s="20">
        <f>'Input Sheet'!C18</f>
        <v>42767</v>
      </c>
      <c r="C18" s="60">
        <f>'Input Sheet'!D18</f>
        <v>156632</v>
      </c>
      <c r="D18" s="60">
        <f>C17</f>
        <v>168959</v>
      </c>
      <c r="E18" s="62" t="s">
        <v>19</v>
      </c>
      <c r="F18" s="61" t="s">
        <v>19</v>
      </c>
      <c r="G18" s="61" t="s">
        <v>19</v>
      </c>
      <c r="H18" s="26" t="s">
        <v>19</v>
      </c>
      <c r="I18" s="26" t="s">
        <v>19</v>
      </c>
      <c r="J18" s="26" t="s">
        <v>19</v>
      </c>
      <c r="K18" s="24"/>
      <c r="L18" s="36">
        <v>1</v>
      </c>
      <c r="M18" s="93" t="str">
        <f>'Input Sheet'!F18</f>
        <v>Q2- 2017</v>
      </c>
      <c r="N18" s="62">
        <f>'Input Sheet'!G18</f>
        <v>553764</v>
      </c>
      <c r="O18" s="62">
        <f>N17</f>
        <v>504915</v>
      </c>
      <c r="P18" s="62" t="s">
        <v>19</v>
      </c>
      <c r="Q18" s="61" t="s">
        <v>19</v>
      </c>
      <c r="R18" s="61" t="s">
        <v>19</v>
      </c>
      <c r="S18" s="26" t="s">
        <v>19</v>
      </c>
      <c r="T18" s="26" t="s">
        <v>19</v>
      </c>
      <c r="U18" s="26" t="s">
        <v>19</v>
      </c>
    </row>
    <row r="19" spans="1:21">
      <c r="A19" s="4">
        <v>2</v>
      </c>
      <c r="B19" s="6">
        <f>'Input Sheet'!C19</f>
        <v>42795</v>
      </c>
      <c r="C19" s="63">
        <f>'Input Sheet'!D19</f>
        <v>179324</v>
      </c>
      <c r="D19" s="64">
        <f t="shared" ref="D19:D41" si="0">C18</f>
        <v>156632</v>
      </c>
      <c r="E19" s="63">
        <f>C19-D19</f>
        <v>22692</v>
      </c>
      <c r="F19" s="63">
        <f>E19</f>
        <v>22692</v>
      </c>
      <c r="G19" s="63">
        <f>ABS(E19)</f>
        <v>22692</v>
      </c>
      <c r="H19" s="18">
        <f>IFERROR(G19/C19,"-")</f>
        <v>0.12654190180901609</v>
      </c>
      <c r="I19" s="5">
        <f>G19</f>
        <v>22692</v>
      </c>
      <c r="J19" s="32">
        <f>F19/(I19/(A19-1))</f>
        <v>1</v>
      </c>
      <c r="L19" s="4">
        <v>2</v>
      </c>
      <c r="M19" s="6" t="str">
        <f>'Input Sheet'!F19</f>
        <v>Q3- 2017</v>
      </c>
      <c r="N19" s="5">
        <f>'Input Sheet'!G19</f>
        <v>535964</v>
      </c>
      <c r="O19" s="5">
        <f t="shared" ref="O19:O24" si="1">N18</f>
        <v>553764</v>
      </c>
      <c r="P19" s="5">
        <f>N19-O19</f>
        <v>-17800</v>
      </c>
      <c r="Q19" s="5">
        <f>P19</f>
        <v>-17800</v>
      </c>
      <c r="R19" s="5">
        <f>ABS(P19)</f>
        <v>17800</v>
      </c>
      <c r="S19" s="18">
        <f>IFERROR(R19/N19,"-")</f>
        <v>3.3211185825913682E-2</v>
      </c>
      <c r="T19" s="5">
        <f>R19</f>
        <v>17800</v>
      </c>
      <c r="U19" s="41">
        <f>Q19/(T19/(L19-1))</f>
        <v>-1</v>
      </c>
    </row>
    <row r="20" spans="1:21">
      <c r="A20" s="4">
        <v>3</v>
      </c>
      <c r="B20" s="6">
        <f>'Input Sheet'!C20</f>
        <v>42826</v>
      </c>
      <c r="C20" s="63">
        <f>'Input Sheet'!D20</f>
        <v>176783</v>
      </c>
      <c r="D20" s="64">
        <f t="shared" si="0"/>
        <v>179324</v>
      </c>
      <c r="E20" s="63">
        <f t="shared" ref="E20:E39" si="2">C20-D20</f>
        <v>-2541</v>
      </c>
      <c r="F20" s="63">
        <f>F19+E20</f>
        <v>20151</v>
      </c>
      <c r="G20" s="63">
        <f t="shared" ref="G20:G39" si="3">ABS(E20)</f>
        <v>2541</v>
      </c>
      <c r="H20" s="18">
        <f t="shared" ref="H20:H39" si="4">IFERROR(G20/C20,"-")</f>
        <v>1.4373554018203108E-2</v>
      </c>
      <c r="I20" s="5">
        <f t="shared" ref="I20:I39" si="5">I19+G20</f>
        <v>25233</v>
      </c>
      <c r="J20" s="32">
        <f t="shared" ref="J20:J40" si="6">F20/(I20/(A20-1))</f>
        <v>1.5971941505171798</v>
      </c>
      <c r="L20" s="4">
        <v>3</v>
      </c>
      <c r="M20" s="6" t="str">
        <f>'Input Sheet'!F20</f>
        <v>Q4- 2017</v>
      </c>
      <c r="N20" s="5">
        <f>'Input Sheet'!G20</f>
        <v>517041</v>
      </c>
      <c r="O20" s="5">
        <f t="shared" si="1"/>
        <v>535964</v>
      </c>
      <c r="P20" s="5">
        <f t="shared" ref="P20:P23" si="7">N20-O20</f>
        <v>-18923</v>
      </c>
      <c r="Q20" s="5">
        <f>Q19+P20</f>
        <v>-36723</v>
      </c>
      <c r="R20" s="5">
        <f t="shared" ref="R20:R23" si="8">ABS(P20)</f>
        <v>18923</v>
      </c>
      <c r="S20" s="18">
        <f t="shared" ref="S20:S23" si="9">IFERROR(R20/N20,"-")</f>
        <v>3.6598644981732591E-2</v>
      </c>
      <c r="T20" s="5">
        <f t="shared" ref="T20:T24" si="10">T19+R20</f>
        <v>36723</v>
      </c>
      <c r="U20" s="41">
        <f t="shared" ref="U20:U23" si="11">Q20/(T20/(L20-1))</f>
        <v>-2</v>
      </c>
    </row>
    <row r="21" spans="1:21">
      <c r="A21" s="4">
        <v>4</v>
      </c>
      <c r="B21" s="6">
        <f>'Input Sheet'!C21</f>
        <v>42856</v>
      </c>
      <c r="C21" s="63">
        <f>'Input Sheet'!D21</f>
        <v>227729</v>
      </c>
      <c r="D21" s="64">
        <f t="shared" si="0"/>
        <v>176783</v>
      </c>
      <c r="E21" s="63">
        <f t="shared" si="2"/>
        <v>50946</v>
      </c>
      <c r="F21" s="63">
        <f t="shared" ref="F21:F39" si="12">F20+E21</f>
        <v>71097</v>
      </c>
      <c r="G21" s="63">
        <f t="shared" si="3"/>
        <v>50946</v>
      </c>
      <c r="H21" s="18">
        <f t="shared" si="4"/>
        <v>0.22371327323265811</v>
      </c>
      <c r="I21" s="5">
        <f t="shared" si="5"/>
        <v>76179</v>
      </c>
      <c r="J21" s="32">
        <f t="shared" si="6"/>
        <v>2.7998661048320401</v>
      </c>
      <c r="L21" s="4">
        <v>4</v>
      </c>
      <c r="M21" s="6" t="str">
        <f>'Input Sheet'!F21</f>
        <v>Q1- 2018</v>
      </c>
      <c r="N21" s="5">
        <f>'Input Sheet'!G21</f>
        <v>496259.5</v>
      </c>
      <c r="O21" s="5">
        <f t="shared" si="1"/>
        <v>517041</v>
      </c>
      <c r="P21" s="5">
        <f t="shared" si="7"/>
        <v>-20781.5</v>
      </c>
      <c r="Q21" s="5">
        <f t="shared" ref="Q21:Q23" si="13">Q20+P21</f>
        <v>-57504.5</v>
      </c>
      <c r="R21" s="5">
        <f t="shared" si="8"/>
        <v>20781.5</v>
      </c>
      <c r="S21" s="18">
        <f t="shared" si="9"/>
        <v>4.1876276423927404E-2</v>
      </c>
      <c r="T21" s="5">
        <f t="shared" si="10"/>
        <v>57504.5</v>
      </c>
      <c r="U21" s="41">
        <f t="shared" si="11"/>
        <v>-3</v>
      </c>
    </row>
    <row r="22" spans="1:21">
      <c r="A22" s="4">
        <v>5</v>
      </c>
      <c r="B22" s="6">
        <f>'Input Sheet'!C22</f>
        <v>42887</v>
      </c>
      <c r="C22" s="63">
        <f>'Input Sheet'!D22</f>
        <v>149252</v>
      </c>
      <c r="D22" s="64">
        <f t="shared" si="0"/>
        <v>227729</v>
      </c>
      <c r="E22" s="63">
        <f t="shared" si="2"/>
        <v>-78477</v>
      </c>
      <c r="F22" s="63">
        <f t="shared" si="12"/>
        <v>-7380</v>
      </c>
      <c r="G22" s="63">
        <f t="shared" si="3"/>
        <v>78477</v>
      </c>
      <c r="H22" s="18">
        <f t="shared" si="4"/>
        <v>0.52580199930319194</v>
      </c>
      <c r="I22" s="5">
        <f t="shared" si="5"/>
        <v>154656</v>
      </c>
      <c r="J22" s="32">
        <f t="shared" si="6"/>
        <v>-0.19087523277467411</v>
      </c>
      <c r="L22" s="4">
        <v>5</v>
      </c>
      <c r="M22" s="6" t="str">
        <f>'Input Sheet'!F22</f>
        <v>Q2- 2018</v>
      </c>
      <c r="N22" s="5">
        <f>'Input Sheet'!G22</f>
        <v>496136</v>
      </c>
      <c r="O22" s="5">
        <f t="shared" si="1"/>
        <v>496259.5</v>
      </c>
      <c r="P22" s="5">
        <f t="shared" si="7"/>
        <v>-123.5</v>
      </c>
      <c r="Q22" s="5">
        <f t="shared" si="13"/>
        <v>-57628</v>
      </c>
      <c r="R22" s="5">
        <f t="shared" si="8"/>
        <v>123.5</v>
      </c>
      <c r="S22" s="18">
        <f t="shared" si="9"/>
        <v>2.4892368221616655E-4</v>
      </c>
      <c r="T22" s="5">
        <f t="shared" si="10"/>
        <v>57628</v>
      </c>
      <c r="U22" s="41">
        <f t="shared" si="11"/>
        <v>-4</v>
      </c>
    </row>
    <row r="23" spans="1:21">
      <c r="A23" s="4">
        <v>6</v>
      </c>
      <c r="B23" s="6">
        <f>'Input Sheet'!C23</f>
        <v>42917</v>
      </c>
      <c r="C23" s="63">
        <f>'Input Sheet'!D23</f>
        <v>190401</v>
      </c>
      <c r="D23" s="64">
        <f t="shared" si="0"/>
        <v>149252</v>
      </c>
      <c r="E23" s="63">
        <f t="shared" si="2"/>
        <v>41149</v>
      </c>
      <c r="F23" s="63">
        <f t="shared" si="12"/>
        <v>33769</v>
      </c>
      <c r="G23" s="63">
        <f t="shared" si="3"/>
        <v>41149</v>
      </c>
      <c r="H23" s="18">
        <f t="shared" si="4"/>
        <v>0.21611756240776045</v>
      </c>
      <c r="I23" s="5">
        <f t="shared" si="5"/>
        <v>195805</v>
      </c>
      <c r="J23" s="32">
        <f t="shared" si="6"/>
        <v>0.86231199407573866</v>
      </c>
      <c r="L23" s="4">
        <v>6</v>
      </c>
      <c r="M23" s="6" t="str">
        <f>'Input Sheet'!F23</f>
        <v>Q3- 2018</v>
      </c>
      <c r="N23" s="5">
        <f>'Input Sheet'!G23</f>
        <v>471415</v>
      </c>
      <c r="O23" s="5">
        <f t="shared" si="1"/>
        <v>496136</v>
      </c>
      <c r="P23" s="5">
        <f t="shared" si="7"/>
        <v>-24721</v>
      </c>
      <c r="Q23" s="5">
        <f t="shared" si="13"/>
        <v>-82349</v>
      </c>
      <c r="R23" s="5">
        <f t="shared" si="8"/>
        <v>24721</v>
      </c>
      <c r="S23" s="18">
        <f t="shared" si="9"/>
        <v>5.2439994484689709E-2</v>
      </c>
      <c r="T23" s="5">
        <f t="shared" si="10"/>
        <v>82349</v>
      </c>
      <c r="U23" s="41">
        <f t="shared" si="11"/>
        <v>-5</v>
      </c>
    </row>
    <row r="24" spans="1:21">
      <c r="A24" s="4">
        <v>7</v>
      </c>
      <c r="B24" s="6">
        <f>'Input Sheet'!C24</f>
        <v>42948</v>
      </c>
      <c r="C24" s="63">
        <f>'Input Sheet'!D24</f>
        <v>199905</v>
      </c>
      <c r="D24" s="64">
        <f t="shared" si="0"/>
        <v>190401</v>
      </c>
      <c r="E24" s="63">
        <f t="shared" si="2"/>
        <v>9504</v>
      </c>
      <c r="F24" s="63">
        <f t="shared" si="12"/>
        <v>43273</v>
      </c>
      <c r="G24" s="63">
        <f t="shared" si="3"/>
        <v>9504</v>
      </c>
      <c r="H24" s="18">
        <f t="shared" si="4"/>
        <v>4.7542582726795228E-2</v>
      </c>
      <c r="I24" s="5">
        <f t="shared" si="5"/>
        <v>205309</v>
      </c>
      <c r="J24" s="32">
        <f t="shared" si="6"/>
        <v>1.2646206449790316</v>
      </c>
      <c r="L24" s="4">
        <v>7</v>
      </c>
      <c r="M24" s="6" t="str">
        <f>'Input Sheet'!F24</f>
        <v>Q4- 2018</v>
      </c>
      <c r="N24" s="5">
        <f>'Input Sheet'!G24</f>
        <v>482435</v>
      </c>
      <c r="O24" s="5">
        <f t="shared" si="1"/>
        <v>471415</v>
      </c>
      <c r="P24" s="5">
        <f t="shared" ref="P24" si="14">N24-O24</f>
        <v>11020</v>
      </c>
      <c r="Q24" s="5">
        <f t="shared" ref="Q24" si="15">Q23+P24</f>
        <v>-71329</v>
      </c>
      <c r="R24" s="5">
        <f t="shared" ref="R24" si="16">ABS(P24)</f>
        <v>11020</v>
      </c>
      <c r="S24" s="18">
        <f t="shared" ref="S24" si="17">IFERROR(R24/N24,"-")</f>
        <v>2.2842455460321081E-2</v>
      </c>
      <c r="T24" s="5">
        <f t="shared" si="10"/>
        <v>93369</v>
      </c>
      <c r="U24" s="41"/>
    </row>
    <row r="25" spans="1:21">
      <c r="A25" s="4">
        <v>8</v>
      </c>
      <c r="B25" s="6">
        <f>'Input Sheet'!C25</f>
        <v>42979</v>
      </c>
      <c r="C25" s="63">
        <f>'Input Sheet'!D25</f>
        <v>145658</v>
      </c>
      <c r="D25" s="64">
        <f t="shared" si="0"/>
        <v>199905</v>
      </c>
      <c r="E25" s="63">
        <f t="shared" si="2"/>
        <v>-54247</v>
      </c>
      <c r="F25" s="63">
        <f t="shared" si="12"/>
        <v>-10974</v>
      </c>
      <c r="G25" s="63">
        <f t="shared" si="3"/>
        <v>54247</v>
      </c>
      <c r="H25" s="18">
        <f t="shared" si="4"/>
        <v>0.3724271924645402</v>
      </c>
      <c r="I25" s="5">
        <f t="shared" si="5"/>
        <v>259556</v>
      </c>
      <c r="J25" s="32">
        <f t="shared" si="6"/>
        <v>-0.29595925349442892</v>
      </c>
      <c r="L25" s="4">
        <v>8</v>
      </c>
      <c r="M25" s="6" t="s">
        <v>76</v>
      </c>
      <c r="N25" s="102"/>
      <c r="O25" s="27">
        <f t="shared" ref="O25" si="18">N24</f>
        <v>482435</v>
      </c>
      <c r="P25" s="102"/>
      <c r="Q25" s="102"/>
      <c r="R25" s="102"/>
      <c r="S25" s="104"/>
      <c r="T25" s="102"/>
      <c r="U25" s="100"/>
    </row>
    <row r="26" spans="1:21">
      <c r="A26" s="4">
        <v>9</v>
      </c>
      <c r="B26" s="6">
        <f>'Input Sheet'!C26</f>
        <v>43009</v>
      </c>
      <c r="C26" s="63">
        <f>'Input Sheet'!D26</f>
        <v>176171</v>
      </c>
      <c r="D26" s="64">
        <f t="shared" si="0"/>
        <v>145658</v>
      </c>
      <c r="E26" s="63">
        <f t="shared" si="2"/>
        <v>30513</v>
      </c>
      <c r="F26" s="63">
        <f t="shared" si="12"/>
        <v>19539</v>
      </c>
      <c r="G26" s="63">
        <f t="shared" si="3"/>
        <v>30513</v>
      </c>
      <c r="H26" s="18">
        <f t="shared" si="4"/>
        <v>0.17320103762821348</v>
      </c>
      <c r="I26" s="5">
        <f t="shared" si="5"/>
        <v>290069</v>
      </c>
      <c r="J26" s="32">
        <f t="shared" si="6"/>
        <v>0.53887868058979072</v>
      </c>
      <c r="L26" s="228" t="s">
        <v>36</v>
      </c>
      <c r="M26" s="228"/>
      <c r="N26" s="17"/>
      <c r="O26" s="17"/>
      <c r="P26" s="29">
        <f>AVERAGE(P18:P24)</f>
        <v>-11888.166666666666</v>
      </c>
      <c r="Q26" s="30"/>
      <c r="R26" s="29">
        <f>AVERAGE(R19:R24)</f>
        <v>15561.5</v>
      </c>
      <c r="S26" s="31">
        <f>AVERAGE(S19:S24)</f>
        <v>3.1202913476466771E-2</v>
      </c>
      <c r="T26" s="30"/>
      <c r="U26" s="30"/>
    </row>
    <row r="27" spans="1:21">
      <c r="A27" s="4">
        <v>10</v>
      </c>
      <c r="B27" s="6">
        <f>'Input Sheet'!C27</f>
        <v>43040</v>
      </c>
      <c r="C27" s="63">
        <f>'Input Sheet'!D27</f>
        <v>169218.5</v>
      </c>
      <c r="D27" s="64">
        <f t="shared" si="0"/>
        <v>176171</v>
      </c>
      <c r="E27" s="63">
        <f t="shared" si="2"/>
        <v>-6952.5</v>
      </c>
      <c r="F27" s="63">
        <f t="shared" si="12"/>
        <v>12586.5</v>
      </c>
      <c r="G27" s="63">
        <f t="shared" si="3"/>
        <v>6952.5</v>
      </c>
      <c r="H27" s="18">
        <f t="shared" si="4"/>
        <v>4.1085933275617027E-2</v>
      </c>
      <c r="I27" s="5">
        <f t="shared" si="5"/>
        <v>297021.5</v>
      </c>
      <c r="J27" s="32">
        <f t="shared" si="6"/>
        <v>0.38138148248527459</v>
      </c>
      <c r="L27" s="48"/>
      <c r="M27" s="49"/>
      <c r="N27" s="50"/>
      <c r="O27" s="50"/>
      <c r="P27" s="35" t="s">
        <v>40</v>
      </c>
      <c r="Q27" s="35"/>
      <c r="R27" s="35" t="s">
        <v>2</v>
      </c>
      <c r="S27" s="35" t="s">
        <v>3</v>
      </c>
      <c r="T27" s="50"/>
      <c r="U27" s="51"/>
    </row>
    <row r="28" spans="1:21">
      <c r="A28" s="4">
        <v>11</v>
      </c>
      <c r="B28" s="6">
        <f>'Input Sheet'!C28</f>
        <v>43070</v>
      </c>
      <c r="C28" s="63">
        <f>'Input Sheet'!D28</f>
        <v>171651.5</v>
      </c>
      <c r="D28" s="64">
        <f t="shared" si="0"/>
        <v>169218.5</v>
      </c>
      <c r="E28" s="63">
        <f t="shared" si="2"/>
        <v>2433</v>
      </c>
      <c r="F28" s="63">
        <f t="shared" si="12"/>
        <v>15019.5</v>
      </c>
      <c r="G28" s="63">
        <f t="shared" si="3"/>
        <v>2433</v>
      </c>
      <c r="H28" s="18">
        <f t="shared" si="4"/>
        <v>1.4174067805990627E-2</v>
      </c>
      <c r="I28" s="5">
        <f t="shared" si="5"/>
        <v>299454.5</v>
      </c>
      <c r="J28" s="32">
        <f t="shared" si="6"/>
        <v>0.5015620069159088</v>
      </c>
    </row>
    <row r="29" spans="1:21">
      <c r="A29" s="4">
        <v>12</v>
      </c>
      <c r="B29" s="6">
        <f>'Input Sheet'!C29</f>
        <v>43101</v>
      </c>
      <c r="C29" s="63">
        <f>'Input Sheet'!D29</f>
        <v>170123</v>
      </c>
      <c r="D29" s="64">
        <f t="shared" si="0"/>
        <v>171651.5</v>
      </c>
      <c r="E29" s="63">
        <f t="shared" si="2"/>
        <v>-1528.5</v>
      </c>
      <c r="F29" s="63">
        <f t="shared" si="12"/>
        <v>13491</v>
      </c>
      <c r="G29" s="63">
        <f t="shared" si="3"/>
        <v>1528.5</v>
      </c>
      <c r="H29" s="18">
        <f t="shared" si="4"/>
        <v>8.9846757933965422E-3</v>
      </c>
      <c r="I29" s="5">
        <f t="shared" si="5"/>
        <v>300983</v>
      </c>
      <c r="J29" s="32">
        <f t="shared" si="6"/>
        <v>0.49305442500074759</v>
      </c>
      <c r="O29" s="7"/>
      <c r="P29" s="7"/>
      <c r="Q29" s="7"/>
      <c r="R29" s="7"/>
    </row>
    <row r="30" spans="1:21">
      <c r="A30" s="4">
        <v>13</v>
      </c>
      <c r="B30" s="6">
        <f>'Input Sheet'!C30</f>
        <v>43132</v>
      </c>
      <c r="C30" s="63">
        <f>'Input Sheet'!D30</f>
        <v>153671</v>
      </c>
      <c r="D30" s="64">
        <f t="shared" si="0"/>
        <v>170123</v>
      </c>
      <c r="E30" s="63">
        <f t="shared" si="2"/>
        <v>-16452</v>
      </c>
      <c r="F30" s="63">
        <f t="shared" si="12"/>
        <v>-2961</v>
      </c>
      <c r="G30" s="63">
        <f t="shared" si="3"/>
        <v>16452</v>
      </c>
      <c r="H30" s="18">
        <f t="shared" si="4"/>
        <v>0.1070598876821261</v>
      </c>
      <c r="I30" s="5">
        <f t="shared" si="5"/>
        <v>317435</v>
      </c>
      <c r="J30" s="32">
        <f t="shared" si="6"/>
        <v>-0.11193472679446186</v>
      </c>
      <c r="O30" s="95"/>
      <c r="P30" s="95"/>
      <c r="Q30" s="95"/>
      <c r="R30" s="95"/>
      <c r="T30" s="54"/>
      <c r="U30" s="56"/>
    </row>
    <row r="31" spans="1:21" ht="15.75">
      <c r="A31" s="4">
        <v>14</v>
      </c>
      <c r="B31" s="6">
        <f>'Input Sheet'!C31</f>
        <v>43160</v>
      </c>
      <c r="C31" s="63">
        <f>'Input Sheet'!D31</f>
        <v>172465.5</v>
      </c>
      <c r="D31" s="64">
        <f t="shared" si="0"/>
        <v>153671</v>
      </c>
      <c r="E31" s="63">
        <f t="shared" si="2"/>
        <v>18794.5</v>
      </c>
      <c r="F31" s="63">
        <f t="shared" si="12"/>
        <v>15833.5</v>
      </c>
      <c r="G31" s="63">
        <f t="shared" si="3"/>
        <v>18794.5</v>
      </c>
      <c r="H31" s="18">
        <f t="shared" si="4"/>
        <v>0.10897541827206021</v>
      </c>
      <c r="I31" s="5">
        <f t="shared" si="5"/>
        <v>336229.5</v>
      </c>
      <c r="J31" s="32">
        <f t="shared" si="6"/>
        <v>0.61218750882953465</v>
      </c>
      <c r="M31" s="59"/>
      <c r="N31" s="59"/>
      <c r="O31" s="96"/>
      <c r="P31" s="94"/>
      <c r="Q31" s="94"/>
      <c r="R31" s="97"/>
      <c r="T31" s="54"/>
      <c r="U31" s="56"/>
    </row>
    <row r="32" spans="1:21">
      <c r="A32" s="4">
        <v>15</v>
      </c>
      <c r="B32" s="6">
        <f>'Input Sheet'!C32</f>
        <v>43191</v>
      </c>
      <c r="C32" s="63">
        <f>'Input Sheet'!D32</f>
        <v>162614.5</v>
      </c>
      <c r="D32" s="64">
        <f t="shared" si="0"/>
        <v>172465.5</v>
      </c>
      <c r="E32" s="63">
        <f t="shared" si="2"/>
        <v>-9851</v>
      </c>
      <c r="F32" s="63">
        <f t="shared" si="12"/>
        <v>5982.5</v>
      </c>
      <c r="G32" s="63">
        <f t="shared" si="3"/>
        <v>9851</v>
      </c>
      <c r="H32" s="18">
        <f t="shared" si="4"/>
        <v>6.0578853669260739E-2</v>
      </c>
      <c r="I32" s="5">
        <f t="shared" si="5"/>
        <v>346080.5</v>
      </c>
      <c r="J32" s="32">
        <f t="shared" si="6"/>
        <v>0.24201016815451898</v>
      </c>
      <c r="T32" s="54"/>
      <c r="U32" s="56"/>
    </row>
    <row r="33" spans="1:21">
      <c r="A33" s="4">
        <v>16</v>
      </c>
      <c r="B33" s="6">
        <f>'Input Sheet'!C33</f>
        <v>43221</v>
      </c>
      <c r="C33" s="63">
        <f>'Input Sheet'!D33</f>
        <v>192675.5</v>
      </c>
      <c r="D33" s="64">
        <f t="shared" si="0"/>
        <v>162614.5</v>
      </c>
      <c r="E33" s="63">
        <f t="shared" si="2"/>
        <v>30061</v>
      </c>
      <c r="F33" s="63">
        <f t="shared" si="12"/>
        <v>36043.5</v>
      </c>
      <c r="G33" s="63">
        <f t="shared" si="3"/>
        <v>30061</v>
      </c>
      <c r="H33" s="18">
        <f t="shared" si="4"/>
        <v>0.15601879844609201</v>
      </c>
      <c r="I33" s="5">
        <f t="shared" si="5"/>
        <v>376141.5</v>
      </c>
      <c r="J33" s="32">
        <f t="shared" si="6"/>
        <v>1.4373646619689666</v>
      </c>
      <c r="L33" s="52"/>
      <c r="Q33" s="54"/>
      <c r="R33" s="54"/>
      <c r="S33" s="55"/>
      <c r="T33" s="54"/>
      <c r="U33" s="56"/>
    </row>
    <row r="34" spans="1:21">
      <c r="A34" s="4">
        <v>17</v>
      </c>
      <c r="B34" s="6">
        <f>'Input Sheet'!C34</f>
        <v>43252</v>
      </c>
      <c r="C34" s="63">
        <f>'Input Sheet'!D34</f>
        <v>140846</v>
      </c>
      <c r="D34" s="64">
        <f t="shared" si="0"/>
        <v>192675.5</v>
      </c>
      <c r="E34" s="63">
        <f>C34-D34</f>
        <v>-51829.5</v>
      </c>
      <c r="F34" s="63">
        <f t="shared" si="12"/>
        <v>-15786</v>
      </c>
      <c r="G34" s="63">
        <f t="shared" si="3"/>
        <v>51829.5</v>
      </c>
      <c r="H34" s="18">
        <f t="shared" si="4"/>
        <v>0.36798702128565952</v>
      </c>
      <c r="I34" s="5">
        <f t="shared" si="5"/>
        <v>427971</v>
      </c>
      <c r="J34" s="32">
        <f t="shared" si="6"/>
        <v>-0.59017082933189402</v>
      </c>
      <c r="L34" s="52"/>
      <c r="Q34" s="54"/>
      <c r="R34" s="54"/>
      <c r="S34" s="54"/>
      <c r="T34" s="54"/>
      <c r="U34" s="57"/>
    </row>
    <row r="35" spans="1:21">
      <c r="A35" s="4">
        <v>18</v>
      </c>
      <c r="B35" s="6">
        <f>'Input Sheet'!C35</f>
        <v>43282</v>
      </c>
      <c r="C35" s="63">
        <f>'Input Sheet'!D35</f>
        <v>161309</v>
      </c>
      <c r="D35" s="64">
        <f t="shared" si="0"/>
        <v>140846</v>
      </c>
      <c r="E35" s="63">
        <f t="shared" si="2"/>
        <v>20463</v>
      </c>
      <c r="F35" s="63">
        <f t="shared" si="12"/>
        <v>4677</v>
      </c>
      <c r="G35" s="63">
        <f t="shared" si="3"/>
        <v>20463</v>
      </c>
      <c r="H35" s="18">
        <f t="shared" si="4"/>
        <v>0.12685591008561209</v>
      </c>
      <c r="I35" s="5">
        <f t="shared" si="5"/>
        <v>448434</v>
      </c>
      <c r="J35" s="32">
        <f t="shared" si="6"/>
        <v>0.17730368348519515</v>
      </c>
      <c r="L35" s="52"/>
      <c r="Q35" s="54"/>
      <c r="R35" s="54"/>
      <c r="S35" s="54"/>
      <c r="T35" s="54"/>
      <c r="U35" s="57"/>
    </row>
    <row r="36" spans="1:21">
      <c r="A36" s="4">
        <v>19</v>
      </c>
      <c r="B36" s="6">
        <f>'Input Sheet'!C36</f>
        <v>43313</v>
      </c>
      <c r="C36" s="63">
        <f>'Input Sheet'!D36</f>
        <v>159995</v>
      </c>
      <c r="D36" s="64">
        <f t="shared" si="0"/>
        <v>161309</v>
      </c>
      <c r="E36" s="63">
        <f t="shared" si="2"/>
        <v>-1314</v>
      </c>
      <c r="F36" s="63">
        <f t="shared" si="12"/>
        <v>3363</v>
      </c>
      <c r="G36" s="63">
        <f t="shared" si="3"/>
        <v>1314</v>
      </c>
      <c r="H36" s="18">
        <f t="shared" si="4"/>
        <v>8.2127566486452693E-3</v>
      </c>
      <c r="I36" s="5">
        <f t="shared" si="5"/>
        <v>449748</v>
      </c>
      <c r="J36" s="32">
        <f t="shared" si="6"/>
        <v>0.1345953734091091</v>
      </c>
      <c r="L36" s="52"/>
      <c r="Q36" s="54"/>
      <c r="R36" s="54"/>
      <c r="S36" s="54"/>
      <c r="T36" s="54"/>
      <c r="U36" s="57"/>
    </row>
    <row r="37" spans="1:21">
      <c r="A37" s="4">
        <v>20</v>
      </c>
      <c r="B37" s="6">
        <f>'Input Sheet'!C37</f>
        <v>43344</v>
      </c>
      <c r="C37" s="63">
        <f>'Input Sheet'!D37</f>
        <v>150111</v>
      </c>
      <c r="D37" s="64">
        <f t="shared" si="0"/>
        <v>159995</v>
      </c>
      <c r="E37" s="63">
        <f t="shared" si="2"/>
        <v>-9884</v>
      </c>
      <c r="F37" s="63">
        <f t="shared" si="12"/>
        <v>-6521</v>
      </c>
      <c r="G37" s="63">
        <f t="shared" si="3"/>
        <v>9884</v>
      </c>
      <c r="H37" s="18">
        <f t="shared" si="4"/>
        <v>6.5844608323174181E-2</v>
      </c>
      <c r="I37" s="5">
        <f t="shared" si="5"/>
        <v>459632</v>
      </c>
      <c r="J37" s="32">
        <f t="shared" si="6"/>
        <v>-0.26956130121488492</v>
      </c>
      <c r="L37" s="52"/>
      <c r="M37" s="53"/>
      <c r="N37" s="54"/>
      <c r="O37" s="54"/>
      <c r="P37" s="54"/>
      <c r="Q37" s="54"/>
      <c r="R37" s="54"/>
      <c r="S37" s="54"/>
      <c r="T37" s="54"/>
      <c r="U37" s="57"/>
    </row>
    <row r="38" spans="1:21">
      <c r="A38" s="4">
        <v>21</v>
      </c>
      <c r="B38" s="6">
        <f>'Input Sheet'!C38</f>
        <v>43374</v>
      </c>
      <c r="C38" s="63">
        <f>'Input Sheet'!D38</f>
        <v>166387</v>
      </c>
      <c r="D38" s="64">
        <f t="shared" si="0"/>
        <v>150111</v>
      </c>
      <c r="E38" s="63">
        <f t="shared" si="2"/>
        <v>16276</v>
      </c>
      <c r="F38" s="63">
        <f t="shared" si="12"/>
        <v>9755</v>
      </c>
      <c r="G38" s="63">
        <f t="shared" si="3"/>
        <v>16276</v>
      </c>
      <c r="H38" s="18">
        <f t="shared" si="4"/>
        <v>9.7820142198609267E-2</v>
      </c>
      <c r="I38" s="5">
        <f t="shared" si="5"/>
        <v>475908</v>
      </c>
      <c r="J38" s="32">
        <f t="shared" si="6"/>
        <v>0.40995318422888455</v>
      </c>
      <c r="L38" s="52"/>
      <c r="M38" s="53"/>
      <c r="N38" s="54"/>
      <c r="O38" s="54"/>
      <c r="P38" s="54"/>
      <c r="Q38" s="54"/>
      <c r="R38" s="54"/>
      <c r="S38" s="54"/>
      <c r="T38" s="54"/>
      <c r="U38" s="57"/>
    </row>
    <row r="39" spans="1:21">
      <c r="A39" s="4">
        <v>22</v>
      </c>
      <c r="B39" s="6">
        <f>'Input Sheet'!C39</f>
        <v>43405</v>
      </c>
      <c r="C39" s="63">
        <f>'Input Sheet'!D39</f>
        <v>163152</v>
      </c>
      <c r="D39" s="64">
        <f t="shared" si="0"/>
        <v>166387</v>
      </c>
      <c r="E39" s="63">
        <f t="shared" si="2"/>
        <v>-3235</v>
      </c>
      <c r="F39" s="63">
        <f t="shared" si="12"/>
        <v>6520</v>
      </c>
      <c r="G39" s="63">
        <f t="shared" si="3"/>
        <v>3235</v>
      </c>
      <c r="H39" s="18">
        <f t="shared" si="4"/>
        <v>1.982813572619398E-2</v>
      </c>
      <c r="I39" s="5">
        <f t="shared" si="5"/>
        <v>479143</v>
      </c>
      <c r="J39" s="32">
        <f t="shared" si="6"/>
        <v>0.28576020102558108</v>
      </c>
      <c r="L39" s="52"/>
      <c r="M39" s="53"/>
      <c r="N39" s="54"/>
      <c r="O39" s="54"/>
      <c r="P39" s="54"/>
      <c r="Q39" s="54"/>
      <c r="R39" s="54"/>
      <c r="S39" s="54"/>
      <c r="T39" s="54"/>
      <c r="U39" s="57"/>
    </row>
    <row r="40" spans="1:21">
      <c r="A40" s="4">
        <v>23</v>
      </c>
      <c r="B40" s="6">
        <f>'Input Sheet'!C40</f>
        <v>43435</v>
      </c>
      <c r="C40" s="63">
        <f>'Input Sheet'!D40</f>
        <v>152896</v>
      </c>
      <c r="D40" s="64">
        <f t="shared" si="0"/>
        <v>163152</v>
      </c>
      <c r="E40" s="63">
        <f t="shared" ref="E40" si="19">C40-D40</f>
        <v>-10256</v>
      </c>
      <c r="F40" s="63">
        <f t="shared" ref="F40" si="20">F39+E40</f>
        <v>-3736</v>
      </c>
      <c r="G40" s="63">
        <f t="shared" ref="G40" si="21">ABS(E40)</f>
        <v>10256</v>
      </c>
      <c r="H40" s="18">
        <f t="shared" ref="H40" si="22">IFERROR(G40/C40,"-")</f>
        <v>6.7078275429049816E-2</v>
      </c>
      <c r="I40" s="5">
        <f t="shared" ref="I40" si="23">I39+G40</f>
        <v>489399</v>
      </c>
      <c r="J40" s="32">
        <f t="shared" si="6"/>
        <v>-0.16794476490552698</v>
      </c>
      <c r="L40" s="52"/>
      <c r="M40" s="53"/>
      <c r="N40" s="54"/>
      <c r="O40" s="54"/>
      <c r="P40" s="54"/>
      <c r="Q40" s="54"/>
      <c r="R40" s="54"/>
      <c r="S40" s="54"/>
      <c r="T40" s="54"/>
      <c r="U40" s="57"/>
    </row>
    <row r="41" spans="1:21">
      <c r="A41" s="48">
        <v>24</v>
      </c>
      <c r="B41" s="6">
        <f>DATE(YEAR(B40),MONTH(B40)+1,DAY(B40))</f>
        <v>43466</v>
      </c>
      <c r="C41" s="107"/>
      <c r="D41" s="65">
        <f t="shared" si="0"/>
        <v>152896</v>
      </c>
      <c r="E41" s="98"/>
      <c r="F41" s="98"/>
      <c r="G41" s="98"/>
      <c r="H41" s="104"/>
      <c r="I41" s="102"/>
      <c r="J41" s="100"/>
      <c r="L41" s="52"/>
      <c r="M41" s="53"/>
      <c r="N41" s="54"/>
      <c r="O41" s="54"/>
      <c r="P41" s="54"/>
      <c r="Q41" s="54"/>
      <c r="R41" s="54"/>
      <c r="S41" s="54"/>
      <c r="T41" s="54"/>
      <c r="U41" s="57"/>
    </row>
    <row r="42" spans="1:21">
      <c r="A42" s="228" t="s">
        <v>36</v>
      </c>
      <c r="B42" s="228"/>
      <c r="C42" s="17"/>
      <c r="D42" s="17"/>
      <c r="E42" s="29">
        <f>AVERAGE(E17:E40)</f>
        <v>-169.81818181818181</v>
      </c>
      <c r="F42" s="30"/>
      <c r="G42" s="29">
        <f>AVERAGE(G19:G40)</f>
        <v>22245.409090909092</v>
      </c>
      <c r="H42" s="31">
        <f>AVERAGE(H19:H40)</f>
        <v>0.13410107219235756</v>
      </c>
      <c r="I42" s="30"/>
      <c r="J42" s="30"/>
    </row>
    <row r="43" spans="1:21">
      <c r="E43" s="35" t="s">
        <v>40</v>
      </c>
      <c r="F43" s="35"/>
      <c r="G43" s="35" t="s">
        <v>2</v>
      </c>
      <c r="H43" s="35" t="s">
        <v>3</v>
      </c>
    </row>
    <row r="45" spans="1:21" ht="15.75">
      <c r="A45" s="229" t="s">
        <v>56</v>
      </c>
      <c r="B45" s="229"/>
    </row>
    <row r="47" spans="1:21">
      <c r="A47" s="33"/>
    </row>
    <row r="48" spans="1:21">
      <c r="A48" s="33"/>
    </row>
  </sheetData>
  <mergeCells count="19">
    <mergeCell ref="A45:B45"/>
    <mergeCell ref="L1:U1"/>
    <mergeCell ref="L15:L16"/>
    <mergeCell ref="M15:M16"/>
    <mergeCell ref="Q15:Q16"/>
    <mergeCell ref="R15:R16"/>
    <mergeCell ref="S15:S16"/>
    <mergeCell ref="T15:T16"/>
    <mergeCell ref="U15:U16"/>
    <mergeCell ref="A1:J1"/>
    <mergeCell ref="A15:A16"/>
    <mergeCell ref="B15:B16"/>
    <mergeCell ref="F15:F16"/>
    <mergeCell ref="G15:G16"/>
    <mergeCell ref="H15:H16"/>
    <mergeCell ref="I15:I16"/>
    <mergeCell ref="J15:J16"/>
    <mergeCell ref="L26:M26"/>
    <mergeCell ref="A42:B4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0" tint="-0.249977111117893"/>
  </sheetPr>
  <dimension ref="A1:U47"/>
  <sheetViews>
    <sheetView zoomScale="75" zoomScaleNormal="75" workbookViewId="0">
      <selection activeCell="G40" sqref="G40"/>
    </sheetView>
  </sheetViews>
  <sheetFormatPr defaultRowHeight="15"/>
  <cols>
    <col min="1" max="1" width="9.28515625" customWidth="1"/>
    <col min="2" max="9" width="16.5703125" customWidth="1"/>
    <col min="10" max="10" width="18.42578125" customWidth="1"/>
    <col min="11" max="11" width="6.28515625" customWidth="1"/>
    <col min="12" max="21" width="16.85546875" customWidth="1"/>
  </cols>
  <sheetData>
    <row r="1" spans="1:21" ht="29.25" customHeight="1">
      <c r="A1" s="230" t="s">
        <v>60</v>
      </c>
      <c r="B1" s="230"/>
      <c r="C1" s="230"/>
      <c r="D1" s="230"/>
      <c r="E1" s="230"/>
      <c r="F1" s="230"/>
      <c r="G1" s="230"/>
      <c r="H1" s="230"/>
      <c r="I1" s="230"/>
      <c r="J1" s="230"/>
      <c r="K1" s="1"/>
      <c r="L1" s="230" t="s">
        <v>61</v>
      </c>
      <c r="M1" s="230"/>
      <c r="N1" s="230"/>
      <c r="O1" s="230"/>
      <c r="P1" s="230"/>
      <c r="Q1" s="230"/>
      <c r="R1" s="230"/>
      <c r="S1" s="230"/>
      <c r="T1" s="230"/>
      <c r="U1" s="230"/>
    </row>
    <row r="2" spans="1:21" ht="20.25">
      <c r="A2" s="2"/>
      <c r="B2" s="2"/>
      <c r="C2" s="2"/>
      <c r="D2" s="2"/>
      <c r="E2" s="2"/>
      <c r="F2" s="2"/>
      <c r="G2" s="2"/>
      <c r="H2" s="2"/>
      <c r="I2" s="2"/>
      <c r="J2" s="2"/>
      <c r="K2" s="1"/>
      <c r="L2" s="1"/>
      <c r="M2" s="1"/>
    </row>
    <row r="3" spans="1:21" ht="20.25">
      <c r="A3" s="2"/>
      <c r="B3" s="2"/>
      <c r="C3" s="2"/>
      <c r="D3" s="2"/>
      <c r="E3" s="2"/>
      <c r="F3" s="2"/>
      <c r="G3" s="2"/>
      <c r="H3" s="2"/>
      <c r="I3" s="2"/>
      <c r="J3" s="2"/>
      <c r="K3" s="1"/>
      <c r="L3" s="1"/>
      <c r="M3" s="1"/>
    </row>
    <row r="4" spans="1:21" ht="2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</row>
    <row r="5" spans="1:21" ht="2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</row>
    <row r="6" spans="1:21" ht="20.25">
      <c r="A6" s="2"/>
      <c r="B6" s="2"/>
      <c r="C6" s="2"/>
      <c r="D6" s="2"/>
      <c r="E6" s="2"/>
      <c r="F6" s="2"/>
      <c r="G6" s="2"/>
      <c r="H6" s="2"/>
      <c r="I6" s="2"/>
      <c r="J6" s="2"/>
      <c r="K6" s="1"/>
      <c r="L6" s="1"/>
      <c r="M6" s="1"/>
    </row>
    <row r="7" spans="1:21" ht="20.25">
      <c r="A7" s="2"/>
      <c r="B7" s="2"/>
      <c r="C7" s="2"/>
      <c r="D7" s="2"/>
      <c r="E7" s="2"/>
      <c r="F7" s="2"/>
      <c r="G7" s="2"/>
      <c r="H7" s="2"/>
      <c r="I7" s="2"/>
      <c r="J7" s="2"/>
      <c r="K7" s="1"/>
      <c r="L7" s="1"/>
      <c r="M7" s="1"/>
    </row>
    <row r="8" spans="1:21" ht="20.25">
      <c r="A8" s="2"/>
      <c r="B8" s="2"/>
      <c r="C8" s="2"/>
      <c r="D8" s="2"/>
      <c r="E8" s="2"/>
      <c r="F8" s="2"/>
      <c r="G8" s="2"/>
      <c r="H8" s="2"/>
      <c r="I8" s="2"/>
      <c r="J8" s="2"/>
      <c r="K8" s="1"/>
      <c r="L8" s="1"/>
      <c r="M8" s="1"/>
    </row>
    <row r="9" spans="1:21" ht="20.25">
      <c r="A9" s="2"/>
      <c r="B9" s="2"/>
      <c r="C9" s="2"/>
      <c r="D9" s="2"/>
      <c r="E9" s="2"/>
      <c r="F9" s="2"/>
      <c r="G9" s="2"/>
      <c r="H9" s="2"/>
      <c r="I9" s="2"/>
      <c r="J9" s="2"/>
      <c r="K9" s="1"/>
      <c r="L9" s="1"/>
      <c r="M9" s="1"/>
    </row>
    <row r="10" spans="1:21" ht="20.25">
      <c r="A10" s="2"/>
      <c r="B10" s="2"/>
      <c r="C10" s="2"/>
      <c r="D10" s="2"/>
      <c r="E10" s="2"/>
      <c r="F10" s="2"/>
      <c r="G10" s="2"/>
      <c r="H10" s="2"/>
      <c r="I10" s="2"/>
      <c r="J10" s="2"/>
      <c r="K10" s="1"/>
      <c r="L10" s="1"/>
      <c r="M10" s="1"/>
    </row>
    <row r="11" spans="1:21" ht="20.25">
      <c r="A11" s="2"/>
      <c r="B11" s="2"/>
      <c r="C11" s="2"/>
      <c r="D11" s="2"/>
      <c r="E11" s="2"/>
      <c r="F11" s="2"/>
      <c r="G11" s="2"/>
      <c r="H11" s="2"/>
      <c r="I11" s="2"/>
      <c r="J11" s="2"/>
      <c r="K11" s="1"/>
      <c r="L11" s="1"/>
      <c r="M11" s="1"/>
    </row>
    <row r="12" spans="1:21" ht="20.25">
      <c r="A12" s="2"/>
      <c r="B12" s="2"/>
      <c r="C12" s="2"/>
      <c r="D12" s="2"/>
      <c r="E12" s="2"/>
      <c r="F12" s="2"/>
      <c r="G12" s="2"/>
      <c r="H12" s="2"/>
      <c r="I12" s="2"/>
      <c r="J12" s="2"/>
      <c r="K12" s="1"/>
      <c r="L12" s="1"/>
      <c r="M12" s="1"/>
    </row>
    <row r="13" spans="1:21" ht="20.25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</row>
    <row r="14" spans="1:21" ht="27.75" customHeight="1"/>
    <row r="15" spans="1:21" ht="22.5" customHeight="1">
      <c r="A15" s="226" t="s">
        <v>11</v>
      </c>
      <c r="B15" s="226" t="s">
        <v>4</v>
      </c>
      <c r="C15" s="3" t="s">
        <v>0</v>
      </c>
      <c r="D15" s="3" t="s">
        <v>20</v>
      </c>
      <c r="E15" s="3" t="s">
        <v>31</v>
      </c>
      <c r="F15" s="226" t="s">
        <v>32</v>
      </c>
      <c r="G15" s="224" t="s">
        <v>37</v>
      </c>
      <c r="H15" s="224" t="s">
        <v>38</v>
      </c>
      <c r="I15" s="224" t="s">
        <v>33</v>
      </c>
      <c r="J15" s="226" t="s">
        <v>34</v>
      </c>
      <c r="L15" s="226" t="s">
        <v>11</v>
      </c>
      <c r="M15" s="226" t="s">
        <v>44</v>
      </c>
      <c r="N15" s="3" t="s">
        <v>0</v>
      </c>
      <c r="O15" s="3" t="s">
        <v>20</v>
      </c>
      <c r="P15" s="3" t="s">
        <v>31</v>
      </c>
      <c r="Q15" s="226" t="s">
        <v>32</v>
      </c>
      <c r="R15" s="224" t="s">
        <v>37</v>
      </c>
      <c r="S15" s="224" t="s">
        <v>38</v>
      </c>
      <c r="T15" s="224" t="s">
        <v>33</v>
      </c>
      <c r="U15" s="232" t="s">
        <v>34</v>
      </c>
    </row>
    <row r="16" spans="1:21" ht="20.25" customHeight="1">
      <c r="A16" s="231"/>
      <c r="B16" s="231"/>
      <c r="C16" s="9" t="s">
        <v>18</v>
      </c>
      <c r="D16" s="9" t="s">
        <v>15</v>
      </c>
      <c r="E16" s="9" t="s">
        <v>21</v>
      </c>
      <c r="F16" s="227"/>
      <c r="G16" s="225"/>
      <c r="H16" s="225"/>
      <c r="I16" s="225"/>
      <c r="J16" s="227"/>
      <c r="L16" s="231"/>
      <c r="M16" s="231"/>
      <c r="N16" s="9" t="s">
        <v>18</v>
      </c>
      <c r="O16" s="9" t="s">
        <v>15</v>
      </c>
      <c r="P16" s="9" t="s">
        <v>21</v>
      </c>
      <c r="Q16" s="227"/>
      <c r="R16" s="225"/>
      <c r="S16" s="225"/>
      <c r="T16" s="225"/>
      <c r="U16" s="233"/>
    </row>
    <row r="17" spans="1:21">
      <c r="A17" s="19">
        <v>0</v>
      </c>
      <c r="B17" s="20">
        <f>'Input Sheet'!C17</f>
        <v>42736</v>
      </c>
      <c r="C17" s="60">
        <f>'Input Sheet'!D17</f>
        <v>168959</v>
      </c>
      <c r="D17" s="60">
        <v>0</v>
      </c>
      <c r="E17" s="61" t="s">
        <v>19</v>
      </c>
      <c r="F17" s="61" t="s">
        <v>19</v>
      </c>
      <c r="G17" s="61" t="s">
        <v>19</v>
      </c>
      <c r="H17" s="23" t="s">
        <v>19</v>
      </c>
      <c r="I17" s="23" t="s">
        <v>19</v>
      </c>
      <c r="J17" s="66" t="s">
        <v>19</v>
      </c>
      <c r="K17" s="34"/>
      <c r="L17" s="19">
        <v>0</v>
      </c>
      <c r="M17" s="20" t="str">
        <f>'Input Sheet'!F17</f>
        <v>Q1- 2017</v>
      </c>
      <c r="N17" s="60">
        <f>'Input Sheet'!G17</f>
        <v>504915</v>
      </c>
      <c r="O17" s="60">
        <v>0</v>
      </c>
      <c r="P17" s="61" t="s">
        <v>19</v>
      </c>
      <c r="Q17" s="61" t="s">
        <v>19</v>
      </c>
      <c r="R17" s="61" t="s">
        <v>19</v>
      </c>
      <c r="S17" s="23" t="s">
        <v>19</v>
      </c>
      <c r="T17" s="23" t="s">
        <v>19</v>
      </c>
      <c r="U17" s="66" t="s">
        <v>19</v>
      </c>
    </row>
    <row r="18" spans="1:21">
      <c r="A18" s="19">
        <v>1</v>
      </c>
      <c r="B18" s="20">
        <f>'Input Sheet'!C18</f>
        <v>42767</v>
      </c>
      <c r="C18" s="60">
        <f>'Input Sheet'!D18</f>
        <v>156632</v>
      </c>
      <c r="D18" s="60">
        <v>0</v>
      </c>
      <c r="E18" s="62" t="s">
        <v>19</v>
      </c>
      <c r="F18" s="61" t="s">
        <v>19</v>
      </c>
      <c r="G18" s="61" t="s">
        <v>19</v>
      </c>
      <c r="H18" s="26" t="s">
        <v>19</v>
      </c>
      <c r="I18" s="26" t="s">
        <v>19</v>
      </c>
      <c r="J18" s="66" t="s">
        <v>19</v>
      </c>
      <c r="K18" s="24"/>
      <c r="L18" s="19">
        <v>1</v>
      </c>
      <c r="M18" s="20" t="str">
        <f>'Input Sheet'!F18</f>
        <v>Q2- 2017</v>
      </c>
      <c r="N18" s="60">
        <f>'Input Sheet'!G18</f>
        <v>553764</v>
      </c>
      <c r="O18" s="60">
        <f>AVERAGE(N17)</f>
        <v>504915</v>
      </c>
      <c r="P18" s="60">
        <f>N18-O18</f>
        <v>48849</v>
      </c>
      <c r="Q18" s="61" t="s">
        <v>19</v>
      </c>
      <c r="R18" s="61" t="s">
        <v>19</v>
      </c>
      <c r="S18" s="26" t="s">
        <v>19</v>
      </c>
      <c r="T18" s="26" t="s">
        <v>19</v>
      </c>
      <c r="U18" s="66" t="s">
        <v>19</v>
      </c>
    </row>
    <row r="19" spans="1:21">
      <c r="A19" s="4">
        <v>2</v>
      </c>
      <c r="B19" s="6">
        <f>'Input Sheet'!C19</f>
        <v>42795</v>
      </c>
      <c r="C19" s="63">
        <f>'Input Sheet'!D19</f>
        <v>179324</v>
      </c>
      <c r="D19" s="207">
        <f>AVERAGE(C17:C18)</f>
        <v>162795.5</v>
      </c>
      <c r="E19" s="63">
        <f>C19-D19</f>
        <v>16528.5</v>
      </c>
      <c r="F19" s="63">
        <f>E19</f>
        <v>16528.5</v>
      </c>
      <c r="G19" s="63">
        <f>ABS(E19)</f>
        <v>16528.5</v>
      </c>
      <c r="H19" s="18">
        <f>IFERROR(G19/C19,"-")</f>
        <v>9.2171153889049992E-2</v>
      </c>
      <c r="I19" s="5">
        <f>G19</f>
        <v>16528.5</v>
      </c>
      <c r="J19" s="68">
        <f>F19/(I19/(A19-1))</f>
        <v>1</v>
      </c>
      <c r="L19" s="4">
        <v>2</v>
      </c>
      <c r="M19" s="6" t="str">
        <f>'Input Sheet'!F19</f>
        <v>Q3- 2017</v>
      </c>
      <c r="N19" s="64">
        <f>'Input Sheet'!G19</f>
        <v>535964</v>
      </c>
      <c r="O19" s="64">
        <f>AVERAGE(N17:N18)</f>
        <v>529339.5</v>
      </c>
      <c r="P19" s="64">
        <f>N19-O19</f>
        <v>6624.5</v>
      </c>
      <c r="Q19" s="64">
        <f>P19</f>
        <v>6624.5</v>
      </c>
      <c r="R19" s="64">
        <f>ABS(P19)</f>
        <v>6624.5</v>
      </c>
      <c r="S19" s="18">
        <f t="shared" ref="S19:S23" si="0">R19/N19</f>
        <v>1.2359971938413775E-2</v>
      </c>
      <c r="T19" s="5">
        <f>R19</f>
        <v>6624.5</v>
      </c>
      <c r="U19" s="67">
        <f>Q19/(T19/(L19-1))</f>
        <v>1</v>
      </c>
    </row>
    <row r="20" spans="1:21">
      <c r="A20" s="4">
        <v>3</v>
      </c>
      <c r="B20" s="6">
        <f>'Input Sheet'!C20</f>
        <v>42826</v>
      </c>
      <c r="C20" s="63">
        <f>'Input Sheet'!D20</f>
        <v>176783</v>
      </c>
      <c r="D20" s="207">
        <f>AVERAGE(C17:C19)</f>
        <v>168305</v>
      </c>
      <c r="E20" s="63">
        <f t="shared" ref="E20:E39" si="1">C20-D20</f>
        <v>8478</v>
      </c>
      <c r="F20" s="63">
        <f>F19+E20</f>
        <v>25006.5</v>
      </c>
      <c r="G20" s="63">
        <f t="shared" ref="G20:G39" si="2">ABS(E20)</f>
        <v>8478</v>
      </c>
      <c r="H20" s="18">
        <f t="shared" ref="H20:H39" si="3">IFERROR(G20/C20,"-")</f>
        <v>4.7957099947393132E-2</v>
      </c>
      <c r="I20" s="5">
        <f t="shared" ref="I20:I39" si="4">I19+G20</f>
        <v>25006.5</v>
      </c>
      <c r="J20" s="68">
        <f t="shared" ref="J20:J40" si="5">F20/(I20/(A20-1))</f>
        <v>2</v>
      </c>
      <c r="L20" s="4">
        <v>3</v>
      </c>
      <c r="M20" s="6" t="str">
        <f>'Input Sheet'!F20</f>
        <v>Q4- 2017</v>
      </c>
      <c r="N20" s="64">
        <f>'Input Sheet'!G20</f>
        <v>517041</v>
      </c>
      <c r="O20" s="64">
        <f>AVERAGE(N17:N19)</f>
        <v>531547.66666666663</v>
      </c>
      <c r="P20" s="64">
        <f t="shared" ref="P20:P23" si="6">N20-O20</f>
        <v>-14506.666666666628</v>
      </c>
      <c r="Q20" s="64">
        <f>Q19+P20</f>
        <v>-7882.1666666666279</v>
      </c>
      <c r="R20" s="64">
        <f t="shared" ref="R20:R23" si="7">ABS(P20)</f>
        <v>14506.666666666628</v>
      </c>
      <c r="S20" s="18">
        <f t="shared" si="0"/>
        <v>2.8057091539484543E-2</v>
      </c>
      <c r="T20" s="5">
        <f t="shared" ref="T20:T23" si="8">T19+R20</f>
        <v>21131.166666666628</v>
      </c>
      <c r="U20" s="67">
        <f t="shared" ref="U20:U23" si="9">Q20/(T20/(L20-1))</f>
        <v>-0.74602285723299477</v>
      </c>
    </row>
    <row r="21" spans="1:21">
      <c r="A21" s="4">
        <v>4</v>
      </c>
      <c r="B21" s="6">
        <f>'Input Sheet'!C21</f>
        <v>42856</v>
      </c>
      <c r="C21" s="63">
        <f>'Input Sheet'!D21</f>
        <v>227729</v>
      </c>
      <c r="D21" s="207">
        <f>AVERAGE(C18:C20)</f>
        <v>170913</v>
      </c>
      <c r="E21" s="63">
        <f t="shared" si="1"/>
        <v>56816</v>
      </c>
      <c r="F21" s="63">
        <f t="shared" ref="F21:F39" si="10">F20+E21</f>
        <v>81822.5</v>
      </c>
      <c r="G21" s="63">
        <f t="shared" si="2"/>
        <v>56816</v>
      </c>
      <c r="H21" s="18">
        <f t="shared" si="3"/>
        <v>0.2494895248299514</v>
      </c>
      <c r="I21" s="5">
        <f t="shared" si="4"/>
        <v>81822.5</v>
      </c>
      <c r="J21" s="68">
        <f t="shared" si="5"/>
        <v>3</v>
      </c>
      <c r="L21" s="4">
        <v>4</v>
      </c>
      <c r="M21" s="6" t="str">
        <f>'Input Sheet'!F21</f>
        <v>Q1- 2018</v>
      </c>
      <c r="N21" s="64">
        <f>'Input Sheet'!G21</f>
        <v>496259.5</v>
      </c>
      <c r="O21" s="64">
        <f t="shared" ref="O21:O24" si="11">AVERAGE(N18:N20)</f>
        <v>535589.66666666663</v>
      </c>
      <c r="P21" s="64">
        <f t="shared" si="6"/>
        <v>-39330.166666666628</v>
      </c>
      <c r="Q21" s="64">
        <f t="shared" ref="Q21:Q23" si="12">Q20+P21</f>
        <v>-47212.333333333256</v>
      </c>
      <c r="R21" s="64">
        <f t="shared" si="7"/>
        <v>39330.166666666628</v>
      </c>
      <c r="S21" s="18">
        <f t="shared" si="0"/>
        <v>7.9253226722443865E-2</v>
      </c>
      <c r="T21" s="5">
        <f t="shared" si="8"/>
        <v>60461.333333333256</v>
      </c>
      <c r="U21" s="67">
        <f t="shared" si="9"/>
        <v>-2.3426046398800326</v>
      </c>
    </row>
    <row r="22" spans="1:21">
      <c r="A22" s="4">
        <v>5</v>
      </c>
      <c r="B22" s="6">
        <f>'Input Sheet'!C22</f>
        <v>42887</v>
      </c>
      <c r="C22" s="63">
        <f>'Input Sheet'!D22</f>
        <v>149252</v>
      </c>
      <c r="D22" s="64">
        <f>AVERAGE(C19:C21)</f>
        <v>194612</v>
      </c>
      <c r="E22" s="63">
        <f t="shared" si="1"/>
        <v>-45360</v>
      </c>
      <c r="F22" s="63">
        <f t="shared" si="10"/>
        <v>36462.5</v>
      </c>
      <c r="G22" s="63">
        <f t="shared" si="2"/>
        <v>45360</v>
      </c>
      <c r="H22" s="18">
        <f t="shared" si="3"/>
        <v>0.30391552542009487</v>
      </c>
      <c r="I22" s="5">
        <f t="shared" si="4"/>
        <v>127182.5</v>
      </c>
      <c r="J22" s="68">
        <f t="shared" si="5"/>
        <v>1.1467772688852633</v>
      </c>
      <c r="L22" s="4">
        <v>5</v>
      </c>
      <c r="M22" s="6" t="str">
        <f>'Input Sheet'!F22</f>
        <v>Q2- 2018</v>
      </c>
      <c r="N22" s="64">
        <f>'Input Sheet'!G22</f>
        <v>496136</v>
      </c>
      <c r="O22" s="64">
        <f t="shared" si="11"/>
        <v>516421.5</v>
      </c>
      <c r="P22" s="64">
        <f t="shared" si="6"/>
        <v>-20285.5</v>
      </c>
      <c r="Q22" s="64">
        <f t="shared" si="12"/>
        <v>-67497.833333333256</v>
      </c>
      <c r="R22" s="64">
        <f t="shared" si="7"/>
        <v>20285.5</v>
      </c>
      <c r="S22" s="18">
        <f t="shared" si="0"/>
        <v>4.0886974539239243E-2</v>
      </c>
      <c r="T22" s="5">
        <f t="shared" si="8"/>
        <v>80746.833333333256</v>
      </c>
      <c r="U22" s="67">
        <f t="shared" si="9"/>
        <v>-3.3436770482227365</v>
      </c>
    </row>
    <row r="23" spans="1:21">
      <c r="A23" s="4">
        <v>6</v>
      </c>
      <c r="B23" s="6">
        <f>'Input Sheet'!C23</f>
        <v>42917</v>
      </c>
      <c r="C23" s="63">
        <f>'Input Sheet'!D23</f>
        <v>190401</v>
      </c>
      <c r="D23" s="64">
        <f>AVERAGE(C20:C22)</f>
        <v>184588</v>
      </c>
      <c r="E23" s="63">
        <f t="shared" si="1"/>
        <v>5813</v>
      </c>
      <c r="F23" s="63">
        <f t="shared" si="10"/>
        <v>42275.5</v>
      </c>
      <c r="G23" s="63">
        <f t="shared" si="2"/>
        <v>5813</v>
      </c>
      <c r="H23" s="18">
        <f t="shared" si="3"/>
        <v>3.0530301836650016E-2</v>
      </c>
      <c r="I23" s="5">
        <f t="shared" si="4"/>
        <v>132995.5</v>
      </c>
      <c r="J23" s="68">
        <f t="shared" si="5"/>
        <v>1.5893582865585678</v>
      </c>
      <c r="L23" s="4">
        <v>6</v>
      </c>
      <c r="M23" s="6" t="str">
        <f>'Input Sheet'!F23</f>
        <v>Q3- 2018</v>
      </c>
      <c r="N23" s="64">
        <f>'Input Sheet'!G23</f>
        <v>471415</v>
      </c>
      <c r="O23" s="64">
        <f t="shared" si="11"/>
        <v>503145.5</v>
      </c>
      <c r="P23" s="64">
        <f t="shared" si="6"/>
        <v>-31730.5</v>
      </c>
      <c r="Q23" s="64">
        <f t="shared" si="12"/>
        <v>-99228.333333333256</v>
      </c>
      <c r="R23" s="64">
        <f t="shared" si="7"/>
        <v>31730.5</v>
      </c>
      <c r="S23" s="18">
        <f t="shared" si="0"/>
        <v>6.7309058897150068E-2</v>
      </c>
      <c r="T23" s="5">
        <f t="shared" si="8"/>
        <v>112477.33333333326</v>
      </c>
      <c r="U23" s="67">
        <f t="shared" si="9"/>
        <v>-4.4110368903956942</v>
      </c>
    </row>
    <row r="24" spans="1:21">
      <c r="A24" s="4">
        <v>7</v>
      </c>
      <c r="B24" s="6">
        <f>'Input Sheet'!C24</f>
        <v>42948</v>
      </c>
      <c r="C24" s="63">
        <f>'Input Sheet'!D24</f>
        <v>199905</v>
      </c>
      <c r="D24" s="64">
        <f t="shared" ref="D24:D29" si="13">AVERAGE(C21:C23)</f>
        <v>189127.33333333334</v>
      </c>
      <c r="E24" s="63">
        <f t="shared" si="1"/>
        <v>10777.666666666657</v>
      </c>
      <c r="F24" s="63">
        <f t="shared" si="10"/>
        <v>53053.166666666657</v>
      </c>
      <c r="G24" s="63">
        <f t="shared" si="2"/>
        <v>10777.666666666657</v>
      </c>
      <c r="H24" s="18">
        <f t="shared" si="3"/>
        <v>5.3913942455999883E-2</v>
      </c>
      <c r="I24" s="5">
        <f t="shared" si="4"/>
        <v>143773.16666666666</v>
      </c>
      <c r="J24" s="68">
        <f t="shared" si="5"/>
        <v>2.2140362306828232</v>
      </c>
      <c r="L24" s="4">
        <v>7</v>
      </c>
      <c r="M24" s="6" t="str">
        <f>'Input Sheet'!F24</f>
        <v>Q4- 2018</v>
      </c>
      <c r="N24" s="64">
        <f>'Input Sheet'!G24</f>
        <v>482435</v>
      </c>
      <c r="O24" s="64">
        <f t="shared" si="11"/>
        <v>487936.83333333331</v>
      </c>
      <c r="P24" s="64">
        <f t="shared" ref="P24" si="14">N24-O24</f>
        <v>-5501.8333333333139</v>
      </c>
      <c r="Q24" s="64">
        <f t="shared" ref="Q24" si="15">Q23+P24</f>
        <v>-104730.16666666657</v>
      </c>
      <c r="R24" s="64">
        <f t="shared" ref="R24" si="16">ABS(P24)</f>
        <v>5501.8333333333139</v>
      </c>
      <c r="S24" s="18">
        <f t="shared" ref="S24" si="17">R24/N24</f>
        <v>1.140429971567841E-2</v>
      </c>
      <c r="T24" s="5">
        <f t="shared" ref="T24" si="18">T23+R24</f>
        <v>117979.16666666657</v>
      </c>
      <c r="U24" s="67">
        <f t="shared" ref="U24" si="19">Q24/(T24/(L24-1))</f>
        <v>-5.3262030725763729</v>
      </c>
    </row>
    <row r="25" spans="1:21">
      <c r="A25" s="4">
        <v>8</v>
      </c>
      <c r="B25" s="6">
        <f>'Input Sheet'!C25</f>
        <v>42979</v>
      </c>
      <c r="C25" s="63">
        <f>'Input Sheet'!D25</f>
        <v>145658</v>
      </c>
      <c r="D25" s="64">
        <f t="shared" si="13"/>
        <v>179852.66666666666</v>
      </c>
      <c r="E25" s="63">
        <f t="shared" si="1"/>
        <v>-34194.666666666657</v>
      </c>
      <c r="F25" s="63">
        <f t="shared" si="10"/>
        <v>18858.5</v>
      </c>
      <c r="G25" s="63">
        <f t="shared" si="2"/>
        <v>34194.666666666657</v>
      </c>
      <c r="H25" s="18">
        <f t="shared" si="3"/>
        <v>0.23475996283531736</v>
      </c>
      <c r="I25" s="5">
        <f t="shared" si="4"/>
        <v>177967.83333333331</v>
      </c>
      <c r="J25" s="68">
        <f t="shared" si="5"/>
        <v>0.74176044921975615</v>
      </c>
      <c r="L25" s="4">
        <v>8</v>
      </c>
      <c r="M25" s="106"/>
      <c r="N25" s="64">
        <f>'Input Sheet'!G25</f>
        <v>0</v>
      </c>
      <c r="O25" s="65">
        <f t="shared" ref="O25" si="20">AVERAGE(N22:N24)</f>
        <v>483328.66666666669</v>
      </c>
      <c r="P25" s="64"/>
      <c r="Q25" s="98"/>
      <c r="R25" s="98"/>
      <c r="S25" s="104"/>
      <c r="T25" s="102"/>
      <c r="U25" s="105"/>
    </row>
    <row r="26" spans="1:21">
      <c r="A26" s="4">
        <v>9</v>
      </c>
      <c r="B26" s="6">
        <f>'Input Sheet'!C26</f>
        <v>43009</v>
      </c>
      <c r="C26" s="63">
        <f>'Input Sheet'!D26</f>
        <v>176171</v>
      </c>
      <c r="D26" s="64">
        <f t="shared" si="13"/>
        <v>178654.66666666666</v>
      </c>
      <c r="E26" s="63">
        <f t="shared" si="1"/>
        <v>-2483.666666666657</v>
      </c>
      <c r="F26" s="63">
        <f t="shared" si="10"/>
        <v>16374.833333333343</v>
      </c>
      <c r="G26" s="63">
        <f t="shared" si="2"/>
        <v>2483.666666666657</v>
      </c>
      <c r="H26" s="18">
        <f t="shared" si="3"/>
        <v>1.4098044891989356E-2</v>
      </c>
      <c r="I26" s="5">
        <f t="shared" si="4"/>
        <v>180451.49999999997</v>
      </c>
      <c r="J26" s="68">
        <f t="shared" si="5"/>
        <v>0.72594944717371024</v>
      </c>
      <c r="L26" s="77" t="s">
        <v>36</v>
      </c>
      <c r="M26" s="77"/>
      <c r="N26" s="17"/>
      <c r="O26" s="17"/>
      <c r="P26" s="29">
        <f>AVERAGE(P18:P24)</f>
        <v>-7983.0238095237955</v>
      </c>
      <c r="Q26" s="30"/>
      <c r="R26" s="29">
        <f>AVERAGE(R19:R24)</f>
        <v>19663.194444444427</v>
      </c>
      <c r="S26" s="31">
        <f>AVERAGE(S19:S24)</f>
        <v>3.9878437225401651E-2</v>
      </c>
      <c r="T26" s="30"/>
      <c r="U26" s="30"/>
    </row>
    <row r="27" spans="1:21">
      <c r="A27" s="4">
        <v>10</v>
      </c>
      <c r="B27" s="6">
        <f>'Input Sheet'!C27</f>
        <v>43040</v>
      </c>
      <c r="C27" s="63">
        <f>'Input Sheet'!D27</f>
        <v>169218.5</v>
      </c>
      <c r="D27" s="64">
        <f t="shared" si="13"/>
        <v>173911.33333333334</v>
      </c>
      <c r="E27" s="63">
        <f t="shared" si="1"/>
        <v>-4692.833333333343</v>
      </c>
      <c r="F27" s="63">
        <f t="shared" si="10"/>
        <v>11682</v>
      </c>
      <c r="G27" s="63">
        <f t="shared" si="2"/>
        <v>4692.833333333343</v>
      </c>
      <c r="H27" s="18">
        <f t="shared" si="3"/>
        <v>2.7732389386109339E-2</v>
      </c>
      <c r="I27" s="5">
        <f t="shared" si="4"/>
        <v>185144.33333333331</v>
      </c>
      <c r="J27" s="68">
        <f t="shared" si="5"/>
        <v>0.56787047222617315</v>
      </c>
      <c r="L27" s="48"/>
      <c r="M27" s="49"/>
      <c r="N27" s="50"/>
      <c r="O27" s="50"/>
      <c r="P27" s="35" t="s">
        <v>40</v>
      </c>
      <c r="Q27" s="35"/>
      <c r="R27" s="35" t="s">
        <v>2</v>
      </c>
      <c r="S27" s="35" t="s">
        <v>3</v>
      </c>
      <c r="T27" s="50"/>
      <c r="U27" s="51"/>
    </row>
    <row r="28" spans="1:21">
      <c r="A28" s="4">
        <v>11</v>
      </c>
      <c r="B28" s="6">
        <f>'Input Sheet'!C28</f>
        <v>43070</v>
      </c>
      <c r="C28" s="63">
        <f>'Input Sheet'!D28</f>
        <v>171651.5</v>
      </c>
      <c r="D28" s="64">
        <f t="shared" si="13"/>
        <v>163682.5</v>
      </c>
      <c r="E28" s="63">
        <f t="shared" si="1"/>
        <v>7969</v>
      </c>
      <c r="F28" s="63">
        <f t="shared" si="10"/>
        <v>19651</v>
      </c>
      <c r="G28" s="63">
        <f t="shared" si="2"/>
        <v>7969</v>
      </c>
      <c r="H28" s="18">
        <f t="shared" si="3"/>
        <v>4.6425460890233992E-2</v>
      </c>
      <c r="I28" s="5">
        <f t="shared" si="4"/>
        <v>193113.33333333331</v>
      </c>
      <c r="J28" s="68">
        <f t="shared" si="5"/>
        <v>1.0175889805640903</v>
      </c>
      <c r="T28" s="54"/>
      <c r="U28" s="56"/>
    </row>
    <row r="29" spans="1:21" ht="15.75">
      <c r="A29" s="4">
        <v>12</v>
      </c>
      <c r="B29" s="6">
        <f>'Input Sheet'!C29</f>
        <v>43101</v>
      </c>
      <c r="C29" s="63">
        <f>'Input Sheet'!D29</f>
        <v>170123</v>
      </c>
      <c r="D29" s="64">
        <f t="shared" si="13"/>
        <v>172347</v>
      </c>
      <c r="E29" s="63">
        <f t="shared" si="1"/>
        <v>-2224</v>
      </c>
      <c r="F29" s="63">
        <f t="shared" si="10"/>
        <v>17427</v>
      </c>
      <c r="G29" s="63">
        <f t="shared" si="2"/>
        <v>2224</v>
      </c>
      <c r="H29" s="18">
        <f t="shared" si="3"/>
        <v>1.3072894317640766E-2</v>
      </c>
      <c r="I29" s="5">
        <f t="shared" si="4"/>
        <v>195337.33333333331</v>
      </c>
      <c r="J29" s="68">
        <f t="shared" si="5"/>
        <v>0.98136386285605082</v>
      </c>
      <c r="M29" s="59"/>
      <c r="N29" s="59"/>
      <c r="O29" s="54"/>
      <c r="P29" s="54"/>
      <c r="Q29" s="54"/>
      <c r="R29" s="54"/>
      <c r="T29" s="54"/>
      <c r="U29" s="56"/>
    </row>
    <row r="30" spans="1:21">
      <c r="A30" s="4">
        <v>13</v>
      </c>
      <c r="B30" s="6">
        <f>'Input Sheet'!C30</f>
        <v>43132</v>
      </c>
      <c r="C30" s="63">
        <f>'Input Sheet'!D30</f>
        <v>153671</v>
      </c>
      <c r="D30" s="64">
        <f t="shared" ref="D30:D39" si="21">AVERAGE(C27:C29)</f>
        <v>170331</v>
      </c>
      <c r="E30" s="63">
        <f t="shared" si="1"/>
        <v>-16660</v>
      </c>
      <c r="F30" s="63">
        <f t="shared" si="10"/>
        <v>767</v>
      </c>
      <c r="G30" s="63">
        <f t="shared" si="2"/>
        <v>16660</v>
      </c>
      <c r="H30" s="18">
        <f t="shared" si="3"/>
        <v>0.10841342868856192</v>
      </c>
      <c r="I30" s="5">
        <f t="shared" si="4"/>
        <v>211997.33333333331</v>
      </c>
      <c r="J30" s="68">
        <f t="shared" si="5"/>
        <v>4.3415640448307535E-2</v>
      </c>
      <c r="L30" s="7"/>
      <c r="O30" s="54"/>
      <c r="P30" s="54"/>
      <c r="Q30" s="54"/>
      <c r="R30" s="54"/>
      <c r="T30" s="54"/>
      <c r="U30" s="56"/>
    </row>
    <row r="31" spans="1:21">
      <c r="A31" s="4">
        <v>14</v>
      </c>
      <c r="B31" s="6">
        <f>'Input Sheet'!C31</f>
        <v>43160</v>
      </c>
      <c r="C31" s="63">
        <f>'Input Sheet'!D31</f>
        <v>172465.5</v>
      </c>
      <c r="D31" s="64">
        <f t="shared" si="21"/>
        <v>165148.5</v>
      </c>
      <c r="E31" s="63">
        <f t="shared" si="1"/>
        <v>7317</v>
      </c>
      <c r="F31" s="63">
        <f t="shared" si="10"/>
        <v>8084</v>
      </c>
      <c r="G31" s="63">
        <f t="shared" si="2"/>
        <v>7317</v>
      </c>
      <c r="H31" s="18">
        <f t="shared" si="3"/>
        <v>4.2425876479643757E-2</v>
      </c>
      <c r="I31" s="5">
        <f t="shared" si="4"/>
        <v>219314.33333333331</v>
      </c>
      <c r="J31" s="68">
        <f t="shared" si="5"/>
        <v>0.47918436703483436</v>
      </c>
      <c r="O31" s="54"/>
      <c r="P31" s="54"/>
      <c r="Q31" s="54"/>
      <c r="R31" s="54"/>
      <c r="T31" s="54"/>
      <c r="U31" s="56"/>
    </row>
    <row r="32" spans="1:21">
      <c r="A32" s="4">
        <v>15</v>
      </c>
      <c r="B32" s="6">
        <f>'Input Sheet'!C32</f>
        <v>43191</v>
      </c>
      <c r="C32" s="63">
        <f>'Input Sheet'!D32</f>
        <v>162614.5</v>
      </c>
      <c r="D32" s="64">
        <f t="shared" si="21"/>
        <v>165419.83333333334</v>
      </c>
      <c r="E32" s="63">
        <f t="shared" si="1"/>
        <v>-2805.333333333343</v>
      </c>
      <c r="F32" s="63">
        <f t="shared" si="10"/>
        <v>5278.666666666657</v>
      </c>
      <c r="G32" s="63">
        <f t="shared" si="2"/>
        <v>2805.333333333343</v>
      </c>
      <c r="H32" s="18">
        <f t="shared" si="3"/>
        <v>1.7251434117703791E-2</v>
      </c>
      <c r="I32" s="5">
        <f t="shared" si="4"/>
        <v>222119.66666666666</v>
      </c>
      <c r="J32" s="68">
        <f t="shared" si="5"/>
        <v>0.33270954545522702</v>
      </c>
    </row>
    <row r="33" spans="1:21">
      <c r="A33" s="4">
        <v>16</v>
      </c>
      <c r="B33" s="6">
        <f>'Input Sheet'!C33</f>
        <v>43221</v>
      </c>
      <c r="C33" s="63">
        <f>'Input Sheet'!D33</f>
        <v>192675.5</v>
      </c>
      <c r="D33" s="64">
        <f t="shared" si="21"/>
        <v>162917</v>
      </c>
      <c r="E33" s="63">
        <f t="shared" si="1"/>
        <v>29758.5</v>
      </c>
      <c r="F33" s="63">
        <f t="shared" si="10"/>
        <v>35037.166666666657</v>
      </c>
      <c r="G33" s="63">
        <f t="shared" si="2"/>
        <v>29758.5</v>
      </c>
      <c r="H33" s="18">
        <f t="shared" si="3"/>
        <v>0.15444880122278132</v>
      </c>
      <c r="I33" s="5">
        <f t="shared" si="4"/>
        <v>251878.16666666666</v>
      </c>
      <c r="J33" s="68">
        <f t="shared" si="5"/>
        <v>2.0865544122191348</v>
      </c>
    </row>
    <row r="34" spans="1:21">
      <c r="A34" s="4">
        <v>17</v>
      </c>
      <c r="B34" s="6">
        <f>'Input Sheet'!C34</f>
        <v>43252</v>
      </c>
      <c r="C34" s="63">
        <f>'Input Sheet'!D34</f>
        <v>140846</v>
      </c>
      <c r="D34" s="64">
        <f t="shared" si="21"/>
        <v>175918.5</v>
      </c>
      <c r="E34" s="63">
        <f t="shared" si="1"/>
        <v>-35072.5</v>
      </c>
      <c r="F34" s="63">
        <f t="shared" si="10"/>
        <v>-35.333333333343035</v>
      </c>
      <c r="G34" s="63">
        <f t="shared" si="2"/>
        <v>35072.5</v>
      </c>
      <c r="H34" s="18">
        <f t="shared" si="3"/>
        <v>0.24901310651349701</v>
      </c>
      <c r="I34" s="5">
        <f t="shared" si="4"/>
        <v>286950.66666666663</v>
      </c>
      <c r="J34" s="68">
        <f t="shared" si="5"/>
        <v>-1.9701412089423802E-3</v>
      </c>
      <c r="L34" s="52"/>
      <c r="M34" s="53"/>
      <c r="N34" s="54"/>
      <c r="O34" s="54"/>
      <c r="P34" s="54"/>
      <c r="Q34" s="54"/>
      <c r="R34" s="54"/>
      <c r="S34" s="54"/>
      <c r="T34" s="54"/>
      <c r="U34" s="57"/>
    </row>
    <row r="35" spans="1:21">
      <c r="A35" s="4">
        <v>18</v>
      </c>
      <c r="B35" s="6">
        <f>'Input Sheet'!C35</f>
        <v>43282</v>
      </c>
      <c r="C35" s="63">
        <f>'Input Sheet'!D35</f>
        <v>161309</v>
      </c>
      <c r="D35" s="64">
        <f t="shared" si="21"/>
        <v>165378.66666666666</v>
      </c>
      <c r="E35" s="63">
        <f t="shared" si="1"/>
        <v>-4069.666666666657</v>
      </c>
      <c r="F35" s="63">
        <f>F34+E35</f>
        <v>-4105</v>
      </c>
      <c r="G35" s="63">
        <f t="shared" si="2"/>
        <v>4069.666666666657</v>
      </c>
      <c r="H35" s="18">
        <f t="shared" si="3"/>
        <v>2.5229011813765238E-2</v>
      </c>
      <c r="I35" s="5">
        <f t="shared" si="4"/>
        <v>291020.33333333326</v>
      </c>
      <c r="J35" s="68">
        <f t="shared" si="5"/>
        <v>-0.23979424118131498</v>
      </c>
      <c r="L35" s="52"/>
      <c r="M35" s="53"/>
      <c r="N35" s="54"/>
      <c r="O35" s="54"/>
      <c r="P35" s="54"/>
      <c r="Q35" s="54"/>
      <c r="R35" s="54"/>
      <c r="S35" s="54"/>
      <c r="T35" s="54"/>
      <c r="U35" s="57"/>
    </row>
    <row r="36" spans="1:21">
      <c r="A36" s="4">
        <v>19</v>
      </c>
      <c r="B36" s="6">
        <f>'Input Sheet'!C36</f>
        <v>43313</v>
      </c>
      <c r="C36" s="63">
        <f>'Input Sheet'!D36</f>
        <v>159995</v>
      </c>
      <c r="D36" s="64">
        <f t="shared" si="21"/>
        <v>164943.5</v>
      </c>
      <c r="E36" s="63">
        <f t="shared" si="1"/>
        <v>-4948.5</v>
      </c>
      <c r="F36" s="63">
        <f t="shared" si="10"/>
        <v>-9053.5</v>
      </c>
      <c r="G36" s="63">
        <f t="shared" si="2"/>
        <v>4948.5</v>
      </c>
      <c r="H36" s="18">
        <f t="shared" si="3"/>
        <v>3.0929091534110442E-2</v>
      </c>
      <c r="I36" s="5">
        <f t="shared" si="4"/>
        <v>295968.83333333326</v>
      </c>
      <c r="J36" s="68">
        <f t="shared" si="5"/>
        <v>-0.55060865079825416</v>
      </c>
      <c r="L36" s="52"/>
      <c r="M36" s="53"/>
      <c r="N36" s="54"/>
      <c r="O36" s="54"/>
      <c r="P36" s="54"/>
      <c r="Q36" s="54"/>
      <c r="R36" s="54"/>
      <c r="S36" s="54"/>
      <c r="T36" s="54"/>
      <c r="U36" s="57"/>
    </row>
    <row r="37" spans="1:21">
      <c r="A37" s="4">
        <v>20</v>
      </c>
      <c r="B37" s="6">
        <f>'Input Sheet'!C37</f>
        <v>43344</v>
      </c>
      <c r="C37" s="63">
        <f>'Input Sheet'!D37</f>
        <v>150111</v>
      </c>
      <c r="D37" s="64">
        <f t="shared" si="21"/>
        <v>154050</v>
      </c>
      <c r="E37" s="63">
        <f t="shared" si="1"/>
        <v>-3939</v>
      </c>
      <c r="F37" s="63">
        <f t="shared" si="10"/>
        <v>-12992.5</v>
      </c>
      <c r="G37" s="63">
        <f t="shared" si="2"/>
        <v>3939</v>
      </c>
      <c r="H37" s="18">
        <f t="shared" si="3"/>
        <v>2.6240581969342685E-2</v>
      </c>
      <c r="I37" s="5">
        <f t="shared" si="4"/>
        <v>299907.83333333326</v>
      </c>
      <c r="J37" s="68">
        <f t="shared" si="5"/>
        <v>-0.82311121138883248</v>
      </c>
      <c r="L37" s="52"/>
      <c r="M37" s="53"/>
      <c r="N37" s="54"/>
      <c r="O37" s="54"/>
      <c r="P37" s="54"/>
      <c r="Q37" s="54"/>
      <c r="R37" s="54"/>
      <c r="S37" s="54"/>
      <c r="T37" s="54"/>
      <c r="U37" s="57"/>
    </row>
    <row r="38" spans="1:21">
      <c r="A38" s="4">
        <v>21</v>
      </c>
      <c r="B38" s="6">
        <f>'Input Sheet'!C38</f>
        <v>43374</v>
      </c>
      <c r="C38" s="63">
        <f>'Input Sheet'!D38</f>
        <v>166387</v>
      </c>
      <c r="D38" s="64">
        <f t="shared" si="21"/>
        <v>157138.33333333334</v>
      </c>
      <c r="E38" s="63">
        <f t="shared" si="1"/>
        <v>9248.666666666657</v>
      </c>
      <c r="F38" s="63">
        <f t="shared" si="10"/>
        <v>-3743.833333333343</v>
      </c>
      <c r="G38" s="63">
        <f t="shared" si="2"/>
        <v>9248.666666666657</v>
      </c>
      <c r="H38" s="18">
        <f t="shared" si="3"/>
        <v>5.5585272086561194E-2</v>
      </c>
      <c r="I38" s="5">
        <f t="shared" si="4"/>
        <v>309156.49999999988</v>
      </c>
      <c r="J38" s="68">
        <f t="shared" si="5"/>
        <v>-0.24219664366321553</v>
      </c>
      <c r="L38" s="52"/>
      <c r="M38" s="53"/>
      <c r="N38" s="54"/>
      <c r="O38" s="54"/>
      <c r="P38" s="54"/>
      <c r="Q38" s="54"/>
      <c r="R38" s="54"/>
      <c r="S38" s="54"/>
      <c r="T38" s="54"/>
      <c r="U38" s="57"/>
    </row>
    <row r="39" spans="1:21">
      <c r="A39" s="4">
        <v>22</v>
      </c>
      <c r="B39" s="6">
        <f>'Input Sheet'!C39</f>
        <v>43405</v>
      </c>
      <c r="C39" s="63">
        <f>'Input Sheet'!D39</f>
        <v>163152</v>
      </c>
      <c r="D39" s="64">
        <f t="shared" si="21"/>
        <v>158831</v>
      </c>
      <c r="E39" s="63">
        <f t="shared" si="1"/>
        <v>4321</v>
      </c>
      <c r="F39" s="63">
        <f t="shared" si="10"/>
        <v>577.16666666665697</v>
      </c>
      <c r="G39" s="63">
        <f t="shared" si="2"/>
        <v>4321</v>
      </c>
      <c r="H39" s="18">
        <f t="shared" si="3"/>
        <v>2.6484505246641168E-2</v>
      </c>
      <c r="I39" s="5">
        <f t="shared" si="4"/>
        <v>313477.49999999988</v>
      </c>
      <c r="J39" s="68">
        <f t="shared" si="5"/>
        <v>3.8664656953050221E-2</v>
      </c>
      <c r="L39" s="52"/>
      <c r="M39" s="53"/>
      <c r="N39" s="54"/>
      <c r="O39" s="54"/>
      <c r="P39" s="54"/>
      <c r="Q39" s="54"/>
      <c r="R39" s="54"/>
      <c r="S39" s="54"/>
      <c r="T39" s="54"/>
      <c r="U39" s="57"/>
    </row>
    <row r="40" spans="1:21">
      <c r="A40" s="4">
        <v>23</v>
      </c>
      <c r="B40" s="6">
        <f>'Input Sheet'!C40</f>
        <v>43435</v>
      </c>
      <c r="C40" s="63">
        <f>'Input Sheet'!D40</f>
        <v>152896</v>
      </c>
      <c r="D40" s="64">
        <f>AVERAGE(C37:C39)</f>
        <v>159883.33333333334</v>
      </c>
      <c r="E40" s="63">
        <f t="shared" ref="E40" si="22">C40-D40</f>
        <v>-6987.333333333343</v>
      </c>
      <c r="F40" s="63">
        <f t="shared" ref="F40" si="23">F39+E40</f>
        <v>-6410.1666666666861</v>
      </c>
      <c r="G40" s="63">
        <f t="shared" ref="G40" si="24">ABS(E40)</f>
        <v>6987.333333333343</v>
      </c>
      <c r="H40" s="18">
        <f t="shared" ref="H40" si="25">IFERROR(G40/C40,"-")</f>
        <v>4.5699909306543947E-2</v>
      </c>
      <c r="I40" s="5">
        <f t="shared" ref="I40" si="26">I39+G40</f>
        <v>320464.83333333326</v>
      </c>
      <c r="J40" s="68">
        <f t="shared" si="5"/>
        <v>-0.44005972574213953</v>
      </c>
      <c r="L40" s="52"/>
      <c r="M40" s="53"/>
      <c r="N40" s="54"/>
      <c r="O40" s="54"/>
      <c r="P40" s="54"/>
      <c r="Q40" s="54"/>
      <c r="R40" s="54"/>
      <c r="S40" s="54"/>
      <c r="T40" s="54"/>
      <c r="U40" s="57"/>
    </row>
    <row r="41" spans="1:21">
      <c r="A41" s="48">
        <v>24</v>
      </c>
      <c r="B41" s="6">
        <f>DATE(YEAR(B40),MONTH(B40)+1,DAY(B40))</f>
        <v>43466</v>
      </c>
      <c r="C41" s="98"/>
      <c r="D41" s="65">
        <f>AVERAGE(C38:C40)</f>
        <v>160811.66666666666</v>
      </c>
      <c r="E41" s="98"/>
      <c r="F41" s="98"/>
      <c r="G41" s="98"/>
      <c r="H41" s="104"/>
      <c r="I41" s="102"/>
      <c r="J41" s="105"/>
      <c r="L41" s="52"/>
      <c r="M41" s="53"/>
      <c r="N41" s="54"/>
      <c r="O41" s="54"/>
      <c r="P41" s="54"/>
      <c r="Q41" s="54"/>
      <c r="R41" s="54"/>
      <c r="S41" s="54"/>
      <c r="T41" s="54"/>
      <c r="U41" s="57"/>
    </row>
    <row r="42" spans="1:21">
      <c r="A42" s="228" t="s">
        <v>36</v>
      </c>
      <c r="B42" s="228"/>
      <c r="C42" s="17"/>
      <c r="D42" s="17"/>
      <c r="E42" s="29">
        <f>AVERAGE(E17:E40)</f>
        <v>-291.37121212121298</v>
      </c>
      <c r="F42" s="30"/>
      <c r="G42" s="29">
        <f>AVERAGE(G19:G40)</f>
        <v>14566.58333333333</v>
      </c>
      <c r="H42" s="182">
        <f>AVERAGE(H19:H40)</f>
        <v>8.6172150894526497E-2</v>
      </c>
      <c r="I42" s="30"/>
      <c r="J42" s="30"/>
    </row>
    <row r="43" spans="1:21">
      <c r="E43" s="35" t="s">
        <v>40</v>
      </c>
      <c r="F43" s="35"/>
      <c r="G43" s="35" t="s">
        <v>2</v>
      </c>
      <c r="H43" s="35" t="s">
        <v>3</v>
      </c>
    </row>
    <row r="45" spans="1:21" ht="15.75">
      <c r="A45" s="229" t="s">
        <v>59</v>
      </c>
      <c r="B45" s="229"/>
      <c r="C45" s="229"/>
    </row>
    <row r="47" spans="1:21">
      <c r="A47" s="33"/>
    </row>
  </sheetData>
  <mergeCells count="18">
    <mergeCell ref="T15:T16"/>
    <mergeCell ref="U15:U16"/>
    <mergeCell ref="A42:B42"/>
    <mergeCell ref="A45:C45"/>
    <mergeCell ref="M15:M16"/>
    <mergeCell ref="Q15:Q16"/>
    <mergeCell ref="A1:J1"/>
    <mergeCell ref="L1:U1"/>
    <mergeCell ref="A15:A16"/>
    <mergeCell ref="B15:B16"/>
    <mergeCell ref="F15:F16"/>
    <mergeCell ref="G15:G16"/>
    <mergeCell ref="H15:H16"/>
    <mergeCell ref="I15:I16"/>
    <mergeCell ref="J15:J16"/>
    <mergeCell ref="L15:L16"/>
    <mergeCell ref="R15:R16"/>
    <mergeCell ref="S15:S1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0" tint="-0.249977111117893"/>
  </sheetPr>
  <dimension ref="A1:U49"/>
  <sheetViews>
    <sheetView topLeftCell="A25" zoomScale="85" zoomScaleNormal="85" workbookViewId="0">
      <selection activeCell="H59" sqref="H59"/>
    </sheetView>
  </sheetViews>
  <sheetFormatPr defaultRowHeight="15"/>
  <cols>
    <col min="1" max="1" width="9.28515625" customWidth="1"/>
    <col min="2" max="9" width="16.5703125" customWidth="1"/>
    <col min="10" max="10" width="18.42578125" customWidth="1"/>
    <col min="11" max="11" width="7.140625" customWidth="1"/>
    <col min="12" max="21" width="15.28515625" customWidth="1"/>
  </cols>
  <sheetData>
    <row r="1" spans="1:21" ht="29.25" customHeight="1">
      <c r="A1" s="230" t="s">
        <v>54</v>
      </c>
      <c r="B1" s="230"/>
      <c r="C1" s="230"/>
      <c r="D1" s="230"/>
      <c r="E1" s="230"/>
      <c r="F1" s="230"/>
      <c r="G1" s="230"/>
      <c r="H1" s="230"/>
      <c r="I1" s="230"/>
      <c r="J1" s="230"/>
      <c r="K1" s="1"/>
      <c r="L1" s="230" t="s">
        <v>67</v>
      </c>
      <c r="M1" s="230"/>
      <c r="N1" s="230"/>
      <c r="O1" s="230"/>
      <c r="P1" s="230"/>
      <c r="Q1" s="230"/>
      <c r="R1" s="230"/>
      <c r="S1" s="230"/>
      <c r="T1" s="230"/>
      <c r="U1" s="230"/>
    </row>
    <row r="2" spans="1:21" ht="20.25">
      <c r="A2" s="2"/>
      <c r="B2" s="2"/>
      <c r="C2" s="2"/>
      <c r="D2" s="2"/>
      <c r="E2" s="2"/>
      <c r="F2" s="2"/>
      <c r="G2" s="2"/>
      <c r="H2" s="2"/>
      <c r="I2" s="2"/>
      <c r="J2" s="2"/>
      <c r="K2" s="1"/>
      <c r="L2" s="1"/>
      <c r="M2" s="1"/>
    </row>
    <row r="3" spans="1:21" ht="20.25">
      <c r="A3" s="2"/>
      <c r="B3" s="2"/>
      <c r="C3" s="2"/>
      <c r="D3" s="2"/>
      <c r="E3" s="2"/>
      <c r="F3" s="2"/>
      <c r="G3" s="2"/>
      <c r="H3" s="2"/>
      <c r="I3" s="2"/>
      <c r="J3" s="2"/>
      <c r="K3" s="1"/>
      <c r="L3" s="1"/>
      <c r="M3" s="1"/>
    </row>
    <row r="4" spans="1:21" ht="20.25">
      <c r="A4" s="2"/>
      <c r="B4" s="2"/>
      <c r="C4" s="2"/>
      <c r="D4" s="2"/>
      <c r="E4" s="2"/>
      <c r="F4" s="2"/>
      <c r="G4" s="2"/>
      <c r="H4" s="2"/>
      <c r="I4" s="2"/>
      <c r="J4" s="2"/>
      <c r="K4" s="1"/>
      <c r="L4" s="1"/>
      <c r="M4" s="1"/>
    </row>
    <row r="5" spans="1:21" ht="20.25">
      <c r="A5" s="2"/>
      <c r="B5" s="2"/>
      <c r="C5" s="2"/>
      <c r="D5" s="2"/>
      <c r="E5" s="2"/>
      <c r="F5" s="2"/>
      <c r="G5" s="2"/>
      <c r="H5" s="2"/>
      <c r="I5" s="2"/>
      <c r="J5" s="2"/>
      <c r="K5" s="1"/>
      <c r="L5" s="1"/>
      <c r="M5" s="1"/>
    </row>
    <row r="6" spans="1:21" ht="20.25">
      <c r="A6" s="2"/>
      <c r="B6" s="2"/>
      <c r="C6" s="2"/>
      <c r="D6" s="2"/>
      <c r="E6" s="2"/>
      <c r="F6" s="2"/>
      <c r="G6" s="2"/>
      <c r="H6" s="2"/>
      <c r="I6" s="2"/>
      <c r="J6" s="2"/>
      <c r="K6" s="1"/>
      <c r="L6" s="1"/>
      <c r="M6" s="1"/>
    </row>
    <row r="7" spans="1:21" ht="20.25">
      <c r="A7" s="2"/>
      <c r="B7" s="2"/>
      <c r="C7" s="2"/>
      <c r="D7" s="2"/>
      <c r="E7" s="2"/>
      <c r="F7" s="2"/>
      <c r="G7" s="2"/>
      <c r="H7" s="2"/>
      <c r="I7" s="2"/>
      <c r="J7" s="2"/>
      <c r="K7" s="1"/>
      <c r="L7" s="1"/>
      <c r="M7" s="1"/>
    </row>
    <row r="8" spans="1:21" ht="20.25">
      <c r="A8" s="2"/>
      <c r="B8" s="2"/>
      <c r="C8" s="2"/>
      <c r="D8" s="2"/>
      <c r="E8" s="2"/>
      <c r="F8" s="2"/>
      <c r="G8" s="2"/>
      <c r="H8" s="2"/>
      <c r="I8" s="2"/>
      <c r="J8" s="2"/>
      <c r="K8" s="1"/>
      <c r="L8" s="1"/>
      <c r="M8" s="1"/>
    </row>
    <row r="9" spans="1:21" ht="20.25">
      <c r="A9" s="2"/>
      <c r="B9" s="2"/>
      <c r="C9" s="2"/>
      <c r="D9" s="2"/>
      <c r="E9" s="2"/>
      <c r="F9" s="2"/>
      <c r="G9" s="2"/>
      <c r="H9" s="2"/>
      <c r="I9" s="2"/>
      <c r="J9" s="2"/>
      <c r="K9" s="1"/>
      <c r="L9" s="1"/>
      <c r="M9" s="1"/>
    </row>
    <row r="10" spans="1:21" ht="20.25">
      <c r="A10" s="2"/>
      <c r="B10" s="2"/>
      <c r="C10" s="2"/>
      <c r="D10" s="2"/>
      <c r="E10" s="2"/>
      <c r="F10" s="2"/>
      <c r="G10" s="2"/>
      <c r="H10" s="2"/>
      <c r="I10" s="2"/>
      <c r="J10" s="2"/>
      <c r="K10" s="1"/>
      <c r="L10" s="1"/>
      <c r="M10" s="1"/>
    </row>
    <row r="11" spans="1:21" ht="20.25">
      <c r="A11" s="2"/>
      <c r="B11" s="2"/>
      <c r="C11" s="2"/>
      <c r="D11" s="2"/>
      <c r="E11" s="2"/>
      <c r="F11" s="2"/>
      <c r="G11" s="2"/>
      <c r="H11" s="2"/>
      <c r="I11" s="2"/>
      <c r="J11" s="2"/>
      <c r="K11" s="1"/>
      <c r="L11" s="1"/>
      <c r="M11" s="1"/>
    </row>
    <row r="12" spans="1:21" ht="20.25">
      <c r="A12" s="2"/>
      <c r="B12" s="2"/>
      <c r="C12" s="2"/>
      <c r="D12" s="2"/>
      <c r="E12" s="2"/>
      <c r="F12" s="2"/>
      <c r="G12" s="2"/>
      <c r="H12" s="2"/>
      <c r="I12" s="2"/>
      <c r="J12" s="2"/>
      <c r="K12" s="1"/>
      <c r="L12" s="1"/>
      <c r="M12" s="1"/>
    </row>
    <row r="13" spans="1:21" ht="20.25">
      <c r="A13" s="2"/>
      <c r="B13" s="2"/>
      <c r="C13" s="2"/>
      <c r="D13" s="2"/>
      <c r="E13" s="2"/>
      <c r="F13" s="2"/>
      <c r="G13" s="2"/>
      <c r="H13" s="2"/>
      <c r="I13" s="2"/>
      <c r="J13" s="2"/>
      <c r="K13" s="1"/>
      <c r="L13" s="1"/>
      <c r="M13" s="1"/>
    </row>
    <row r="14" spans="1:21" ht="27.75" customHeight="1"/>
    <row r="15" spans="1:21" ht="22.5" customHeight="1">
      <c r="A15" s="226" t="s">
        <v>11</v>
      </c>
      <c r="B15" s="226" t="s">
        <v>4</v>
      </c>
      <c r="C15" s="3" t="s">
        <v>0</v>
      </c>
      <c r="D15" s="3" t="s">
        <v>20</v>
      </c>
      <c r="E15" s="3" t="s">
        <v>31</v>
      </c>
      <c r="F15" s="226" t="s">
        <v>32</v>
      </c>
      <c r="G15" s="224" t="s">
        <v>37</v>
      </c>
      <c r="H15" s="224" t="s">
        <v>38</v>
      </c>
      <c r="I15" s="224" t="s">
        <v>33</v>
      </c>
      <c r="J15" s="226" t="s">
        <v>34</v>
      </c>
      <c r="L15" s="226" t="s">
        <v>11</v>
      </c>
      <c r="M15" s="226" t="s">
        <v>44</v>
      </c>
      <c r="N15" s="3" t="s">
        <v>0</v>
      </c>
      <c r="O15" s="3" t="s">
        <v>20</v>
      </c>
      <c r="P15" s="3" t="s">
        <v>31</v>
      </c>
      <c r="Q15" s="226" t="s">
        <v>32</v>
      </c>
      <c r="R15" s="224" t="s">
        <v>37</v>
      </c>
      <c r="S15" s="224" t="s">
        <v>38</v>
      </c>
      <c r="T15" s="224" t="s">
        <v>33</v>
      </c>
      <c r="U15" s="226" t="s">
        <v>34</v>
      </c>
    </row>
    <row r="16" spans="1:21" ht="20.25" customHeight="1">
      <c r="A16" s="231"/>
      <c r="B16" s="231"/>
      <c r="C16" s="9" t="s">
        <v>18</v>
      </c>
      <c r="D16" s="9" t="s">
        <v>15</v>
      </c>
      <c r="E16" s="9" t="s">
        <v>21</v>
      </c>
      <c r="F16" s="227"/>
      <c r="G16" s="225"/>
      <c r="H16" s="225"/>
      <c r="I16" s="225"/>
      <c r="J16" s="227"/>
      <c r="L16" s="231"/>
      <c r="M16" s="231"/>
      <c r="N16" s="9" t="s">
        <v>18</v>
      </c>
      <c r="O16" s="9" t="s">
        <v>15</v>
      </c>
      <c r="P16" s="9" t="s">
        <v>21</v>
      </c>
      <c r="Q16" s="227"/>
      <c r="R16" s="225"/>
      <c r="S16" s="225"/>
      <c r="T16" s="225"/>
      <c r="U16" s="227"/>
    </row>
    <row r="17" spans="1:21">
      <c r="A17" s="19">
        <v>0</v>
      </c>
      <c r="B17" s="20">
        <f>'Input Sheet'!C17</f>
        <v>42736</v>
      </c>
      <c r="C17" s="60">
        <f>'Input Sheet'!D17</f>
        <v>168959</v>
      </c>
      <c r="D17" s="60">
        <v>0</v>
      </c>
      <c r="E17" s="61" t="s">
        <v>19</v>
      </c>
      <c r="F17" s="61" t="s">
        <v>19</v>
      </c>
      <c r="G17" s="61" t="s">
        <v>19</v>
      </c>
      <c r="H17" s="23" t="s">
        <v>19</v>
      </c>
      <c r="I17" s="23" t="s">
        <v>19</v>
      </c>
      <c r="J17" s="23" t="s">
        <v>19</v>
      </c>
      <c r="K17" s="34"/>
      <c r="L17" s="19">
        <v>0</v>
      </c>
      <c r="M17" s="20" t="str">
        <f>'Input Sheet'!F17</f>
        <v>Q1- 2017</v>
      </c>
      <c r="N17" s="60">
        <f>'Input Sheet'!G17</f>
        <v>504915</v>
      </c>
      <c r="O17" s="60">
        <v>0</v>
      </c>
      <c r="P17" s="61" t="s">
        <v>19</v>
      </c>
      <c r="Q17" s="61" t="s">
        <v>19</v>
      </c>
      <c r="R17" s="61" t="s">
        <v>19</v>
      </c>
      <c r="S17" s="23" t="s">
        <v>19</v>
      </c>
      <c r="T17" s="23" t="s">
        <v>19</v>
      </c>
      <c r="U17" s="23" t="s">
        <v>19</v>
      </c>
    </row>
    <row r="18" spans="1:21">
      <c r="A18" s="19">
        <v>1</v>
      </c>
      <c r="B18" s="20">
        <f>'Input Sheet'!C18</f>
        <v>42767</v>
      </c>
      <c r="C18" s="60">
        <f>'Input Sheet'!D18</f>
        <v>156632</v>
      </c>
      <c r="D18" s="60">
        <f>C17</f>
        <v>168959</v>
      </c>
      <c r="E18" s="62" t="s">
        <v>19</v>
      </c>
      <c r="F18" s="61" t="s">
        <v>19</v>
      </c>
      <c r="G18" s="61" t="s">
        <v>19</v>
      </c>
      <c r="H18" s="26" t="s">
        <v>19</v>
      </c>
      <c r="I18" s="26" t="s">
        <v>19</v>
      </c>
      <c r="J18" s="26" t="s">
        <v>19</v>
      </c>
      <c r="K18" s="24"/>
      <c r="L18" s="19">
        <v>1</v>
      </c>
      <c r="M18" s="20" t="str">
        <f>'Input Sheet'!F18</f>
        <v>Q2- 2017</v>
      </c>
      <c r="N18" s="60">
        <f>'Input Sheet'!G18</f>
        <v>553764</v>
      </c>
      <c r="O18" s="60">
        <f>N17</f>
        <v>504915</v>
      </c>
      <c r="P18" s="60">
        <f>N18-O18</f>
        <v>48849</v>
      </c>
      <c r="Q18" s="61" t="s">
        <v>19</v>
      </c>
      <c r="R18" s="61" t="s">
        <v>19</v>
      </c>
      <c r="S18" s="26" t="s">
        <v>19</v>
      </c>
      <c r="T18" s="26" t="s">
        <v>19</v>
      </c>
      <c r="U18" s="26" t="s">
        <v>19</v>
      </c>
    </row>
    <row r="19" spans="1:21">
      <c r="A19" s="4">
        <v>2</v>
      </c>
      <c r="B19" s="6">
        <f>'Input Sheet'!C19</f>
        <v>42795</v>
      </c>
      <c r="C19" s="63">
        <f>'Input Sheet'!D19</f>
        <v>179324</v>
      </c>
      <c r="D19" s="63">
        <f>$D18+$C$45*($C18-$D18)</f>
        <v>166493.6</v>
      </c>
      <c r="E19" s="63">
        <f>C19-D19</f>
        <v>12830.399999999994</v>
      </c>
      <c r="F19" s="63">
        <f>E19</f>
        <v>12830.399999999994</v>
      </c>
      <c r="G19" s="63">
        <f>ABS(E19)</f>
        <v>12830.399999999994</v>
      </c>
      <c r="H19" s="18">
        <f>IFERROR(G19/C19,"-")</f>
        <v>7.1548705137070304E-2</v>
      </c>
      <c r="I19" s="5">
        <f>G19</f>
        <v>12830.399999999994</v>
      </c>
      <c r="J19" s="32">
        <f>F19/(I19/(A19-1))</f>
        <v>1</v>
      </c>
      <c r="L19" s="4">
        <v>2</v>
      </c>
      <c r="M19" s="6" t="str">
        <f>'Input Sheet'!F19</f>
        <v>Q3- 2017</v>
      </c>
      <c r="N19" s="64">
        <f>'Input Sheet'!G19</f>
        <v>535964</v>
      </c>
      <c r="O19" s="64">
        <f t="shared" ref="O19:O25" si="0">$O18+$N$30*($N18-$O18)</f>
        <v>531879.64800000004</v>
      </c>
      <c r="P19" s="64">
        <f>N19-O19</f>
        <v>4084.3519999999553</v>
      </c>
      <c r="Q19" s="64">
        <f>P19</f>
        <v>4084.3519999999553</v>
      </c>
      <c r="R19" s="64">
        <f>ABS(P19)</f>
        <v>4084.3519999999553</v>
      </c>
      <c r="S19" s="18">
        <f>IFERROR(R19/N19,"-")</f>
        <v>7.6205715309236354E-3</v>
      </c>
      <c r="T19" s="5">
        <f>R19</f>
        <v>4084.3519999999553</v>
      </c>
      <c r="U19" s="41">
        <f>Q19/(T19/(L19-1))</f>
        <v>1</v>
      </c>
    </row>
    <row r="20" spans="1:21">
      <c r="A20" s="4">
        <v>3</v>
      </c>
      <c r="B20" s="6">
        <f>'Input Sheet'!C20</f>
        <v>42826</v>
      </c>
      <c r="C20" s="63">
        <f>'Input Sheet'!D20</f>
        <v>176783</v>
      </c>
      <c r="D20" s="63">
        <f t="shared" ref="D20:D34" si="1">$D19+$C$45*($C19-$D19)</f>
        <v>169059.68</v>
      </c>
      <c r="E20" s="63">
        <f t="shared" ref="E20:E40" si="2">C20-D20</f>
        <v>7723.320000000007</v>
      </c>
      <c r="F20" s="63">
        <f>F19+E20</f>
        <v>20553.72</v>
      </c>
      <c r="G20" s="63">
        <f>ABS(E20)</f>
        <v>7723.320000000007</v>
      </c>
      <c r="H20" s="18">
        <f t="shared" ref="H20:H40" si="3">IFERROR(G20/C20,"-")</f>
        <v>4.3688137434029328E-2</v>
      </c>
      <c r="I20" s="5">
        <f t="shared" ref="I20:I40" si="4">I19+G20</f>
        <v>20553.72</v>
      </c>
      <c r="J20" s="32">
        <f t="shared" ref="J20:J40" si="5">F20/(I20/(A20-1))</f>
        <v>2</v>
      </c>
      <c r="L20" s="4">
        <v>3</v>
      </c>
      <c r="M20" s="6" t="str">
        <f>'Input Sheet'!F20</f>
        <v>Q4- 2017</v>
      </c>
      <c r="N20" s="64">
        <f>'Input Sheet'!G20</f>
        <v>517041</v>
      </c>
      <c r="O20" s="64">
        <f t="shared" si="0"/>
        <v>534134.21030400007</v>
      </c>
      <c r="P20" s="64">
        <f t="shared" ref="P20:P24" si="6">N20-O20</f>
        <v>-17093.210304000066</v>
      </c>
      <c r="Q20" s="64">
        <f>Q19+P20</f>
        <v>-13008.85830400011</v>
      </c>
      <c r="R20" s="64">
        <f t="shared" ref="R20:R24" si="7">ABS(P20)</f>
        <v>17093.210304000066</v>
      </c>
      <c r="S20" s="18">
        <f t="shared" ref="S20:S24" si="8">IFERROR(R20/N20,"-")</f>
        <v>3.3059680574654748E-2</v>
      </c>
      <c r="T20" s="5">
        <f t="shared" ref="T20:T24" si="9">T19+R20</f>
        <v>21177.562304000021</v>
      </c>
      <c r="U20" s="41">
        <f t="shared" ref="U20:U24" si="10">Q20/(T20/(L20-1))</f>
        <v>-1.2285510595846998</v>
      </c>
    </row>
    <row r="21" spans="1:21">
      <c r="A21" s="4">
        <v>4</v>
      </c>
      <c r="B21" s="6">
        <f>'Input Sheet'!C21</f>
        <v>42856</v>
      </c>
      <c r="C21" s="63">
        <f>'Input Sheet'!D21</f>
        <v>227729</v>
      </c>
      <c r="D21" s="63">
        <f t="shared" si="1"/>
        <v>170604.34399999998</v>
      </c>
      <c r="E21" s="63">
        <f t="shared" si="2"/>
        <v>57124.656000000017</v>
      </c>
      <c r="F21" s="63">
        <f t="shared" ref="F21:F40" si="11">F20+E21</f>
        <v>77678.376000000018</v>
      </c>
      <c r="G21" s="63">
        <f t="shared" ref="G21:G40" si="12">ABS(E21)</f>
        <v>57124.656000000017</v>
      </c>
      <c r="H21" s="18">
        <f t="shared" si="3"/>
        <v>0.2508448901984377</v>
      </c>
      <c r="I21" s="5">
        <f t="shared" si="4"/>
        <v>77678.376000000018</v>
      </c>
      <c r="J21" s="32">
        <f t="shared" si="5"/>
        <v>3</v>
      </c>
      <c r="L21" s="4">
        <v>4</v>
      </c>
      <c r="M21" s="6" t="str">
        <f>'Input Sheet'!F21</f>
        <v>Q1- 2018</v>
      </c>
      <c r="N21" s="64">
        <f>'Input Sheet'!G21</f>
        <v>496259.5</v>
      </c>
      <c r="O21" s="64">
        <f t="shared" si="0"/>
        <v>524698.75821619201</v>
      </c>
      <c r="P21" s="64">
        <f t="shared" si="6"/>
        <v>-28439.258216192015</v>
      </c>
      <c r="Q21" s="64">
        <f t="shared" ref="Q21:Q24" si="13">Q20+P21</f>
        <v>-41448.116520192125</v>
      </c>
      <c r="R21" s="64">
        <f t="shared" si="7"/>
        <v>28439.258216192015</v>
      </c>
      <c r="S21" s="18">
        <f t="shared" si="8"/>
        <v>5.7307231833732181E-2</v>
      </c>
      <c r="T21" s="5">
        <f t="shared" si="9"/>
        <v>49616.820520192035</v>
      </c>
      <c r="U21" s="41">
        <f t="shared" si="10"/>
        <v>-2.5060926568233701</v>
      </c>
    </row>
    <row r="22" spans="1:21">
      <c r="A22" s="4">
        <v>5</v>
      </c>
      <c r="B22" s="6">
        <f>'Input Sheet'!C22</f>
        <v>42887</v>
      </c>
      <c r="C22" s="63">
        <f>'Input Sheet'!D22</f>
        <v>149252</v>
      </c>
      <c r="D22" s="63">
        <f t="shared" si="1"/>
        <v>182029.27519999997</v>
      </c>
      <c r="E22" s="63">
        <f t="shared" si="2"/>
        <v>-32777.275199999975</v>
      </c>
      <c r="F22" s="63">
        <f t="shared" si="11"/>
        <v>44901.100800000044</v>
      </c>
      <c r="G22" s="63">
        <f t="shared" si="12"/>
        <v>32777.275199999975</v>
      </c>
      <c r="H22" s="18">
        <f t="shared" si="3"/>
        <v>0.21961029131937915</v>
      </c>
      <c r="I22" s="5">
        <f t="shared" si="4"/>
        <v>110455.65119999999</v>
      </c>
      <c r="J22" s="32">
        <f t="shared" si="5"/>
        <v>1.6260318168311174</v>
      </c>
      <c r="L22" s="4">
        <v>5</v>
      </c>
      <c r="M22" s="6" t="str">
        <f>'Input Sheet'!F22</f>
        <v>Q2- 2018</v>
      </c>
      <c r="N22" s="64">
        <f>'Input Sheet'!G22</f>
        <v>496136</v>
      </c>
      <c r="O22" s="64">
        <f t="shared" si="0"/>
        <v>509000.28768085403</v>
      </c>
      <c r="P22" s="64">
        <f t="shared" si="6"/>
        <v>-12864.287680854031</v>
      </c>
      <c r="Q22" s="64">
        <f t="shared" si="13"/>
        <v>-54312.404201046156</v>
      </c>
      <c r="R22" s="64">
        <f t="shared" si="7"/>
        <v>12864.287680854031</v>
      </c>
      <c r="S22" s="18">
        <f t="shared" si="8"/>
        <v>2.592895432069842E-2</v>
      </c>
      <c r="T22" s="5">
        <f t="shared" si="9"/>
        <v>62481.108201046067</v>
      </c>
      <c r="U22" s="41">
        <f t="shared" si="10"/>
        <v>-3.4770448709894586</v>
      </c>
    </row>
    <row r="23" spans="1:21">
      <c r="A23" s="4">
        <v>6</v>
      </c>
      <c r="B23" s="6">
        <f>'Input Sheet'!C23</f>
        <v>42917</v>
      </c>
      <c r="C23" s="63">
        <f>'Input Sheet'!D23</f>
        <v>190401</v>
      </c>
      <c r="D23" s="63">
        <f t="shared" si="1"/>
        <v>175473.82015999997</v>
      </c>
      <c r="E23" s="63">
        <f t="shared" si="2"/>
        <v>14927.179840000026</v>
      </c>
      <c r="F23" s="63">
        <f t="shared" si="11"/>
        <v>59828.28064000007</v>
      </c>
      <c r="G23" s="63">
        <f t="shared" si="12"/>
        <v>14927.179840000026</v>
      </c>
      <c r="H23" s="18">
        <f t="shared" si="3"/>
        <v>7.8398642023939091E-2</v>
      </c>
      <c r="I23" s="5">
        <f t="shared" si="4"/>
        <v>125382.83104000002</v>
      </c>
      <c r="J23" s="32">
        <f t="shared" si="5"/>
        <v>2.3858242848621543</v>
      </c>
      <c r="L23" s="4">
        <v>6</v>
      </c>
      <c r="M23" s="6" t="str">
        <f>'Input Sheet'!F23</f>
        <v>Q3- 2018</v>
      </c>
      <c r="N23" s="64">
        <f>'Input Sheet'!G23</f>
        <v>471415</v>
      </c>
      <c r="O23" s="64">
        <f t="shared" si="0"/>
        <v>501899.20088102261</v>
      </c>
      <c r="P23" s="64">
        <f t="shared" si="6"/>
        <v>-30484.200881022611</v>
      </c>
      <c r="Q23" s="64">
        <f t="shared" si="13"/>
        <v>-84796.605082068767</v>
      </c>
      <c r="R23" s="64">
        <f t="shared" si="7"/>
        <v>30484.200881022611</v>
      </c>
      <c r="S23" s="18">
        <f t="shared" si="8"/>
        <v>6.4665317991626503E-2</v>
      </c>
      <c r="T23" s="5">
        <f t="shared" si="9"/>
        <v>92965.309082068678</v>
      </c>
      <c r="U23" s="41">
        <f t="shared" si="10"/>
        <v>-4.5606584821447393</v>
      </c>
    </row>
    <row r="24" spans="1:21">
      <c r="A24" s="4">
        <v>7</v>
      </c>
      <c r="B24" s="6">
        <f>'Input Sheet'!C24</f>
        <v>42948</v>
      </c>
      <c r="C24" s="63">
        <f>'Input Sheet'!D24</f>
        <v>199905</v>
      </c>
      <c r="D24" s="63">
        <f t="shared" si="1"/>
        <v>178459.25612799998</v>
      </c>
      <c r="E24" s="63">
        <f t="shared" si="2"/>
        <v>21445.743872000021</v>
      </c>
      <c r="F24" s="63">
        <f t="shared" si="11"/>
        <v>81274.024512000091</v>
      </c>
      <c r="G24" s="63">
        <f t="shared" si="12"/>
        <v>21445.743872000021</v>
      </c>
      <c r="H24" s="18">
        <f t="shared" si="3"/>
        <v>0.10727967720667328</v>
      </c>
      <c r="I24" s="5">
        <f t="shared" si="4"/>
        <v>146828.57491200004</v>
      </c>
      <c r="J24" s="32">
        <f t="shared" si="5"/>
        <v>3.3211801406113506</v>
      </c>
      <c r="L24" s="4">
        <v>7</v>
      </c>
      <c r="M24" s="6" t="str">
        <f>'Input Sheet'!F24</f>
        <v>Q4- 2018</v>
      </c>
      <c r="N24" s="64">
        <f>'Input Sheet'!G24</f>
        <v>482435</v>
      </c>
      <c r="O24" s="64">
        <f t="shared" si="0"/>
        <v>485071.92199469812</v>
      </c>
      <c r="P24" s="64">
        <f t="shared" si="6"/>
        <v>-2636.9219946981175</v>
      </c>
      <c r="Q24" s="64">
        <f t="shared" si="13"/>
        <v>-87433.527076766884</v>
      </c>
      <c r="R24" s="64">
        <f t="shared" si="7"/>
        <v>2636.9219946981175</v>
      </c>
      <c r="S24" s="18">
        <f t="shared" si="8"/>
        <v>5.465859638496621E-3</v>
      </c>
      <c r="T24" s="5">
        <f t="shared" si="9"/>
        <v>95602.231076766795</v>
      </c>
      <c r="U24" s="41">
        <f t="shared" si="10"/>
        <v>-5.4873317970932751</v>
      </c>
    </row>
    <row r="25" spans="1:21">
      <c r="A25" s="4">
        <v>8</v>
      </c>
      <c r="B25" s="6">
        <f>'Input Sheet'!C25</f>
        <v>42979</v>
      </c>
      <c r="C25" s="63">
        <f>'Input Sheet'!D25</f>
        <v>145658</v>
      </c>
      <c r="D25" s="63">
        <f t="shared" si="1"/>
        <v>182748.40490239998</v>
      </c>
      <c r="E25" s="63">
        <f t="shared" si="2"/>
        <v>-37090.404902399983</v>
      </c>
      <c r="F25" s="63">
        <f t="shared" si="11"/>
        <v>44183.619609600108</v>
      </c>
      <c r="G25" s="63">
        <f t="shared" si="12"/>
        <v>37090.404902399983</v>
      </c>
      <c r="H25" s="18">
        <f t="shared" si="3"/>
        <v>0.25464035550673486</v>
      </c>
      <c r="I25" s="5">
        <f t="shared" si="4"/>
        <v>183918.97981440002</v>
      </c>
      <c r="J25" s="32">
        <f t="shared" si="5"/>
        <v>1.6816390433402411</v>
      </c>
      <c r="L25" s="4">
        <v>8</v>
      </c>
      <c r="M25" s="6" t="s">
        <v>76</v>
      </c>
      <c r="N25" s="98"/>
      <c r="O25" s="65">
        <f t="shared" si="0"/>
        <v>483616.34105362475</v>
      </c>
      <c r="P25" s="98"/>
      <c r="Q25" s="98"/>
      <c r="R25" s="98"/>
      <c r="S25" s="104"/>
      <c r="T25" s="102"/>
      <c r="U25" s="100"/>
    </row>
    <row r="26" spans="1:21">
      <c r="A26" s="4">
        <v>9</v>
      </c>
      <c r="B26" s="6">
        <f>'Input Sheet'!C26</f>
        <v>43009</v>
      </c>
      <c r="C26" s="63">
        <f>'Input Sheet'!D26</f>
        <v>176171</v>
      </c>
      <c r="D26" s="63">
        <f t="shared" si="1"/>
        <v>175330.32392191997</v>
      </c>
      <c r="E26" s="63">
        <f t="shared" si="2"/>
        <v>840.67607808002504</v>
      </c>
      <c r="F26" s="63">
        <f t="shared" si="11"/>
        <v>45024.295687680133</v>
      </c>
      <c r="G26" s="63">
        <f t="shared" si="12"/>
        <v>840.67607808002504</v>
      </c>
      <c r="H26" s="18">
        <f t="shared" si="3"/>
        <v>4.7719322594526057E-3</v>
      </c>
      <c r="I26" s="5">
        <f t="shared" si="4"/>
        <v>184759.65589248005</v>
      </c>
      <c r="J26" s="32">
        <f t="shared" si="5"/>
        <v>1.9495293155939539</v>
      </c>
      <c r="L26" s="234" t="s">
        <v>36</v>
      </c>
      <c r="M26" s="234"/>
      <c r="N26" s="17"/>
      <c r="O26" s="17"/>
      <c r="P26" s="29">
        <f>AVERAGE(P17:P24)</f>
        <v>-5512.0752966809832</v>
      </c>
      <c r="Q26" s="30"/>
      <c r="R26" s="29">
        <f>AVERAGE(R17:R24)</f>
        <v>15933.705179461133</v>
      </c>
      <c r="S26" s="31">
        <f>AVERAGE(S17:S24)</f>
        <v>3.2341269315022021E-2</v>
      </c>
      <c r="T26" s="30"/>
      <c r="U26" s="30"/>
    </row>
    <row r="27" spans="1:21">
      <c r="A27" s="4">
        <v>10</v>
      </c>
      <c r="B27" s="6">
        <f>'Input Sheet'!C27</f>
        <v>43040</v>
      </c>
      <c r="C27" s="63">
        <f>'Input Sheet'!D27</f>
        <v>169218.5</v>
      </c>
      <c r="D27" s="63">
        <f t="shared" si="1"/>
        <v>175498.45913753597</v>
      </c>
      <c r="E27" s="63">
        <f t="shared" si="2"/>
        <v>-6279.9591375359742</v>
      </c>
      <c r="F27" s="63">
        <f t="shared" si="11"/>
        <v>38744.336550144159</v>
      </c>
      <c r="G27" s="63">
        <f t="shared" si="12"/>
        <v>6279.9591375359742</v>
      </c>
      <c r="H27" s="18">
        <f t="shared" si="3"/>
        <v>3.71115400357288E-2</v>
      </c>
      <c r="I27" s="5">
        <f t="shared" si="4"/>
        <v>191039.61503001602</v>
      </c>
      <c r="J27" s="32">
        <f t="shared" si="5"/>
        <v>1.8252707894983462</v>
      </c>
      <c r="L27" s="48"/>
      <c r="M27" s="49"/>
      <c r="N27" s="50"/>
      <c r="O27" s="50"/>
      <c r="P27" s="35" t="s">
        <v>40</v>
      </c>
      <c r="Q27" s="35"/>
      <c r="R27" s="35" t="s">
        <v>2</v>
      </c>
      <c r="S27" s="35" t="s">
        <v>3</v>
      </c>
      <c r="T27" s="50"/>
      <c r="U27" s="51"/>
    </row>
    <row r="28" spans="1:21">
      <c r="A28" s="4">
        <v>11</v>
      </c>
      <c r="B28" s="6">
        <f>'Input Sheet'!C28</f>
        <v>43070</v>
      </c>
      <c r="C28" s="63">
        <f>'Input Sheet'!D28</f>
        <v>171651.5</v>
      </c>
      <c r="D28" s="63">
        <f t="shared" si="1"/>
        <v>174242.46731002879</v>
      </c>
      <c r="E28" s="63">
        <f t="shared" si="2"/>
        <v>-2590.967310028791</v>
      </c>
      <c r="F28" s="63">
        <f t="shared" si="11"/>
        <v>36153.369240115368</v>
      </c>
      <c r="G28" s="63">
        <f t="shared" si="12"/>
        <v>2590.967310028791</v>
      </c>
      <c r="H28" s="18">
        <f t="shared" si="3"/>
        <v>1.5094347034711558E-2</v>
      </c>
      <c r="I28" s="5">
        <f t="shared" si="4"/>
        <v>193630.58234004481</v>
      </c>
      <c r="J28" s="32">
        <f t="shared" si="5"/>
        <v>1.8671311526928396</v>
      </c>
      <c r="T28" s="54"/>
      <c r="U28" s="56"/>
    </row>
    <row r="29" spans="1:21" ht="16.5" thickBot="1">
      <c r="A29" s="4">
        <v>12</v>
      </c>
      <c r="B29" s="6">
        <f>'Input Sheet'!C29</f>
        <v>43101</v>
      </c>
      <c r="C29" s="63">
        <f>'Input Sheet'!D29</f>
        <v>170123</v>
      </c>
      <c r="D29" s="63">
        <f t="shared" si="1"/>
        <v>173724.27384802303</v>
      </c>
      <c r="E29" s="63">
        <f t="shared" si="2"/>
        <v>-3601.2738480230328</v>
      </c>
      <c r="F29" s="63">
        <f t="shared" si="11"/>
        <v>32552.095392092335</v>
      </c>
      <c r="G29" s="63">
        <f t="shared" si="12"/>
        <v>3601.2738480230328</v>
      </c>
      <c r="H29" s="18">
        <f t="shared" si="3"/>
        <v>2.1168647672701709E-2</v>
      </c>
      <c r="I29" s="5">
        <f t="shared" si="4"/>
        <v>197231.85618806785</v>
      </c>
      <c r="J29" s="32">
        <f t="shared" si="5"/>
        <v>1.8154929747838495</v>
      </c>
      <c r="N29" s="28" t="s">
        <v>35</v>
      </c>
      <c r="T29" s="54"/>
      <c r="U29" s="56"/>
    </row>
    <row r="30" spans="1:21" ht="15.75" thickTop="1">
      <c r="A30" s="4">
        <v>13</v>
      </c>
      <c r="B30" s="6">
        <f>'Input Sheet'!C30</f>
        <v>43132</v>
      </c>
      <c r="C30" s="63">
        <f>'Input Sheet'!D30</f>
        <v>153671</v>
      </c>
      <c r="D30" s="63">
        <f t="shared" si="1"/>
        <v>173004.01907841844</v>
      </c>
      <c r="E30" s="63">
        <f t="shared" si="2"/>
        <v>-19333.019078418438</v>
      </c>
      <c r="F30" s="63">
        <f t="shared" si="11"/>
        <v>13219.076313673897</v>
      </c>
      <c r="G30" s="63">
        <f t="shared" si="12"/>
        <v>19333.019078418438</v>
      </c>
      <c r="H30" s="18">
        <f t="shared" si="3"/>
        <v>0.1258078562540651</v>
      </c>
      <c r="I30" s="5">
        <f t="shared" si="4"/>
        <v>216564.87526648628</v>
      </c>
      <c r="J30" s="32">
        <f t="shared" si="5"/>
        <v>0.73247758007336838</v>
      </c>
      <c r="M30" s="7" t="s">
        <v>1</v>
      </c>
      <c r="N30" s="99">
        <f>ROUNDDOWN('Input Sheet'!C6,3)</f>
        <v>0.55200000000000005</v>
      </c>
      <c r="T30" s="54"/>
      <c r="U30" s="56"/>
    </row>
    <row r="31" spans="1:21">
      <c r="A31" s="4">
        <v>14</v>
      </c>
      <c r="B31" s="6">
        <f>'Input Sheet'!C31</f>
        <v>43160</v>
      </c>
      <c r="C31" s="63">
        <f>'Input Sheet'!D31</f>
        <v>172465.5</v>
      </c>
      <c r="D31" s="63">
        <f t="shared" si="1"/>
        <v>169137.41526273475</v>
      </c>
      <c r="E31" s="63">
        <f t="shared" si="2"/>
        <v>3328.0847372652497</v>
      </c>
      <c r="F31" s="63">
        <f t="shared" si="11"/>
        <v>16547.161050939147</v>
      </c>
      <c r="G31" s="63">
        <f t="shared" si="12"/>
        <v>3328.0847372652497</v>
      </c>
      <c r="H31" s="18">
        <f t="shared" si="3"/>
        <v>1.9297104274566507E-2</v>
      </c>
      <c r="I31" s="5">
        <f t="shared" si="4"/>
        <v>219892.96000375153</v>
      </c>
      <c r="J31" s="32">
        <f t="shared" si="5"/>
        <v>0.97826275865557011</v>
      </c>
      <c r="T31" s="54"/>
      <c r="U31" s="56"/>
    </row>
    <row r="32" spans="1:21">
      <c r="A32" s="4">
        <v>15</v>
      </c>
      <c r="B32" s="6">
        <f>'Input Sheet'!C32</f>
        <v>43191</v>
      </c>
      <c r="C32" s="63">
        <f>'Input Sheet'!D32</f>
        <v>162614.5</v>
      </c>
      <c r="D32" s="63">
        <f t="shared" si="1"/>
        <v>169803.03221018781</v>
      </c>
      <c r="E32" s="63">
        <f t="shared" si="2"/>
        <v>-7188.5322101878119</v>
      </c>
      <c r="F32" s="63">
        <f t="shared" si="11"/>
        <v>9358.6288407513348</v>
      </c>
      <c r="G32" s="63">
        <f t="shared" si="12"/>
        <v>7188.5322101878119</v>
      </c>
      <c r="H32" s="18">
        <f t="shared" si="3"/>
        <v>4.4205973084736061E-2</v>
      </c>
      <c r="I32" s="5">
        <f t="shared" si="4"/>
        <v>227081.49221393935</v>
      </c>
      <c r="J32" s="32">
        <f t="shared" si="5"/>
        <v>0.576977024825434</v>
      </c>
      <c r="L32" s="52"/>
      <c r="M32" s="53"/>
      <c r="N32" s="54"/>
      <c r="O32" s="54"/>
      <c r="P32" s="54"/>
      <c r="Q32" s="54"/>
      <c r="R32" s="54"/>
      <c r="S32" s="55"/>
      <c r="T32" s="54"/>
      <c r="U32" s="56"/>
    </row>
    <row r="33" spans="1:21">
      <c r="A33" s="4">
        <v>16</v>
      </c>
      <c r="B33" s="6">
        <f>'Input Sheet'!C33</f>
        <v>43221</v>
      </c>
      <c r="C33" s="63">
        <f>'Input Sheet'!D33</f>
        <v>192675.5</v>
      </c>
      <c r="D33" s="63">
        <f t="shared" si="1"/>
        <v>168365.32576815024</v>
      </c>
      <c r="E33" s="63">
        <f t="shared" si="2"/>
        <v>24310.174231849756</v>
      </c>
      <c r="F33" s="63">
        <f t="shared" si="11"/>
        <v>33668.803072601091</v>
      </c>
      <c r="G33" s="63">
        <f t="shared" si="12"/>
        <v>24310.174231849756</v>
      </c>
      <c r="H33" s="18">
        <f t="shared" si="3"/>
        <v>0.12617159022215982</v>
      </c>
      <c r="I33" s="5">
        <f t="shared" si="4"/>
        <v>251391.6664457891</v>
      </c>
      <c r="J33" s="32">
        <f t="shared" si="5"/>
        <v>2.0089450586379045</v>
      </c>
      <c r="L33" s="52"/>
      <c r="M33" s="53"/>
      <c r="N33" s="54"/>
      <c r="O33" s="54"/>
      <c r="P33" s="54"/>
      <c r="Q33" s="54"/>
      <c r="R33" s="54"/>
      <c r="S33" s="54"/>
      <c r="T33" s="54"/>
      <c r="U33" s="57"/>
    </row>
    <row r="34" spans="1:21">
      <c r="A34" s="4">
        <v>17</v>
      </c>
      <c r="B34" s="6">
        <f>'Input Sheet'!C34</f>
        <v>43252</v>
      </c>
      <c r="C34" s="63">
        <f>'Input Sheet'!D34</f>
        <v>140846</v>
      </c>
      <c r="D34" s="64">
        <f t="shared" si="1"/>
        <v>173227.36061452021</v>
      </c>
      <c r="E34" s="63">
        <f t="shared" si="2"/>
        <v>-32381.360614520207</v>
      </c>
      <c r="F34" s="63">
        <f t="shared" si="11"/>
        <v>1287.4424580808845</v>
      </c>
      <c r="G34" s="63">
        <f t="shared" si="12"/>
        <v>32381.360614520207</v>
      </c>
      <c r="H34" s="18">
        <f t="shared" si="3"/>
        <v>0.22990614298254977</v>
      </c>
      <c r="I34" s="5">
        <f t="shared" si="4"/>
        <v>283773.02706030931</v>
      </c>
      <c r="J34" s="32">
        <f t="shared" si="5"/>
        <v>7.2589983419799442E-2</v>
      </c>
    </row>
    <row r="35" spans="1:21">
      <c r="A35" s="4">
        <v>18</v>
      </c>
      <c r="B35" s="6">
        <f>'Input Sheet'!C35</f>
        <v>43282</v>
      </c>
      <c r="C35" s="63">
        <f>'Input Sheet'!D35</f>
        <v>161309</v>
      </c>
      <c r="D35" s="64">
        <f t="shared" ref="D35:D41" si="14">$D34+$C$45*($C34-$D34)</f>
        <v>166751.08849161616</v>
      </c>
      <c r="E35" s="63">
        <f t="shared" si="2"/>
        <v>-5442.0884916161594</v>
      </c>
      <c r="F35" s="63">
        <f t="shared" si="11"/>
        <v>-4154.6460335352749</v>
      </c>
      <c r="G35" s="63">
        <f t="shared" si="12"/>
        <v>5442.0884916161594</v>
      </c>
      <c r="H35" s="18">
        <f t="shared" si="3"/>
        <v>3.3737041898568333E-2</v>
      </c>
      <c r="I35" s="5">
        <f t="shared" si="4"/>
        <v>289215.1155519255</v>
      </c>
      <c r="J35" s="32">
        <f t="shared" si="5"/>
        <v>-0.24420916740577134</v>
      </c>
      <c r="L35" s="52"/>
      <c r="M35" s="53"/>
      <c r="N35" s="54"/>
      <c r="O35" s="54"/>
      <c r="P35" s="54"/>
      <c r="Q35" s="54"/>
      <c r="R35" s="54"/>
      <c r="S35" s="54"/>
      <c r="T35" s="54"/>
      <c r="U35" s="57"/>
    </row>
    <row r="36" spans="1:21">
      <c r="A36" s="4">
        <v>19</v>
      </c>
      <c r="B36" s="6">
        <f>'Input Sheet'!C36</f>
        <v>43313</v>
      </c>
      <c r="C36" s="63">
        <f>'Input Sheet'!D36</f>
        <v>159995</v>
      </c>
      <c r="D36" s="64">
        <f t="shared" si="14"/>
        <v>165662.67079329293</v>
      </c>
      <c r="E36" s="63">
        <f t="shared" si="2"/>
        <v>-5667.6707932929276</v>
      </c>
      <c r="F36" s="63">
        <f t="shared" si="11"/>
        <v>-9822.3168268282025</v>
      </c>
      <c r="G36" s="63">
        <f t="shared" si="12"/>
        <v>5667.6707932929276</v>
      </c>
      <c r="H36" s="18">
        <f t="shared" si="3"/>
        <v>3.5424049459626412E-2</v>
      </c>
      <c r="I36" s="5">
        <f t="shared" si="4"/>
        <v>294882.78634521842</v>
      </c>
      <c r="J36" s="32">
        <f t="shared" si="5"/>
        <v>-0.59956603460714186</v>
      </c>
      <c r="L36" s="52"/>
      <c r="M36" s="53"/>
      <c r="N36" s="54"/>
      <c r="O36" s="54"/>
      <c r="P36" s="54"/>
      <c r="Q36" s="54"/>
      <c r="R36" s="54"/>
      <c r="S36" s="54"/>
      <c r="T36" s="54"/>
      <c r="U36" s="57"/>
    </row>
    <row r="37" spans="1:21">
      <c r="A37" s="4">
        <v>20</v>
      </c>
      <c r="B37" s="6">
        <f>'Input Sheet'!C37</f>
        <v>43344</v>
      </c>
      <c r="C37" s="63">
        <f>'Input Sheet'!D37</f>
        <v>150111</v>
      </c>
      <c r="D37" s="64">
        <f t="shared" si="14"/>
        <v>164529.13663463434</v>
      </c>
      <c r="E37" s="63">
        <f t="shared" si="2"/>
        <v>-14418.136634634342</v>
      </c>
      <c r="F37" s="63">
        <f t="shared" si="11"/>
        <v>-24240.453461462545</v>
      </c>
      <c r="G37" s="63">
        <f t="shared" si="12"/>
        <v>14418.136634634342</v>
      </c>
      <c r="H37" s="18">
        <f t="shared" si="3"/>
        <v>9.6049834020387193E-2</v>
      </c>
      <c r="I37" s="5">
        <f t="shared" si="4"/>
        <v>309300.92297985277</v>
      </c>
      <c r="J37" s="32">
        <f t="shared" si="5"/>
        <v>-1.489063179413108</v>
      </c>
      <c r="L37" s="52"/>
      <c r="M37" s="53"/>
      <c r="N37" s="54"/>
      <c r="O37" s="54"/>
      <c r="P37" s="54"/>
      <c r="Q37" s="54"/>
      <c r="R37" s="54"/>
      <c r="S37" s="54"/>
      <c r="T37" s="54"/>
      <c r="U37" s="57"/>
    </row>
    <row r="38" spans="1:21">
      <c r="A38" s="4">
        <v>21</v>
      </c>
      <c r="B38" s="6">
        <f>'Input Sheet'!C38</f>
        <v>43374</v>
      </c>
      <c r="C38" s="63">
        <f>'Input Sheet'!D38</f>
        <v>166387</v>
      </c>
      <c r="D38" s="64">
        <f t="shared" si="14"/>
        <v>161645.50930770749</v>
      </c>
      <c r="E38" s="63">
        <f t="shared" si="2"/>
        <v>4741.4906922925147</v>
      </c>
      <c r="F38" s="63">
        <f t="shared" si="11"/>
        <v>-19498.96276917003</v>
      </c>
      <c r="G38" s="63">
        <f t="shared" si="12"/>
        <v>4741.4906922925147</v>
      </c>
      <c r="H38" s="18">
        <f t="shared" si="3"/>
        <v>2.8496761719921115E-2</v>
      </c>
      <c r="I38" s="5">
        <f t="shared" si="4"/>
        <v>314042.41367214528</v>
      </c>
      <c r="J38" s="32">
        <f t="shared" si="5"/>
        <v>-1.2418044136883117</v>
      </c>
      <c r="L38" s="52"/>
      <c r="M38" s="53"/>
      <c r="N38" s="54"/>
      <c r="O38" s="54"/>
      <c r="P38" s="54"/>
      <c r="Q38" s="54"/>
      <c r="R38" s="54"/>
      <c r="S38" s="54"/>
      <c r="T38" s="54"/>
      <c r="U38" s="57"/>
    </row>
    <row r="39" spans="1:21">
      <c r="A39" s="4">
        <v>22</v>
      </c>
      <c r="B39" s="6">
        <f>'Input Sheet'!C39</f>
        <v>43405</v>
      </c>
      <c r="C39" s="63">
        <f>'Input Sheet'!D39</f>
        <v>163152</v>
      </c>
      <c r="D39" s="64">
        <f t="shared" si="14"/>
        <v>162593.807446166</v>
      </c>
      <c r="E39" s="63">
        <f t="shared" si="2"/>
        <v>558.19255383400014</v>
      </c>
      <c r="F39" s="63">
        <f t="shared" si="11"/>
        <v>-18940.77021533603</v>
      </c>
      <c r="G39" s="63">
        <f t="shared" si="12"/>
        <v>558.19255383400014</v>
      </c>
      <c r="H39" s="18">
        <f t="shared" si="3"/>
        <v>3.4213037770545267E-3</v>
      </c>
      <c r="I39" s="5">
        <f t="shared" si="4"/>
        <v>314600.60622597928</v>
      </c>
      <c r="J39" s="32">
        <f t="shared" si="5"/>
        <v>-1.2643210682065444</v>
      </c>
      <c r="L39" s="52"/>
      <c r="M39" s="53"/>
      <c r="N39" s="54"/>
      <c r="O39" s="54"/>
      <c r="P39" s="54"/>
      <c r="Q39" s="54"/>
      <c r="R39" s="54"/>
      <c r="S39" s="54"/>
      <c r="T39" s="54"/>
      <c r="U39" s="57"/>
    </row>
    <row r="40" spans="1:21">
      <c r="A40" s="4">
        <v>23</v>
      </c>
      <c r="B40" s="6">
        <f>'Input Sheet'!C40</f>
        <v>43435</v>
      </c>
      <c r="C40" s="63">
        <f>'Input Sheet'!D40</f>
        <v>152896</v>
      </c>
      <c r="D40" s="64">
        <f t="shared" si="14"/>
        <v>162705.44595693279</v>
      </c>
      <c r="E40" s="63">
        <f t="shared" si="2"/>
        <v>-9809.4459569327882</v>
      </c>
      <c r="F40" s="63">
        <f t="shared" si="11"/>
        <v>-28750.216172268818</v>
      </c>
      <c r="G40" s="63">
        <f t="shared" si="12"/>
        <v>9809.4459569327882</v>
      </c>
      <c r="H40" s="18">
        <f t="shared" si="3"/>
        <v>6.415763628173915E-2</v>
      </c>
      <c r="I40" s="5">
        <f t="shared" si="4"/>
        <v>324410.05218291207</v>
      </c>
      <c r="J40" s="32">
        <f t="shared" si="5"/>
        <v>-1.9497076355491256</v>
      </c>
      <c r="L40" s="52"/>
      <c r="M40" s="53"/>
      <c r="N40" s="54"/>
      <c r="O40" s="54"/>
      <c r="P40" s="54"/>
      <c r="Q40" s="54"/>
      <c r="R40" s="54"/>
      <c r="S40" s="54"/>
      <c r="T40" s="54"/>
      <c r="U40" s="57"/>
    </row>
    <row r="41" spans="1:21">
      <c r="A41" s="4">
        <v>24</v>
      </c>
      <c r="B41" s="6">
        <f>DATE(YEAR(B40),MONTH(B40)+1,DAY(B40))</f>
        <v>43466</v>
      </c>
      <c r="C41" s="98"/>
      <c r="D41" s="65">
        <f t="shared" si="14"/>
        <v>160743.55676554624</v>
      </c>
      <c r="E41" s="98"/>
      <c r="F41" s="98"/>
      <c r="G41" s="98"/>
      <c r="H41" s="102"/>
      <c r="I41" s="102"/>
      <c r="J41" s="103"/>
      <c r="L41" s="52"/>
      <c r="M41" s="53"/>
      <c r="N41" s="54"/>
      <c r="O41" s="54"/>
      <c r="P41" s="54"/>
      <c r="Q41" s="54"/>
      <c r="R41" s="54"/>
      <c r="S41" s="54"/>
      <c r="T41" s="54"/>
      <c r="U41" s="57"/>
    </row>
    <row r="42" spans="1:21">
      <c r="A42" s="228" t="s">
        <v>36</v>
      </c>
      <c r="B42" s="228"/>
      <c r="C42" s="17"/>
      <c r="D42" s="17"/>
      <c r="E42" s="29">
        <f>AVERAGE(E17:E40)</f>
        <v>-1306.8280078304008</v>
      </c>
      <c r="F42" s="30"/>
      <c r="G42" s="29">
        <f>AVERAGE(G19:G40)</f>
        <v>14745.91146285964</v>
      </c>
      <c r="H42" s="183">
        <f>AVERAGE(H19:H40)</f>
        <v>8.6856020900192385E-2</v>
      </c>
      <c r="I42" s="30"/>
      <c r="J42" s="30"/>
    </row>
    <row r="43" spans="1:21">
      <c r="E43" s="35" t="s">
        <v>40</v>
      </c>
      <c r="F43" s="35"/>
      <c r="G43" s="35" t="s">
        <v>2</v>
      </c>
      <c r="H43" s="35" t="s">
        <v>3</v>
      </c>
    </row>
    <row r="44" spans="1:21" ht="16.5" thickBot="1">
      <c r="C44" s="28" t="s">
        <v>35</v>
      </c>
    </row>
    <row r="45" spans="1:21" ht="15.75" thickTop="1">
      <c r="B45" s="7" t="s">
        <v>1</v>
      </c>
      <c r="C45" s="99">
        <v>0.2</v>
      </c>
    </row>
    <row r="47" spans="1:21" ht="15.75">
      <c r="A47" s="229" t="s">
        <v>12</v>
      </c>
      <c r="B47" s="229"/>
    </row>
    <row r="49" spans="1:1">
      <c r="A49" s="33" t="s">
        <v>39</v>
      </c>
    </row>
  </sheetData>
  <mergeCells count="19">
    <mergeCell ref="L26:M26"/>
    <mergeCell ref="A47:B47"/>
    <mergeCell ref="A42:B42"/>
    <mergeCell ref="G15:G16"/>
    <mergeCell ref="F15:F16"/>
    <mergeCell ref="H15:H16"/>
    <mergeCell ref="I15:I16"/>
    <mergeCell ref="J15:J16"/>
    <mergeCell ref="A1:J1"/>
    <mergeCell ref="A15:A16"/>
    <mergeCell ref="B15:B16"/>
    <mergeCell ref="T15:T16"/>
    <mergeCell ref="U15:U16"/>
    <mergeCell ref="L1:U1"/>
    <mergeCell ref="L15:L16"/>
    <mergeCell ref="M15:M16"/>
    <mergeCell ref="Q15:Q16"/>
    <mergeCell ref="R15:R16"/>
    <mergeCell ref="S15:S1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theme="0" tint="-0.249977111117893"/>
  </sheetPr>
  <dimension ref="A1:AA57"/>
  <sheetViews>
    <sheetView tabSelected="1" topLeftCell="A19" zoomScale="73" zoomScaleNormal="73" workbookViewId="0">
      <selection activeCell="C52" sqref="C52"/>
    </sheetView>
  </sheetViews>
  <sheetFormatPr defaultRowHeight="15"/>
  <cols>
    <col min="1" max="1" width="9.28515625" customWidth="1"/>
    <col min="2" max="3" width="16.5703125" customWidth="1"/>
    <col min="4" max="4" width="18.7109375" bestFit="1" customWidth="1"/>
    <col min="5" max="5" width="16.5703125" customWidth="1"/>
    <col min="6" max="6" width="19.140625" bestFit="1" customWidth="1"/>
    <col min="7" max="7" width="13.85546875" customWidth="1"/>
    <col min="8" max="8" width="14" customWidth="1"/>
    <col min="9" max="12" width="15.28515625" customWidth="1"/>
    <col min="13" max="13" width="5" customWidth="1"/>
    <col min="15" max="15" width="16.7109375" customWidth="1"/>
    <col min="16" max="23" width="16.42578125" customWidth="1"/>
    <col min="24" max="24" width="14.28515625" customWidth="1"/>
    <col min="25" max="25" width="16" customWidth="1"/>
    <col min="26" max="26" width="4.5703125" customWidth="1"/>
  </cols>
  <sheetData>
    <row r="1" spans="1:25" ht="27" customHeight="1">
      <c r="A1" s="78" t="s">
        <v>62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N1" s="230" t="s">
        <v>63</v>
      </c>
      <c r="O1" s="230"/>
      <c r="P1" s="230"/>
      <c r="Q1" s="230"/>
      <c r="R1" s="230"/>
      <c r="S1" s="230"/>
      <c r="T1" s="230"/>
      <c r="U1" s="230"/>
      <c r="V1" s="230"/>
      <c r="W1" s="230"/>
      <c r="X1" s="69"/>
      <c r="Y1" s="69"/>
    </row>
    <row r="2" spans="1:25" s="12" customFormat="1" ht="16.5" customHeight="1">
      <c r="A2" s="10"/>
      <c r="B2" s="10"/>
      <c r="C2" s="10"/>
      <c r="E2" s="10"/>
      <c r="G2" s="11"/>
      <c r="L2" s="11"/>
    </row>
    <row r="3" spans="1:25" s="12" customFormat="1" ht="17.25" customHeight="1">
      <c r="A3" s="10"/>
      <c r="B3" s="10"/>
      <c r="C3" s="10"/>
      <c r="E3" s="10"/>
      <c r="G3" s="11"/>
      <c r="L3" s="11"/>
    </row>
    <row r="4" spans="1:25" s="12" customFormat="1" ht="17.25" customHeight="1">
      <c r="A4" s="10"/>
      <c r="B4" s="10"/>
      <c r="C4" s="10"/>
      <c r="E4" s="10"/>
      <c r="G4" s="11"/>
      <c r="L4" s="11"/>
    </row>
    <row r="5" spans="1:25" s="12" customFormat="1" ht="17.25" customHeight="1">
      <c r="A5" s="10"/>
      <c r="B5" s="10"/>
      <c r="C5" s="10"/>
      <c r="E5" s="10"/>
      <c r="G5" s="11"/>
      <c r="L5" s="11"/>
    </row>
    <row r="6" spans="1:25" s="12" customFormat="1" ht="17.25" customHeight="1">
      <c r="A6" s="10"/>
      <c r="B6" s="10"/>
      <c r="C6" s="10"/>
      <c r="E6" s="10"/>
      <c r="G6" s="11"/>
      <c r="L6" s="11"/>
    </row>
    <row r="7" spans="1:25" s="12" customFormat="1" ht="17.25" customHeight="1">
      <c r="A7" s="10"/>
      <c r="B7" s="10"/>
      <c r="C7" s="10"/>
      <c r="E7" s="10"/>
      <c r="G7" s="11"/>
      <c r="L7" s="11"/>
    </row>
    <row r="8" spans="1:25" s="12" customFormat="1" ht="17.25" customHeight="1">
      <c r="A8" s="10"/>
      <c r="B8" s="10"/>
      <c r="C8" s="10"/>
      <c r="E8" s="10"/>
      <c r="G8" s="11"/>
      <c r="L8" s="11"/>
    </row>
    <row r="9" spans="1:25" s="12" customFormat="1" ht="17.25" customHeight="1">
      <c r="A9" s="10"/>
      <c r="B9" s="10"/>
      <c r="C9" s="10"/>
      <c r="E9" s="10"/>
      <c r="G9" s="11"/>
      <c r="L9" s="11"/>
    </row>
    <row r="10" spans="1:25" s="12" customFormat="1" ht="17.25" customHeight="1">
      <c r="A10" s="10"/>
      <c r="B10" s="10"/>
      <c r="C10" s="10"/>
      <c r="E10" s="10"/>
      <c r="G10" s="11"/>
      <c r="L10" s="11"/>
    </row>
    <row r="11" spans="1:25" s="12" customFormat="1" ht="17.25" customHeight="1">
      <c r="A11" s="10"/>
      <c r="B11" s="10"/>
      <c r="C11" s="10"/>
      <c r="E11" s="10"/>
      <c r="G11" s="11"/>
      <c r="L11" s="11"/>
    </row>
    <row r="12" spans="1:25" s="12" customFormat="1" ht="17.25" customHeight="1">
      <c r="A12" s="10"/>
      <c r="B12" s="10"/>
      <c r="C12" s="10"/>
      <c r="E12" s="10"/>
      <c r="G12" s="11"/>
      <c r="L12" s="11"/>
    </row>
    <row r="13" spans="1:25" s="12" customFormat="1" ht="17.25" customHeight="1">
      <c r="A13" s="10"/>
      <c r="B13" s="10"/>
      <c r="C13" s="10"/>
      <c r="E13" s="10"/>
      <c r="G13" s="11"/>
      <c r="L13" s="11"/>
    </row>
    <row r="14" spans="1:25" s="12" customFormat="1" ht="17.25" customHeight="1">
      <c r="A14" s="10"/>
      <c r="B14" s="10"/>
      <c r="C14" s="10"/>
      <c r="E14" s="10"/>
      <c r="G14" s="11"/>
      <c r="L14" s="11"/>
    </row>
    <row r="15" spans="1:25" s="12" customFormat="1" ht="15.75" customHeight="1">
      <c r="A15" s="10"/>
      <c r="B15" s="10"/>
      <c r="C15" s="10"/>
      <c r="E15" s="10"/>
      <c r="G15" s="11"/>
      <c r="H15" s="11"/>
      <c r="I15" s="11"/>
      <c r="J15" s="11"/>
      <c r="K15" s="11"/>
      <c r="L15" s="13"/>
    </row>
    <row r="16" spans="1:25" ht="28.5" customHeight="1"/>
    <row r="17" spans="1:27" ht="31.5" customHeight="1">
      <c r="A17" s="9" t="s">
        <v>11</v>
      </c>
      <c r="B17" s="9" t="s">
        <v>4</v>
      </c>
      <c r="C17" s="3" t="s">
        <v>0</v>
      </c>
      <c r="D17" s="8" t="s">
        <v>14</v>
      </c>
      <c r="E17" s="3" t="s">
        <v>6</v>
      </c>
      <c r="F17" s="3" t="s">
        <v>13</v>
      </c>
      <c r="G17" s="3" t="s">
        <v>31</v>
      </c>
      <c r="H17" s="9" t="s">
        <v>32</v>
      </c>
      <c r="I17" s="224" t="s">
        <v>41</v>
      </c>
      <c r="J17" s="224" t="s">
        <v>38</v>
      </c>
      <c r="K17" s="224" t="s">
        <v>33</v>
      </c>
      <c r="L17" s="226" t="s">
        <v>34</v>
      </c>
      <c r="N17" s="226" t="s">
        <v>11</v>
      </c>
      <c r="O17" s="226" t="s">
        <v>44</v>
      </c>
      <c r="P17" s="3" t="s">
        <v>0</v>
      </c>
      <c r="Q17" s="3" t="s">
        <v>6</v>
      </c>
      <c r="R17" s="3" t="s">
        <v>13</v>
      </c>
      <c r="S17" s="8" t="s">
        <v>65</v>
      </c>
      <c r="T17" s="3" t="s">
        <v>31</v>
      </c>
      <c r="U17" s="226" t="s">
        <v>32</v>
      </c>
      <c r="V17" s="224" t="s">
        <v>41</v>
      </c>
      <c r="W17" s="224" t="s">
        <v>38</v>
      </c>
      <c r="X17" s="224" t="s">
        <v>33</v>
      </c>
      <c r="Y17" s="226" t="s">
        <v>34</v>
      </c>
    </row>
    <row r="18" spans="1:27" ht="20.25" customHeight="1">
      <c r="A18" s="79"/>
      <c r="B18" s="79"/>
      <c r="C18" s="9" t="s">
        <v>18</v>
      </c>
      <c r="D18" s="9" t="s">
        <v>17</v>
      </c>
      <c r="E18" s="9" t="s">
        <v>22</v>
      </c>
      <c r="F18" s="9" t="s">
        <v>16</v>
      </c>
      <c r="G18" s="9" t="s">
        <v>21</v>
      </c>
      <c r="H18" s="80"/>
      <c r="I18" s="225"/>
      <c r="J18" s="225"/>
      <c r="K18" s="225"/>
      <c r="L18" s="227"/>
      <c r="N18" s="231"/>
      <c r="O18" s="231"/>
      <c r="P18" s="9" t="s">
        <v>18</v>
      </c>
      <c r="Q18" s="9" t="s">
        <v>64</v>
      </c>
      <c r="R18" s="9" t="s">
        <v>16</v>
      </c>
      <c r="S18" s="9" t="s">
        <v>66</v>
      </c>
      <c r="T18" s="9" t="s">
        <v>21</v>
      </c>
      <c r="U18" s="227"/>
      <c r="V18" s="225"/>
      <c r="W18" s="225"/>
      <c r="X18" s="225"/>
      <c r="Y18" s="227"/>
    </row>
    <row r="19" spans="1:27" ht="15" customHeight="1">
      <c r="A19" s="36">
        <v>0</v>
      </c>
      <c r="B19" s="37">
        <f>'Input Sheet'!C17</f>
        <v>42736</v>
      </c>
      <c r="C19" s="70">
        <f>'Input Sheet'!D17</f>
        <v>168959</v>
      </c>
      <c r="D19" s="62">
        <v>0</v>
      </c>
      <c r="E19" s="62" t="s">
        <v>19</v>
      </c>
      <c r="F19" s="62" t="s">
        <v>19</v>
      </c>
      <c r="G19" s="62" t="s">
        <v>19</v>
      </c>
      <c r="H19" s="62" t="s">
        <v>19</v>
      </c>
      <c r="I19" s="62" t="s">
        <v>19</v>
      </c>
      <c r="J19" s="38" t="s">
        <v>19</v>
      </c>
      <c r="K19" s="38" t="s">
        <v>19</v>
      </c>
      <c r="L19" s="38" t="s">
        <v>19</v>
      </c>
      <c r="N19" s="19">
        <v>0</v>
      </c>
      <c r="O19" s="20" t="str">
        <f>'Input Sheet'!F17</f>
        <v>Q1- 2017</v>
      </c>
      <c r="P19" s="60">
        <f>'Input Sheet'!G17</f>
        <v>504915</v>
      </c>
      <c r="Q19" s="60">
        <v>0</v>
      </c>
      <c r="R19" s="61" t="s">
        <v>19</v>
      </c>
      <c r="S19" s="61" t="s">
        <v>19</v>
      </c>
      <c r="T19" s="61" t="s">
        <v>19</v>
      </c>
      <c r="U19" s="23" t="s">
        <v>19</v>
      </c>
      <c r="V19" s="23" t="s">
        <v>19</v>
      </c>
      <c r="W19" s="23" t="s">
        <v>19</v>
      </c>
      <c r="X19" s="23" t="s">
        <v>19</v>
      </c>
      <c r="Y19" s="23" t="s">
        <v>19</v>
      </c>
    </row>
    <row r="20" spans="1:27" ht="15" customHeight="1">
      <c r="A20" s="36">
        <v>1</v>
      </c>
      <c r="B20" s="37">
        <f>'Input Sheet'!C18</f>
        <v>42767</v>
      </c>
      <c r="C20" s="70">
        <f>'Input Sheet'!D18</f>
        <v>156632</v>
      </c>
      <c r="D20" s="62">
        <v>0</v>
      </c>
      <c r="E20" s="70">
        <f>C20</f>
        <v>156632</v>
      </c>
      <c r="F20" s="70">
        <f>C19-C20</f>
        <v>12327</v>
      </c>
      <c r="G20" s="62" t="s">
        <v>19</v>
      </c>
      <c r="H20" s="62" t="s">
        <v>19</v>
      </c>
      <c r="I20" s="62" t="s">
        <v>19</v>
      </c>
      <c r="J20" s="38" t="s">
        <v>19</v>
      </c>
      <c r="K20" s="38" t="s">
        <v>19</v>
      </c>
      <c r="L20" s="38" t="s">
        <v>19</v>
      </c>
      <c r="N20" s="19">
        <v>1</v>
      </c>
      <c r="O20" s="20" t="str">
        <f>'Input Sheet'!F18</f>
        <v>Q2- 2017</v>
      </c>
      <c r="P20" s="60">
        <f>'Input Sheet'!G18</f>
        <v>553764</v>
      </c>
      <c r="Q20" s="60">
        <f>P20</f>
        <v>553764</v>
      </c>
      <c r="R20" s="61">
        <f>P19-P20</f>
        <v>-48849</v>
      </c>
      <c r="S20" s="61" t="s">
        <v>19</v>
      </c>
      <c r="T20" s="61" t="s">
        <v>19</v>
      </c>
      <c r="U20" s="23" t="s">
        <v>19</v>
      </c>
      <c r="V20" s="23" t="s">
        <v>19</v>
      </c>
      <c r="W20" s="23" t="s">
        <v>19</v>
      </c>
      <c r="X20" s="23" t="s">
        <v>19</v>
      </c>
      <c r="Y20" s="23" t="s">
        <v>19</v>
      </c>
    </row>
    <row r="21" spans="1:27" ht="15" customHeight="1">
      <c r="A21" s="4">
        <v>2</v>
      </c>
      <c r="B21" s="6">
        <f>'Input Sheet'!C19</f>
        <v>42795</v>
      </c>
      <c r="C21" s="63">
        <f>'Input Sheet'!D19</f>
        <v>179324</v>
      </c>
      <c r="D21" s="64">
        <f t="shared" ref="D21:D42" si="0">E20+F20</f>
        <v>168959</v>
      </c>
      <c r="E21" s="63">
        <f>$C$51*C21+(1-$C$51)*(E20+F20)</f>
        <v>174680.48</v>
      </c>
      <c r="F21" s="63">
        <f>$C$52*(E21-E20)+(1-$C$52)*F20</f>
        <v>14787.236400000005</v>
      </c>
      <c r="G21" s="64">
        <f t="shared" ref="G21:G35" si="1">C21-D21</f>
        <v>10365</v>
      </c>
      <c r="H21" s="64">
        <f>G21</f>
        <v>10365</v>
      </c>
      <c r="I21" s="64">
        <f>ABS(G21)</f>
        <v>10365</v>
      </c>
      <c r="J21" s="41">
        <f t="shared" ref="J21:J35" si="2">I21/C21</f>
        <v>5.7800405969083896E-2</v>
      </c>
      <c r="K21" s="40">
        <f>I21</f>
        <v>10365</v>
      </c>
      <c r="L21" s="41">
        <f t="shared" ref="L21:L35" si="3">H21/(K21/(A21-1))</f>
        <v>1</v>
      </c>
      <c r="N21" s="4">
        <v>2</v>
      </c>
      <c r="O21" s="6" t="str">
        <f>'Input Sheet'!F19</f>
        <v>Q3- 2017</v>
      </c>
      <c r="P21" s="64">
        <f>'Input Sheet'!G19</f>
        <v>535964</v>
      </c>
      <c r="Q21" s="64">
        <f>$P$35*P21+(1-$P$35)*(Q20+R20)</f>
        <v>522054.04800000001</v>
      </c>
      <c r="R21" s="73">
        <f>$P$352*(Q21-Q20)+(1-$P$36)*R20</f>
        <v>-27843.930000000004</v>
      </c>
      <c r="S21" s="64">
        <f>R20+Q20</f>
        <v>504915</v>
      </c>
      <c r="T21" s="64">
        <f>P21-S21</f>
        <v>31049</v>
      </c>
      <c r="U21" s="64">
        <f>T21</f>
        <v>31049</v>
      </c>
      <c r="V21" s="64">
        <f>ABS(T21)</f>
        <v>31049</v>
      </c>
      <c r="W21" s="41">
        <f>V21/P21</f>
        <v>5.7931129702741231E-2</v>
      </c>
      <c r="X21" s="64">
        <f>V21</f>
        <v>31049</v>
      </c>
      <c r="Y21" s="41">
        <f>U21/(X21/(N21-1))</f>
        <v>1</v>
      </c>
    </row>
    <row r="22" spans="1:27" ht="15" customHeight="1">
      <c r="A22" s="4">
        <v>3</v>
      </c>
      <c r="B22" s="6">
        <f>'Input Sheet'!C20</f>
        <v>42826</v>
      </c>
      <c r="C22" s="63">
        <f>'Input Sheet'!D20</f>
        <v>176783</v>
      </c>
      <c r="D22" s="64">
        <f t="shared" si="0"/>
        <v>189467.7164</v>
      </c>
      <c r="E22" s="63">
        <f>$C$51*C22+(1-$C$51)*(E21+F21)</f>
        <v>182465.7529472</v>
      </c>
      <c r="F22" s="63">
        <f t="shared" ref="F22:F35" si="4">$C$52*(E22-E21)+(1-$C$52)*F21</f>
        <v>11776.392115296001</v>
      </c>
      <c r="G22" s="64">
        <f t="shared" si="1"/>
        <v>-12684.716400000005</v>
      </c>
      <c r="H22" s="64">
        <f>H21+G22</f>
        <v>-2319.7164000000048</v>
      </c>
      <c r="I22" s="64">
        <f t="shared" ref="I22:I35" si="5">ABS(G22)</f>
        <v>12684.716400000005</v>
      </c>
      <c r="J22" s="41">
        <f t="shared" si="2"/>
        <v>7.175303281424121E-2</v>
      </c>
      <c r="K22" s="40">
        <f>K21+I22</f>
        <v>23049.716400000005</v>
      </c>
      <c r="L22" s="41">
        <f t="shared" si="3"/>
        <v>-0.20127938754161889</v>
      </c>
      <c r="N22" s="4">
        <v>3</v>
      </c>
      <c r="O22" s="6" t="str">
        <f>'Input Sheet'!F20</f>
        <v>Q4- 2017</v>
      </c>
      <c r="P22" s="64">
        <f>'Input Sheet'!G20</f>
        <v>517041</v>
      </c>
      <c r="Q22" s="64">
        <f>$P$35*P22+(1-$P$35)*(Q21+R21)</f>
        <v>506812.76486400003</v>
      </c>
      <c r="R22" s="73">
        <f>$P$352*(Q22-Q21)+(1-$P$36)*R21</f>
        <v>-15871.040100000004</v>
      </c>
      <c r="S22" s="64">
        <f t="shared" ref="S22:S26" si="6">R21+Q21</f>
        <v>494210.11800000002</v>
      </c>
      <c r="T22" s="64">
        <f t="shared" ref="T22:T26" si="7">P22-S22</f>
        <v>22830.881999999983</v>
      </c>
      <c r="U22" s="64">
        <f t="shared" ref="U22:U26" si="8">T22</f>
        <v>22830.881999999983</v>
      </c>
      <c r="V22" s="64">
        <f t="shared" ref="V22:V26" si="9">ABS(T22)</f>
        <v>22830.881999999983</v>
      </c>
      <c r="W22" s="41">
        <f t="shared" ref="W22:W26" si="10">V22/P22</f>
        <v>4.4156811548793973E-2</v>
      </c>
      <c r="X22" s="64">
        <f>X21+V22</f>
        <v>53879.881999999983</v>
      </c>
      <c r="Y22" s="41">
        <f t="shared" ref="Y22:Y23" si="11">U22/(X22/(N22-1))</f>
        <v>0.84747334821557296</v>
      </c>
    </row>
    <row r="23" spans="1:27" ht="15" customHeight="1">
      <c r="A23" s="4">
        <v>4</v>
      </c>
      <c r="B23" s="6">
        <f>'Input Sheet'!C21</f>
        <v>42856</v>
      </c>
      <c r="C23" s="63">
        <f>'Input Sheet'!D21</f>
        <v>227729</v>
      </c>
      <c r="D23" s="64">
        <f t="shared" si="0"/>
        <v>194242.14506249601</v>
      </c>
      <c r="E23" s="63">
        <f t="shared" ref="E23:E35" si="12">$C$51*C23+(1-$C$51)*(E22+F22)</f>
        <v>212726.88898799822</v>
      </c>
      <c r="F23" s="63">
        <f t="shared" si="4"/>
        <v>19724.832003261952</v>
      </c>
      <c r="G23" s="64">
        <f t="shared" si="1"/>
        <v>33486.854937503987</v>
      </c>
      <c r="H23" s="64">
        <f>H22+G23</f>
        <v>31167.138537503983</v>
      </c>
      <c r="I23" s="64">
        <f t="shared" si="5"/>
        <v>33486.854937503987</v>
      </c>
      <c r="J23" s="41">
        <f t="shared" si="2"/>
        <v>0.14704695026766018</v>
      </c>
      <c r="K23" s="40">
        <f t="shared" ref="K23:K35" si="13">K22+I23</f>
        <v>56536.571337503992</v>
      </c>
      <c r="L23" s="41">
        <f t="shared" si="3"/>
        <v>1.6538218254223533</v>
      </c>
      <c r="N23" s="4">
        <v>4</v>
      </c>
      <c r="O23" s="6" t="str">
        <f>'Input Sheet'!F21</f>
        <v>Q1- 2018</v>
      </c>
      <c r="P23" s="64">
        <f>'Input Sheet'!G21</f>
        <v>496259.5</v>
      </c>
      <c r="Q23" s="64">
        <f>$P$35*P23+(1-$P$35)*(Q22+R22)</f>
        <v>493877.13669427199</v>
      </c>
      <c r="R23" s="73">
        <f>$P$352*(Q23-Q22)+(1-$P$36)*R22</f>
        <v>-9046.4928570000029</v>
      </c>
      <c r="S23" s="64">
        <f t="shared" si="6"/>
        <v>490941.72476400004</v>
      </c>
      <c r="T23" s="64">
        <f t="shared" si="7"/>
        <v>5317.7752359999577</v>
      </c>
      <c r="U23" s="64">
        <f t="shared" si="8"/>
        <v>5317.7752359999577</v>
      </c>
      <c r="V23" s="64">
        <f t="shared" si="9"/>
        <v>5317.7752359999577</v>
      </c>
      <c r="W23" s="41">
        <f t="shared" si="10"/>
        <v>1.0715714733924403E-2</v>
      </c>
      <c r="X23" s="64">
        <f t="shared" ref="X23:X26" si="14">X22+V23</f>
        <v>59197.657235999941</v>
      </c>
      <c r="Y23" s="41">
        <f t="shared" si="11"/>
        <v>0.26949251799610341</v>
      </c>
    </row>
    <row r="24" spans="1:27" ht="15.75" customHeight="1">
      <c r="A24" s="4">
        <v>5</v>
      </c>
      <c r="B24" s="6">
        <f>'Input Sheet'!C22</f>
        <v>42887</v>
      </c>
      <c r="C24" s="63">
        <f>'Input Sheet'!D22</f>
        <v>149252</v>
      </c>
      <c r="D24" s="64">
        <f>E23+F23</f>
        <v>232451.72099126017</v>
      </c>
      <c r="E24" s="63">
        <f t="shared" si="12"/>
        <v>186525.47500408455</v>
      </c>
      <c r="F24" s="63">
        <f t="shared" si="4"/>
        <v>-23.45377122355967</v>
      </c>
      <c r="G24" s="64">
        <f t="shared" si="1"/>
        <v>-83199.720991260168</v>
      </c>
      <c r="H24" s="64">
        <f>H23+G24</f>
        <v>-52032.582453756186</v>
      </c>
      <c r="I24" s="64">
        <f t="shared" si="5"/>
        <v>83199.720991260168</v>
      </c>
      <c r="J24" s="41">
        <f t="shared" si="2"/>
        <v>0.55744459699876836</v>
      </c>
      <c r="K24" s="40">
        <f t="shared" si="13"/>
        <v>139736.29232876416</v>
      </c>
      <c r="L24" s="41">
        <f t="shared" si="3"/>
        <v>-1.4894507815145597</v>
      </c>
      <c r="N24" s="4">
        <v>5</v>
      </c>
      <c r="O24" s="6" t="str">
        <f>'Input Sheet'!F22</f>
        <v>Q2- 2018</v>
      </c>
      <c r="P24" s="64">
        <f>'Input Sheet'!G22</f>
        <v>496136</v>
      </c>
      <c r="Q24" s="64">
        <f>$P$35*P24+(1-$P$35)*(Q23+R23)</f>
        <v>491071.20043909788</v>
      </c>
      <c r="R24" s="73">
        <f>$P$352*(Q24-Q23)+(1-$P$36)*R23</f>
        <v>-5156.5009284900025</v>
      </c>
      <c r="S24" s="64">
        <f t="shared" si="6"/>
        <v>484830.64383727201</v>
      </c>
      <c r="T24" s="64">
        <f t="shared" si="7"/>
        <v>11305.356162727985</v>
      </c>
      <c r="U24" s="64">
        <f t="shared" si="8"/>
        <v>11305.356162727985</v>
      </c>
      <c r="V24" s="64">
        <f t="shared" si="9"/>
        <v>11305.356162727985</v>
      </c>
      <c r="W24" s="41">
        <f t="shared" si="10"/>
        <v>2.2786808783736689E-2</v>
      </c>
      <c r="X24" s="64">
        <f t="shared" si="14"/>
        <v>70503.013398727926</v>
      </c>
      <c r="Y24" s="41">
        <f>U24/(X24/(N24-1))</f>
        <v>0.6414112315336562</v>
      </c>
    </row>
    <row r="25" spans="1:27" ht="15.75" customHeight="1">
      <c r="A25" s="4">
        <v>6</v>
      </c>
      <c r="B25" s="6">
        <f>'Input Sheet'!C23</f>
        <v>42917</v>
      </c>
      <c r="C25" s="63">
        <f>'Input Sheet'!D23</f>
        <v>190401</v>
      </c>
      <c r="D25" s="64">
        <f t="shared" si="0"/>
        <v>186502.02123286101</v>
      </c>
      <c r="E25" s="63">
        <f t="shared" si="12"/>
        <v>188654.25751232175</v>
      </c>
      <c r="F25" s="63">
        <f t="shared" si="4"/>
        <v>902.007828944567</v>
      </c>
      <c r="G25" s="64">
        <f t="shared" si="1"/>
        <v>3898.9787671389931</v>
      </c>
      <c r="H25" s="64">
        <f t="shared" ref="H25:H35" si="15">H24+G25</f>
        <v>-48133.603686617193</v>
      </c>
      <c r="I25" s="64">
        <f t="shared" si="5"/>
        <v>3898.9787671389931</v>
      </c>
      <c r="J25" s="41">
        <f t="shared" si="2"/>
        <v>2.0477722108281957E-2</v>
      </c>
      <c r="K25" s="40">
        <f t="shared" si="13"/>
        <v>143635.27109590315</v>
      </c>
      <c r="L25" s="41">
        <f t="shared" si="3"/>
        <v>-1.6755495819156805</v>
      </c>
      <c r="N25" s="4">
        <v>6</v>
      </c>
      <c r="O25" s="6" t="str">
        <f>'Input Sheet'!F23</f>
        <v>Q3- 2018</v>
      </c>
      <c r="P25" s="64">
        <f>'Input Sheet'!G23</f>
        <v>471415</v>
      </c>
      <c r="Q25" s="64">
        <f t="shared" ref="Q25:Q26" si="16">$P$35*P25+(1-$P$35)*(Q24+R24)</f>
        <v>477910.86538075231</v>
      </c>
      <c r="R25" s="73">
        <f t="shared" ref="R25:R26" si="17">$P$352*(Q25-Q24)+(1-$P$36)*R24</f>
        <v>-2939.2055292393015</v>
      </c>
      <c r="S25" s="64">
        <f t="shared" si="6"/>
        <v>485914.69951060787</v>
      </c>
      <c r="T25" s="64">
        <f t="shared" si="7"/>
        <v>-14499.699510607868</v>
      </c>
      <c r="U25" s="64">
        <f t="shared" si="8"/>
        <v>-14499.699510607868</v>
      </c>
      <c r="V25" s="64">
        <f t="shared" si="9"/>
        <v>14499.699510607868</v>
      </c>
      <c r="W25" s="41">
        <f t="shared" si="10"/>
        <v>3.0757823808338445E-2</v>
      </c>
      <c r="X25" s="64">
        <f t="shared" si="14"/>
        <v>85002.712909335794</v>
      </c>
      <c r="Y25" s="41">
        <f t="shared" ref="Y25:Y26" si="18">U25/(X25/(N25-1))</f>
        <v>-0.85289627909130983</v>
      </c>
    </row>
    <row r="26" spans="1:27" ht="15" customHeight="1" thickBot="1">
      <c r="A26" s="4">
        <v>7</v>
      </c>
      <c r="B26" s="6">
        <f>'Input Sheet'!C24</f>
        <v>42948</v>
      </c>
      <c r="C26" s="63">
        <f>'Input Sheet'!D24</f>
        <v>199905</v>
      </c>
      <c r="D26" s="64">
        <f t="shared" si="0"/>
        <v>189556.26534126632</v>
      </c>
      <c r="E26" s="63">
        <f t="shared" si="12"/>
        <v>195268.76687288733</v>
      </c>
      <c r="F26" s="63">
        <f t="shared" si="4"/>
        <v>3358.3834875415987</v>
      </c>
      <c r="G26" s="64">
        <f t="shared" si="1"/>
        <v>10348.73465873368</v>
      </c>
      <c r="H26" s="64">
        <f t="shared" si="15"/>
        <v>-37784.869027883513</v>
      </c>
      <c r="I26" s="64">
        <f t="shared" si="5"/>
        <v>10348.73465873368</v>
      </c>
      <c r="J26" s="41">
        <f t="shared" si="2"/>
        <v>5.1768263218697277E-2</v>
      </c>
      <c r="K26" s="40">
        <f t="shared" si="13"/>
        <v>153984.00575463683</v>
      </c>
      <c r="L26" s="41">
        <f t="shared" si="3"/>
        <v>-1.472290664580755</v>
      </c>
      <c r="N26" s="4">
        <v>7</v>
      </c>
      <c r="O26" s="6" t="str">
        <f>'Input Sheet'!F24</f>
        <v>Q4- 2018</v>
      </c>
      <c r="P26" s="64">
        <f>'Input Sheet'!G24</f>
        <v>482435</v>
      </c>
      <c r="Q26" s="64">
        <f t="shared" si="16"/>
        <v>479091.42361347779</v>
      </c>
      <c r="R26" s="73">
        <f t="shared" si="17"/>
        <v>-1675.3471516664022</v>
      </c>
      <c r="S26" s="64">
        <f t="shared" si="6"/>
        <v>474971.65985151299</v>
      </c>
      <c r="T26" s="64">
        <f t="shared" si="7"/>
        <v>7463.3401484870119</v>
      </c>
      <c r="U26" s="64">
        <f t="shared" si="8"/>
        <v>7463.3401484870119</v>
      </c>
      <c r="V26" s="64">
        <f t="shared" si="9"/>
        <v>7463.3401484870119</v>
      </c>
      <c r="W26" s="41">
        <f t="shared" si="10"/>
        <v>1.547014654510351E-2</v>
      </c>
      <c r="X26" s="64">
        <f t="shared" si="14"/>
        <v>92466.053057822806</v>
      </c>
      <c r="Y26" s="41">
        <f t="shared" si="18"/>
        <v>0.48428628031651005</v>
      </c>
      <c r="Z26" s="43" t="s">
        <v>25</v>
      </c>
    </row>
    <row r="27" spans="1:27" ht="15" customHeight="1" thickTop="1">
      <c r="A27" s="4">
        <v>8</v>
      </c>
      <c r="B27" s="6">
        <f>'Input Sheet'!C25</f>
        <v>42979</v>
      </c>
      <c r="C27" s="63">
        <f>'Input Sheet'!D25</f>
        <v>145658</v>
      </c>
      <c r="D27" s="64">
        <f t="shared" si="0"/>
        <v>198627.15036042893</v>
      </c>
      <c r="E27" s="63">
        <f t="shared" si="12"/>
        <v>169388.17936147214</v>
      </c>
      <c r="F27" s="63">
        <f t="shared" si="4"/>
        <v>-9214.3740420098184</v>
      </c>
      <c r="G27" s="64">
        <f t="shared" si="1"/>
        <v>-52969.150360428932</v>
      </c>
      <c r="H27" s="64">
        <f t="shared" si="15"/>
        <v>-90754.019388312445</v>
      </c>
      <c r="I27" s="64">
        <f t="shared" si="5"/>
        <v>52969.150360428932</v>
      </c>
      <c r="J27" s="41">
        <f t="shared" si="2"/>
        <v>0.36365424734946883</v>
      </c>
      <c r="K27" s="40">
        <f t="shared" si="13"/>
        <v>206953.15611506577</v>
      </c>
      <c r="L27" s="41">
        <f t="shared" si="3"/>
        <v>-3.0696711644492778</v>
      </c>
      <c r="N27" s="4">
        <v>8</v>
      </c>
      <c r="O27" s="6" t="s">
        <v>76</v>
      </c>
      <c r="P27" s="98"/>
      <c r="Q27" s="98"/>
      <c r="R27" s="98"/>
      <c r="S27" s="65">
        <f>$Q$26+Z27*$R$26</f>
        <v>477416.07646181138</v>
      </c>
      <c r="T27" s="98"/>
      <c r="U27" s="98"/>
      <c r="V27" s="98"/>
      <c r="W27" s="100"/>
      <c r="X27" s="98"/>
      <c r="Y27" s="100"/>
      <c r="Z27" s="42">
        <v>1</v>
      </c>
    </row>
    <row r="28" spans="1:27" ht="15" customHeight="1">
      <c r="A28" s="4">
        <v>9</v>
      </c>
      <c r="B28" s="6">
        <f>'Input Sheet'!C26</f>
        <v>43009</v>
      </c>
      <c r="C28" s="63">
        <f>'Input Sheet'!D26</f>
        <v>176171</v>
      </c>
      <c r="D28" s="64">
        <f t="shared" si="0"/>
        <v>160173.80531946232</v>
      </c>
      <c r="E28" s="63">
        <f t="shared" si="12"/>
        <v>169004.25678311911</v>
      </c>
      <c r="F28" s="63">
        <f t="shared" si="4"/>
        <v>-5417.2799126373984</v>
      </c>
      <c r="G28" s="64">
        <f t="shared" si="1"/>
        <v>15997.194680537679</v>
      </c>
      <c r="H28" s="64">
        <f t="shared" si="15"/>
        <v>-74756.824707774766</v>
      </c>
      <c r="I28" s="64">
        <f t="shared" si="5"/>
        <v>15997.194680537679</v>
      </c>
      <c r="J28" s="41">
        <f t="shared" si="2"/>
        <v>9.0804926353018831E-2</v>
      </c>
      <c r="K28" s="40">
        <f t="shared" si="13"/>
        <v>222950.35079560344</v>
      </c>
      <c r="L28" s="41">
        <f t="shared" si="3"/>
        <v>-2.6824564102636601</v>
      </c>
      <c r="N28" s="4">
        <v>9</v>
      </c>
      <c r="O28" s="6" t="s">
        <v>77</v>
      </c>
      <c r="P28" s="98"/>
      <c r="Q28" s="98"/>
      <c r="R28" s="98"/>
      <c r="S28" s="65">
        <f t="shared" ref="S28:S30" si="19">$Q$26+Z28*$R$26</f>
        <v>475740.72931014496</v>
      </c>
      <c r="T28" s="98"/>
      <c r="U28" s="98"/>
      <c r="V28" s="98"/>
      <c r="W28" s="100"/>
      <c r="X28" s="98"/>
      <c r="Y28" s="100"/>
      <c r="Z28" s="42">
        <v>2</v>
      </c>
    </row>
    <row r="29" spans="1:27" ht="15" customHeight="1">
      <c r="A29" s="4">
        <v>10</v>
      </c>
      <c r="B29" s="6">
        <f>'Input Sheet'!C27</f>
        <v>43040</v>
      </c>
      <c r="C29" s="63">
        <f>'Input Sheet'!D27</f>
        <v>169218.5</v>
      </c>
      <c r="D29" s="64">
        <f t="shared" si="0"/>
        <v>163586.97687048171</v>
      </c>
      <c r="E29" s="63">
        <f t="shared" si="12"/>
        <v>166695.5776379758</v>
      </c>
      <c r="F29" s="63">
        <f t="shared" si="4"/>
        <v>-4080.5815826149401</v>
      </c>
      <c r="G29" s="64">
        <f t="shared" si="1"/>
        <v>5631.5231295182894</v>
      </c>
      <c r="H29" s="64">
        <f t="shared" si="15"/>
        <v>-69125.301578256476</v>
      </c>
      <c r="I29" s="64">
        <f t="shared" si="5"/>
        <v>5631.5231295182894</v>
      </c>
      <c r="J29" s="41">
        <f t="shared" si="2"/>
        <v>3.327959489960193E-2</v>
      </c>
      <c r="K29" s="40">
        <f t="shared" si="13"/>
        <v>228581.87392512173</v>
      </c>
      <c r="L29" s="41">
        <f t="shared" si="3"/>
        <v>-2.7216843729617128</v>
      </c>
      <c r="N29" s="4">
        <v>10</v>
      </c>
      <c r="O29" s="6" t="s">
        <v>78</v>
      </c>
      <c r="P29" s="98"/>
      <c r="Q29" s="98"/>
      <c r="R29" s="98"/>
      <c r="S29" s="65">
        <f t="shared" si="19"/>
        <v>474065.38215847861</v>
      </c>
      <c r="T29" s="98"/>
      <c r="U29" s="98"/>
      <c r="V29" s="98"/>
      <c r="W29" s="100"/>
      <c r="X29" s="98"/>
      <c r="Y29" s="100"/>
      <c r="Z29" s="42">
        <v>3</v>
      </c>
    </row>
    <row r="30" spans="1:27" ht="15" customHeight="1">
      <c r="A30" s="4">
        <v>11</v>
      </c>
      <c r="B30" s="6">
        <f>'Input Sheet'!C28</f>
        <v>43070</v>
      </c>
      <c r="C30" s="63">
        <f>'Input Sheet'!D28</f>
        <v>171651.5</v>
      </c>
      <c r="D30" s="64">
        <f t="shared" si="0"/>
        <v>162614.99605536085</v>
      </c>
      <c r="E30" s="63">
        <f t="shared" si="12"/>
        <v>167603.14623280166</v>
      </c>
      <c r="F30" s="63">
        <f t="shared" si="4"/>
        <v>-1935.6770063153956</v>
      </c>
      <c r="G30" s="64">
        <f t="shared" si="1"/>
        <v>9036.5039446391456</v>
      </c>
      <c r="H30" s="64">
        <f t="shared" si="15"/>
        <v>-60088.797633617331</v>
      </c>
      <c r="I30" s="64">
        <f t="shared" si="5"/>
        <v>9036.5039446391456</v>
      </c>
      <c r="J30" s="41">
        <f t="shared" si="2"/>
        <v>5.2644479917968355E-2</v>
      </c>
      <c r="K30" s="40">
        <f t="shared" si="13"/>
        <v>237618.37786976088</v>
      </c>
      <c r="L30" s="41">
        <f t="shared" si="3"/>
        <v>-2.5287942023807655</v>
      </c>
      <c r="N30" s="4">
        <v>11</v>
      </c>
      <c r="O30" s="6" t="s">
        <v>79</v>
      </c>
      <c r="P30" s="98"/>
      <c r="Q30" s="98"/>
      <c r="R30" s="98"/>
      <c r="S30" s="65">
        <f t="shared" si="19"/>
        <v>472390.03500681219</v>
      </c>
      <c r="T30" s="98"/>
      <c r="U30" s="98"/>
      <c r="V30" s="98"/>
      <c r="W30" s="100"/>
      <c r="X30" s="98"/>
      <c r="Y30" s="100"/>
      <c r="Z30" s="42">
        <v>4</v>
      </c>
    </row>
    <row r="31" spans="1:27" ht="15" customHeight="1">
      <c r="A31" s="4">
        <v>12</v>
      </c>
      <c r="B31" s="6">
        <f>'Input Sheet'!C29</f>
        <v>43101</v>
      </c>
      <c r="C31" s="63">
        <f>'Input Sheet'!D29</f>
        <v>170123</v>
      </c>
      <c r="D31" s="64">
        <f t="shared" si="0"/>
        <v>165667.46922648628</v>
      </c>
      <c r="E31" s="63">
        <f t="shared" si="12"/>
        <v>168126.92221346585</v>
      </c>
      <c r="F31" s="63">
        <f t="shared" si="4"/>
        <v>-878.1122219141763</v>
      </c>
      <c r="G31" s="64">
        <f t="shared" si="1"/>
        <v>4455.5307735137176</v>
      </c>
      <c r="H31" s="64">
        <f t="shared" si="15"/>
        <v>-55633.266860103613</v>
      </c>
      <c r="I31" s="64">
        <f t="shared" si="5"/>
        <v>4455.5307735137176</v>
      </c>
      <c r="J31" s="41">
        <f t="shared" si="2"/>
        <v>2.6190055274793636E-2</v>
      </c>
      <c r="K31" s="40">
        <f t="shared" si="13"/>
        <v>242073.9086432746</v>
      </c>
      <c r="L31" s="41">
        <f t="shared" si="3"/>
        <v>-2.5280127829180721</v>
      </c>
      <c r="N31" s="228" t="s">
        <v>36</v>
      </c>
      <c r="O31" s="228"/>
      <c r="P31" s="17"/>
      <c r="Q31" s="17"/>
      <c r="R31" s="29"/>
      <c r="S31" s="30"/>
      <c r="T31" s="29">
        <f>AVERAGE(T19:T26)</f>
        <v>10577.775672767844</v>
      </c>
      <c r="U31" s="29"/>
      <c r="V31" s="29">
        <f>AVERAGE(V21:V26)</f>
        <v>15411.008842970468</v>
      </c>
      <c r="W31" s="31">
        <f>AVERAGE(W21:W26)</f>
        <v>3.0303072520439706E-2</v>
      </c>
      <c r="X31" s="30"/>
      <c r="Y31" s="30"/>
      <c r="Z31" s="16" t="s">
        <v>26</v>
      </c>
      <c r="AA31" s="16"/>
    </row>
    <row r="32" spans="1:27" ht="16.5" customHeight="1">
      <c r="A32" s="4">
        <v>13</v>
      </c>
      <c r="B32" s="6">
        <f>'Input Sheet'!C30</f>
        <v>43132</v>
      </c>
      <c r="C32" s="63">
        <f>'Input Sheet'!D30</f>
        <v>153671</v>
      </c>
      <c r="D32" s="64">
        <f t="shared" si="0"/>
        <v>167248.80999155168</v>
      </c>
      <c r="E32" s="63">
        <f t="shared" si="12"/>
        <v>159753.85887621515</v>
      </c>
      <c r="F32" s="63">
        <f t="shared" si="4"/>
        <v>-4100.9412015088819</v>
      </c>
      <c r="G32" s="64">
        <f t="shared" si="1"/>
        <v>-13577.80999155168</v>
      </c>
      <c r="H32" s="64">
        <f t="shared" si="15"/>
        <v>-69211.076851655293</v>
      </c>
      <c r="I32" s="64">
        <f t="shared" si="5"/>
        <v>13577.80999155168</v>
      </c>
      <c r="J32" s="41">
        <f t="shared" si="2"/>
        <v>8.8356358659419668E-2</v>
      </c>
      <c r="K32" s="40">
        <f t="shared" si="13"/>
        <v>255651.71863482628</v>
      </c>
      <c r="L32" s="41">
        <f t="shared" si="3"/>
        <v>-3.2486889845876585</v>
      </c>
      <c r="N32" s="48"/>
      <c r="O32" s="49"/>
      <c r="P32" s="50"/>
      <c r="Q32" s="50"/>
      <c r="S32" s="35"/>
      <c r="T32" s="35" t="s">
        <v>40</v>
      </c>
      <c r="U32" s="35"/>
      <c r="V32" s="35" t="s">
        <v>2</v>
      </c>
      <c r="W32" s="35" t="s">
        <v>3</v>
      </c>
    </row>
    <row r="33" spans="1:23" ht="15.75" customHeight="1">
      <c r="A33" s="4">
        <v>14</v>
      </c>
      <c r="B33" s="6">
        <f>'Input Sheet'!C31</f>
        <v>43160</v>
      </c>
      <c r="C33" s="63">
        <f>'Input Sheet'!D31</f>
        <v>172465.5</v>
      </c>
      <c r="D33" s="64">
        <f t="shared" si="0"/>
        <v>155652.91767470626</v>
      </c>
      <c r="E33" s="63">
        <f t="shared" si="12"/>
        <v>164933.46311826841</v>
      </c>
      <c r="F33" s="63">
        <f t="shared" si="4"/>
        <v>-110.30666077716069</v>
      </c>
      <c r="G33" s="64">
        <f t="shared" si="1"/>
        <v>16812.582325293741</v>
      </c>
      <c r="H33" s="64">
        <f t="shared" si="15"/>
        <v>-52398.494526361552</v>
      </c>
      <c r="I33" s="64">
        <f t="shared" si="5"/>
        <v>16812.582325293741</v>
      </c>
      <c r="J33" s="41">
        <f t="shared" si="2"/>
        <v>9.7483742112444177E-2</v>
      </c>
      <c r="K33" s="40">
        <f t="shared" si="13"/>
        <v>272464.30096012005</v>
      </c>
      <c r="L33" s="41">
        <f t="shared" si="3"/>
        <v>-2.5000722165888547</v>
      </c>
      <c r="V33" s="54"/>
      <c r="W33" s="56"/>
    </row>
    <row r="34" spans="1:23" ht="15" customHeight="1" thickBot="1">
      <c r="A34" s="4">
        <v>15</v>
      </c>
      <c r="B34" s="6">
        <f>'Input Sheet'!C32</f>
        <v>43191</v>
      </c>
      <c r="C34" s="63">
        <f>'Input Sheet'!D32</f>
        <v>162614.5</v>
      </c>
      <c r="D34" s="64">
        <f t="shared" si="0"/>
        <v>164823.15645749125</v>
      </c>
      <c r="E34" s="63">
        <f t="shared" si="12"/>
        <v>163603.97809295607</v>
      </c>
      <c r="F34" s="63">
        <f t="shared" si="4"/>
        <v>-634.55335752728945</v>
      </c>
      <c r="G34" s="64">
        <f t="shared" si="1"/>
        <v>-2208.6564574912481</v>
      </c>
      <c r="H34" s="64">
        <f t="shared" si="15"/>
        <v>-54607.1509838528</v>
      </c>
      <c r="I34" s="64">
        <f t="shared" si="5"/>
        <v>2208.6564574912481</v>
      </c>
      <c r="J34" s="41">
        <f t="shared" si="2"/>
        <v>1.3582161845907026E-2</v>
      </c>
      <c r="K34" s="40">
        <f t="shared" si="13"/>
        <v>274672.95741761127</v>
      </c>
      <c r="L34" s="41">
        <f t="shared" si="3"/>
        <v>-2.7833104538631281</v>
      </c>
      <c r="P34" s="28" t="s">
        <v>35</v>
      </c>
      <c r="V34" s="54"/>
      <c r="W34" s="56"/>
    </row>
    <row r="35" spans="1:23" ht="15.75" customHeight="1" thickTop="1">
      <c r="A35" s="4">
        <v>16</v>
      </c>
      <c r="B35" s="6">
        <f>'Input Sheet'!C33</f>
        <v>43221</v>
      </c>
      <c r="C35" s="63">
        <f>'Input Sheet'!D33</f>
        <v>192675.5</v>
      </c>
      <c r="D35" s="64">
        <f t="shared" si="0"/>
        <v>162969.42473542877</v>
      </c>
      <c r="E35" s="63">
        <f t="shared" si="12"/>
        <v>179367.17828147206</v>
      </c>
      <c r="F35" s="63">
        <f t="shared" si="4"/>
        <v>6416.4806672713248</v>
      </c>
      <c r="G35" s="64">
        <f t="shared" si="1"/>
        <v>29706.075264571235</v>
      </c>
      <c r="H35" s="64">
        <f t="shared" si="15"/>
        <v>-24901.075719281565</v>
      </c>
      <c r="I35" s="64">
        <f t="shared" si="5"/>
        <v>29706.075264571235</v>
      </c>
      <c r="J35" s="41">
        <f t="shared" si="2"/>
        <v>0.15417671299449714</v>
      </c>
      <c r="K35" s="40">
        <f t="shared" si="13"/>
        <v>304379.0326821825</v>
      </c>
      <c r="L35" s="41">
        <f t="shared" si="3"/>
        <v>-1.2271414771832543</v>
      </c>
      <c r="O35" s="7" t="s">
        <v>1</v>
      </c>
      <c r="P35" s="99">
        <f>ROUNDDOWN('Input Sheet'!C6,3)</f>
        <v>0.55200000000000005</v>
      </c>
      <c r="V35" s="54"/>
      <c r="W35" s="56"/>
    </row>
    <row r="36" spans="1:23" ht="15.75" customHeight="1">
      <c r="A36" s="4">
        <v>17</v>
      </c>
      <c r="B36" s="6">
        <f>'Input Sheet'!C34</f>
        <v>43252</v>
      </c>
      <c r="C36" s="63">
        <f>'Input Sheet'!D34</f>
        <v>140846</v>
      </c>
      <c r="D36" s="64">
        <f t="shared" si="0"/>
        <v>185783.6589487434</v>
      </c>
      <c r="E36" s="63">
        <f t="shared" ref="E36:E42" si="20">$C$51*C36+(1-$C$51)*(E35+F35)</f>
        <v>160978.07120903704</v>
      </c>
      <c r="F36" s="63">
        <f t="shared" ref="F36:F42" si="21">$C$52*(E36-E35)+(1-$C$52)*F35</f>
        <v>-4249.9220608024061</v>
      </c>
      <c r="G36" s="64">
        <f t="shared" ref="G36:G42" si="22">C36-D36</f>
        <v>-44937.658948743396</v>
      </c>
      <c r="H36" s="64">
        <f t="shared" ref="H36:H42" si="23">H35+G36</f>
        <v>-69838.734668024961</v>
      </c>
      <c r="I36" s="64">
        <f t="shared" ref="I36:I42" si="24">ABS(G36)</f>
        <v>44937.658948743396</v>
      </c>
      <c r="J36" s="41">
        <f t="shared" ref="J36:J42" si="25">I36/C36</f>
        <v>0.31905527277127782</v>
      </c>
      <c r="K36" s="40">
        <f t="shared" ref="K36:K42" si="26">K35+I36</f>
        <v>349316.69163092587</v>
      </c>
      <c r="L36" s="41">
        <f t="shared" ref="L36:L42" si="27">H36/(K36/(A36-1))</f>
        <v>-3.1988730612077956</v>
      </c>
      <c r="O36" s="7" t="s">
        <v>5</v>
      </c>
      <c r="P36" s="99">
        <f>ROUNDDOWN('Input Sheet'!C7,3)</f>
        <v>0.43</v>
      </c>
      <c r="V36" s="54"/>
      <c r="W36" s="56"/>
    </row>
    <row r="37" spans="1:23" ht="15" customHeight="1">
      <c r="A37" s="4">
        <v>18</v>
      </c>
      <c r="B37" s="6">
        <f>'Input Sheet'!C35</f>
        <v>43282</v>
      </c>
      <c r="C37" s="63">
        <f>'Input Sheet'!D35</f>
        <v>161309</v>
      </c>
      <c r="D37" s="64">
        <f t="shared" si="0"/>
        <v>156728.14914823463</v>
      </c>
      <c r="E37" s="63">
        <f t="shared" si="20"/>
        <v>159256.77881840913</v>
      </c>
      <c r="F37" s="63">
        <f t="shared" si="21"/>
        <v>-3162.6113026273702</v>
      </c>
      <c r="G37" s="64">
        <f t="shared" si="22"/>
        <v>4580.8508517653681</v>
      </c>
      <c r="H37" s="64">
        <f t="shared" si="23"/>
        <v>-65257.883816259593</v>
      </c>
      <c r="I37" s="64">
        <f t="shared" si="24"/>
        <v>4580.8508517653681</v>
      </c>
      <c r="J37" s="41">
        <f t="shared" si="25"/>
        <v>2.8397986794074528E-2</v>
      </c>
      <c r="K37" s="40">
        <f t="shared" si="26"/>
        <v>353897.54248269123</v>
      </c>
      <c r="L37" s="41">
        <f t="shared" si="27"/>
        <v>-3.1347604651158942</v>
      </c>
    </row>
    <row r="38" spans="1:23" ht="15" customHeight="1">
      <c r="A38" s="4">
        <v>19</v>
      </c>
      <c r="B38" s="6">
        <f>'Input Sheet'!C36</f>
        <v>43313</v>
      </c>
      <c r="C38" s="63">
        <f>'Input Sheet'!D36</f>
        <v>159995</v>
      </c>
      <c r="D38" s="64">
        <f t="shared" si="0"/>
        <v>156094.16751578177</v>
      </c>
      <c r="E38" s="63">
        <f t="shared" si="20"/>
        <v>158247.42704707023</v>
      </c>
      <c r="F38" s="63">
        <f t="shared" si="21"/>
        <v>-2236.7097041733286</v>
      </c>
      <c r="G38" s="64">
        <f t="shared" si="22"/>
        <v>3900.8324842182337</v>
      </c>
      <c r="H38" s="64">
        <f t="shared" si="23"/>
        <v>-61357.051332041359</v>
      </c>
      <c r="I38" s="64">
        <f t="shared" si="24"/>
        <v>3900.8324842182337</v>
      </c>
      <c r="J38" s="41">
        <f t="shared" si="25"/>
        <v>2.4380964931518069E-2</v>
      </c>
      <c r="K38" s="40">
        <f t="shared" si="26"/>
        <v>357798.37496690947</v>
      </c>
      <c r="L38" s="41">
        <f t="shared" si="27"/>
        <v>-3.0867298491193145</v>
      </c>
    </row>
    <row r="39" spans="1:23" ht="15" customHeight="1">
      <c r="A39" s="4">
        <v>20</v>
      </c>
      <c r="B39" s="6">
        <f>'Input Sheet'!C37</f>
        <v>43344</v>
      </c>
      <c r="C39" s="63">
        <f>'Input Sheet'!D37</f>
        <v>150111</v>
      </c>
      <c r="D39" s="64">
        <f t="shared" si="0"/>
        <v>156010.71734289691</v>
      </c>
      <c r="E39" s="63">
        <f t="shared" si="20"/>
        <v>152754.07336961781</v>
      </c>
      <c r="F39" s="63">
        <f t="shared" si="21"/>
        <v>-3637.0666126833403</v>
      </c>
      <c r="G39" s="64">
        <f t="shared" si="22"/>
        <v>-5899.7173428969108</v>
      </c>
      <c r="H39" s="64">
        <f t="shared" si="23"/>
        <v>-67256.76867493827</v>
      </c>
      <c r="I39" s="64">
        <f t="shared" si="24"/>
        <v>5899.7173428969108</v>
      </c>
      <c r="J39" s="41">
        <f t="shared" si="25"/>
        <v>3.93023652023963E-2</v>
      </c>
      <c r="K39" s="40">
        <f t="shared" si="26"/>
        <v>363698.09230980638</v>
      </c>
      <c r="L39" s="41">
        <f t="shared" si="27"/>
        <v>-3.5135697212711823</v>
      </c>
    </row>
    <row r="40" spans="1:23" ht="15" customHeight="1">
      <c r="A40" s="4">
        <v>21</v>
      </c>
      <c r="B40" s="6">
        <f>'Input Sheet'!C38</f>
        <v>43374</v>
      </c>
      <c r="C40" s="63">
        <f>'Input Sheet'!D38</f>
        <v>166387</v>
      </c>
      <c r="D40" s="64">
        <f t="shared" si="0"/>
        <v>149117.00675693445</v>
      </c>
      <c r="E40" s="63">
        <f t="shared" si="20"/>
        <v>158650.04302710664</v>
      </c>
      <c r="F40" s="63">
        <f t="shared" si="21"/>
        <v>462.13898349069541</v>
      </c>
      <c r="G40" s="64">
        <f t="shared" si="22"/>
        <v>17269.993243065546</v>
      </c>
      <c r="H40" s="64">
        <f t="shared" si="23"/>
        <v>-49986.775431872724</v>
      </c>
      <c r="I40" s="64">
        <f t="shared" si="24"/>
        <v>17269.993243065546</v>
      </c>
      <c r="J40" s="41">
        <f t="shared" si="25"/>
        <v>0.10379412600182433</v>
      </c>
      <c r="K40" s="40">
        <f t="shared" si="26"/>
        <v>380968.08555287193</v>
      </c>
      <c r="L40" s="41">
        <f t="shared" si="27"/>
        <v>-2.6241975287420973</v>
      </c>
    </row>
    <row r="41" spans="1:23" ht="15" customHeight="1">
      <c r="A41" s="4">
        <v>22</v>
      </c>
      <c r="B41" s="6">
        <f>'Input Sheet'!C39</f>
        <v>43405</v>
      </c>
      <c r="C41" s="63">
        <f>'Input Sheet'!D39</f>
        <v>163152</v>
      </c>
      <c r="D41" s="64">
        <f>E40+F40</f>
        <v>159112.18201059735</v>
      </c>
      <c r="E41" s="63">
        <f t="shared" si="20"/>
        <v>161342.16154074762</v>
      </c>
      <c r="F41" s="63">
        <f t="shared" si="21"/>
        <v>1421.0301814553163</v>
      </c>
      <c r="G41" s="64">
        <f t="shared" si="22"/>
        <v>4039.8179894026543</v>
      </c>
      <c r="H41" s="64">
        <f t="shared" si="23"/>
        <v>-45946.95744247007</v>
      </c>
      <c r="I41" s="64">
        <f t="shared" si="24"/>
        <v>4039.8179894026543</v>
      </c>
      <c r="J41" s="41">
        <f t="shared" si="25"/>
        <v>2.4761069367232116E-2</v>
      </c>
      <c r="K41" s="40">
        <f t="shared" si="26"/>
        <v>385007.90354227461</v>
      </c>
      <c r="L41" s="41">
        <f t="shared" si="27"/>
        <v>-2.5061462308030906</v>
      </c>
    </row>
    <row r="42" spans="1:23" ht="15" customHeight="1" thickBot="1">
      <c r="A42" s="4">
        <v>23</v>
      </c>
      <c r="B42" s="6">
        <f>'Input Sheet'!C40</f>
        <v>43435</v>
      </c>
      <c r="C42" s="63">
        <f>'Input Sheet'!D40</f>
        <v>152896</v>
      </c>
      <c r="D42" s="64">
        <f t="shared" si="0"/>
        <v>162763.19172220293</v>
      </c>
      <c r="E42" s="63">
        <f t="shared" si="20"/>
        <v>157316.50189154691</v>
      </c>
      <c r="F42" s="63">
        <f t="shared" si="21"/>
        <v>-921.04644572677421</v>
      </c>
      <c r="G42" s="64">
        <f t="shared" si="22"/>
        <v>-9867.1917222029297</v>
      </c>
      <c r="H42" s="64">
        <f t="shared" si="23"/>
        <v>-55814.149164672999</v>
      </c>
      <c r="I42" s="64">
        <f t="shared" si="24"/>
        <v>9867.1917222029297</v>
      </c>
      <c r="J42" s="41">
        <f t="shared" si="25"/>
        <v>6.4535316307836238E-2</v>
      </c>
      <c r="K42" s="40">
        <f t="shared" si="26"/>
        <v>394875.09526447754</v>
      </c>
      <c r="L42" s="41">
        <f t="shared" si="27"/>
        <v>-3.1096194628338902</v>
      </c>
      <c r="M42" s="43" t="s">
        <v>25</v>
      </c>
    </row>
    <row r="43" spans="1:23" ht="15" customHeight="1" thickTop="1">
      <c r="A43" s="4">
        <v>24</v>
      </c>
      <c r="B43" s="6">
        <f>DATE(YEAR(B42),MONTH(B42)+1,DAY(B42))</f>
        <v>43466</v>
      </c>
      <c r="C43" s="98"/>
      <c r="D43" s="208">
        <f>$E$42+M43*$F$42</f>
        <v>156395.45544582015</v>
      </c>
      <c r="E43" s="98"/>
      <c r="F43" s="98"/>
      <c r="G43" s="98"/>
      <c r="H43" s="98"/>
      <c r="I43" s="98"/>
      <c r="J43" s="100"/>
      <c r="K43" s="101"/>
      <c r="L43" s="100"/>
      <c r="M43" s="42">
        <v>1</v>
      </c>
    </row>
    <row r="44" spans="1:23" ht="15" customHeight="1">
      <c r="A44" s="4">
        <v>25</v>
      </c>
      <c r="B44" s="6">
        <f t="shared" ref="B44:B46" si="28">DATE(YEAR(B43),MONTH(B43)+1,DAY(B43))</f>
        <v>43497</v>
      </c>
      <c r="C44" s="98"/>
      <c r="D44" s="208">
        <f>$E$42+M44*$F$42</f>
        <v>155474.40900009335</v>
      </c>
      <c r="E44" s="98"/>
      <c r="F44" s="98"/>
      <c r="G44" s="98"/>
      <c r="H44" s="98"/>
      <c r="I44" s="98"/>
      <c r="J44" s="100"/>
      <c r="K44" s="101"/>
      <c r="L44" s="100"/>
      <c r="M44" s="42">
        <v>2</v>
      </c>
    </row>
    <row r="45" spans="1:23" ht="15" customHeight="1">
      <c r="A45" s="4">
        <v>26</v>
      </c>
      <c r="B45" s="6">
        <f t="shared" si="28"/>
        <v>43525</v>
      </c>
      <c r="C45" s="98"/>
      <c r="D45" s="65">
        <f>$E$42+M45*$F$42</f>
        <v>154553.36255436658</v>
      </c>
      <c r="E45" s="98"/>
      <c r="F45" s="98"/>
      <c r="G45" s="98"/>
      <c r="H45" s="98"/>
      <c r="I45" s="98"/>
      <c r="J45" s="100"/>
      <c r="K45" s="101"/>
      <c r="L45" s="100"/>
      <c r="M45" s="42">
        <v>3</v>
      </c>
    </row>
    <row r="46" spans="1:23" ht="15" customHeight="1">
      <c r="A46" s="4">
        <v>27</v>
      </c>
      <c r="B46" s="6">
        <f t="shared" si="28"/>
        <v>43556</v>
      </c>
      <c r="C46" s="98"/>
      <c r="D46" s="65">
        <f>$E$42+M46*$F$42</f>
        <v>153632.31610863982</v>
      </c>
      <c r="E46" s="98"/>
      <c r="F46" s="98"/>
      <c r="G46" s="98"/>
      <c r="H46" s="98"/>
      <c r="I46" s="98"/>
      <c r="J46" s="100"/>
      <c r="K46" s="101"/>
      <c r="L46" s="100"/>
      <c r="M46" s="42">
        <v>4</v>
      </c>
    </row>
    <row r="47" spans="1:23" ht="15" customHeight="1">
      <c r="A47" s="228" t="s">
        <v>36</v>
      </c>
      <c r="B47" s="228"/>
      <c r="C47" s="71"/>
      <c r="D47" s="72"/>
      <c r="E47" s="71"/>
      <c r="F47" s="72"/>
      <c r="G47" s="72">
        <f>AVERAGE(G19:G42)</f>
        <v>-2537.006780212409</v>
      </c>
      <c r="H47" s="72"/>
      <c r="I47" s="72">
        <f>AVERAGE(I21:I42)</f>
        <v>17948.867966567163</v>
      </c>
      <c r="J47" s="31">
        <f>AVERAGE(J21:J42)</f>
        <v>0.11048592509818235</v>
      </c>
      <c r="K47" s="30"/>
      <c r="L47" s="30"/>
    </row>
    <row r="48" spans="1:23" ht="15" customHeight="1">
      <c r="D48" s="35"/>
      <c r="F48" s="35"/>
      <c r="G48" s="35" t="s">
        <v>40</v>
      </c>
      <c r="H48" s="35"/>
      <c r="I48" s="35" t="s">
        <v>2</v>
      </c>
      <c r="J48" s="35" t="s">
        <v>3</v>
      </c>
      <c r="M48" s="16" t="s">
        <v>26</v>
      </c>
      <c r="N48" s="16"/>
    </row>
    <row r="50" spans="1:3" ht="16.5" customHeight="1" thickBot="1">
      <c r="C50" s="28" t="s">
        <v>35</v>
      </c>
    </row>
    <row r="51" spans="1:3" ht="15.75" customHeight="1" thickTop="1">
      <c r="B51" s="7" t="s">
        <v>1</v>
      </c>
      <c r="C51" s="99">
        <v>0.55200000000000005</v>
      </c>
    </row>
    <row r="52" spans="1:3" ht="15" customHeight="1">
      <c r="B52" s="7" t="s">
        <v>5</v>
      </c>
      <c r="C52" s="99">
        <v>0.43</v>
      </c>
    </row>
    <row r="53" spans="1:3" ht="15" customHeight="1">
      <c r="A53" s="7"/>
    </row>
    <row r="54" spans="1:3" ht="15.75">
      <c r="A54" s="47" t="s">
        <v>23</v>
      </c>
      <c r="B54" s="47"/>
      <c r="C54" s="39"/>
    </row>
    <row r="55" spans="1:3" ht="15.75">
      <c r="A55" s="47" t="s">
        <v>24</v>
      </c>
      <c r="B55" s="47"/>
    </row>
    <row r="56" spans="1:3" ht="15.75">
      <c r="A56" s="14"/>
      <c r="B56" s="47"/>
    </row>
    <row r="57" spans="1:3" ht="15.75">
      <c r="A57" s="15"/>
      <c r="B57" s="47"/>
    </row>
  </sheetData>
  <mergeCells count="14">
    <mergeCell ref="L17:L18"/>
    <mergeCell ref="A47:B47"/>
    <mergeCell ref="I17:I18"/>
    <mergeCell ref="J17:J18"/>
    <mergeCell ref="K17:K18"/>
    <mergeCell ref="N31:O31"/>
    <mergeCell ref="N1:W1"/>
    <mergeCell ref="X17:X18"/>
    <mergeCell ref="Y17:Y18"/>
    <mergeCell ref="N17:N18"/>
    <mergeCell ref="O17:O18"/>
    <mergeCell ref="U17:U18"/>
    <mergeCell ref="V17:V18"/>
    <mergeCell ref="W17:W1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0" tint="-0.249977111117893"/>
  </sheetPr>
  <dimension ref="A1:AD61"/>
  <sheetViews>
    <sheetView topLeftCell="A24" zoomScale="78" zoomScaleNormal="78" workbookViewId="0">
      <selection activeCell="C53" sqref="C53"/>
    </sheetView>
  </sheetViews>
  <sheetFormatPr defaultRowHeight="15"/>
  <cols>
    <col min="2" max="2" width="14.42578125" customWidth="1"/>
    <col min="3" max="3" width="17" customWidth="1"/>
    <col min="4" max="7" width="15.85546875" customWidth="1"/>
    <col min="8" max="8" width="12.140625" customWidth="1"/>
    <col min="9" max="13" width="17" customWidth="1"/>
    <col min="14" max="14" width="4.85546875" customWidth="1"/>
    <col min="15" max="15" width="4.28515625" customWidth="1"/>
    <col min="17" max="25" width="14.7109375" customWidth="1"/>
    <col min="26" max="26" width="16.28515625" customWidth="1"/>
    <col min="27" max="27" width="19.85546875" customWidth="1"/>
    <col min="28" max="28" width="19.42578125" customWidth="1"/>
    <col min="30" max="30" width="10.5703125" bestFit="1" customWidth="1"/>
  </cols>
  <sheetData>
    <row r="1" spans="1:28" ht="28.5" customHeight="1">
      <c r="A1" s="78" t="s">
        <v>68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P1" s="230" t="s">
        <v>69</v>
      </c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</row>
    <row r="2" spans="1:28" ht="15.75" customHeight="1">
      <c r="G2" s="14"/>
      <c r="U2" s="14"/>
    </row>
    <row r="3" spans="1:28" ht="15.75" customHeight="1">
      <c r="G3" s="14"/>
      <c r="U3" s="14"/>
    </row>
    <row r="4" spans="1:28" ht="15.75" customHeight="1">
      <c r="E4" s="14"/>
      <c r="F4" s="47"/>
      <c r="G4" s="47"/>
      <c r="S4" s="14"/>
      <c r="T4" s="47"/>
      <c r="U4" s="47"/>
    </row>
    <row r="5" spans="1:28" ht="15.75" customHeight="1">
      <c r="E5" s="14"/>
      <c r="F5" s="47"/>
      <c r="G5" s="47"/>
      <c r="S5" s="14"/>
      <c r="T5" s="47"/>
      <c r="U5" s="47"/>
    </row>
    <row r="6" spans="1:28" ht="15.75" customHeight="1">
      <c r="E6" s="14"/>
      <c r="F6" s="47"/>
      <c r="G6" s="47"/>
      <c r="S6" s="14"/>
      <c r="T6" s="47"/>
      <c r="U6" s="47"/>
    </row>
    <row r="7" spans="1:28" ht="15.75" customHeight="1">
      <c r="E7" s="14"/>
      <c r="F7" s="47"/>
      <c r="G7" s="47"/>
      <c r="S7" s="14"/>
      <c r="T7" s="47"/>
      <c r="U7" s="47"/>
    </row>
    <row r="8" spans="1:28" ht="15.75" customHeight="1">
      <c r="E8" s="14"/>
      <c r="F8" s="47"/>
      <c r="G8" s="47"/>
      <c r="S8" s="14"/>
      <c r="T8" s="47"/>
      <c r="U8" s="47"/>
    </row>
    <row r="9" spans="1:28" ht="15.75" customHeight="1">
      <c r="E9" s="14"/>
      <c r="F9" s="47"/>
      <c r="G9" s="47"/>
      <c r="S9" s="14"/>
      <c r="T9" s="47"/>
      <c r="U9" s="47"/>
    </row>
    <row r="10" spans="1:28" ht="15.75" customHeight="1">
      <c r="E10" s="14"/>
      <c r="F10" s="47"/>
      <c r="G10" s="47"/>
      <c r="S10" s="14"/>
      <c r="T10" s="47"/>
      <c r="U10" s="47"/>
    </row>
    <row r="11" spans="1:28" ht="15.75" customHeight="1">
      <c r="E11" s="14"/>
      <c r="F11" s="47"/>
      <c r="G11" s="47"/>
      <c r="S11" s="14"/>
      <c r="T11" s="47"/>
      <c r="U11" s="47"/>
    </row>
    <row r="12" spans="1:28" ht="15.75" customHeight="1">
      <c r="E12" s="14"/>
      <c r="F12" s="47"/>
      <c r="G12" s="47"/>
      <c r="S12" s="14"/>
      <c r="T12" s="47"/>
      <c r="U12" s="47"/>
    </row>
    <row r="13" spans="1:28" ht="15.75" customHeight="1">
      <c r="E13" s="14"/>
      <c r="F13" s="47"/>
      <c r="G13" s="47"/>
      <c r="S13" s="14"/>
      <c r="T13" s="47"/>
      <c r="U13" s="47"/>
    </row>
    <row r="14" spans="1:28" ht="15.75" customHeight="1">
      <c r="E14" s="14"/>
      <c r="F14" s="47"/>
      <c r="G14" s="47"/>
      <c r="S14" s="14"/>
      <c r="T14" s="47"/>
      <c r="U14" s="47"/>
    </row>
    <row r="15" spans="1:28" ht="15.75" customHeight="1">
      <c r="E15" s="14"/>
      <c r="F15" s="47"/>
      <c r="G15" s="47"/>
      <c r="S15" s="14"/>
      <c r="T15" s="47"/>
      <c r="U15" s="47"/>
    </row>
    <row r="16" spans="1:28" ht="15.75" customHeight="1">
      <c r="E16" s="15"/>
      <c r="F16" s="47"/>
      <c r="G16" s="47"/>
      <c r="S16" s="15"/>
      <c r="T16" s="47"/>
      <c r="U16" s="47"/>
    </row>
    <row r="17" spans="1:30" ht="15.75" customHeight="1">
      <c r="E17" s="15"/>
      <c r="F17" s="47"/>
      <c r="G17" s="47"/>
      <c r="S17" s="15"/>
      <c r="T17" s="47"/>
      <c r="U17" s="47"/>
    </row>
    <row r="19" spans="1:30" ht="45">
      <c r="A19" s="9" t="s">
        <v>11</v>
      </c>
      <c r="B19" s="9" t="s">
        <v>4</v>
      </c>
      <c r="C19" s="3" t="s">
        <v>0</v>
      </c>
      <c r="D19" s="8" t="s">
        <v>14</v>
      </c>
      <c r="E19" s="3" t="s">
        <v>6</v>
      </c>
      <c r="F19" s="3" t="s">
        <v>13</v>
      </c>
      <c r="G19" s="3" t="s">
        <v>29</v>
      </c>
      <c r="H19" s="3" t="s">
        <v>31</v>
      </c>
      <c r="I19" s="9" t="s">
        <v>32</v>
      </c>
      <c r="J19" s="81" t="s">
        <v>41</v>
      </c>
      <c r="K19" s="81" t="s">
        <v>38</v>
      </c>
      <c r="L19" s="81" t="s">
        <v>33</v>
      </c>
      <c r="M19" s="9" t="s">
        <v>34</v>
      </c>
      <c r="P19" s="226" t="s">
        <v>11</v>
      </c>
      <c r="Q19" s="226" t="s">
        <v>4</v>
      </c>
      <c r="R19" s="3" t="s">
        <v>0</v>
      </c>
      <c r="S19" s="3" t="s">
        <v>6</v>
      </c>
      <c r="T19" s="3" t="s">
        <v>13</v>
      </c>
      <c r="U19" s="3" t="s">
        <v>29</v>
      </c>
      <c r="V19" s="8" t="s">
        <v>14</v>
      </c>
      <c r="W19" s="3" t="s">
        <v>31</v>
      </c>
      <c r="X19" s="226" t="s">
        <v>32</v>
      </c>
      <c r="Y19" s="224" t="s">
        <v>41</v>
      </c>
      <c r="Z19" s="224" t="s">
        <v>38</v>
      </c>
      <c r="AA19" s="224" t="s">
        <v>33</v>
      </c>
      <c r="AB19" s="226" t="s">
        <v>34</v>
      </c>
    </row>
    <row r="20" spans="1:30">
      <c r="A20" s="79"/>
      <c r="B20" s="79"/>
      <c r="C20" s="9" t="s">
        <v>18</v>
      </c>
      <c r="D20" s="9" t="s">
        <v>17</v>
      </c>
      <c r="E20" s="9" t="s">
        <v>22</v>
      </c>
      <c r="F20" s="9" t="s">
        <v>16</v>
      </c>
      <c r="G20" s="9" t="s">
        <v>30</v>
      </c>
      <c r="H20" s="9" t="s">
        <v>21</v>
      </c>
      <c r="I20" s="80"/>
      <c r="J20" s="82"/>
      <c r="K20" s="82"/>
      <c r="L20" s="82"/>
      <c r="M20" s="80"/>
      <c r="P20" s="231"/>
      <c r="Q20" s="231"/>
      <c r="R20" s="9" t="s">
        <v>18</v>
      </c>
      <c r="S20" s="9" t="s">
        <v>22</v>
      </c>
      <c r="T20" s="9" t="s">
        <v>16</v>
      </c>
      <c r="U20" s="9" t="s">
        <v>30</v>
      </c>
      <c r="V20" s="9" t="s">
        <v>17</v>
      </c>
      <c r="W20" s="9" t="s">
        <v>21</v>
      </c>
      <c r="X20" s="227"/>
      <c r="Y20" s="225"/>
      <c r="Z20" s="225"/>
      <c r="AA20" s="225"/>
      <c r="AB20" s="227"/>
    </row>
    <row r="21" spans="1:30" ht="15" customHeight="1">
      <c r="A21" s="19">
        <v>0</v>
      </c>
      <c r="B21" s="20">
        <f>'Input Sheet'!C17</f>
        <v>42736</v>
      </c>
      <c r="C21" s="21">
        <f>'Input Sheet'!D17</f>
        <v>168959</v>
      </c>
      <c r="D21" s="60">
        <v>0</v>
      </c>
      <c r="E21" s="60">
        <v>0</v>
      </c>
      <c r="F21" s="60">
        <v>0</v>
      </c>
      <c r="G21" s="45">
        <f>C21/AVERAGE(C$21:C$32)</f>
        <v>0.96013797518946964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P21" s="19">
        <v>1</v>
      </c>
      <c r="Q21" s="20" t="str">
        <f>'Input Sheet'!F17</f>
        <v>Q1- 2017</v>
      </c>
      <c r="R21" s="60">
        <f>'Input Sheet'!G17</f>
        <v>504915</v>
      </c>
      <c r="S21" s="60">
        <v>0</v>
      </c>
      <c r="T21" s="60">
        <v>0</v>
      </c>
      <c r="U21" s="74">
        <f>R21/AVERAGE($R$21:$R$24)</f>
        <v>0.95642151003653952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</row>
    <row r="22" spans="1:30" ht="15" customHeight="1">
      <c r="A22" s="19">
        <v>1</v>
      </c>
      <c r="B22" s="20">
        <f>'Input Sheet'!C18</f>
        <v>42767</v>
      </c>
      <c r="C22" s="21">
        <f>'Input Sheet'!D18</f>
        <v>156632</v>
      </c>
      <c r="D22" s="60">
        <v>0</v>
      </c>
      <c r="E22" s="60">
        <v>0</v>
      </c>
      <c r="F22" s="60">
        <v>0</v>
      </c>
      <c r="G22" s="45">
        <f>C22/AVERAGE(C$21:C$32)</f>
        <v>0.89008772145832427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P22" s="19">
        <v>2</v>
      </c>
      <c r="Q22" s="20" t="str">
        <f>'Input Sheet'!F18</f>
        <v>Q2- 2017</v>
      </c>
      <c r="R22" s="60">
        <f>'Input Sheet'!G18</f>
        <v>553764</v>
      </c>
      <c r="S22" s="60">
        <v>0</v>
      </c>
      <c r="T22" s="60">
        <v>0</v>
      </c>
      <c r="U22" s="74">
        <f t="shared" ref="U22:U24" si="0">R22/AVERAGE($R$21:$R$24)</f>
        <v>1.0489524000750112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</row>
    <row r="23" spans="1:30" ht="15" customHeight="1">
      <c r="A23" s="19">
        <v>2</v>
      </c>
      <c r="B23" s="20">
        <f>'Input Sheet'!C19</f>
        <v>42795</v>
      </c>
      <c r="C23" s="21">
        <f>'Input Sheet'!D19</f>
        <v>179324</v>
      </c>
      <c r="D23" s="60">
        <v>0</v>
      </c>
      <c r="E23" s="60">
        <v>0</v>
      </c>
      <c r="F23" s="60">
        <v>0</v>
      </c>
      <c r="G23" s="45">
        <f t="shared" ref="G23:G32" si="1">C23/AVERAGE(C$21:C$32)</f>
        <v>1.0190388334618248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P23" s="19">
        <v>3</v>
      </c>
      <c r="Q23" s="20" t="str">
        <f>'Input Sheet'!F19</f>
        <v>Q3- 2017</v>
      </c>
      <c r="R23" s="60">
        <f>'Input Sheet'!G19</f>
        <v>535964</v>
      </c>
      <c r="S23" s="60">
        <v>0</v>
      </c>
      <c r="T23" s="60">
        <v>0</v>
      </c>
      <c r="U23" s="74">
        <f t="shared" si="0"/>
        <v>1.0152352340596416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</row>
    <row r="24" spans="1:30" ht="15" customHeight="1">
      <c r="A24" s="19">
        <v>3</v>
      </c>
      <c r="B24" s="20">
        <f>'Input Sheet'!C20</f>
        <v>42826</v>
      </c>
      <c r="C24" s="21">
        <f>'Input Sheet'!D20</f>
        <v>176783</v>
      </c>
      <c r="D24" s="60">
        <v>0</v>
      </c>
      <c r="E24" s="60">
        <v>0</v>
      </c>
      <c r="F24" s="60">
        <v>0</v>
      </c>
      <c r="G24" s="45">
        <f t="shared" si="1"/>
        <v>1.0045991729823214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P24" s="19">
        <v>4</v>
      </c>
      <c r="Q24" s="20" t="str">
        <f>'Input Sheet'!F20</f>
        <v>Q4- 2017</v>
      </c>
      <c r="R24" s="60">
        <f>'Input Sheet'!G20</f>
        <v>517041</v>
      </c>
      <c r="S24" s="60">
        <v>0</v>
      </c>
      <c r="T24" s="60">
        <v>0</v>
      </c>
      <c r="U24" s="74">
        <f t="shared" si="0"/>
        <v>0.97939085582880769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</row>
    <row r="25" spans="1:30" ht="15" customHeight="1">
      <c r="A25" s="19">
        <v>4</v>
      </c>
      <c r="B25" s="20">
        <f>'Input Sheet'!C21</f>
        <v>42856</v>
      </c>
      <c r="C25" s="21">
        <f>'Input Sheet'!D21</f>
        <v>227729</v>
      </c>
      <c r="D25" s="60">
        <v>0</v>
      </c>
      <c r="E25" s="60">
        <v>0</v>
      </c>
      <c r="F25" s="60">
        <v>0</v>
      </c>
      <c r="G25" s="45">
        <f t="shared" si="1"/>
        <v>1.2941083987945168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P25" s="19">
        <v>5</v>
      </c>
      <c r="Q25" s="20" t="str">
        <f>'Input Sheet'!F21</f>
        <v>Q1- 2018</v>
      </c>
      <c r="R25" s="60">
        <f>'Input Sheet'!G21</f>
        <v>496259.5</v>
      </c>
      <c r="S25" s="60">
        <f>R25/U21</f>
        <v>518871.11989047664</v>
      </c>
      <c r="T25" s="60">
        <f>(S25-R24)/U24</f>
        <v>1868.6307714481361</v>
      </c>
      <c r="U25" s="74">
        <f>$S$39*R25/S25+(1-$S$39)*U21</f>
        <v>0.95642151003653952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</row>
    <row r="26" spans="1:30" ht="15" customHeight="1">
      <c r="A26" s="19">
        <v>5</v>
      </c>
      <c r="B26" s="20">
        <f>'Input Sheet'!C22</f>
        <v>42887</v>
      </c>
      <c r="C26" s="21">
        <f>'Input Sheet'!D22</f>
        <v>149252</v>
      </c>
      <c r="D26" s="60">
        <v>0</v>
      </c>
      <c r="E26" s="60">
        <v>0</v>
      </c>
      <c r="F26" s="60">
        <v>0</v>
      </c>
      <c r="G26" s="45">
        <f t="shared" si="1"/>
        <v>0.84814962844819586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P26" s="4">
        <v>6</v>
      </c>
      <c r="Q26" s="6" t="str">
        <f>'Input Sheet'!F22</f>
        <v>Q2- 2018</v>
      </c>
      <c r="R26" s="64">
        <f>'Input Sheet'!G22</f>
        <v>496136</v>
      </c>
      <c r="S26" s="67">
        <f>$S$37*(R26/U22)+(1-$S$37)*(S25+T25)</f>
        <v>494377.68063875305</v>
      </c>
      <c r="T26" s="67">
        <f>$S$38*(S26-S25)+(1-$S$38)*T25</f>
        <v>-9467.0593385157026</v>
      </c>
      <c r="U26" s="67">
        <f t="shared" ref="U26:U28" si="2">$S$39*R26/S26+(1-$S$39)*U22</f>
        <v>1.0489524000750112</v>
      </c>
      <c r="V26" s="64">
        <f>(S25+T25)*U22</f>
        <v>546231.21127128892</v>
      </c>
      <c r="W26" s="64">
        <f>R26-V26</f>
        <v>-50095.211271288921</v>
      </c>
      <c r="X26" s="64">
        <f>W26</f>
        <v>-50095.211271288921</v>
      </c>
      <c r="Y26" s="64">
        <f>ABS(W26)</f>
        <v>50095.211271288921</v>
      </c>
      <c r="Z26" s="41">
        <f>Y26/R26</f>
        <v>0.10097072429996799</v>
      </c>
      <c r="AA26" s="67">
        <f>Y26</f>
        <v>50095.211271288921</v>
      </c>
      <c r="AB26" s="40">
        <f>X26/(AA26/(P26-5))</f>
        <v>-1</v>
      </c>
      <c r="AD26" s="75"/>
    </row>
    <row r="27" spans="1:30" ht="15" customHeight="1">
      <c r="A27" s="19">
        <v>6</v>
      </c>
      <c r="B27" s="20">
        <f>'Input Sheet'!C23</f>
        <v>42917</v>
      </c>
      <c r="C27" s="21">
        <f>'Input Sheet'!D23</f>
        <v>190401</v>
      </c>
      <c r="D27" s="60">
        <v>0</v>
      </c>
      <c r="E27" s="60">
        <v>0</v>
      </c>
      <c r="F27" s="60">
        <v>0</v>
      </c>
      <c r="G27" s="45">
        <f t="shared" si="1"/>
        <v>1.0819857516560243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P27" s="4">
        <v>7</v>
      </c>
      <c r="Q27" s="6" t="str">
        <f>'Input Sheet'!F23</f>
        <v>Q3- 2018</v>
      </c>
      <c r="R27" s="64">
        <f>'Input Sheet'!G23</f>
        <v>471415</v>
      </c>
      <c r="S27" s="67">
        <f t="shared" ref="S27:S28" si="3">$S$37*(R27/U23)+(1-$S$37)*(S26+T26)</f>
        <v>473556.00340277154</v>
      </c>
      <c r="T27" s="67">
        <f t="shared" ref="T27:T28" si="4">$S$38*(S27-S26)+(1-$S$38)*T26</f>
        <v>-14349.545034425999</v>
      </c>
      <c r="U27" s="67">
        <f t="shared" si="2"/>
        <v>1.0152352340596416</v>
      </c>
      <c r="V27" s="64">
        <f t="shared" ref="V27:V28" si="5">(S26+T26)*U23</f>
        <v>492298.34811375267</v>
      </c>
      <c r="W27" s="64">
        <f t="shared" ref="W27:W28" si="6">R27-V27</f>
        <v>-20883.348113752669</v>
      </c>
      <c r="X27" s="64">
        <f t="shared" ref="X27:X28" si="7">W27</f>
        <v>-20883.348113752669</v>
      </c>
      <c r="Y27" s="64">
        <f t="shared" ref="Y27:Y28" si="8">ABS(W27)</f>
        <v>20883.348113752669</v>
      </c>
      <c r="Z27" s="41">
        <f t="shared" ref="Z27:Z28" si="9">Y27/R27</f>
        <v>4.4299286432872668E-2</v>
      </c>
      <c r="AA27" s="67">
        <f>AA26+Y27</f>
        <v>70978.55938504159</v>
      </c>
      <c r="AB27" s="40">
        <f t="shared" ref="AB27:AB28" si="10">X27/(AA27/(P27-5))</f>
        <v>-0.58844102485838112</v>
      </c>
    </row>
    <row r="28" spans="1:30" ht="15" customHeight="1" thickBot="1">
      <c r="A28" s="19">
        <v>7</v>
      </c>
      <c r="B28" s="20">
        <f>'Input Sheet'!C24</f>
        <v>42948</v>
      </c>
      <c r="C28" s="21">
        <f>'Input Sheet'!D24</f>
        <v>199905</v>
      </c>
      <c r="D28" s="60">
        <v>0</v>
      </c>
      <c r="E28" s="60">
        <v>0</v>
      </c>
      <c r="F28" s="60">
        <v>0</v>
      </c>
      <c r="G28" s="45">
        <f t="shared" si="1"/>
        <v>1.1359938324105312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P28" s="4">
        <v>8</v>
      </c>
      <c r="Q28" s="6" t="str">
        <f>'Input Sheet'!F24</f>
        <v>Q4- 2018</v>
      </c>
      <c r="R28" s="64">
        <f>'Input Sheet'!G24</f>
        <v>482435</v>
      </c>
      <c r="S28" s="67">
        <f t="shared" si="3"/>
        <v>477632.40265315527</v>
      </c>
      <c r="T28" s="67">
        <f t="shared" si="4"/>
        <v>-6426.3889919578196</v>
      </c>
      <c r="U28" s="67">
        <f t="shared" si="2"/>
        <v>0.97939085582880769</v>
      </c>
      <c r="V28" s="64">
        <f t="shared" si="5"/>
        <v>449742.6062634897</v>
      </c>
      <c r="W28" s="64">
        <f t="shared" si="6"/>
        <v>32692.393736510305</v>
      </c>
      <c r="X28" s="64">
        <f t="shared" si="7"/>
        <v>32692.393736510305</v>
      </c>
      <c r="Y28" s="64">
        <f t="shared" si="8"/>
        <v>32692.393736510305</v>
      </c>
      <c r="Z28" s="41">
        <f t="shared" si="9"/>
        <v>6.7765385464384431E-2</v>
      </c>
      <c r="AA28" s="67">
        <f>AA27+Y28</f>
        <v>103670.95312155189</v>
      </c>
      <c r="AB28" s="40">
        <f t="shared" si="10"/>
        <v>0.94604301645165345</v>
      </c>
      <c r="AC28" s="43" t="s">
        <v>25</v>
      </c>
    </row>
    <row r="29" spans="1:30" ht="15" customHeight="1" thickTop="1">
      <c r="A29" s="19">
        <v>8</v>
      </c>
      <c r="B29" s="20">
        <f>'Input Sheet'!C25</f>
        <v>42979</v>
      </c>
      <c r="C29" s="21">
        <f>'Input Sheet'!D25</f>
        <v>145658</v>
      </c>
      <c r="D29" s="60">
        <v>0</v>
      </c>
      <c r="E29" s="60">
        <v>0</v>
      </c>
      <c r="F29" s="60">
        <v>0</v>
      </c>
      <c r="G29" s="45">
        <f t="shared" si="1"/>
        <v>0.82772611811236918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P29" s="4">
        <v>9</v>
      </c>
      <c r="Q29" s="6" t="s">
        <v>76</v>
      </c>
      <c r="R29" s="98"/>
      <c r="S29" s="98"/>
      <c r="T29" s="98"/>
      <c r="U29" s="105"/>
      <c r="V29" s="65">
        <f>($S$28+AC29*$T$28)*$U$28</f>
        <v>461494.86099132104</v>
      </c>
      <c r="W29" s="98"/>
      <c r="X29" s="98"/>
      <c r="Y29" s="98"/>
      <c r="Z29" s="100"/>
      <c r="AA29" s="98"/>
      <c r="AB29" s="100"/>
      <c r="AC29" s="42">
        <v>1</v>
      </c>
    </row>
    <row r="30" spans="1:30" ht="15" customHeight="1">
      <c r="A30" s="19">
        <v>9</v>
      </c>
      <c r="B30" s="20">
        <f>'Input Sheet'!C26</f>
        <v>43009</v>
      </c>
      <c r="C30" s="21">
        <f>'Input Sheet'!D26</f>
        <v>176171</v>
      </c>
      <c r="D30" s="60">
        <v>0</v>
      </c>
      <c r="E30" s="60">
        <v>0</v>
      </c>
      <c r="F30" s="60">
        <v>0</v>
      </c>
      <c r="G30" s="45">
        <f t="shared" si="1"/>
        <v>1.0011213799034326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P30" s="4">
        <v>10</v>
      </c>
      <c r="Q30" s="6" t="s">
        <v>77</v>
      </c>
      <c r="R30" s="98"/>
      <c r="S30" s="98"/>
      <c r="T30" s="98"/>
      <c r="U30" s="105"/>
      <c r="V30" s="65">
        <f t="shared" ref="V30:V32" si="11">($S$28+AC30*$T$28)*$U$28</f>
        <v>455200.91437659861</v>
      </c>
      <c r="W30" s="98"/>
      <c r="X30" s="98"/>
      <c r="Y30" s="98"/>
      <c r="Z30" s="100"/>
      <c r="AA30" s="98"/>
      <c r="AB30" s="100"/>
      <c r="AC30" s="42">
        <v>2</v>
      </c>
    </row>
    <row r="31" spans="1:30" ht="15" customHeight="1">
      <c r="A31" s="19">
        <v>10</v>
      </c>
      <c r="B31" s="20">
        <f>'Input Sheet'!C27</f>
        <v>43040</v>
      </c>
      <c r="C31" s="21">
        <f>'Input Sheet'!D27</f>
        <v>169218.5</v>
      </c>
      <c r="D31" s="60">
        <v>0</v>
      </c>
      <c r="E31" s="60">
        <v>0</v>
      </c>
      <c r="F31" s="60">
        <v>0</v>
      </c>
      <c r="G31" s="45">
        <f t="shared" si="1"/>
        <v>0.96161262764693967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P31" s="4">
        <v>11</v>
      </c>
      <c r="Q31" s="6" t="s">
        <v>78</v>
      </c>
      <c r="R31" s="98"/>
      <c r="S31" s="98"/>
      <c r="T31" s="98"/>
      <c r="U31" s="105"/>
      <c r="V31" s="65">
        <f t="shared" si="11"/>
        <v>448906.96776187624</v>
      </c>
      <c r="W31" s="98"/>
      <c r="X31" s="98"/>
      <c r="Y31" s="98"/>
      <c r="Z31" s="100"/>
      <c r="AA31" s="98"/>
      <c r="AB31" s="100"/>
      <c r="AC31" s="42">
        <v>3</v>
      </c>
    </row>
    <row r="32" spans="1:30" ht="15" customHeight="1">
      <c r="A32" s="19">
        <v>11</v>
      </c>
      <c r="B32" s="37">
        <f>'Input Sheet'!C28</f>
        <v>43070</v>
      </c>
      <c r="C32" s="21">
        <f>'Input Sheet'!D28</f>
        <v>171651.5</v>
      </c>
      <c r="D32" s="60">
        <v>0</v>
      </c>
      <c r="E32" s="60">
        <v>0</v>
      </c>
      <c r="F32" s="60">
        <v>0</v>
      </c>
      <c r="G32" s="45">
        <f t="shared" si="1"/>
        <v>0.97543855993605111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P32" s="4">
        <v>12</v>
      </c>
      <c r="Q32" s="6" t="s">
        <v>79</v>
      </c>
      <c r="R32" s="98"/>
      <c r="S32" s="98"/>
      <c r="T32" s="98"/>
      <c r="U32" s="105"/>
      <c r="V32" s="65">
        <f t="shared" si="11"/>
        <v>442613.02114715381</v>
      </c>
      <c r="W32" s="98"/>
      <c r="X32" s="98"/>
      <c r="Y32" s="98"/>
      <c r="Z32" s="100"/>
      <c r="AA32" s="98"/>
      <c r="AB32" s="100"/>
      <c r="AC32" s="42">
        <v>4</v>
      </c>
    </row>
    <row r="33" spans="1:29" ht="15" customHeight="1">
      <c r="A33" s="19">
        <v>12</v>
      </c>
      <c r="B33" s="37">
        <f>'Input Sheet'!C29</f>
        <v>43101</v>
      </c>
      <c r="C33" s="25">
        <f>'Input Sheet'!D29</f>
        <v>170123</v>
      </c>
      <c r="D33" s="70">
        <v>0</v>
      </c>
      <c r="E33" s="25">
        <f>C33/G21</f>
        <v>177185.99242617044</v>
      </c>
      <c r="F33" s="25">
        <f>(E33-C33)/G32</f>
        <v>7240.8378305584793</v>
      </c>
      <c r="G33" s="44">
        <f>$C$55*C33/E33+(1-$C$55)*G21</f>
        <v>0.96013797518946964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P33" s="228" t="s">
        <v>36</v>
      </c>
      <c r="Q33" s="228"/>
      <c r="R33" s="71"/>
      <c r="S33" s="71"/>
      <c r="T33" s="72"/>
      <c r="U33" s="72"/>
      <c r="V33" s="72"/>
      <c r="W33" s="72">
        <f>AVERAGE(W26:W28)</f>
        <v>-12762.055216177096</v>
      </c>
      <c r="X33" s="72"/>
      <c r="Y33" s="72">
        <f>AVERAGE(Y26:Y28)</f>
        <v>34556.984373850632</v>
      </c>
      <c r="Z33" s="76">
        <f>AVERAGE(Z26:Z28)</f>
        <v>7.1011798732408357E-2</v>
      </c>
      <c r="AA33" s="31"/>
      <c r="AB33" s="31"/>
      <c r="AC33" s="16" t="s">
        <v>42</v>
      </c>
    </row>
    <row r="34" spans="1:29" ht="15" customHeight="1">
      <c r="A34" s="19">
        <v>13</v>
      </c>
      <c r="B34" s="6">
        <f>'Input Sheet'!C30</f>
        <v>43132</v>
      </c>
      <c r="C34" s="5">
        <f>'Input Sheet'!D30</f>
        <v>153671</v>
      </c>
      <c r="D34" s="5">
        <f>(F33+E33)*G22</f>
        <v>164156.05711899299</v>
      </c>
      <c r="E34" s="5">
        <f>$C$53*(C34/G22)+(1-$C$53)*(E33+F33)</f>
        <v>177924.37955422798</v>
      </c>
      <c r="F34" s="5">
        <f>$C$54*(E34-E33)+(1-$C$54)*F33</f>
        <v>4444.7840284830763</v>
      </c>
      <c r="G34" s="18">
        <f>$C$55*C34/E34+(1-$C$55)*G22</f>
        <v>0.89008772145832427</v>
      </c>
      <c r="H34" s="18">
        <f>C34-D34</f>
        <v>-10485.057118992991</v>
      </c>
      <c r="I34" s="41">
        <f t="shared" ref="I34:I36" si="12">I33+H34</f>
        <v>-10485.057118992991</v>
      </c>
      <c r="J34" s="41">
        <f t="shared" ref="J34:J36" si="13">ABS(H34)</f>
        <v>10485.057118992991</v>
      </c>
      <c r="K34" s="41">
        <f>J34/C34</f>
        <v>6.8230551756629357E-2</v>
      </c>
      <c r="L34" s="41">
        <f>J34</f>
        <v>10485.057118992991</v>
      </c>
      <c r="M34" s="41">
        <f>I34/(L34/(A34-12))</f>
        <v>-1</v>
      </c>
      <c r="T34" s="35"/>
      <c r="U34" s="35"/>
      <c r="V34" s="35"/>
      <c r="W34" s="35" t="s">
        <v>40</v>
      </c>
      <c r="Y34" s="35" t="s">
        <v>2</v>
      </c>
      <c r="Z34" s="35" t="s">
        <v>3</v>
      </c>
    </row>
    <row r="35" spans="1:29" ht="15" customHeight="1">
      <c r="A35" s="19">
        <v>14</v>
      </c>
      <c r="B35" s="6">
        <f>'Input Sheet'!C31</f>
        <v>43160</v>
      </c>
      <c r="C35" s="5">
        <f>'Input Sheet'!D31</f>
        <v>172465.5</v>
      </c>
      <c r="D35" s="5">
        <f>(F34+E34)*G23</f>
        <v>185841.25971673458</v>
      </c>
      <c r="E35" s="5">
        <f>$C$53*(C35/G23)+(1-$C$53)*(E34+F34)</f>
        <v>175123.68959173968</v>
      </c>
      <c r="F35" s="5">
        <f>$C$54*(E35-E34)+(1-$C$54)*F34</f>
        <v>1329.2302123653815</v>
      </c>
      <c r="G35" s="18">
        <f t="shared" ref="G35:G36" si="14">$C$55*C35/E35+(1-$C$55)*G23</f>
        <v>1.0190388334618248</v>
      </c>
      <c r="H35" s="18">
        <f t="shared" ref="H35:H44" si="15">C35-D35</f>
        <v>-13375.759716734581</v>
      </c>
      <c r="I35" s="41">
        <f t="shared" si="12"/>
        <v>-23860.816835727572</v>
      </c>
      <c r="J35" s="41">
        <f t="shared" si="13"/>
        <v>13375.759716734581</v>
      </c>
      <c r="K35" s="41">
        <f t="shared" ref="K35:K44" si="16">J35/C35</f>
        <v>7.7556147268494746E-2</v>
      </c>
      <c r="L35" s="41">
        <f>L34+J35</f>
        <v>23860.816835727572</v>
      </c>
      <c r="M35" s="41">
        <f t="shared" ref="M35:M44" si="17">I35/(L35/(A35-12))</f>
        <v>-2</v>
      </c>
    </row>
    <row r="36" spans="1:29" ht="16.5" customHeight="1" thickBot="1">
      <c r="A36" s="19">
        <v>15</v>
      </c>
      <c r="B36" s="6">
        <f>'Input Sheet'!C32</f>
        <v>43191</v>
      </c>
      <c r="C36" s="5">
        <f>'Input Sheet'!D32</f>
        <v>162614.5</v>
      </c>
      <c r="D36" s="5">
        <f>(F35+E35)*G24</f>
        <v>177264.45730551984</v>
      </c>
      <c r="E36" s="5">
        <f>$C$53*(C36/G24)+(1-$C$53)*(E35+F35)</f>
        <v>168403.16558358347</v>
      </c>
      <c r="F36" s="5">
        <f>$C$54*(E36-E35)+(1-$C$54)*F35</f>
        <v>-2132.1641024589017</v>
      </c>
      <c r="G36" s="18">
        <f t="shared" si="14"/>
        <v>1.0045991729823214</v>
      </c>
      <c r="H36" s="18">
        <f t="shared" si="15"/>
        <v>-14649.957305519842</v>
      </c>
      <c r="I36" s="41">
        <f t="shared" si="12"/>
        <v>-38510.774141247413</v>
      </c>
      <c r="J36" s="41">
        <f t="shared" si="13"/>
        <v>14649.957305519842</v>
      </c>
      <c r="K36" s="41">
        <f t="shared" si="16"/>
        <v>9.0090104544919683E-2</v>
      </c>
      <c r="L36" s="41">
        <f t="shared" ref="L36:L44" si="18">L35+J36</f>
        <v>38510.774141247413</v>
      </c>
      <c r="M36" s="41">
        <f t="shared" si="17"/>
        <v>-3</v>
      </c>
      <c r="S36" s="28" t="s">
        <v>35</v>
      </c>
    </row>
    <row r="37" spans="1:29" ht="15.75" customHeight="1" thickTop="1">
      <c r="A37" s="19">
        <v>16</v>
      </c>
      <c r="B37" s="6">
        <f>'Input Sheet'!C33</f>
        <v>43221</v>
      </c>
      <c r="C37" s="5">
        <f>'Input Sheet'!D33</f>
        <v>192675.5</v>
      </c>
      <c r="D37" s="5">
        <f t="shared" ref="D37:D44" si="19">(F36+E36)*G25</f>
        <v>215172.69949269886</v>
      </c>
      <c r="E37" s="5">
        <f t="shared" ref="E37:E44" si="20">$C$53*(C37/G25)+(1-$C$53)*(E36+F36)</f>
        <v>156674.85471974217</v>
      </c>
      <c r="F37" s="5">
        <f>$C$54*(E37-E36)+(1-$C$54)*F36</f>
        <v>-6258.507209853331</v>
      </c>
      <c r="G37" s="18">
        <f t="shared" ref="G37:G44" si="21">$C$55*C37/E37+(1-$C$55)*G25</f>
        <v>1.2941083987945168</v>
      </c>
      <c r="H37" s="18">
        <f t="shared" si="15"/>
        <v>-22497.199492698855</v>
      </c>
      <c r="I37" s="41">
        <f t="shared" ref="I37:I44" si="22">I36+H37</f>
        <v>-61007.973633946269</v>
      </c>
      <c r="J37" s="41">
        <f t="shared" ref="J37:J44" si="23">ABS(H37)</f>
        <v>22497.199492698855</v>
      </c>
      <c r="K37" s="41">
        <f t="shared" si="16"/>
        <v>0.11676211813488926</v>
      </c>
      <c r="L37" s="41">
        <f t="shared" si="18"/>
        <v>61007.973633946269</v>
      </c>
      <c r="M37" s="41">
        <f t="shared" si="17"/>
        <v>-4</v>
      </c>
      <c r="R37" s="7" t="s">
        <v>1</v>
      </c>
      <c r="S37" s="58">
        <f>ROUNDDOWN('Input Sheet'!C6,3)</f>
        <v>0.55200000000000005</v>
      </c>
    </row>
    <row r="38" spans="1:29" ht="15" customHeight="1">
      <c r="A38" s="19">
        <v>17</v>
      </c>
      <c r="B38" s="6">
        <f>'Input Sheet'!C34</f>
        <v>43252</v>
      </c>
      <c r="C38" s="5">
        <f>'Input Sheet'!D34</f>
        <v>140846</v>
      </c>
      <c r="D38" s="5">
        <f t="shared" si="19"/>
        <v>127575.56925304694</v>
      </c>
      <c r="E38" s="5">
        <f t="shared" si="20"/>
        <v>159053.12282242501</v>
      </c>
      <c r="F38" s="5">
        <f>$C$54*(E38-E37)+(1-$C$54)*F37</f>
        <v>-2544.6938254627794</v>
      </c>
      <c r="G38" s="18">
        <f t="shared" si="21"/>
        <v>0.84814962844819586</v>
      </c>
      <c r="H38" s="18">
        <f t="shared" si="15"/>
        <v>13270.430746953061</v>
      </c>
      <c r="I38" s="41">
        <f t="shared" si="22"/>
        <v>-47737.542886993208</v>
      </c>
      <c r="J38" s="41">
        <f t="shared" si="23"/>
        <v>13270.430746953061</v>
      </c>
      <c r="K38" s="41">
        <f t="shared" si="16"/>
        <v>9.4219436455086125E-2</v>
      </c>
      <c r="L38" s="41">
        <f t="shared" si="18"/>
        <v>74278.40438089933</v>
      </c>
      <c r="M38" s="41">
        <f t="shared" si="17"/>
        <v>-3.2134200569384408</v>
      </c>
      <c r="R38" s="7" t="s">
        <v>5</v>
      </c>
      <c r="S38" s="58">
        <f>ROUNDDOWN('Input Sheet'!C7,3)</f>
        <v>0.43</v>
      </c>
    </row>
    <row r="39" spans="1:29" ht="15" customHeight="1">
      <c r="A39" s="19">
        <v>18</v>
      </c>
      <c r="B39" s="6">
        <f>'Input Sheet'!C35</f>
        <v>43282</v>
      </c>
      <c r="C39" s="5">
        <f>'Input Sheet'!D35</f>
        <v>161309</v>
      </c>
      <c r="D39" s="5">
        <f t="shared" si="19"/>
        <v>169339.89018878169</v>
      </c>
      <c r="E39" s="5">
        <f t="shared" si="20"/>
        <v>152411.28503973124</v>
      </c>
      <c r="F39" s="5">
        <f t="shared" ref="F39:F44" si="24">$C$54*(E39-E38)+(1-$C$54)*F38</f>
        <v>-4306.4657270721036</v>
      </c>
      <c r="G39" s="18">
        <f t="shared" si="21"/>
        <v>1.0819857516560243</v>
      </c>
      <c r="H39" s="18">
        <f t="shared" si="15"/>
        <v>-8030.8901887816901</v>
      </c>
      <c r="I39" s="41">
        <f t="shared" si="22"/>
        <v>-55768.433075774898</v>
      </c>
      <c r="J39" s="41">
        <f t="shared" si="23"/>
        <v>8030.8901887816901</v>
      </c>
      <c r="K39" s="41">
        <f t="shared" si="16"/>
        <v>4.9785753980135579E-2</v>
      </c>
      <c r="L39" s="41">
        <f t="shared" si="18"/>
        <v>82309.29456968102</v>
      </c>
      <c r="M39" s="41">
        <f t="shared" si="17"/>
        <v>-4.0652832733413398</v>
      </c>
      <c r="R39" s="7" t="s">
        <v>7</v>
      </c>
      <c r="S39" s="58">
        <f>ROUNDDOWN('Input Sheet'!C8,3)</f>
        <v>0</v>
      </c>
    </row>
    <row r="40" spans="1:29">
      <c r="A40" s="19">
        <v>19</v>
      </c>
      <c r="B40" s="6">
        <f>'Input Sheet'!C36</f>
        <v>43313</v>
      </c>
      <c r="C40" s="5">
        <f>'Input Sheet'!D36</f>
        <v>159995</v>
      </c>
      <c r="D40" s="5">
        <f t="shared" si="19"/>
        <v>168246.16128945691</v>
      </c>
      <c r="E40" s="5">
        <f t="shared" si="20"/>
        <v>144095.43043938026</v>
      </c>
      <c r="F40" s="5">
        <f>$C$54*(E40-E39)+(1-$C$54)*F39</f>
        <v>-6030.5029425820221</v>
      </c>
      <c r="G40" s="18">
        <f t="shared" si="21"/>
        <v>1.1359938324105312</v>
      </c>
      <c r="H40" s="18">
        <f t="shared" si="15"/>
        <v>-8251.1612894569116</v>
      </c>
      <c r="I40" s="41">
        <f t="shared" si="22"/>
        <v>-64019.594365231809</v>
      </c>
      <c r="J40" s="41">
        <f t="shared" si="23"/>
        <v>8251.1612894569116</v>
      </c>
      <c r="K40" s="41">
        <f t="shared" si="16"/>
        <v>5.1571369664407708E-2</v>
      </c>
      <c r="L40" s="41">
        <f t="shared" si="18"/>
        <v>90560.455859137932</v>
      </c>
      <c r="M40" s="41">
        <f t="shared" si="17"/>
        <v>-4.9484861389575672</v>
      </c>
    </row>
    <row r="41" spans="1:29">
      <c r="A41" s="19">
        <v>20</v>
      </c>
      <c r="B41" s="6">
        <f>'Input Sheet'!C37</f>
        <v>43344</v>
      </c>
      <c r="C41" s="5">
        <f>'Input Sheet'!D37</f>
        <v>150111</v>
      </c>
      <c r="D41" s="5">
        <f t="shared" si="19"/>
        <v>114279.94648439052</v>
      </c>
      <c r="E41" s="5">
        <f t="shared" si="20"/>
        <v>161960.20047153765</v>
      </c>
      <c r="F41" s="5">
        <f t="shared" si="24"/>
        <v>4244.4644365559261</v>
      </c>
      <c r="G41" s="18">
        <f t="shared" si="21"/>
        <v>0.82772611811236918</v>
      </c>
      <c r="H41" s="18">
        <f t="shared" si="15"/>
        <v>35831.053515609485</v>
      </c>
      <c r="I41" s="41">
        <f t="shared" si="22"/>
        <v>-28188.540849622324</v>
      </c>
      <c r="J41" s="41">
        <f t="shared" si="23"/>
        <v>35831.053515609485</v>
      </c>
      <c r="K41" s="41">
        <f t="shared" si="16"/>
        <v>0.23869705428389315</v>
      </c>
      <c r="L41" s="41">
        <f t="shared" si="18"/>
        <v>126391.50937474742</v>
      </c>
      <c r="M41" s="41">
        <f t="shared" si="17"/>
        <v>-1.7842047136912693</v>
      </c>
      <c r="N41" s="108"/>
    </row>
    <row r="42" spans="1:29">
      <c r="A42" s="19">
        <v>21</v>
      </c>
      <c r="B42" s="6">
        <f>'Input Sheet'!C38</f>
        <v>43374</v>
      </c>
      <c r="C42" s="5">
        <f>'Input Sheet'!D38</f>
        <v>166387</v>
      </c>
      <c r="D42" s="5">
        <f t="shared" si="19"/>
        <v>166391.04347917828</v>
      </c>
      <c r="E42" s="5">
        <f t="shared" si="20"/>
        <v>166202.43540770409</v>
      </c>
      <c r="F42" s="5">
        <f>$C$54*(E42-E41)+(1-$C$54)*F41</f>
        <v>4243.5057513884467</v>
      </c>
      <c r="G42" s="18">
        <f t="shared" si="21"/>
        <v>1.0011213799034326</v>
      </c>
      <c r="H42" s="18">
        <f t="shared" si="15"/>
        <v>-4.0434791782754473</v>
      </c>
      <c r="I42" s="41">
        <f t="shared" si="22"/>
        <v>-28192.5843288006</v>
      </c>
      <c r="J42" s="41">
        <f t="shared" si="23"/>
        <v>4.0434791782754473</v>
      </c>
      <c r="K42" s="41">
        <f t="shared" si="16"/>
        <v>2.4301653243795774E-5</v>
      </c>
      <c r="L42" s="41">
        <f t="shared" si="18"/>
        <v>126395.55285392569</v>
      </c>
      <c r="M42" s="41">
        <f t="shared" si="17"/>
        <v>-2.0074540063323498</v>
      </c>
      <c r="N42" s="108"/>
    </row>
    <row r="43" spans="1:29">
      <c r="A43" s="19">
        <v>22</v>
      </c>
      <c r="B43" s="6">
        <f>'Input Sheet'!C39</f>
        <v>43405</v>
      </c>
      <c r="C43" s="5">
        <f>'Input Sheet'!D39</f>
        <v>163152</v>
      </c>
      <c r="D43" s="5">
        <f t="shared" si="19"/>
        <v>163902.96934975064</v>
      </c>
      <c r="E43" s="5">
        <f t="shared" si="20"/>
        <v>170014.85792542418</v>
      </c>
      <c r="F43" s="5">
        <f t="shared" si="24"/>
        <v>4058.1399609110522</v>
      </c>
      <c r="G43" s="18">
        <f t="shared" si="21"/>
        <v>0.96161262764693967</v>
      </c>
      <c r="H43" s="18">
        <f t="shared" si="15"/>
        <v>-750.96934975063778</v>
      </c>
      <c r="I43" s="41">
        <f t="shared" si="22"/>
        <v>-28943.553678551238</v>
      </c>
      <c r="J43" s="41">
        <f t="shared" si="23"/>
        <v>750.96934975063778</v>
      </c>
      <c r="K43" s="41">
        <f t="shared" si="16"/>
        <v>4.6028816670996234E-3</v>
      </c>
      <c r="L43" s="41">
        <f t="shared" si="18"/>
        <v>127146.52220367633</v>
      </c>
      <c r="M43" s="41">
        <f t="shared" si="17"/>
        <v>-2.2763936580338777</v>
      </c>
      <c r="N43" s="108"/>
    </row>
    <row r="44" spans="1:29" ht="15.75" thickBot="1">
      <c r="A44" s="19">
        <v>23</v>
      </c>
      <c r="B44" s="6">
        <f>'Input Sheet'!C40</f>
        <v>43435</v>
      </c>
      <c r="C44" s="5">
        <f>'Input Sheet'!D40</f>
        <v>152896</v>
      </c>
      <c r="D44" s="5">
        <f t="shared" si="19"/>
        <v>169797.51438199813</v>
      </c>
      <c r="E44" s="5">
        <f t="shared" si="20"/>
        <v>164508.44269848763</v>
      </c>
      <c r="F44" s="5">
        <f t="shared" si="24"/>
        <v>-54.618769863413945</v>
      </c>
      <c r="G44" s="18">
        <f t="shared" si="21"/>
        <v>0.97543855993605111</v>
      </c>
      <c r="H44" s="18">
        <f t="shared" si="15"/>
        <v>-16901.514381998131</v>
      </c>
      <c r="I44" s="41">
        <f t="shared" si="22"/>
        <v>-45845.068060549369</v>
      </c>
      <c r="J44" s="41">
        <f t="shared" si="23"/>
        <v>16901.514381998131</v>
      </c>
      <c r="K44" s="41">
        <f t="shared" si="16"/>
        <v>0.11054255429833437</v>
      </c>
      <c r="L44" s="41">
        <f t="shared" si="18"/>
        <v>144048.03658567445</v>
      </c>
      <c r="M44" s="41">
        <f t="shared" si="17"/>
        <v>-3.5008859587343739</v>
      </c>
      <c r="N44" s="43" t="s">
        <v>25</v>
      </c>
    </row>
    <row r="45" spans="1:29" ht="15.75" thickTop="1">
      <c r="A45" s="19">
        <v>24</v>
      </c>
      <c r="B45" s="6">
        <f>DATE(YEAR(B44),MONTH(B44)+1,DAY(B44))</f>
        <v>43466</v>
      </c>
      <c r="C45" s="102"/>
      <c r="D45" s="46">
        <f>($E$44+N45*$F$44)*$G$44</f>
        <v>160414.60118891412</v>
      </c>
      <c r="E45" s="102"/>
      <c r="F45" s="102"/>
      <c r="G45" s="104"/>
      <c r="H45" s="102"/>
      <c r="I45" s="100"/>
      <c r="J45" s="100"/>
      <c r="K45" s="100"/>
      <c r="L45" s="100"/>
      <c r="M45" s="100"/>
      <c r="N45" s="42">
        <v>1</v>
      </c>
    </row>
    <row r="46" spans="1:29">
      <c r="A46" s="19">
        <v>25</v>
      </c>
      <c r="B46" s="6">
        <f t="shared" ref="B46:B48" si="25">DATE(YEAR(B45),MONTH(B45)+1,DAY(B45))</f>
        <v>43497</v>
      </c>
      <c r="C46" s="102"/>
      <c r="D46" s="46">
        <f t="shared" ref="D46:D48" si="26">($E$44+N46*$F$44)*$G$44</f>
        <v>160361.32393469306</v>
      </c>
      <c r="E46" s="102"/>
      <c r="F46" s="102"/>
      <c r="G46" s="104"/>
      <c r="H46" s="102"/>
      <c r="I46" s="100"/>
      <c r="J46" s="100"/>
      <c r="K46" s="100"/>
      <c r="L46" s="100"/>
      <c r="M46" s="100"/>
      <c r="N46" s="42">
        <v>2</v>
      </c>
    </row>
    <row r="47" spans="1:29">
      <c r="A47" s="19">
        <v>26</v>
      </c>
      <c r="B47" s="6">
        <f t="shared" si="25"/>
        <v>43525</v>
      </c>
      <c r="C47" s="102"/>
      <c r="D47" s="46">
        <f t="shared" si="26"/>
        <v>160308.04668047201</v>
      </c>
      <c r="E47" s="102"/>
      <c r="F47" s="102"/>
      <c r="G47" s="104"/>
      <c r="H47" s="102"/>
      <c r="I47" s="100"/>
      <c r="J47" s="100"/>
      <c r="K47" s="100"/>
      <c r="L47" s="100"/>
      <c r="M47" s="100"/>
      <c r="N47" s="42">
        <v>3</v>
      </c>
    </row>
    <row r="48" spans="1:29">
      <c r="A48" s="19">
        <v>27</v>
      </c>
      <c r="B48" s="6">
        <f t="shared" si="25"/>
        <v>43556</v>
      </c>
      <c r="C48" s="102"/>
      <c r="D48" s="46">
        <f t="shared" si="26"/>
        <v>160254.76942625095</v>
      </c>
      <c r="E48" s="102"/>
      <c r="F48" s="102"/>
      <c r="G48" s="104"/>
      <c r="H48" s="102"/>
      <c r="I48" s="100"/>
      <c r="J48" s="100"/>
      <c r="K48" s="100"/>
      <c r="L48" s="100"/>
      <c r="M48" s="100"/>
      <c r="N48" s="42">
        <v>4</v>
      </c>
    </row>
    <row r="49" spans="1:18">
      <c r="A49" s="77"/>
      <c r="B49" s="77"/>
      <c r="C49" s="17"/>
      <c r="D49" s="29"/>
      <c r="E49" s="17"/>
      <c r="F49" s="29"/>
      <c r="G49" s="30"/>
      <c r="H49" s="29">
        <f>AVERAGE(H34:H44)</f>
        <v>-4167.7334600499426</v>
      </c>
      <c r="I49" s="31"/>
      <c r="J49" s="31">
        <f>AVERAGE(J34:J44)</f>
        <v>13095.276053243131</v>
      </c>
      <c r="K49" s="31">
        <f>AVERAGE(K34:K44)</f>
        <v>8.200747942792122E-2</v>
      </c>
      <c r="L49" s="31"/>
      <c r="M49" s="31"/>
      <c r="N49" s="16" t="s">
        <v>42</v>
      </c>
      <c r="O49" s="16"/>
      <c r="P49" s="16"/>
      <c r="R49" s="174">
        <v>168959</v>
      </c>
    </row>
    <row r="50" spans="1:18">
      <c r="D50" s="35"/>
      <c r="F50" s="35"/>
      <c r="G50" s="35"/>
      <c r="H50" s="35" t="s">
        <v>40</v>
      </c>
      <c r="J50" s="35" t="s">
        <v>2</v>
      </c>
      <c r="K50" s="35" t="s">
        <v>3</v>
      </c>
      <c r="R50" s="174">
        <v>156632</v>
      </c>
    </row>
    <row r="51" spans="1:18">
      <c r="R51" s="174">
        <v>179324</v>
      </c>
    </row>
    <row r="52" spans="1:18" ht="16.5" thickBot="1">
      <c r="C52" s="28" t="s">
        <v>35</v>
      </c>
      <c r="R52" s="174">
        <v>176783</v>
      </c>
    </row>
    <row r="53" spans="1:18" ht="15.75" thickTop="1">
      <c r="B53" s="7" t="s">
        <v>1</v>
      </c>
      <c r="C53" s="99">
        <f>'Input Sheet'!C6</f>
        <v>0.55200000000000005</v>
      </c>
      <c r="R53" s="174">
        <v>227729</v>
      </c>
    </row>
    <row r="54" spans="1:18">
      <c r="B54" s="7" t="s">
        <v>5</v>
      </c>
      <c r="C54" s="99">
        <f>'Input Sheet'!C7</f>
        <v>0.43</v>
      </c>
      <c r="R54" s="174">
        <v>149252</v>
      </c>
    </row>
    <row r="55" spans="1:18">
      <c r="B55" s="7" t="s">
        <v>7</v>
      </c>
      <c r="C55" s="99">
        <f>'Input Sheet'!C8</f>
        <v>0</v>
      </c>
      <c r="R55" s="174">
        <v>190401</v>
      </c>
    </row>
    <row r="56" spans="1:18">
      <c r="R56" s="174">
        <v>199905</v>
      </c>
    </row>
    <row r="57" spans="1:18" ht="15.75" customHeight="1">
      <c r="A57" s="83" t="s">
        <v>23</v>
      </c>
      <c r="B57" s="83"/>
      <c r="C57" s="83"/>
      <c r="R57" s="174">
        <v>145658</v>
      </c>
    </row>
    <row r="58" spans="1:18" ht="15.75">
      <c r="A58" s="47" t="s">
        <v>24</v>
      </c>
      <c r="B58" s="47"/>
      <c r="R58" s="174">
        <v>176171</v>
      </c>
    </row>
    <row r="59" spans="1:18">
      <c r="R59" s="174">
        <v>169218.5</v>
      </c>
    </row>
    <row r="60" spans="1:18">
      <c r="R60" s="174">
        <v>171651.5</v>
      </c>
    </row>
    <row r="61" spans="1:18">
      <c r="R61" s="209">
        <f>SUM(R49:R60)</f>
        <v>2111684</v>
      </c>
    </row>
  </sheetData>
  <mergeCells count="9">
    <mergeCell ref="P33:Q33"/>
    <mergeCell ref="P1:AB1"/>
    <mergeCell ref="P19:P20"/>
    <mergeCell ref="Q19:Q20"/>
    <mergeCell ref="X19:X20"/>
    <mergeCell ref="Y19:Y20"/>
    <mergeCell ref="Z19:Z20"/>
    <mergeCell ref="AA19:AA20"/>
    <mergeCell ref="AB19:AB20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21</vt:i4>
      </vt:variant>
    </vt:vector>
  </HeadingPairs>
  <TitlesOfParts>
    <vt:vector size="30" baseType="lpstr">
      <vt:lpstr>Summary Sheet</vt:lpstr>
      <vt:lpstr>Input Sheet</vt:lpstr>
      <vt:lpstr>Ordering Plan</vt:lpstr>
      <vt:lpstr>Calculation Sheet</vt:lpstr>
      <vt:lpstr>Naive Approach</vt:lpstr>
      <vt:lpstr>Moving average</vt:lpstr>
      <vt:lpstr>Exponential Smoothing</vt:lpstr>
      <vt:lpstr>Holt Method</vt:lpstr>
      <vt:lpstr>Winter Method</vt:lpstr>
      <vt:lpstr>Exponential_Smoothing_A</vt:lpstr>
      <vt:lpstr>Exponential_Smoothing_Aref</vt:lpstr>
      <vt:lpstr>Exponential_Smoothing_F</vt:lpstr>
      <vt:lpstr>Exponential_Smoothing_FV</vt:lpstr>
      <vt:lpstr>Holt_Method_A</vt:lpstr>
      <vt:lpstr>Holt_Method_Aref</vt:lpstr>
      <vt:lpstr>Holt_Method_F</vt:lpstr>
      <vt:lpstr>Holt_Method_FV</vt:lpstr>
      <vt:lpstr>Months</vt:lpstr>
      <vt:lpstr>Moving_Average_A</vt:lpstr>
      <vt:lpstr>Moving_Average_Aref</vt:lpstr>
      <vt:lpstr>Moving_Average_F</vt:lpstr>
      <vt:lpstr>Moving_Average_FV</vt:lpstr>
      <vt:lpstr>Naive_Approach_A</vt:lpstr>
      <vt:lpstr>Naive_Approach_Aref</vt:lpstr>
      <vt:lpstr>Naive_Approach_F</vt:lpstr>
      <vt:lpstr>Naive_Approach_FV</vt:lpstr>
      <vt:lpstr>Winter_Method_A</vt:lpstr>
      <vt:lpstr>Winter_Method_Aref</vt:lpstr>
      <vt:lpstr>Winter_Method_F</vt:lpstr>
      <vt:lpstr>Winter_Method_FV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2023-07-20T14:46:10Z</dcterms:created>
  <dcterms:modified xsi:type="dcterms:W3CDTF">2023-08-18T07:24:44Z</dcterms:modified>
</cp:coreProperties>
</file>