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24226"/>
  <mc:AlternateContent xmlns:mc="http://schemas.openxmlformats.org/markup-compatibility/2006">
    <mc:Choice Requires="x15">
      <x15ac:absPath xmlns:x15ac="http://schemas.microsoft.com/office/spreadsheetml/2010/11/ac" url="C:\Users\I.Noack\Documents\Studium\Umfrage\Data_Analysis\"/>
    </mc:Choice>
  </mc:AlternateContent>
  <xr:revisionPtr revIDLastSave="0" documentId="13_ncr:1_{162B67EE-455E-4B03-8336-26A320794B87}" xr6:coauthVersionLast="47" xr6:coauthVersionMax="47" xr10:uidLastSave="{00000000-0000-0000-0000-000000000000}"/>
  <bookViews>
    <workbookView xWindow="-90" yWindow="-16320" windowWidth="29040" windowHeight="1584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20" i="7" l="1"/>
  <c r="B3" i="2"/>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B30" i="3" s="1"/>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B12" i="3" s="1"/>
  <c r="K9" i="4"/>
  <c r="C14" i="2"/>
  <c r="D14" i="2" s="1"/>
  <c r="C16" i="3" s="1"/>
  <c r="E16" i="3" s="1"/>
  <c r="B15" i="4"/>
  <c r="B14" i="2"/>
  <c r="B14" i="4"/>
  <c r="B13" i="4"/>
  <c r="B12" i="4"/>
  <c r="C23" i="2"/>
  <c r="D23" i="2" s="1"/>
  <c r="C25" i="3" s="1"/>
  <c r="E25" i="3" s="1"/>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D13" i="2"/>
  <c r="C15" i="3" s="1"/>
  <c r="E15" i="3" s="1"/>
  <c r="D28" i="2"/>
  <c r="C30" i="3" s="1"/>
  <c r="E30"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20" i="3"/>
  <c r="D18" i="2"/>
  <c r="C20" i="3" s="1"/>
  <c r="E20" i="3" s="1"/>
  <c r="B16" i="3"/>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D4" i="11" l="1"/>
  <c r="C4" i="11"/>
  <c r="C5" i="11"/>
  <c r="D5" i="11"/>
  <c r="D8" i="11"/>
  <c r="C8" i="11"/>
  <c r="C7" i="11"/>
  <c r="D7" i="11"/>
  <c r="C6" i="11"/>
  <c r="D6" i="11"/>
  <c r="D3" i="11"/>
  <c r="C3"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<sst xmlns="http://schemas.openxmlformats.org/spreadsheetml/2006/main" count="2565" uniqueCount="2272">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</sst>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Standard"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0.0</c:formatCode>
                <c:ptCount val="26"/>
                <c:pt idx="0">
                  <c:v>2.4375</c:v>
                </c:pt>
                <c:pt idx="1">
                  <c:v>2.1875</c:v>
                </c:pt>
                <c:pt idx="2">
                  <c:v>2.125</c:v>
                </c:pt>
                <c:pt idx="3">
                  <c:v>1.75</c:v>
                </c:pt>
                <c:pt idx="4">
                  <c:v>2.0625</c:v>
                </c:pt>
                <c:pt idx="5">
                  <c:v>2.5625</c:v>
                </c:pt>
                <c:pt idx="6">
                  <c:v>2.625</c:v>
                </c:pt>
                <c:pt idx="7">
                  <c:v>0.5</c:v>
                </c:pt>
                <c:pt idx="8">
                  <c:v>0.25</c:v>
                </c:pt>
                <c:pt idx="9">
                  <c:v>1.9375</c:v>
                </c:pt>
                <c:pt idx="10">
                  <c:v>1.9375</c:v>
                </c:pt>
                <c:pt idx="11">
                  <c:v>2.5625</c:v>
                </c:pt>
                <c:pt idx="12">
                  <c:v>1.375</c:v>
                </c:pt>
                <c:pt idx="13">
                  <c:v>1.9375</c:v>
                </c:pt>
                <c:pt idx="14">
                  <c:v>2.125</c:v>
                </c:pt>
                <c:pt idx="15">
                  <c:v>2.3125</c:v>
                </c:pt>
                <c:pt idx="16">
                  <c:v>1.5</c:v>
                </c:pt>
                <c:pt idx="17">
                  <c:v>2.25</c:v>
                </c:pt>
                <c:pt idx="18">
                  <c:v>1.1875</c:v>
                </c:pt>
                <c:pt idx="19">
                  <c:v>1.6875</c:v>
                </c:pt>
                <c:pt idx="20">
                  <c:v>2.125</c:v>
                </c:pt>
                <c:pt idx="21">
                  <c:v>1.5625</c:v>
                </c:pt>
                <c:pt idx="22">
                  <c:v>2.25</c:v>
                </c:pt>
                <c:pt idx="23">
                  <c:v>2.5</c:v>
                </c:pt>
                <c:pt idx="24">
                  <c:v>2.4375</c:v>
                </c:pt>
                <c:pt idx="25">
                  <c:v>2.5625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0.21957402754607216</c:v>
                  </c:pt>
                  <c:pt idx="1">
                    <c:v>0.37946301800334009</c:v>
                  </c:pt>
                  <c:pt idx="2">
                    <c:v>0.42552175281794874</c:v>
                  </c:pt>
                  <c:pt idx="3">
                    <c:v>0.27888983007640095</c:v>
                  </c:pt>
                  <c:pt idx="4">
                    <c:v>0.3131089751505024</c:v>
                  </c:pt>
                  <c:pt idx="5">
                    <c:v>0.32099708694302831</c:v>
                  </c:pt>
                </c:numCache>
              </c:numRef>
            </c:plus>
            <c:minus>
              <c:numRef>
                <c:f>Confidence_Intervals!$M$5:$M$10</c:f>
                <c:numCache>
                  <c:formatCode>General</c:formatCode>
                  <c:ptCount val="6"/>
                  <c:pt idx="0">
                    <c:v>0.21957402754607216</c:v>
                  </c:pt>
                  <c:pt idx="1">
                    <c:v>0.37946301800334009</c:v>
                  </c:pt>
                  <c:pt idx="2">
                    <c:v>0.42552175281794874</c:v>
                  </c:pt>
                  <c:pt idx="3">
                    <c:v>0.27888983007640095</c:v>
                  </c:pt>
                  <c:pt idx="4">
                    <c:v>0.3131089751505024</c:v>
                  </c:pt>
                  <c:pt idx="5">
                    <c:v>0.32099708694302831</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2.364583333333333</c:v>
                </c:pt>
                <c:pt idx="1">
                  <c:v>1.859375</c:v>
                </c:pt>
                <c:pt idx="2">
                  <c:v>1.4375</c:v>
                </c:pt>
                <c:pt idx="3">
                  <c:v>1.28125</c:v>
                </c:pt>
                <c:pt idx="4">
                  <c:v>2.375</c:v>
                </c:pt>
                <c:pt idx="5">
                  <c:v>2.1875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2.364583333333333</c:v>
                </c:pt>
                <c:pt idx="1">
                  <c:v>1.859375</c:v>
                </c:pt>
                <c:pt idx="2">
                  <c:v>1.4375</c:v>
                </c:pt>
                <c:pt idx="3">
                  <c:v>1.28125</c:v>
                </c:pt>
                <c:pt idx="4">
                  <c:v>2.375</c:v>
                </c:pt>
                <c:pt idx="5">
                  <c:v>2.1875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2.364583333333333</c:v>
                </c:pt>
                <c:pt idx="1">
                  <c:v>1.5260416666666667</c:v>
                </c:pt>
                <c:pt idx="2">
                  <c:v>2.28125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0</c:v>
                </c:pt>
                <c:pt idx="1">
                  <c:v>0</c:v>
                </c:pt>
                <c:pt idx="2">
                  <c:v>0</c:v>
                </c:pt>
                <c:pt idx="3">
                  <c:v>1</c:v>
                </c:pt>
                <c:pt idx="4">
                  <c:v>1</c:v>
                </c:pt>
                <c:pt idx="5">
                  <c:v>0</c:v>
                </c:pt>
                <c:pt idx="6">
                  <c:v>0</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0</c:v>
                </c:pt>
                <c:pt idx="1">
                  <c:v>0</c:v>
                </c:pt>
                <c:pt idx="2">
                  <c:v>0</c:v>
                </c:pt>
                <c:pt idx="3">
                  <c:v>0</c:v>
                </c:pt>
                <c:pt idx="4">
                  <c:v>0</c:v>
                </c:pt>
                <c:pt idx="5">
                  <c:v>0</c:v>
                </c:pt>
                <c:pt idx="6">
                  <c:v>0</c:v>
                </c:pt>
                <c:pt idx="7">
                  <c:v>2</c:v>
                </c:pt>
                <c:pt idx="8">
                  <c:v>2</c:v>
                </c:pt>
                <c:pt idx="9">
                  <c:v>0</c:v>
                </c:pt>
                <c:pt idx="10">
                  <c:v>0</c:v>
                </c:pt>
                <c:pt idx="11">
                  <c:v>0</c:v>
                </c:pt>
                <c:pt idx="12">
                  <c:v>1</c:v>
                </c:pt>
                <c:pt idx="13">
                  <c:v>0</c:v>
                </c:pt>
                <c:pt idx="14">
                  <c:v>0</c:v>
                </c:pt>
                <c:pt idx="15">
                  <c:v>0</c:v>
                </c:pt>
                <c:pt idx="16">
                  <c:v>1</c:v>
                </c:pt>
                <c:pt idx="17">
                  <c:v>0</c:v>
                </c:pt>
                <c:pt idx="18">
                  <c:v>1</c:v>
                </c:pt>
                <c:pt idx="19">
                  <c:v>0</c:v>
                </c:pt>
                <c:pt idx="20">
                  <c:v>0</c:v>
                </c:pt>
                <c:pt idx="21">
                  <c:v>1</c:v>
                </c:pt>
                <c:pt idx="22">
                  <c:v>1</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0</c:v>
                </c:pt>
                <c:pt idx="1">
                  <c:v>0</c:v>
                </c:pt>
                <c:pt idx="2">
                  <c:v>0</c:v>
                </c:pt>
                <c:pt idx="3">
                  <c:v>1</c:v>
                </c:pt>
                <c:pt idx="4">
                  <c:v>0</c:v>
                </c:pt>
                <c:pt idx="5">
                  <c:v>0</c:v>
                </c:pt>
                <c:pt idx="6">
                  <c:v>0</c:v>
                </c:pt>
                <c:pt idx="7">
                  <c:v>3</c:v>
                </c:pt>
                <c:pt idx="8">
                  <c:v>10</c:v>
                </c:pt>
                <c:pt idx="9">
                  <c:v>1</c:v>
                </c:pt>
                <c:pt idx="10">
                  <c:v>2</c:v>
                </c:pt>
                <c:pt idx="11">
                  <c:v>0</c:v>
                </c:pt>
                <c:pt idx="12">
                  <c:v>4</c:v>
                </c:pt>
                <c:pt idx="13">
                  <c:v>1</c:v>
                </c:pt>
                <c:pt idx="14">
                  <c:v>0</c:v>
                </c:pt>
                <c:pt idx="15">
                  <c:v>0</c:v>
                </c:pt>
                <c:pt idx="16">
                  <c:v>3</c:v>
                </c:pt>
                <c:pt idx="17">
                  <c:v>0</c:v>
                </c:pt>
                <c:pt idx="18">
                  <c:v>3</c:v>
                </c:pt>
                <c:pt idx="19">
                  <c:v>3</c:v>
                </c:pt>
                <c:pt idx="20">
                  <c:v>1</c:v>
                </c:pt>
                <c:pt idx="21">
                  <c:v>4</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1</c:v>
                </c:pt>
                <c:pt idx="1">
                  <c:v>4</c:v>
                </c:pt>
                <c:pt idx="2">
                  <c:v>2</c:v>
                </c:pt>
                <c:pt idx="3">
                  <c:v>2</c:v>
                </c:pt>
                <c:pt idx="4">
                  <c:v>1</c:v>
                </c:pt>
                <c:pt idx="5">
                  <c:v>1</c:v>
                </c:pt>
                <c:pt idx="6">
                  <c:v>1</c:v>
                </c:pt>
                <c:pt idx="7">
                  <c:v>4</c:v>
                </c:pt>
                <c:pt idx="8">
                  <c:v>2</c:v>
                </c:pt>
                <c:pt idx="9">
                  <c:v>2</c:v>
                </c:pt>
                <c:pt idx="10">
                  <c:v>2</c:v>
                </c:pt>
                <c:pt idx="11">
                  <c:v>0</c:v>
                </c:pt>
                <c:pt idx="12">
                  <c:v>2</c:v>
                </c:pt>
                <c:pt idx="13">
                  <c:v>3</c:v>
                </c:pt>
                <c:pt idx="14">
                  <c:v>3</c:v>
                </c:pt>
                <c:pt idx="15">
                  <c:v>1</c:v>
                </c:pt>
                <c:pt idx="16">
                  <c:v>1</c:v>
                </c:pt>
                <c:pt idx="17">
                  <c:v>2</c:v>
                </c:pt>
                <c:pt idx="18">
                  <c:v>4</c:v>
                </c:pt>
                <c:pt idx="19">
                  <c:v>3</c:v>
                </c:pt>
                <c:pt idx="20">
                  <c:v>2</c:v>
                </c:pt>
                <c:pt idx="21">
                  <c:v>1</c:v>
                </c:pt>
                <c:pt idx="22">
                  <c:v>0</c:v>
                </c:pt>
                <c:pt idx="23">
                  <c:v>1</c:v>
                </c:pt>
                <c:pt idx="24">
                  <c:v>1</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7</c:v>
                </c:pt>
                <c:pt idx="1">
                  <c:v>5</c:v>
                </c:pt>
                <c:pt idx="2">
                  <c:v>4</c:v>
                </c:pt>
                <c:pt idx="3">
                  <c:v>8</c:v>
                </c:pt>
                <c:pt idx="4">
                  <c:v>8</c:v>
                </c:pt>
                <c:pt idx="5">
                  <c:v>5</c:v>
                </c:pt>
                <c:pt idx="6">
                  <c:v>4</c:v>
                </c:pt>
                <c:pt idx="7">
                  <c:v>5</c:v>
                </c:pt>
                <c:pt idx="8">
                  <c:v>2</c:v>
                </c:pt>
                <c:pt idx="9">
                  <c:v>10</c:v>
                </c:pt>
                <c:pt idx="10">
                  <c:v>7</c:v>
                </c:pt>
                <c:pt idx="11">
                  <c:v>7</c:v>
                </c:pt>
                <c:pt idx="12">
                  <c:v>6</c:v>
                </c:pt>
                <c:pt idx="13">
                  <c:v>8</c:v>
                </c:pt>
                <c:pt idx="14">
                  <c:v>8</c:v>
                </c:pt>
                <c:pt idx="15">
                  <c:v>9</c:v>
                </c:pt>
                <c:pt idx="16">
                  <c:v>9</c:v>
                </c:pt>
                <c:pt idx="17">
                  <c:v>8</c:v>
                </c:pt>
                <c:pt idx="18">
                  <c:v>8</c:v>
                </c:pt>
                <c:pt idx="19">
                  <c:v>6</c:v>
                </c:pt>
                <c:pt idx="20">
                  <c:v>7</c:v>
                </c:pt>
                <c:pt idx="21">
                  <c:v>5</c:v>
                </c:pt>
                <c:pt idx="22">
                  <c:v>8</c:v>
                </c:pt>
                <c:pt idx="23">
                  <c:v>6</c:v>
                </c:pt>
                <c:pt idx="24">
                  <c:v>7</c:v>
                </c:pt>
                <c:pt idx="25">
                  <c:v>7</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8</c:v>
                </c:pt>
                <c:pt idx="1">
                  <c:v>7</c:v>
                </c:pt>
                <c:pt idx="2">
                  <c:v>9</c:v>
                </c:pt>
                <c:pt idx="3">
                  <c:v>4</c:v>
                </c:pt>
                <c:pt idx="4">
                  <c:v>6</c:v>
                </c:pt>
                <c:pt idx="5">
                  <c:v>10</c:v>
                </c:pt>
                <c:pt idx="6">
                  <c:v>11</c:v>
                </c:pt>
                <c:pt idx="7">
                  <c:v>0</c:v>
                </c:pt>
                <c:pt idx="8">
                  <c:v>0</c:v>
                </c:pt>
                <c:pt idx="9">
                  <c:v>3</c:v>
                </c:pt>
                <c:pt idx="10">
                  <c:v>5</c:v>
                </c:pt>
                <c:pt idx="11">
                  <c:v>9</c:v>
                </c:pt>
                <c:pt idx="12">
                  <c:v>3</c:v>
                </c:pt>
                <c:pt idx="13">
                  <c:v>4</c:v>
                </c:pt>
                <c:pt idx="14">
                  <c:v>5</c:v>
                </c:pt>
                <c:pt idx="15">
                  <c:v>6</c:v>
                </c:pt>
                <c:pt idx="16">
                  <c:v>2</c:v>
                </c:pt>
                <c:pt idx="17">
                  <c:v>6</c:v>
                </c:pt>
                <c:pt idx="18">
                  <c:v>0</c:v>
                </c:pt>
                <c:pt idx="19">
                  <c:v>4</c:v>
                </c:pt>
                <c:pt idx="20">
                  <c:v>6</c:v>
                </c:pt>
                <c:pt idx="21">
                  <c:v>5</c:v>
                </c:pt>
                <c:pt idx="22">
                  <c:v>7</c:v>
                </c:pt>
                <c:pt idx="23">
                  <c:v>9</c:v>
                </c:pt>
                <c:pt idx="24">
                  <c:v>8</c:v>
                </c:pt>
                <c:pt idx="25">
                  <c:v>9</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2.364583333333333</c:v>
                </c:pt>
                <c:pt idx="1">
                  <c:v>1.859375</c:v>
                </c:pt>
                <c:pt idx="2">
                  <c:v>1.4375</c:v>
                </c:pt>
                <c:pt idx="3">
                  <c:v>1.28125</c:v>
                </c:pt>
                <c:pt idx="4">
                  <c:v>2.375</c:v>
                </c:pt>
                <c:pt idx="5">
                  <c:v>2.1875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0.21957402754607216</c:v>
                  </c:pt>
                  <c:pt idx="1">
                    <c:v>0.37946301800334009</c:v>
                  </c:pt>
                  <c:pt idx="2">
                    <c:v>0.42552175281794874</c:v>
                  </c:pt>
                  <c:pt idx="3">
                    <c:v>0.27888983007640095</c:v>
                  </c:pt>
                  <c:pt idx="4">
                    <c:v>0.3131089751505024</c:v>
                  </c:pt>
                  <c:pt idx="5">
                    <c:v>0.32099708694302831</c:v>
                  </c:pt>
                </c:numCache>
              </c:numRef>
            </c:plus>
            <c:minus>
              <c:numRef>
                <c:f>Confidence_Intervals!$M$5:$M$10</c:f>
                <c:numCache>
                  <c:formatCode>General</c:formatCode>
                  <c:ptCount val="6"/>
                  <c:pt idx="0">
                    <c:v>0.21957402754607216</c:v>
                  </c:pt>
                  <c:pt idx="1">
                    <c:v>0.37946301800334009</c:v>
                  </c:pt>
                  <c:pt idx="2">
                    <c:v>0.42552175281794874</c:v>
                  </c:pt>
                  <c:pt idx="3">
                    <c:v>0.27888983007640095</c:v>
                  </c:pt>
                  <c:pt idx="4">
                    <c:v>0.3131089751505024</c:v>
                  </c:pt>
                  <c:pt idx="5">
                    <c:v>0.32099708694302831</c:v>
                  </c:pt>
                </c:numCache>
              </c:numRef>
            </c:minus>
            <c:spPr>
              <a:ln w="25400"/>
            </c:spPr>
          </c:errBar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2.364583333333333</c:v>
                </c:pt>
                <c:pt idx="1">
                  <c:v>1.859375</c:v>
                </c:pt>
                <c:pt idx="2">
                  <c:v>1.4375</c:v>
                </c:pt>
                <c:pt idx="3">
                  <c:v>1.28125</c:v>
                </c:pt>
                <c:pt idx="4">
                  <c:v>2.375</c:v>
                </c:pt>
                <c:pt idx="5">
                  <c:v>2.1875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Attraktivität</c:v>
                </c:pt>
                <c:pt idx="1">
                  <c:v>Durchschaubarkeit</c:v>
                </c:pt>
                <c:pt idx="2">
                  <c:v>Effizienz</c:v>
                </c:pt>
                <c:pt idx="3">
                  <c:v>Steuerbarkeit</c:v>
                </c:pt>
                <c:pt idx="4">
                  <c:v>Stimulation</c:v>
                </c:pt>
                <c:pt idx="5">
                  <c:v>Originalität</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847725</xdr:colOff>
      <xdr:row>0</xdr:row>
      <xdr:rowOff>628650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F6" sqref="F6"/>
    </sheetView>
  </sheetViews>
  <sheetFormatPr baseColWidth="10" defaultColWidth="9.109375" defaultRowHeight="14.4"/>
  <cols>
    <col min="1" max="1" width="35.109375" customWidth="1"/>
    <col min="2" max="2" width="22" customWidth="1"/>
    <col min="3" max="3" width="43" customWidth="1"/>
  </cols>
  <sheetData>
    <row r="1" spans="1:3" ht="57" customHeight="1">
      <c r="A1" s="142"/>
      <c r="B1" s="142"/>
      <c r="C1" s="142"/>
    </row>
    <row r="2" spans="1:3" ht="58.8" customHeight="1">
      <c r="A2" s="138" t="s">
        <v>1291</v>
      </c>
      <c r="B2" s="138"/>
      <c r="C2" s="138"/>
    </row>
    <row r="3" spans="1:3" ht="107.25" customHeight="1">
      <c r="A3" s="139" t="s">
        <v>1280</v>
      </c>
      <c r="B3" s="139"/>
      <c r="C3" s="139"/>
    </row>
    <row r="5" spans="1:3" ht="18">
      <c r="A5" s="26" t="s">
        <v>818</v>
      </c>
      <c r="B5" s="51" t="s">
        <v>127</v>
      </c>
    </row>
    <row r="7" spans="1:3" ht="30.75" customHeight="1">
      <c r="A7" s="140" t="s">
        <v>1290</v>
      </c>
      <c r="B7" s="140"/>
      <c r="C7" s="140"/>
    </row>
    <row r="9" spans="1:3" ht="406.2"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A15" sqref="AA15"/>
    </sheetView>
  </sheetViews>
  <sheetFormatPr baseColWidth="10" defaultColWidth="9.109375" defaultRowHeight="14.4"/>
  <cols>
    <col min="1" max="26" width="3.664062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47">
        <v>6</v>
      </c>
      <c r="B4" s="47">
        <v>6</v>
      </c>
      <c r="C4" s="47">
        <v>1</v>
      </c>
      <c r="D4" s="47">
        <v>2</v>
      </c>
      <c r="E4" s="47">
        <v>2</v>
      </c>
      <c r="F4" s="47">
        <v>7</v>
      </c>
      <c r="G4" s="47">
        <v>7</v>
      </c>
      <c r="H4" s="47">
        <v>3</v>
      </c>
      <c r="I4" s="47">
        <v>3</v>
      </c>
      <c r="J4" s="47">
        <v>2</v>
      </c>
      <c r="K4" s="47">
        <v>6</v>
      </c>
      <c r="L4" s="47">
        <v>1</v>
      </c>
      <c r="M4" s="47">
        <v>6</v>
      </c>
      <c r="N4" s="47">
        <v>6</v>
      </c>
      <c r="O4" s="47">
        <v>6</v>
      </c>
      <c r="P4" s="47">
        <v>7</v>
      </c>
      <c r="Q4" s="47">
        <v>2</v>
      </c>
      <c r="R4" s="47">
        <v>2</v>
      </c>
      <c r="S4" s="47">
        <v>2</v>
      </c>
      <c r="T4" s="47">
        <v>6</v>
      </c>
      <c r="U4" s="47">
        <v>2</v>
      </c>
      <c r="V4" s="47">
        <v>6</v>
      </c>
      <c r="W4" s="47">
        <v>1</v>
      </c>
      <c r="X4" s="47">
        <v>1</v>
      </c>
      <c r="Y4" s="47">
        <v>2</v>
      </c>
      <c r="Z4" s="47">
        <v>7</v>
      </c>
    </row>
    <row r="5" spans="1:27">
      <c r="A5" s="47">
        <v>5</v>
      </c>
      <c r="B5" s="47">
        <v>5</v>
      </c>
      <c r="C5" s="47">
        <v>2</v>
      </c>
      <c r="D5" s="47">
        <v>4</v>
      </c>
      <c r="E5" s="47">
        <v>2</v>
      </c>
      <c r="F5" s="47">
        <v>5</v>
      </c>
      <c r="G5" s="47">
        <v>6</v>
      </c>
      <c r="H5" s="47">
        <v>6</v>
      </c>
      <c r="I5" s="47">
        <v>5</v>
      </c>
      <c r="J5" s="47">
        <v>2</v>
      </c>
      <c r="K5" s="47">
        <v>5</v>
      </c>
      <c r="L5" s="47">
        <v>2</v>
      </c>
      <c r="M5" s="47">
        <v>7</v>
      </c>
      <c r="N5" s="47">
        <v>4</v>
      </c>
      <c r="O5" s="47">
        <v>6</v>
      </c>
      <c r="P5" s="47">
        <v>7</v>
      </c>
      <c r="Q5" s="47">
        <v>2</v>
      </c>
      <c r="R5" s="47">
        <v>3</v>
      </c>
      <c r="S5" s="47">
        <v>2</v>
      </c>
      <c r="T5" s="47">
        <v>4</v>
      </c>
      <c r="U5" s="47">
        <v>1</v>
      </c>
      <c r="V5" s="47">
        <v>4</v>
      </c>
      <c r="W5" s="47">
        <v>5</v>
      </c>
      <c r="X5" s="47">
        <v>2</v>
      </c>
      <c r="Y5" s="47">
        <v>2</v>
      </c>
      <c r="Z5" s="47">
        <v>6</v>
      </c>
    </row>
    <row r="6" spans="1:27">
      <c r="A6" s="47">
        <v>7</v>
      </c>
      <c r="B6" s="47">
        <v>5</v>
      </c>
      <c r="C6" s="47">
        <v>7</v>
      </c>
      <c r="D6" s="47">
        <v>6</v>
      </c>
      <c r="E6" s="47">
        <v>6</v>
      </c>
      <c r="F6" s="47">
        <v>6</v>
      </c>
      <c r="G6" s="47">
        <v>5</v>
      </c>
      <c r="H6" s="47">
        <v>5</v>
      </c>
      <c r="I6" s="47">
        <v>5</v>
      </c>
      <c r="J6" s="47">
        <v>2</v>
      </c>
      <c r="K6" s="47">
        <v>5</v>
      </c>
      <c r="L6" s="47">
        <v>1</v>
      </c>
      <c r="M6" s="47">
        <v>4</v>
      </c>
      <c r="N6" s="47">
        <v>6</v>
      </c>
      <c r="O6" s="47">
        <v>5</v>
      </c>
      <c r="P6" s="47">
        <v>6</v>
      </c>
      <c r="Q6" s="47">
        <v>2</v>
      </c>
      <c r="R6" s="47">
        <v>2</v>
      </c>
      <c r="S6" s="47">
        <v>3</v>
      </c>
      <c r="T6" s="47">
        <v>5</v>
      </c>
      <c r="U6" s="47">
        <v>3</v>
      </c>
      <c r="V6" s="47">
        <v>6</v>
      </c>
      <c r="W6" s="47">
        <v>2</v>
      </c>
      <c r="X6" s="47">
        <v>2</v>
      </c>
      <c r="Y6" s="47">
        <v>2</v>
      </c>
      <c r="Z6" s="47">
        <v>6</v>
      </c>
    </row>
    <row r="7" spans="1:27">
      <c r="A7" s="47">
        <v>7</v>
      </c>
      <c r="B7" s="47">
        <v>7</v>
      </c>
      <c r="C7" s="47">
        <v>1</v>
      </c>
      <c r="D7" s="47">
        <v>3</v>
      </c>
      <c r="E7" s="47">
        <v>1</v>
      </c>
      <c r="F7" s="47">
        <v>7</v>
      </c>
      <c r="G7" s="47">
        <v>7</v>
      </c>
      <c r="H7" s="47">
        <v>5</v>
      </c>
      <c r="I7" s="47">
        <v>4</v>
      </c>
      <c r="J7" s="47">
        <v>3</v>
      </c>
      <c r="K7" s="47">
        <v>7</v>
      </c>
      <c r="L7" s="47">
        <v>1</v>
      </c>
      <c r="M7" s="47">
        <v>6</v>
      </c>
      <c r="N7" s="47">
        <v>7</v>
      </c>
      <c r="O7" s="47">
        <v>7</v>
      </c>
      <c r="P7" s="47">
        <v>7</v>
      </c>
      <c r="Q7" s="47">
        <v>4</v>
      </c>
      <c r="R7" s="47">
        <v>1</v>
      </c>
      <c r="S7" s="47">
        <v>2</v>
      </c>
      <c r="T7" s="47">
        <v>7</v>
      </c>
      <c r="U7" s="47">
        <v>1</v>
      </c>
      <c r="V7" s="47">
        <v>7</v>
      </c>
      <c r="W7" s="47">
        <v>1</v>
      </c>
      <c r="X7" s="47">
        <v>1</v>
      </c>
      <c r="Y7" s="47">
        <v>1</v>
      </c>
      <c r="Z7" s="47">
        <v>7</v>
      </c>
    </row>
    <row r="8" spans="1:27">
      <c r="A8" s="47">
        <v>7</v>
      </c>
      <c r="B8" s="47">
        <v>5</v>
      </c>
      <c r="C8" s="47">
        <v>1</v>
      </c>
      <c r="D8" s="47">
        <v>2</v>
      </c>
      <c r="E8" s="47">
        <v>1</v>
      </c>
      <c r="F8" s="47">
        <v>7</v>
      </c>
      <c r="G8" s="47">
        <v>7</v>
      </c>
      <c r="H8" s="47">
        <v>6</v>
      </c>
      <c r="I8" s="47">
        <v>4</v>
      </c>
      <c r="J8" s="47">
        <v>1</v>
      </c>
      <c r="K8" s="47">
        <v>7</v>
      </c>
      <c r="L8" s="47">
        <v>1</v>
      </c>
      <c r="M8" s="47">
        <v>6</v>
      </c>
      <c r="N8" s="47">
        <v>7</v>
      </c>
      <c r="O8" s="47">
        <v>7</v>
      </c>
      <c r="P8" s="47">
        <v>7</v>
      </c>
      <c r="Q8" s="47">
        <v>1</v>
      </c>
      <c r="R8" s="47">
        <v>1</v>
      </c>
      <c r="S8" s="47">
        <v>2</v>
      </c>
      <c r="T8" s="47">
        <v>6</v>
      </c>
      <c r="U8" s="47">
        <v>2</v>
      </c>
      <c r="V8" s="47">
        <v>7</v>
      </c>
      <c r="W8" s="47">
        <v>1</v>
      </c>
      <c r="X8" s="47">
        <v>1</v>
      </c>
      <c r="Y8" s="47">
        <v>1</v>
      </c>
      <c r="Z8" s="47">
        <v>7</v>
      </c>
    </row>
    <row r="9" spans="1:27">
      <c r="A9" s="47">
        <v>6</v>
      </c>
      <c r="B9" s="47">
        <v>6</v>
      </c>
      <c r="C9" s="47">
        <v>1</v>
      </c>
      <c r="D9" s="47">
        <v>2</v>
      </c>
      <c r="E9" s="47">
        <v>2</v>
      </c>
      <c r="F9" s="47">
        <v>6</v>
      </c>
      <c r="G9" s="47">
        <v>7</v>
      </c>
      <c r="H9" s="47">
        <v>4</v>
      </c>
      <c r="I9" s="47">
        <v>2</v>
      </c>
      <c r="J9" s="47">
        <v>2</v>
      </c>
      <c r="K9" s="47">
        <v>7</v>
      </c>
      <c r="L9" s="47">
        <v>1</v>
      </c>
      <c r="M9" s="47">
        <v>6</v>
      </c>
      <c r="N9" s="47">
        <v>6</v>
      </c>
      <c r="O9" s="47">
        <v>6</v>
      </c>
      <c r="P9" s="47">
        <v>6</v>
      </c>
      <c r="Q9" s="47">
        <v>5</v>
      </c>
      <c r="R9" s="47">
        <v>2</v>
      </c>
      <c r="S9" s="47">
        <v>2</v>
      </c>
      <c r="T9" s="47">
        <v>7</v>
      </c>
      <c r="U9" s="47">
        <v>1</v>
      </c>
      <c r="V9" s="47">
        <v>7</v>
      </c>
      <c r="W9" s="47">
        <v>2</v>
      </c>
      <c r="X9" s="47">
        <v>2</v>
      </c>
      <c r="Y9" s="47">
        <v>2</v>
      </c>
      <c r="Z9" s="47">
        <v>6</v>
      </c>
    </row>
    <row r="10" spans="1:27">
      <c r="A10" s="47">
        <v>6</v>
      </c>
      <c r="B10" s="47">
        <v>6</v>
      </c>
      <c r="C10" s="47">
        <v>2</v>
      </c>
      <c r="D10" s="47">
        <v>2</v>
      </c>
      <c r="E10" s="47">
        <v>1</v>
      </c>
      <c r="F10" s="47">
        <v>7</v>
      </c>
      <c r="G10" s="47">
        <v>7</v>
      </c>
      <c r="H10" s="47">
        <v>4</v>
      </c>
      <c r="I10" s="47">
        <v>4</v>
      </c>
      <c r="J10" s="47">
        <v>2</v>
      </c>
      <c r="K10" s="47">
        <v>6</v>
      </c>
      <c r="L10" s="47">
        <v>2</v>
      </c>
      <c r="M10" s="47">
        <v>3</v>
      </c>
      <c r="N10" s="47">
        <v>6</v>
      </c>
      <c r="O10" s="47">
        <v>6</v>
      </c>
      <c r="P10" s="47">
        <v>6</v>
      </c>
      <c r="Q10" s="47">
        <v>2</v>
      </c>
      <c r="R10" s="47">
        <v>2</v>
      </c>
      <c r="S10" s="47">
        <v>4</v>
      </c>
      <c r="T10" s="47">
        <v>5</v>
      </c>
      <c r="U10" s="47">
        <v>2</v>
      </c>
      <c r="V10" s="47">
        <v>4</v>
      </c>
      <c r="W10" s="47">
        <v>2</v>
      </c>
      <c r="X10" s="47">
        <v>2</v>
      </c>
      <c r="Y10" s="47">
        <v>2</v>
      </c>
      <c r="Z10" s="47">
        <v>6</v>
      </c>
    </row>
    <row r="11" spans="1:27">
      <c r="A11" s="47">
        <v>6</v>
      </c>
      <c r="B11" s="47">
        <v>7</v>
      </c>
      <c r="C11" s="47">
        <v>2</v>
      </c>
      <c r="D11" s="47">
        <v>2</v>
      </c>
      <c r="E11" s="47">
        <v>2</v>
      </c>
      <c r="F11" s="47">
        <v>7</v>
      </c>
      <c r="G11" s="47">
        <v>7</v>
      </c>
      <c r="H11" s="47">
        <v>2</v>
      </c>
      <c r="I11" s="47">
        <v>3</v>
      </c>
      <c r="J11" s="47">
        <v>2</v>
      </c>
      <c r="K11" s="47">
        <v>6</v>
      </c>
      <c r="L11" s="47">
        <v>2</v>
      </c>
      <c r="M11" s="47">
        <v>4</v>
      </c>
      <c r="N11" s="47">
        <v>5</v>
      </c>
      <c r="O11" s="47">
        <v>6</v>
      </c>
      <c r="P11" s="47">
        <v>6</v>
      </c>
      <c r="Q11" s="47">
        <v>3</v>
      </c>
      <c r="R11" s="47">
        <v>2</v>
      </c>
      <c r="S11" s="47">
        <v>3</v>
      </c>
      <c r="T11" s="47">
        <v>6</v>
      </c>
      <c r="U11" s="47">
        <v>4</v>
      </c>
      <c r="V11" s="47">
        <v>4</v>
      </c>
      <c r="W11" s="47">
        <v>2</v>
      </c>
      <c r="X11" s="47">
        <v>1</v>
      </c>
      <c r="Y11" s="47">
        <v>1</v>
      </c>
      <c r="Z11" s="47">
        <v>7</v>
      </c>
    </row>
    <row r="12" spans="1:27">
      <c r="A12" s="47">
        <v>7</v>
      </c>
      <c r="B12" s="47">
        <v>7</v>
      </c>
      <c r="C12" s="47">
        <v>1</v>
      </c>
      <c r="D12" s="47">
        <v>2</v>
      </c>
      <c r="E12" s="47">
        <v>2</v>
      </c>
      <c r="F12" s="47">
        <v>6</v>
      </c>
      <c r="G12" s="47">
        <v>6</v>
      </c>
      <c r="H12" s="47">
        <v>5</v>
      </c>
      <c r="I12" s="47">
        <v>2</v>
      </c>
      <c r="J12" s="47">
        <v>3</v>
      </c>
      <c r="K12" s="47">
        <v>6</v>
      </c>
      <c r="L12" s="47">
        <v>2</v>
      </c>
      <c r="M12" s="47">
        <v>7</v>
      </c>
      <c r="N12" s="47">
        <v>6</v>
      </c>
      <c r="O12" s="47">
        <v>7</v>
      </c>
      <c r="P12" s="47">
        <v>6</v>
      </c>
      <c r="Q12" s="47">
        <v>2</v>
      </c>
      <c r="R12" s="47">
        <v>1</v>
      </c>
      <c r="S12" s="47">
        <v>3</v>
      </c>
      <c r="T12" s="47">
        <v>6</v>
      </c>
      <c r="U12" s="47">
        <v>1</v>
      </c>
      <c r="V12" s="47">
        <v>6</v>
      </c>
      <c r="W12" s="47">
        <v>1</v>
      </c>
      <c r="X12" s="47">
        <v>2</v>
      </c>
      <c r="Y12" s="47">
        <v>1</v>
      </c>
      <c r="Z12" s="47">
        <v>7</v>
      </c>
    </row>
    <row r="13" spans="1:27">
      <c r="A13" s="47">
        <v>6</v>
      </c>
      <c r="B13" s="47">
        <v>7</v>
      </c>
      <c r="C13" s="47">
        <v>2</v>
      </c>
      <c r="D13" s="47">
        <v>1</v>
      </c>
      <c r="E13" s="47">
        <v>2</v>
      </c>
      <c r="F13" s="47">
        <v>6</v>
      </c>
      <c r="G13" s="47">
        <v>6</v>
      </c>
      <c r="H13" s="47">
        <v>6</v>
      </c>
      <c r="I13" s="47">
        <v>4</v>
      </c>
      <c r="J13" s="47">
        <v>2</v>
      </c>
      <c r="K13" s="47">
        <v>6</v>
      </c>
      <c r="L13" s="47">
        <v>1</v>
      </c>
      <c r="M13" s="47">
        <v>5</v>
      </c>
      <c r="N13" s="47">
        <v>5</v>
      </c>
      <c r="O13" s="47">
        <v>6</v>
      </c>
      <c r="P13" s="47">
        <v>6</v>
      </c>
      <c r="Q13" s="47">
        <v>2</v>
      </c>
      <c r="R13" s="47">
        <v>2</v>
      </c>
      <c r="S13" s="47">
        <v>4</v>
      </c>
      <c r="T13" s="47">
        <v>4</v>
      </c>
      <c r="U13" s="47">
        <v>2</v>
      </c>
      <c r="V13" s="47">
        <v>4</v>
      </c>
      <c r="W13" s="47">
        <v>2</v>
      </c>
      <c r="X13" s="47">
        <v>3</v>
      </c>
      <c r="Y13" s="47">
        <v>2</v>
      </c>
      <c r="Z13" s="47">
        <v>6</v>
      </c>
    </row>
    <row r="14" spans="1:27">
      <c r="A14" s="47">
        <v>7</v>
      </c>
      <c r="B14" s="47">
        <v>7</v>
      </c>
      <c r="C14" s="47">
        <v>1</v>
      </c>
      <c r="D14" s="47">
        <v>1</v>
      </c>
      <c r="E14" s="47">
        <v>2</v>
      </c>
      <c r="F14" s="47">
        <v>7</v>
      </c>
      <c r="G14" s="47">
        <v>7</v>
      </c>
      <c r="H14" s="47">
        <v>2</v>
      </c>
      <c r="I14" s="47">
        <v>4</v>
      </c>
      <c r="J14" s="47">
        <v>2</v>
      </c>
      <c r="K14" s="47">
        <v>6</v>
      </c>
      <c r="L14" s="47">
        <v>2</v>
      </c>
      <c r="M14" s="47">
        <v>6</v>
      </c>
      <c r="N14" s="47">
        <v>7</v>
      </c>
      <c r="O14" s="47">
        <v>6</v>
      </c>
      <c r="P14" s="47">
        <v>6</v>
      </c>
      <c r="Q14" s="47">
        <v>2</v>
      </c>
      <c r="R14" s="47">
        <v>2</v>
      </c>
      <c r="S14" s="47">
        <v>2</v>
      </c>
      <c r="T14" s="47">
        <v>6</v>
      </c>
      <c r="U14" s="47">
        <v>2</v>
      </c>
      <c r="V14" s="47">
        <v>6</v>
      </c>
      <c r="W14" s="47">
        <v>2</v>
      </c>
      <c r="X14" s="47">
        <v>1</v>
      </c>
      <c r="Y14" s="47">
        <v>1</v>
      </c>
      <c r="Z14" s="47">
        <v>7</v>
      </c>
    </row>
    <row r="15" spans="1:27">
      <c r="A15" s="47">
        <v>6</v>
      </c>
      <c r="B15" s="47">
        <v>6</v>
      </c>
      <c r="C15" s="47">
        <v>1</v>
      </c>
      <c r="D15" s="47">
        <v>2</v>
      </c>
      <c r="E15" s="47">
        <v>1</v>
      </c>
      <c r="F15" s="47">
        <v>7</v>
      </c>
      <c r="G15" s="47">
        <v>7</v>
      </c>
      <c r="H15" s="47">
        <v>3</v>
      </c>
      <c r="I15" s="47">
        <v>4</v>
      </c>
      <c r="J15" s="47">
        <v>1</v>
      </c>
      <c r="K15" s="47">
        <v>6</v>
      </c>
      <c r="L15" s="47">
        <v>1</v>
      </c>
      <c r="M15" s="47">
        <v>4</v>
      </c>
      <c r="N15" s="47">
        <v>6</v>
      </c>
      <c r="O15" s="47">
        <v>7</v>
      </c>
      <c r="P15" s="47">
        <v>6</v>
      </c>
      <c r="Q15" s="47">
        <v>2</v>
      </c>
      <c r="R15" s="47">
        <v>1</v>
      </c>
      <c r="S15" s="47">
        <v>3</v>
      </c>
      <c r="T15" s="47">
        <v>6</v>
      </c>
      <c r="U15" s="47">
        <v>2</v>
      </c>
      <c r="V15" s="47">
        <v>7</v>
      </c>
      <c r="W15" s="47">
        <v>1</v>
      </c>
      <c r="X15" s="47">
        <v>1</v>
      </c>
      <c r="Y15" s="47">
        <v>2</v>
      </c>
      <c r="Z15" s="47">
        <v>7</v>
      </c>
    </row>
    <row r="16" spans="1:27">
      <c r="A16" s="47">
        <v>7</v>
      </c>
      <c r="B16" s="47">
        <v>6</v>
      </c>
      <c r="C16" s="47">
        <v>1</v>
      </c>
      <c r="D16" s="47">
        <v>1</v>
      </c>
      <c r="E16" s="47">
        <v>1</v>
      </c>
      <c r="F16" s="47">
        <v>7</v>
      </c>
      <c r="G16" s="47">
        <v>7</v>
      </c>
      <c r="H16" s="47">
        <v>6</v>
      </c>
      <c r="I16" s="47">
        <v>4</v>
      </c>
      <c r="J16" s="47">
        <v>2</v>
      </c>
      <c r="K16" s="47">
        <v>7</v>
      </c>
      <c r="L16" s="47">
        <v>1</v>
      </c>
      <c r="M16" s="47">
        <v>6</v>
      </c>
      <c r="N16" s="47">
        <v>7</v>
      </c>
      <c r="O16" s="47">
        <v>7</v>
      </c>
      <c r="P16" s="47">
        <v>7</v>
      </c>
      <c r="Q16" s="47">
        <v>2</v>
      </c>
      <c r="R16" s="47">
        <v>1</v>
      </c>
      <c r="S16" s="47">
        <v>4</v>
      </c>
      <c r="T16" s="47">
        <v>7</v>
      </c>
      <c r="U16" s="47">
        <v>1</v>
      </c>
      <c r="V16" s="47">
        <v>7</v>
      </c>
      <c r="W16" s="47">
        <v>1</v>
      </c>
      <c r="X16" s="47">
        <v>1</v>
      </c>
      <c r="Y16" s="47">
        <v>1</v>
      </c>
      <c r="Z16" s="47">
        <v>7</v>
      </c>
    </row>
    <row r="17" spans="1:26">
      <c r="A17" s="47">
        <v>7</v>
      </c>
      <c r="B17" s="47">
        <v>7</v>
      </c>
      <c r="C17" s="47">
        <v>3</v>
      </c>
      <c r="D17" s="47">
        <v>1</v>
      </c>
      <c r="E17" s="47">
        <v>1</v>
      </c>
      <c r="F17" s="47">
        <v>7</v>
      </c>
      <c r="G17" s="47">
        <v>7</v>
      </c>
      <c r="H17" s="47">
        <v>4</v>
      </c>
      <c r="I17" s="47">
        <v>4</v>
      </c>
      <c r="J17" s="47">
        <v>1</v>
      </c>
      <c r="K17" s="47">
        <v>7</v>
      </c>
      <c r="L17" s="47">
        <v>1</v>
      </c>
      <c r="M17" s="47">
        <v>7</v>
      </c>
      <c r="N17" s="47">
        <v>6</v>
      </c>
      <c r="O17" s="47">
        <v>6</v>
      </c>
      <c r="P17" s="47">
        <v>7</v>
      </c>
      <c r="Q17" s="47">
        <v>1</v>
      </c>
      <c r="R17" s="47">
        <v>1</v>
      </c>
      <c r="S17" s="47">
        <v>2</v>
      </c>
      <c r="T17" s="47">
        <v>7</v>
      </c>
      <c r="U17" s="47">
        <v>1</v>
      </c>
      <c r="V17" s="47">
        <v>6</v>
      </c>
      <c r="W17" s="47">
        <v>1</v>
      </c>
      <c r="X17" s="47">
        <v>1</v>
      </c>
      <c r="Y17" s="47">
        <v>1</v>
      </c>
      <c r="Z17" s="47">
        <v>7</v>
      </c>
    </row>
    <row r="18" spans="1:26">
      <c r="A18" s="47">
        <v>6</v>
      </c>
      <c r="B18" s="47">
        <v>5</v>
      </c>
      <c r="C18" s="47">
        <v>3</v>
      </c>
      <c r="D18" s="47">
        <v>3</v>
      </c>
      <c r="E18" s="47">
        <v>2</v>
      </c>
      <c r="F18" s="47">
        <v>6</v>
      </c>
      <c r="G18" s="47">
        <v>6</v>
      </c>
      <c r="H18" s="47">
        <v>6</v>
      </c>
      <c r="I18" s="47">
        <v>4</v>
      </c>
      <c r="J18" s="47">
        <v>4</v>
      </c>
      <c r="K18" s="47">
        <v>4</v>
      </c>
      <c r="L18" s="47">
        <v>2</v>
      </c>
      <c r="M18" s="47">
        <v>4</v>
      </c>
      <c r="N18" s="47">
        <v>5</v>
      </c>
      <c r="O18" s="47">
        <v>5</v>
      </c>
      <c r="P18" s="47">
        <v>6</v>
      </c>
      <c r="Q18" s="47">
        <v>4</v>
      </c>
      <c r="R18" s="47">
        <v>3</v>
      </c>
      <c r="S18" s="47">
        <v>5</v>
      </c>
      <c r="T18" s="47">
        <v>4</v>
      </c>
      <c r="U18" s="47">
        <v>3</v>
      </c>
      <c r="V18" s="47">
        <v>3</v>
      </c>
      <c r="W18" s="47">
        <v>2</v>
      </c>
      <c r="X18" s="47">
        <v>2</v>
      </c>
      <c r="Y18" s="47">
        <v>3</v>
      </c>
      <c r="Z18" s="47">
        <v>6</v>
      </c>
    </row>
    <row r="19" spans="1:26">
      <c r="A19" s="47">
        <v>7</v>
      </c>
      <c r="B19" s="47">
        <v>7</v>
      </c>
      <c r="C19" s="47">
        <v>1</v>
      </c>
      <c r="D19" s="47">
        <v>2</v>
      </c>
      <c r="E19" s="47">
        <v>3</v>
      </c>
      <c r="F19" s="47">
        <v>7</v>
      </c>
      <c r="G19" s="47">
        <v>7</v>
      </c>
      <c r="H19" s="47">
        <v>5</v>
      </c>
      <c r="I19" s="47">
        <v>4</v>
      </c>
      <c r="J19" s="47">
        <v>2</v>
      </c>
      <c r="K19" s="47">
        <v>4</v>
      </c>
      <c r="L19" s="47">
        <v>2</v>
      </c>
      <c r="M19" s="47">
        <v>5</v>
      </c>
      <c r="N19" s="47">
        <v>6</v>
      </c>
      <c r="O19" s="47">
        <v>5</v>
      </c>
      <c r="P19" s="47">
        <v>5</v>
      </c>
      <c r="Q19" s="47">
        <v>4</v>
      </c>
      <c r="R19" s="47">
        <v>2</v>
      </c>
      <c r="S19" s="47">
        <v>2</v>
      </c>
      <c r="T19" s="47">
        <v>5</v>
      </c>
      <c r="U19" s="47">
        <v>2</v>
      </c>
      <c r="V19" s="47">
        <v>5</v>
      </c>
      <c r="W19" s="47">
        <v>2</v>
      </c>
      <c r="X19" s="47">
        <v>1</v>
      </c>
      <c r="Y19" s="47">
        <v>1</v>
      </c>
      <c r="Z19" s="47">
        <v>6</v>
      </c>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opLeftCell="G1" workbookViewId="0">
      <selection activeCell="G1004" sqref="G1004"/>
    </sheetView>
  </sheetViews>
  <sheetFormatPr baseColWidth="10" defaultColWidth="9.109375" defaultRowHeight="14.4"/>
  <cols>
    <col min="1" max="26" width="3.6640625" style="1" customWidth="1"/>
    <col min="27" max="28" width="4.44140625" customWidth="1"/>
    <col min="29" max="34" width="13.77734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Attraktivität</v>
      </c>
      <c r="AD3" s="98" t="str">
        <f>VLOOKUP(Read_First!B5,Items!A1:BI50,55,FALSE)</f>
        <v>Durchschaubarkeit</v>
      </c>
      <c r="AE3" s="99" t="str">
        <f>VLOOKUP(Read_First!B5,Items!A1:BI50,56,FALSE)</f>
        <v>Effizienz</v>
      </c>
      <c r="AF3" s="98" t="str">
        <f>VLOOKUP(Read_First!B5,Items!A1:BI50,57,FALSE)</f>
        <v>Steuerbarkeit</v>
      </c>
      <c r="AG3" s="99" t="str">
        <f>VLOOKUP(Read_First!B5,Items!A1:BI50,58,FALSE)</f>
        <v>Stimulation</v>
      </c>
      <c r="AH3" s="100" t="str">
        <f>VLOOKUP(Read_First!B5,Items!A1:BI50,59,FALSE)</f>
        <v>Originalität</v>
      </c>
    </row>
    <row r="4" spans="1:34">
      <c r="A4" s="54">
        <f>IF(Data!A4&gt;0,Data!A4-4,"")</f>
        <v>2</v>
      </c>
      <c r="B4" s="54">
        <f>IF(Data!B4&gt;0,Data!B4-4,"")</f>
        <v>2</v>
      </c>
      <c r="C4" s="54">
        <f>IF(Data!C4&gt;0,4-Data!C4,"")</f>
        <v>3</v>
      </c>
      <c r="D4" s="54">
        <f>IF(Data!D4&gt;0,4-Data!D4,"")</f>
        <v>2</v>
      </c>
      <c r="E4" s="54">
        <f>IF(Data!E4&gt;0,4-Data!E4,"")</f>
        <v>2</v>
      </c>
      <c r="F4" s="54">
        <f>IF(Data!F4&gt;0,Data!F4-4,"")</f>
        <v>3</v>
      </c>
      <c r="G4" s="54">
        <f>IF(Data!G4&gt;0,Data!G4-4,"")</f>
        <v>3</v>
      </c>
      <c r="H4" s="54">
        <f>IF(Data!H4&gt;0,Data!H4-4,"")</f>
        <v>-1</v>
      </c>
      <c r="I4" s="54">
        <f>IF(Data!I4&gt;0,4-Data!I4,"")</f>
        <v>1</v>
      </c>
      <c r="J4" s="54">
        <f>IF(Data!J4&gt;0,4-Data!J4,"")</f>
        <v>2</v>
      </c>
      <c r="K4" s="54">
        <f>IF(Data!K4&gt;0,Data!K4-4,"")</f>
        <v>2</v>
      </c>
      <c r="L4" s="54">
        <f>IF(Data!L4&gt;0,4-Data!L4,"")</f>
        <v>3</v>
      </c>
      <c r="M4" s="54">
        <f>IF(Data!M4&gt;0,Data!M4-4,"")</f>
        <v>2</v>
      </c>
      <c r="N4" s="54">
        <f>IF(Data!N4&gt;0,Data!N4-4,"")</f>
        <v>2</v>
      </c>
      <c r="O4" s="54">
        <f>IF(Data!O4&gt;0,Data!O4-4,"")</f>
        <v>2</v>
      </c>
      <c r="P4" s="54">
        <f>IF(Data!P4&gt;0,Data!P4-4,"")</f>
        <v>3</v>
      </c>
      <c r="Q4" s="54">
        <f>IF(Data!Q4&gt;0,4-Data!Q4,"")</f>
        <v>2</v>
      </c>
      <c r="R4" s="54">
        <f>IF(Data!R4&gt;0,4-Data!R4,"")</f>
        <v>2</v>
      </c>
      <c r="S4" s="54">
        <f>IF(Data!S4&gt;0,4-Data!S4,"")</f>
        <v>2</v>
      </c>
      <c r="T4" s="54">
        <f>IF(Data!T4&gt;0,Data!T4-4,"")</f>
        <v>2</v>
      </c>
      <c r="U4" s="54">
        <f>IF(Data!U4&gt;0,4-Data!U4,"")</f>
        <v>2</v>
      </c>
      <c r="V4" s="54">
        <f>IF(Data!V4&gt;0,Data!V4-4,"")</f>
        <v>2</v>
      </c>
      <c r="W4" s="54">
        <f>IF(Data!W4&gt;0,4-Data!W4,"")</f>
        <v>3</v>
      </c>
      <c r="X4" s="54">
        <f>IF(Data!X4&gt;0,4-Data!X4,"")</f>
        <v>3</v>
      </c>
      <c r="Y4" s="54">
        <f>IF(Data!Y4&gt;0,4-Data!Y4,"")</f>
        <v>2</v>
      </c>
      <c r="Z4" s="54">
        <f>IF(Data!Z4&gt;0,Data!Z4-4,"")</f>
        <v>3</v>
      </c>
      <c r="AC4" s="55">
        <f t="shared" ref="AC4:AC68" si="0">IF(COUNT(A4,L4,N4,P4,X4,Y4)&gt;0,AVERAGE(A4,L4,N4,P4,X4,Y4),"")</f>
        <v>2.5</v>
      </c>
      <c r="AD4" s="55">
        <f>IF(COUNT(B4,D4,M4,U4)&gt;0,AVERAGE(B4,D4,M4,U4),"")</f>
        <v>2</v>
      </c>
      <c r="AE4" s="55">
        <f>IF(COUNT(I4,T4,V4,W4)&gt;0,AVERAGE(I4,T4,V4,W4),"")</f>
        <v>2</v>
      </c>
      <c r="AF4" s="55">
        <f>IF(COUNT(H4,K4,Q4,S4)&gt;0,AVERAGE(H4,K4,Q4,S4),"")</f>
        <v>1.25</v>
      </c>
      <c r="AG4" s="55">
        <f>IF(COUNT(E4,F4,G4,R4)&gt;0,AVERAGE(E4,F4,G4,R4),"")</f>
        <v>2.5</v>
      </c>
      <c r="AH4" s="55">
        <f>IF(COUNT(C4,J4,O4,Z4)&gt;0,AVERAGE(C4,J4,O4,Z4),"")</f>
        <v>2.5</v>
      </c>
    </row>
    <row r="5" spans="1:34">
      <c r="A5" s="1">
        <f>IF(Data!A5&gt;0,Data!A5-4,"")</f>
        <v>1</v>
      </c>
      <c r="B5" s="1">
        <f>IF(Data!B5&gt;0,Data!B5-4,"")</f>
        <v>1</v>
      </c>
      <c r="C5" s="1">
        <f>IF(Data!C5&gt;0,4-Data!C5,"")</f>
        <v>2</v>
      </c>
      <c r="D5" s="1">
        <f>IF(Data!D5&gt;0,4-Data!D5,"")</f>
        <v>0</v>
      </c>
      <c r="E5" s="1">
        <f>IF(Data!E5&gt;0,4-Data!E5,"")</f>
        <v>2</v>
      </c>
      <c r="F5" s="1">
        <f>IF(Data!F5&gt;0,Data!F5-4,"")</f>
        <v>1</v>
      </c>
      <c r="G5" s="1">
        <f>IF(Data!G5&gt;0,Data!G5-4,"")</f>
        <v>2</v>
      </c>
      <c r="H5" s="1">
        <f>IF(Data!H5&gt;0,Data!H5-4,"")</f>
        <v>2</v>
      </c>
      <c r="I5" s="1">
        <f>IF(Data!I5&gt;0,4-Data!I5,"")</f>
        <v>-1</v>
      </c>
      <c r="J5" s="1">
        <f>IF(Data!J5&gt;0,4-Data!J5,"")</f>
        <v>2</v>
      </c>
      <c r="K5" s="1">
        <f>IF(Data!K5&gt;0,Data!K5-4,"")</f>
        <v>1</v>
      </c>
      <c r="L5" s="1">
        <f>IF(Data!L5&gt;0,4-Data!L5,"")</f>
        <v>2</v>
      </c>
      <c r="M5" s="1">
        <f>IF(Data!M5&gt;0,Data!M5-4,"")</f>
        <v>3</v>
      </c>
      <c r="N5" s="1">
        <f>IF(Data!N5&gt;0,Data!N5-4,"")</f>
        <v>0</v>
      </c>
      <c r="O5" s="1">
        <f>IF(Data!O5&gt;0,Data!O5-4,"")</f>
        <v>2</v>
      </c>
      <c r="P5" s="1">
        <f>IF(Data!P5&gt;0,Data!P5-4,"")</f>
        <v>3</v>
      </c>
      <c r="Q5" s="1">
        <f>IF(Data!Q5&gt;0,4-Data!Q5,"")</f>
        <v>2</v>
      </c>
      <c r="R5" s="1">
        <f>IF(Data!R5&gt;0,4-Data!R5,"")</f>
        <v>1</v>
      </c>
      <c r="S5" s="1">
        <f>IF(Data!S5&gt;0,4-Data!S5,"")</f>
        <v>2</v>
      </c>
      <c r="T5" s="1">
        <f>IF(Data!T5&gt;0,Data!T5-4,"")</f>
        <v>0</v>
      </c>
      <c r="U5" s="1">
        <f>IF(Data!U5&gt;0,4-Data!U5,"")</f>
        <v>3</v>
      </c>
      <c r="V5" s="1">
        <f>IF(Data!V5&gt;0,Data!V5-4,"")</f>
        <v>0</v>
      </c>
      <c r="W5" s="1">
        <f>IF(Data!W5&gt;0,4-Data!W5,"")</f>
        <v>-1</v>
      </c>
      <c r="X5" s="1">
        <f>IF(Data!X5&gt;0,4-Data!X5,"")</f>
        <v>2</v>
      </c>
      <c r="Y5" s="1">
        <f>IF(Data!Y5&gt;0,4-Data!Y5,"")</f>
        <v>2</v>
      </c>
      <c r="Z5" s="1">
        <f>IF(Data!Z5&gt;0,Data!Z5-4,"")</f>
        <v>2</v>
      </c>
      <c r="AC5" s="6">
        <f t="shared" si="0"/>
        <v>1.6666666666666667</v>
      </c>
      <c r="AD5" s="6">
        <f t="shared" ref="AD5:AD68" si="1">IF(COUNT(B5,D5,M5,U5)&gt;0,AVERAGE(B5,D5,M5,U5),"")</f>
        <v>1.75</v>
      </c>
      <c r="AE5" s="6">
        <f t="shared" ref="AE5:AE68" si="2">IF(COUNT(I5,T5,V5,W5)&gt;0,AVERAGE(I5,T5,V5,W5),"")</f>
        <v>-0.5</v>
      </c>
      <c r="AF5" s="6">
        <f t="shared" ref="AF5:AF68" si="3">IF(COUNT(H5,K5,Q5,S5)&gt;0,AVERAGE(H5,K5,Q5,S5),"")</f>
        <v>1.75</v>
      </c>
      <c r="AG5" s="6">
        <f t="shared" ref="AG5:AG68" si="4">IF(COUNT(E5,F5,G5,R5)&gt;0,AVERAGE(E5,F5,G5,R5),"")</f>
        <v>1.5</v>
      </c>
      <c r="AH5" s="6">
        <f t="shared" ref="AH5:AH68" si="5">IF(COUNT(C5,J5,O5,Z5)&gt;0,AVERAGE(C5,J5,O5,Z5),"")</f>
        <v>2</v>
      </c>
    </row>
    <row r="6" spans="1:34">
      <c r="A6" s="1">
        <f>IF(Data!A6&gt;0,Data!A6-4,"")</f>
        <v>3</v>
      </c>
      <c r="B6" s="1">
        <f>IF(Data!B6&gt;0,Data!B6-4,"")</f>
        <v>1</v>
      </c>
      <c r="C6" s="1">
        <f>IF(Data!C6&gt;0,4-Data!C6,"")</f>
        <v>-3</v>
      </c>
      <c r="D6" s="1">
        <f>IF(Data!D6&gt;0,4-Data!D6,"")</f>
        <v>-2</v>
      </c>
      <c r="E6" s="1">
        <f>IF(Data!E6&gt;0,4-Data!E6,"")</f>
        <v>-2</v>
      </c>
      <c r="F6" s="1">
        <f>IF(Data!F6&gt;0,Data!F6-4,"")</f>
        <v>2</v>
      </c>
      <c r="G6" s="1">
        <f>IF(Data!G6&gt;0,Data!G6-4,"")</f>
        <v>1</v>
      </c>
      <c r="H6" s="1">
        <f>IF(Data!H6&gt;0,Data!H6-4,"")</f>
        <v>1</v>
      </c>
      <c r="I6" s="1">
        <f>IF(Data!I6&gt;0,4-Data!I6,"")</f>
        <v>-1</v>
      </c>
      <c r="J6" s="1">
        <f>IF(Data!J6&gt;0,4-Data!J6,"")</f>
        <v>2</v>
      </c>
      <c r="K6" s="1">
        <f>IF(Data!K6&gt;0,Data!K6-4,"")</f>
        <v>1</v>
      </c>
      <c r="L6" s="1">
        <f>IF(Data!L6&gt;0,4-Data!L6,"")</f>
        <v>3</v>
      </c>
      <c r="M6" s="1">
        <f>IF(Data!M6&gt;0,Data!M6-4,"")</f>
        <v>0</v>
      </c>
      <c r="N6" s="1">
        <f>IF(Data!N6&gt;0,Data!N6-4,"")</f>
        <v>2</v>
      </c>
      <c r="O6" s="1">
        <f>IF(Data!O6&gt;0,Data!O6-4,"")</f>
        <v>1</v>
      </c>
      <c r="P6" s="1">
        <f>IF(Data!P6&gt;0,Data!P6-4,"")</f>
        <v>2</v>
      </c>
      <c r="Q6" s="1">
        <f>IF(Data!Q6&gt;0,4-Data!Q6,"")</f>
        <v>2</v>
      </c>
      <c r="R6" s="1">
        <f>IF(Data!R6&gt;0,4-Data!R6,"")</f>
        <v>2</v>
      </c>
      <c r="S6" s="1">
        <f>IF(Data!S6&gt;0,4-Data!S6,"")</f>
        <v>1</v>
      </c>
      <c r="T6" s="1">
        <f>IF(Data!T6&gt;0,Data!T6-4,"")</f>
        <v>1</v>
      </c>
      <c r="U6" s="1">
        <f>IF(Data!U6&gt;0,4-Data!U6,"")</f>
        <v>1</v>
      </c>
      <c r="V6" s="1">
        <f>IF(Data!V6&gt;0,Data!V6-4,"")</f>
        <v>2</v>
      </c>
      <c r="W6" s="1">
        <f>IF(Data!W6&gt;0,4-Data!W6,"")</f>
        <v>2</v>
      </c>
      <c r="X6" s="1">
        <f>IF(Data!X6&gt;0,4-Data!X6,"")</f>
        <v>2</v>
      </c>
      <c r="Y6" s="1">
        <f>IF(Data!Y6&gt;0,4-Data!Y6,"")</f>
        <v>2</v>
      </c>
      <c r="Z6" s="1">
        <f>IF(Data!Z6&gt;0,Data!Z6-4,"")</f>
        <v>2</v>
      </c>
      <c r="AC6" s="6">
        <f t="shared" si="0"/>
        <v>2.3333333333333335</v>
      </c>
      <c r="AD6" s="6">
        <f t="shared" si="1"/>
        <v>0</v>
      </c>
      <c r="AE6" s="6">
        <f t="shared" si="2"/>
        <v>1</v>
      </c>
      <c r="AF6" s="6">
        <f t="shared" si="3"/>
        <v>1.25</v>
      </c>
      <c r="AG6" s="6">
        <f t="shared" si="4"/>
        <v>0.75</v>
      </c>
      <c r="AH6" s="6">
        <f t="shared" si="5"/>
        <v>0.5</v>
      </c>
    </row>
    <row r="7" spans="1:34">
      <c r="A7" s="1">
        <f>IF(Data!A7&gt;0,Data!A7-4,"")</f>
        <v>3</v>
      </c>
      <c r="B7" s="1">
        <f>IF(Data!B7&gt;0,Data!B7-4,"")</f>
        <v>3</v>
      </c>
      <c r="C7" s="1">
        <f>IF(Data!C7&gt;0,4-Data!C7,"")</f>
        <v>3</v>
      </c>
      <c r="D7" s="1">
        <f>IF(Data!D7&gt;0,4-Data!D7,"")</f>
        <v>1</v>
      </c>
      <c r="E7" s="1">
        <f>IF(Data!E7&gt;0,4-Data!E7,"")</f>
        <v>3</v>
      </c>
      <c r="F7" s="1">
        <f>IF(Data!F7&gt;0,Data!F7-4,"")</f>
        <v>3</v>
      </c>
      <c r="G7" s="1">
        <f>IF(Data!G7&gt;0,Data!G7-4,"")</f>
        <v>3</v>
      </c>
      <c r="H7" s="1">
        <f>IF(Data!H7&gt;0,Data!H7-4,"")</f>
        <v>1</v>
      </c>
      <c r="I7" s="1">
        <f>IF(Data!I7&gt;0,4-Data!I7,"")</f>
        <v>0</v>
      </c>
      <c r="J7" s="1">
        <f>IF(Data!J7&gt;0,4-Data!J7,"")</f>
        <v>1</v>
      </c>
      <c r="K7" s="1">
        <f>IF(Data!K7&gt;0,Data!K7-4,"")</f>
        <v>3</v>
      </c>
      <c r="L7" s="1">
        <f>IF(Data!L7&gt;0,4-Data!L7,"")</f>
        <v>3</v>
      </c>
      <c r="M7" s="1">
        <f>IF(Data!M7&gt;0,Data!M7-4,"")</f>
        <v>2</v>
      </c>
      <c r="N7" s="1">
        <f>IF(Data!N7&gt;0,Data!N7-4,"")</f>
        <v>3</v>
      </c>
      <c r="O7" s="1">
        <f>IF(Data!O7&gt;0,Data!O7-4,"")</f>
        <v>3</v>
      </c>
      <c r="P7" s="1">
        <f>IF(Data!P7&gt;0,Data!P7-4,"")</f>
        <v>3</v>
      </c>
      <c r="Q7" s="1">
        <f>IF(Data!Q7&gt;0,4-Data!Q7,"")</f>
        <v>0</v>
      </c>
      <c r="R7" s="1">
        <f>IF(Data!R7&gt;0,4-Data!R7,"")</f>
        <v>3</v>
      </c>
      <c r="S7" s="1">
        <f>IF(Data!S7&gt;0,4-Data!S7,"")</f>
        <v>2</v>
      </c>
      <c r="T7" s="1">
        <f>IF(Data!T7&gt;0,Data!T7-4,"")</f>
        <v>3</v>
      </c>
      <c r="U7" s="1">
        <f>IF(Data!U7&gt;0,4-Data!U7,"")</f>
        <v>3</v>
      </c>
      <c r="V7" s="1">
        <f>IF(Data!V7&gt;0,Data!V7-4,"")</f>
        <v>3</v>
      </c>
      <c r="W7" s="1">
        <f>IF(Data!W7&gt;0,4-Data!W7,"")</f>
        <v>3</v>
      </c>
      <c r="X7" s="1">
        <f>IF(Data!X7&gt;0,4-Data!X7,"")</f>
        <v>3</v>
      </c>
      <c r="Y7" s="1">
        <f>IF(Data!Y7&gt;0,4-Data!Y7,"")</f>
        <v>3</v>
      </c>
      <c r="Z7" s="1">
        <f>IF(Data!Z7&gt;0,Data!Z7-4,"")</f>
        <v>3</v>
      </c>
      <c r="AC7" s="6">
        <f t="shared" si="0"/>
        <v>3</v>
      </c>
      <c r="AD7" s="6">
        <f t="shared" si="1"/>
        <v>2.25</v>
      </c>
      <c r="AE7" s="6">
        <f t="shared" si="2"/>
        <v>2.25</v>
      </c>
      <c r="AF7" s="6">
        <f t="shared" si="3"/>
        <v>1.5</v>
      </c>
      <c r="AG7" s="6">
        <f t="shared" si="4"/>
        <v>3</v>
      </c>
      <c r="AH7" s="6">
        <f t="shared" si="5"/>
        <v>2.5</v>
      </c>
    </row>
    <row r="8" spans="1:34">
      <c r="A8" s="1">
        <f>IF(Data!A8&gt;0,Data!A8-4,"")</f>
        <v>3</v>
      </c>
      <c r="B8" s="1">
        <f>IF(Data!B8&gt;0,Data!B8-4,"")</f>
        <v>1</v>
      </c>
      <c r="C8" s="1">
        <f>IF(Data!C8&gt;0,4-Data!C8,"")</f>
        <v>3</v>
      </c>
      <c r="D8" s="1">
        <f>IF(Data!D8&gt;0,4-Data!D8,"")</f>
        <v>2</v>
      </c>
      <c r="E8" s="1">
        <f>IF(Data!E8&gt;0,4-Data!E8,"")</f>
        <v>3</v>
      </c>
      <c r="F8" s="1">
        <f>IF(Data!F8&gt;0,Data!F8-4,"")</f>
        <v>3</v>
      </c>
      <c r="G8" s="1">
        <f>IF(Data!G8&gt;0,Data!G8-4,"")</f>
        <v>3</v>
      </c>
      <c r="H8" s="1">
        <f>IF(Data!H8&gt;0,Data!H8-4,"")</f>
        <v>2</v>
      </c>
      <c r="I8" s="1">
        <f>IF(Data!I8&gt;0,4-Data!I8,"")</f>
        <v>0</v>
      </c>
      <c r="J8" s="1">
        <f>IF(Data!J8&gt;0,4-Data!J8,"")</f>
        <v>3</v>
      </c>
      <c r="K8" s="1">
        <f>IF(Data!K8&gt;0,Data!K8-4,"")</f>
        <v>3</v>
      </c>
      <c r="L8" s="1">
        <f>IF(Data!L8&gt;0,4-Data!L8,"")</f>
        <v>3</v>
      </c>
      <c r="M8" s="1">
        <f>IF(Data!M8&gt;0,Data!M8-4,"")</f>
        <v>2</v>
      </c>
      <c r="N8" s="1">
        <f>IF(Data!N8&gt;0,Data!N8-4,"")</f>
        <v>3</v>
      </c>
      <c r="O8" s="1">
        <f>IF(Data!O8&gt;0,Data!O8-4,"")</f>
        <v>3</v>
      </c>
      <c r="P8" s="1">
        <f>IF(Data!P8&gt;0,Data!P8-4,"")</f>
        <v>3</v>
      </c>
      <c r="Q8" s="1">
        <f>IF(Data!Q8&gt;0,4-Data!Q8,"")</f>
        <v>3</v>
      </c>
      <c r="R8" s="1">
        <f>IF(Data!R8&gt;0,4-Data!R8,"")</f>
        <v>3</v>
      </c>
      <c r="S8" s="1">
        <f>IF(Data!S8&gt;0,4-Data!S8,"")</f>
        <v>2</v>
      </c>
      <c r="T8" s="1">
        <f>IF(Data!T8&gt;0,Data!T8-4,"")</f>
        <v>2</v>
      </c>
      <c r="U8" s="1">
        <f>IF(Data!U8&gt;0,4-Data!U8,"")</f>
        <v>2</v>
      </c>
      <c r="V8" s="1">
        <f>IF(Data!V8&gt;0,Data!V8-4,"")</f>
        <v>3</v>
      </c>
      <c r="W8" s="1">
        <f>IF(Data!W8&gt;0,4-Data!W8,"")</f>
        <v>3</v>
      </c>
      <c r="X8" s="1">
        <f>IF(Data!X8&gt;0,4-Data!X8,"")</f>
        <v>3</v>
      </c>
      <c r="Y8" s="1">
        <f>IF(Data!Y8&gt;0,4-Data!Y8,"")</f>
        <v>3</v>
      </c>
      <c r="Z8" s="1">
        <f>IF(Data!Z8&gt;0,Data!Z8-4,"")</f>
        <v>3</v>
      </c>
      <c r="AC8" s="6">
        <f t="shared" si="0"/>
        <v>3</v>
      </c>
      <c r="AD8" s="6">
        <f t="shared" si="1"/>
        <v>1.75</v>
      </c>
      <c r="AE8" s="6">
        <f t="shared" si="2"/>
        <v>2</v>
      </c>
      <c r="AF8" s="6">
        <f t="shared" si="3"/>
        <v>2.5</v>
      </c>
      <c r="AG8" s="6">
        <f t="shared" si="4"/>
        <v>3</v>
      </c>
      <c r="AH8" s="6">
        <f t="shared" si="5"/>
        <v>3</v>
      </c>
    </row>
    <row r="9" spans="1:34">
      <c r="A9" s="1">
        <f>IF(Data!A9&gt;0,Data!A9-4,"")</f>
        <v>2</v>
      </c>
      <c r="B9" s="1">
        <f>IF(Data!B9&gt;0,Data!B9-4,"")</f>
        <v>2</v>
      </c>
      <c r="C9" s="1">
        <f>IF(Data!C9&gt;0,4-Data!C9,"")</f>
        <v>3</v>
      </c>
      <c r="D9" s="1">
        <f>IF(Data!D9&gt;0,4-Data!D9,"")</f>
        <v>2</v>
      </c>
      <c r="E9" s="1">
        <f>IF(Data!E9&gt;0,4-Data!E9,"")</f>
        <v>2</v>
      </c>
      <c r="F9" s="1">
        <f>IF(Data!F9&gt;0,Data!F9-4,"")</f>
        <v>2</v>
      </c>
      <c r="G9" s="1">
        <f>IF(Data!G9&gt;0,Data!G9-4,"")</f>
        <v>3</v>
      </c>
      <c r="H9" s="1">
        <f>IF(Data!H9&gt;0,Data!H9-4,"")</f>
        <v>0</v>
      </c>
      <c r="I9" s="1">
        <f>IF(Data!I9&gt;0,4-Data!I9,"")</f>
        <v>2</v>
      </c>
      <c r="J9" s="1">
        <f>IF(Data!J9&gt;0,4-Data!J9,"")</f>
        <v>2</v>
      </c>
      <c r="K9" s="1">
        <f>IF(Data!K9&gt;0,Data!K9-4,"")</f>
        <v>3</v>
      </c>
      <c r="L9" s="1">
        <f>IF(Data!L9&gt;0,4-Data!L9,"")</f>
        <v>3</v>
      </c>
      <c r="M9" s="1">
        <f>IF(Data!M9&gt;0,Data!M9-4,"")</f>
        <v>2</v>
      </c>
      <c r="N9" s="1">
        <f>IF(Data!N9&gt;0,Data!N9-4,"")</f>
        <v>2</v>
      </c>
      <c r="O9" s="1">
        <f>IF(Data!O9&gt;0,Data!O9-4,"")</f>
        <v>2</v>
      </c>
      <c r="P9" s="1">
        <f>IF(Data!P9&gt;0,Data!P9-4,"")</f>
        <v>2</v>
      </c>
      <c r="Q9" s="1">
        <f>IF(Data!Q9&gt;0,4-Data!Q9,"")</f>
        <v>-1</v>
      </c>
      <c r="R9" s="1">
        <f>IF(Data!R9&gt;0,4-Data!R9,"")</f>
        <v>2</v>
      </c>
      <c r="S9" s="1">
        <f>IF(Data!S9&gt;0,4-Data!S9,"")</f>
        <v>2</v>
      </c>
      <c r="T9" s="1">
        <f>IF(Data!T9&gt;0,Data!T9-4,"")</f>
        <v>3</v>
      </c>
      <c r="U9" s="1">
        <f>IF(Data!U9&gt;0,4-Data!U9,"")</f>
        <v>3</v>
      </c>
      <c r="V9" s="1">
        <f>IF(Data!V9&gt;0,Data!V9-4,"")</f>
        <v>3</v>
      </c>
      <c r="W9" s="1">
        <f>IF(Data!W9&gt;0,4-Data!W9,"")</f>
        <v>2</v>
      </c>
      <c r="X9" s="1">
        <f>IF(Data!X9&gt;0,4-Data!X9,"")</f>
        <v>2</v>
      </c>
      <c r="Y9" s="1">
        <f>IF(Data!Y9&gt;0,4-Data!Y9,"")</f>
        <v>2</v>
      </c>
      <c r="Z9" s="1">
        <f>IF(Data!Z9&gt;0,Data!Z9-4,"")</f>
        <v>2</v>
      </c>
      <c r="AC9" s="6">
        <f t="shared" si="0"/>
        <v>2.1666666666666665</v>
      </c>
      <c r="AD9" s="6">
        <f t="shared" si="1"/>
        <v>2.25</v>
      </c>
      <c r="AE9" s="6">
        <f t="shared" si="2"/>
        <v>2.5</v>
      </c>
      <c r="AF9" s="6">
        <f t="shared" si="3"/>
        <v>1</v>
      </c>
      <c r="AG9" s="6">
        <f t="shared" si="4"/>
        <v>2.25</v>
      </c>
      <c r="AH9" s="6">
        <f t="shared" si="5"/>
        <v>2.25</v>
      </c>
    </row>
    <row r="10" spans="1:34">
      <c r="A10" s="1">
        <f>IF(Data!A10&gt;0,Data!A10-4,"")</f>
        <v>2</v>
      </c>
      <c r="B10" s="1">
        <f>IF(Data!B10&gt;0,Data!B10-4,"")</f>
        <v>2</v>
      </c>
      <c r="C10" s="1">
        <f>IF(Data!C10&gt;0,4-Data!C10,"")</f>
        <v>2</v>
      </c>
      <c r="D10" s="1">
        <f>IF(Data!D10&gt;0,4-Data!D10,"")</f>
        <v>2</v>
      </c>
      <c r="E10" s="1">
        <f>IF(Data!E10&gt;0,4-Data!E10,"")</f>
        <v>3</v>
      </c>
      <c r="F10" s="1">
        <f>IF(Data!F10&gt;0,Data!F10-4,"")</f>
        <v>3</v>
      </c>
      <c r="G10" s="1">
        <f>IF(Data!G10&gt;0,Data!G10-4,"")</f>
        <v>3</v>
      </c>
      <c r="H10" s="1">
        <f>IF(Data!H10&gt;0,Data!H10-4,"")</f>
        <v>0</v>
      </c>
      <c r="I10" s="1">
        <f>IF(Data!I10&gt;0,4-Data!I10,"")</f>
        <v>0</v>
      </c>
      <c r="J10" s="1">
        <f>IF(Data!J10&gt;0,4-Data!J10,"")</f>
        <v>2</v>
      </c>
      <c r="K10" s="1">
        <f>IF(Data!K10&gt;0,Data!K10-4,"")</f>
        <v>2</v>
      </c>
      <c r="L10" s="1">
        <f>IF(Data!L10&gt;0,4-Data!L10,"")</f>
        <v>2</v>
      </c>
      <c r="M10" s="1">
        <f>IF(Data!M10&gt;0,Data!M10-4,"")</f>
        <v>-1</v>
      </c>
      <c r="N10" s="1">
        <f>IF(Data!N10&gt;0,Data!N10-4,"")</f>
        <v>2</v>
      </c>
      <c r="O10" s="1">
        <f>IF(Data!O10&gt;0,Data!O10-4,"")</f>
        <v>2</v>
      </c>
      <c r="P10" s="1">
        <f>IF(Data!P10&gt;0,Data!P10-4,"")</f>
        <v>2</v>
      </c>
      <c r="Q10" s="1">
        <f>IF(Data!Q10&gt;0,4-Data!Q10,"")</f>
        <v>2</v>
      </c>
      <c r="R10" s="1">
        <f>IF(Data!R10&gt;0,4-Data!R10,"")</f>
        <v>2</v>
      </c>
      <c r="S10" s="1">
        <f>IF(Data!S10&gt;0,4-Data!S10,"")</f>
        <v>0</v>
      </c>
      <c r="T10" s="1">
        <f>IF(Data!T10&gt;0,Data!T10-4,"")</f>
        <v>1</v>
      </c>
      <c r="U10" s="1">
        <f>IF(Data!U10&gt;0,4-Data!U10,"")</f>
        <v>2</v>
      </c>
      <c r="V10" s="1">
        <f>IF(Data!V10&gt;0,Data!V10-4,"")</f>
        <v>0</v>
      </c>
      <c r="W10" s="1">
        <f>IF(Data!W10&gt;0,4-Data!W10,"")</f>
        <v>2</v>
      </c>
      <c r="X10" s="1">
        <f>IF(Data!X10&gt;0,4-Data!X10,"")</f>
        <v>2</v>
      </c>
      <c r="Y10" s="1">
        <f>IF(Data!Y10&gt;0,4-Data!Y10,"")</f>
        <v>2</v>
      </c>
      <c r="Z10" s="1">
        <f>IF(Data!Z10&gt;0,Data!Z10-4,"")</f>
        <v>2</v>
      </c>
      <c r="AC10" s="6">
        <f t="shared" si="0"/>
        <v>2</v>
      </c>
      <c r="AD10" s="6">
        <f t="shared" si="1"/>
        <v>1.25</v>
      </c>
      <c r="AE10" s="6">
        <f t="shared" si="2"/>
        <v>0.75</v>
      </c>
      <c r="AF10" s="6">
        <f t="shared" si="3"/>
        <v>1</v>
      </c>
      <c r="AG10" s="6">
        <f t="shared" si="4"/>
        <v>2.75</v>
      </c>
      <c r="AH10" s="6">
        <f t="shared" si="5"/>
        <v>2</v>
      </c>
    </row>
    <row r="11" spans="1:34">
      <c r="A11" s="1">
        <f>IF(Data!A11&gt;0,Data!A11-4,"")</f>
        <v>2</v>
      </c>
      <c r="B11" s="1">
        <f>IF(Data!B11&gt;0,Data!B11-4,"")</f>
        <v>3</v>
      </c>
      <c r="C11" s="1">
        <f>IF(Data!C11&gt;0,4-Data!C11,"")</f>
        <v>2</v>
      </c>
      <c r="D11" s="1">
        <f>IF(Data!D11&gt;0,4-Data!D11,"")</f>
        <v>2</v>
      </c>
      <c r="E11" s="1">
        <f>IF(Data!E11&gt;0,4-Data!E11,"")</f>
        <v>2</v>
      </c>
      <c r="F11" s="1">
        <f>IF(Data!F11&gt;0,Data!F11-4,"")</f>
        <v>3</v>
      </c>
      <c r="G11" s="1">
        <f>IF(Data!G11&gt;0,Data!G11-4,"")</f>
        <v>3</v>
      </c>
      <c r="H11" s="1">
        <f>IF(Data!H11&gt;0,Data!H11-4,"")</f>
        <v>-2</v>
      </c>
      <c r="I11" s="1">
        <f>IF(Data!I11&gt;0,4-Data!I11,"")</f>
        <v>1</v>
      </c>
      <c r="J11" s="1">
        <f>IF(Data!J11&gt;0,4-Data!J11,"")</f>
        <v>2</v>
      </c>
      <c r="K11" s="1">
        <f>IF(Data!K11&gt;0,Data!K11-4,"")</f>
        <v>2</v>
      </c>
      <c r="L11" s="1">
        <f>IF(Data!L11&gt;0,4-Data!L11,"")</f>
        <v>2</v>
      </c>
      <c r="M11" s="1">
        <f>IF(Data!M11&gt;0,Data!M11-4,"")</f>
        <v>0</v>
      </c>
      <c r="N11" s="1">
        <f>IF(Data!N11&gt;0,Data!N11-4,"")</f>
        <v>1</v>
      </c>
      <c r="O11" s="1">
        <f>IF(Data!O11&gt;0,Data!O11-4,"")</f>
        <v>2</v>
      </c>
      <c r="P11" s="1">
        <f>IF(Data!P11&gt;0,Data!P11-4,"")</f>
        <v>2</v>
      </c>
      <c r="Q11" s="1">
        <f>IF(Data!Q11&gt;0,4-Data!Q11,"")</f>
        <v>1</v>
      </c>
      <c r="R11" s="1">
        <f>IF(Data!R11&gt;0,4-Data!R11,"")</f>
        <v>2</v>
      </c>
      <c r="S11" s="1">
        <f>IF(Data!S11&gt;0,4-Data!S11,"")</f>
        <v>1</v>
      </c>
      <c r="T11" s="1">
        <f>IF(Data!T11&gt;0,Data!T11-4,"")</f>
        <v>2</v>
      </c>
      <c r="U11" s="1">
        <f>IF(Data!U11&gt;0,4-Data!U11,"")</f>
        <v>0</v>
      </c>
      <c r="V11" s="1">
        <f>IF(Data!V11&gt;0,Data!V11-4,"")</f>
        <v>0</v>
      </c>
      <c r="W11" s="1">
        <f>IF(Data!W11&gt;0,4-Data!W11,"")</f>
        <v>2</v>
      </c>
      <c r="X11" s="1">
        <f>IF(Data!X11&gt;0,4-Data!X11,"")</f>
        <v>3</v>
      </c>
      <c r="Y11" s="1">
        <f>IF(Data!Y11&gt;0,4-Data!Y11,"")</f>
        <v>3</v>
      </c>
      <c r="Z11" s="1">
        <f>IF(Data!Z11&gt;0,Data!Z11-4,"")</f>
        <v>3</v>
      </c>
      <c r="AC11" s="6">
        <f t="shared" si="0"/>
        <v>2.1666666666666665</v>
      </c>
      <c r="AD11" s="6">
        <f t="shared" si="1"/>
        <v>1.25</v>
      </c>
      <c r="AE11" s="6">
        <f t="shared" si="2"/>
        <v>1.25</v>
      </c>
      <c r="AF11" s="6">
        <f t="shared" si="3"/>
        <v>0.5</v>
      </c>
      <c r="AG11" s="6">
        <f t="shared" si="4"/>
        <v>2.5</v>
      </c>
      <c r="AH11" s="6">
        <f t="shared" si="5"/>
        <v>2.25</v>
      </c>
    </row>
    <row r="12" spans="1:34">
      <c r="A12" s="1">
        <f>IF(Data!A12&gt;0,Data!A12-4,"")</f>
        <v>3</v>
      </c>
      <c r="B12" s="1">
        <f>IF(Data!B12&gt;0,Data!B12-4,"")</f>
        <v>3</v>
      </c>
      <c r="C12" s="1">
        <f>IF(Data!C12&gt;0,4-Data!C12,"")</f>
        <v>3</v>
      </c>
      <c r="D12" s="1">
        <f>IF(Data!D12&gt;0,4-Data!D12,"")</f>
        <v>2</v>
      </c>
      <c r="E12" s="1">
        <f>IF(Data!E12&gt;0,4-Data!E12,"")</f>
        <v>2</v>
      </c>
      <c r="F12" s="1">
        <f>IF(Data!F12&gt;0,Data!F12-4,"")</f>
        <v>2</v>
      </c>
      <c r="G12" s="1">
        <f>IF(Data!G12&gt;0,Data!G12-4,"")</f>
        <v>2</v>
      </c>
      <c r="H12" s="1">
        <f>IF(Data!H12&gt;0,Data!H12-4,"")</f>
        <v>1</v>
      </c>
      <c r="I12" s="1">
        <f>IF(Data!I12&gt;0,4-Data!I12,"")</f>
        <v>2</v>
      </c>
      <c r="J12" s="1">
        <f>IF(Data!J12&gt;0,4-Data!J12,"")</f>
        <v>1</v>
      </c>
      <c r="K12" s="1">
        <f>IF(Data!K12&gt;0,Data!K12-4,"")</f>
        <v>2</v>
      </c>
      <c r="L12" s="1">
        <f>IF(Data!L12&gt;0,4-Data!L12,"")</f>
        <v>2</v>
      </c>
      <c r="M12" s="1">
        <f>IF(Data!M12&gt;0,Data!M12-4,"")</f>
        <v>3</v>
      </c>
      <c r="N12" s="1">
        <f>IF(Data!N12&gt;0,Data!N12-4,"")</f>
        <v>2</v>
      </c>
      <c r="O12" s="1">
        <f>IF(Data!O12&gt;0,Data!O12-4,"")</f>
        <v>3</v>
      </c>
      <c r="P12" s="1">
        <f>IF(Data!P12&gt;0,Data!P12-4,"")</f>
        <v>2</v>
      </c>
      <c r="Q12" s="1">
        <f>IF(Data!Q12&gt;0,4-Data!Q12,"")</f>
        <v>2</v>
      </c>
      <c r="R12" s="1">
        <f>IF(Data!R12&gt;0,4-Data!R12,"")</f>
        <v>3</v>
      </c>
      <c r="S12" s="1">
        <f>IF(Data!S12&gt;0,4-Data!S12,"")</f>
        <v>1</v>
      </c>
      <c r="T12" s="1">
        <f>IF(Data!T12&gt;0,Data!T12-4,"")</f>
        <v>2</v>
      </c>
      <c r="U12" s="1">
        <f>IF(Data!U12&gt;0,4-Data!U12,"")</f>
        <v>3</v>
      </c>
      <c r="V12" s="1">
        <f>IF(Data!V12&gt;0,Data!V12-4,"")</f>
        <v>2</v>
      </c>
      <c r="W12" s="1">
        <f>IF(Data!W12&gt;0,4-Data!W12,"")</f>
        <v>3</v>
      </c>
      <c r="X12" s="1">
        <f>IF(Data!X12&gt;0,4-Data!X12,"")</f>
        <v>2</v>
      </c>
      <c r="Y12" s="1">
        <f>IF(Data!Y12&gt;0,4-Data!Y12,"")</f>
        <v>3</v>
      </c>
      <c r="Z12" s="1">
        <f>IF(Data!Z12&gt;0,Data!Z12-4,"")</f>
        <v>3</v>
      </c>
      <c r="AC12" s="6">
        <f t="shared" si="0"/>
        <v>2.3333333333333335</v>
      </c>
      <c r="AD12" s="6">
        <f t="shared" si="1"/>
        <v>2.75</v>
      </c>
      <c r="AE12" s="6">
        <f t="shared" si="2"/>
        <v>2.25</v>
      </c>
      <c r="AF12" s="6">
        <f t="shared" si="3"/>
        <v>1.5</v>
      </c>
      <c r="AG12" s="6">
        <f t="shared" si="4"/>
        <v>2.25</v>
      </c>
      <c r="AH12" s="6">
        <f t="shared" si="5"/>
        <v>2.5</v>
      </c>
    </row>
    <row r="13" spans="1:34">
      <c r="A13" s="1">
        <f>IF(Data!A13&gt;0,Data!A13-4,"")</f>
        <v>2</v>
      </c>
      <c r="B13" s="1">
        <f>IF(Data!B13&gt;0,Data!B13-4,"")</f>
        <v>3</v>
      </c>
      <c r="C13" s="1">
        <f>IF(Data!C13&gt;0,4-Data!C13,"")</f>
        <v>2</v>
      </c>
      <c r="D13" s="1">
        <f>IF(Data!D13&gt;0,4-Data!D13,"")</f>
        <v>3</v>
      </c>
      <c r="E13" s="1">
        <f>IF(Data!E13&gt;0,4-Data!E13,"")</f>
        <v>2</v>
      </c>
      <c r="F13" s="1">
        <f>IF(Data!F13&gt;0,Data!F13-4,"")</f>
        <v>2</v>
      </c>
      <c r="G13" s="1">
        <f>IF(Data!G13&gt;0,Data!G13-4,"")</f>
        <v>2</v>
      </c>
      <c r="H13" s="1">
        <f>IF(Data!H13&gt;0,Data!H13-4,"")</f>
        <v>2</v>
      </c>
      <c r="I13" s="1">
        <f>IF(Data!I13&gt;0,4-Data!I13,"")</f>
        <v>0</v>
      </c>
      <c r="J13" s="1">
        <f>IF(Data!J13&gt;0,4-Data!J13,"")</f>
        <v>2</v>
      </c>
      <c r="K13" s="1">
        <f>IF(Data!K13&gt;0,Data!K13-4,"")</f>
        <v>2</v>
      </c>
      <c r="L13" s="1">
        <f>IF(Data!L13&gt;0,4-Data!L13,"")</f>
        <v>3</v>
      </c>
      <c r="M13" s="1">
        <f>IF(Data!M13&gt;0,Data!M13-4,"")</f>
        <v>1</v>
      </c>
      <c r="N13" s="1">
        <f>IF(Data!N13&gt;0,Data!N13-4,"")</f>
        <v>1</v>
      </c>
      <c r="O13" s="1">
        <f>IF(Data!O13&gt;0,Data!O13-4,"")</f>
        <v>2</v>
      </c>
      <c r="P13" s="1">
        <f>IF(Data!P13&gt;0,Data!P13-4,"")</f>
        <v>2</v>
      </c>
      <c r="Q13" s="1">
        <f>IF(Data!Q13&gt;0,4-Data!Q13,"")</f>
        <v>2</v>
      </c>
      <c r="R13" s="1">
        <f>IF(Data!R13&gt;0,4-Data!R13,"")</f>
        <v>2</v>
      </c>
      <c r="S13" s="1">
        <f>IF(Data!S13&gt;0,4-Data!S13,"")</f>
        <v>0</v>
      </c>
      <c r="T13" s="1">
        <f>IF(Data!T13&gt;0,Data!T13-4,"")</f>
        <v>0</v>
      </c>
      <c r="U13" s="1">
        <f>IF(Data!U13&gt;0,4-Data!U13,"")</f>
        <v>2</v>
      </c>
      <c r="V13" s="1">
        <f>IF(Data!V13&gt;0,Data!V13-4,"")</f>
        <v>0</v>
      </c>
      <c r="W13" s="1">
        <f>IF(Data!W13&gt;0,4-Data!W13,"")</f>
        <v>2</v>
      </c>
      <c r="X13" s="1">
        <f>IF(Data!X13&gt;0,4-Data!X13,"")</f>
        <v>1</v>
      </c>
      <c r="Y13" s="1">
        <f>IF(Data!Y13&gt;0,4-Data!Y13,"")</f>
        <v>2</v>
      </c>
      <c r="Z13" s="1">
        <f>IF(Data!Z13&gt;0,Data!Z13-4,"")</f>
        <v>2</v>
      </c>
      <c r="AC13" s="6">
        <f t="shared" si="0"/>
        <v>1.8333333333333333</v>
      </c>
      <c r="AD13" s="6">
        <f t="shared" si="1"/>
        <v>2.25</v>
      </c>
      <c r="AE13" s="6">
        <f t="shared" si="2"/>
        <v>0.5</v>
      </c>
      <c r="AF13" s="6">
        <f t="shared" si="3"/>
        <v>1.5</v>
      </c>
      <c r="AG13" s="6">
        <f t="shared" si="4"/>
        <v>2</v>
      </c>
      <c r="AH13" s="6">
        <f t="shared" si="5"/>
        <v>2</v>
      </c>
    </row>
    <row r="14" spans="1:34">
      <c r="A14" s="1">
        <f>IF(Data!A14&gt;0,Data!A14-4,"")</f>
        <v>3</v>
      </c>
      <c r="B14" s="1">
        <f>IF(Data!B14&gt;0,Data!B14-4,"")</f>
        <v>3</v>
      </c>
      <c r="C14" s="1">
        <f>IF(Data!C14&gt;0,4-Data!C14,"")</f>
        <v>3</v>
      </c>
      <c r="D14" s="1">
        <f>IF(Data!D14&gt;0,4-Data!D14,"")</f>
        <v>3</v>
      </c>
      <c r="E14" s="1">
        <f>IF(Data!E14&gt;0,4-Data!E14,"")</f>
        <v>2</v>
      </c>
      <c r="F14" s="1">
        <f>IF(Data!F14&gt;0,Data!F14-4,"")</f>
        <v>3</v>
      </c>
      <c r="G14" s="1">
        <f>IF(Data!G14&gt;0,Data!G14-4,"")</f>
        <v>3</v>
      </c>
      <c r="H14" s="1">
        <f>IF(Data!H14&gt;0,Data!H14-4,"")</f>
        <v>-2</v>
      </c>
      <c r="I14" s="1">
        <f>IF(Data!I14&gt;0,4-Data!I14,"")</f>
        <v>0</v>
      </c>
      <c r="J14" s="1">
        <f>IF(Data!J14&gt;0,4-Data!J14,"")</f>
        <v>2</v>
      </c>
      <c r="K14" s="1">
        <f>IF(Data!K14&gt;0,Data!K14-4,"")</f>
        <v>2</v>
      </c>
      <c r="L14" s="1">
        <f>IF(Data!L14&gt;0,4-Data!L14,"")</f>
        <v>2</v>
      </c>
      <c r="M14" s="1">
        <f>IF(Data!M14&gt;0,Data!M14-4,"")</f>
        <v>2</v>
      </c>
      <c r="N14" s="1">
        <f>IF(Data!N14&gt;0,Data!N14-4,"")</f>
        <v>3</v>
      </c>
      <c r="O14" s="1">
        <f>IF(Data!O14&gt;0,Data!O14-4,"")</f>
        <v>2</v>
      </c>
      <c r="P14" s="1">
        <f>IF(Data!P14&gt;0,Data!P14-4,"")</f>
        <v>2</v>
      </c>
      <c r="Q14" s="1">
        <f>IF(Data!Q14&gt;0,4-Data!Q14,"")</f>
        <v>2</v>
      </c>
      <c r="R14" s="1">
        <f>IF(Data!R14&gt;0,4-Data!R14,"")</f>
        <v>2</v>
      </c>
      <c r="S14" s="1">
        <f>IF(Data!S14&gt;0,4-Data!S14,"")</f>
        <v>2</v>
      </c>
      <c r="T14" s="1">
        <f>IF(Data!T14&gt;0,Data!T14-4,"")</f>
        <v>2</v>
      </c>
      <c r="U14" s="1">
        <f>IF(Data!U14&gt;0,4-Data!U14,"")</f>
        <v>2</v>
      </c>
      <c r="V14" s="1">
        <f>IF(Data!V14&gt;0,Data!V14-4,"")</f>
        <v>2</v>
      </c>
      <c r="W14" s="1">
        <f>IF(Data!W14&gt;0,4-Data!W14,"")</f>
        <v>2</v>
      </c>
      <c r="X14" s="1">
        <f>IF(Data!X14&gt;0,4-Data!X14,"")</f>
        <v>3</v>
      </c>
      <c r="Y14" s="1">
        <f>IF(Data!Y14&gt;0,4-Data!Y14,"")</f>
        <v>3</v>
      </c>
      <c r="Z14" s="1">
        <f>IF(Data!Z14&gt;0,Data!Z14-4,"")</f>
        <v>3</v>
      </c>
      <c r="AC14" s="6">
        <f t="shared" si="0"/>
        <v>2.6666666666666665</v>
      </c>
      <c r="AD14" s="6">
        <f t="shared" si="1"/>
        <v>2.5</v>
      </c>
      <c r="AE14" s="6">
        <f t="shared" si="2"/>
        <v>1.5</v>
      </c>
      <c r="AF14" s="6">
        <f t="shared" si="3"/>
        <v>1</v>
      </c>
      <c r="AG14" s="6">
        <f t="shared" si="4"/>
        <v>2.5</v>
      </c>
      <c r="AH14" s="6">
        <f t="shared" si="5"/>
        <v>2.5</v>
      </c>
    </row>
    <row r="15" spans="1:34">
      <c r="A15" s="1">
        <f>IF(Data!A15&gt;0,Data!A15-4,"")</f>
        <v>2</v>
      </c>
      <c r="B15" s="1">
        <f>IF(Data!B15&gt;0,Data!B15-4,"")</f>
        <v>2</v>
      </c>
      <c r="C15" s="1">
        <f>IF(Data!C15&gt;0,4-Data!C15,"")</f>
        <v>3</v>
      </c>
      <c r="D15" s="1">
        <f>IF(Data!D15&gt;0,4-Data!D15,"")</f>
        <v>2</v>
      </c>
      <c r="E15" s="1">
        <f>IF(Data!E15&gt;0,4-Data!E15,"")</f>
        <v>3</v>
      </c>
      <c r="F15" s="1">
        <f>IF(Data!F15&gt;0,Data!F15-4,"")</f>
        <v>3</v>
      </c>
      <c r="G15" s="1">
        <f>IF(Data!G15&gt;0,Data!G15-4,"")</f>
        <v>3</v>
      </c>
      <c r="H15" s="1">
        <f>IF(Data!H15&gt;0,Data!H15-4,"")</f>
        <v>-1</v>
      </c>
      <c r="I15" s="1">
        <f>IF(Data!I15&gt;0,4-Data!I15,"")</f>
        <v>0</v>
      </c>
      <c r="J15" s="1">
        <f>IF(Data!J15&gt;0,4-Data!J15,"")</f>
        <v>3</v>
      </c>
      <c r="K15" s="1">
        <f>IF(Data!K15&gt;0,Data!K15-4,"")</f>
        <v>2</v>
      </c>
      <c r="L15" s="1">
        <f>IF(Data!L15&gt;0,4-Data!L15,"")</f>
        <v>3</v>
      </c>
      <c r="M15" s="1">
        <f>IF(Data!M15&gt;0,Data!M15-4,"")</f>
        <v>0</v>
      </c>
      <c r="N15" s="1">
        <f>IF(Data!N15&gt;0,Data!N15-4,"")</f>
        <v>2</v>
      </c>
      <c r="O15" s="1">
        <f>IF(Data!O15&gt;0,Data!O15-4,"")</f>
        <v>3</v>
      </c>
      <c r="P15" s="1">
        <f>IF(Data!P15&gt;0,Data!P15-4,"")</f>
        <v>2</v>
      </c>
      <c r="Q15" s="1">
        <f>IF(Data!Q15&gt;0,4-Data!Q15,"")</f>
        <v>2</v>
      </c>
      <c r="R15" s="1">
        <f>IF(Data!R15&gt;0,4-Data!R15,"")</f>
        <v>3</v>
      </c>
      <c r="S15" s="1">
        <f>IF(Data!S15&gt;0,4-Data!S15,"")</f>
        <v>1</v>
      </c>
      <c r="T15" s="1">
        <f>IF(Data!T15&gt;0,Data!T15-4,"")</f>
        <v>2</v>
      </c>
      <c r="U15" s="1">
        <f>IF(Data!U15&gt;0,4-Data!U15,"")</f>
        <v>2</v>
      </c>
      <c r="V15" s="1">
        <f>IF(Data!V15&gt;0,Data!V15-4,"")</f>
        <v>3</v>
      </c>
      <c r="W15" s="1">
        <f>IF(Data!W15&gt;0,4-Data!W15,"")</f>
        <v>3</v>
      </c>
      <c r="X15" s="1">
        <f>IF(Data!X15&gt;0,4-Data!X15,"")</f>
        <v>3</v>
      </c>
      <c r="Y15" s="1">
        <f>IF(Data!Y15&gt;0,4-Data!Y15,"")</f>
        <v>2</v>
      </c>
      <c r="Z15" s="1">
        <f>IF(Data!Z15&gt;0,Data!Z15-4,"")</f>
        <v>3</v>
      </c>
      <c r="AC15" s="6">
        <f t="shared" si="0"/>
        <v>2.3333333333333335</v>
      </c>
      <c r="AD15" s="6">
        <f t="shared" si="1"/>
        <v>1.5</v>
      </c>
      <c r="AE15" s="6">
        <f t="shared" si="2"/>
        <v>2</v>
      </c>
      <c r="AF15" s="6">
        <f t="shared" si="3"/>
        <v>1</v>
      </c>
      <c r="AG15" s="6">
        <f t="shared" si="4"/>
        <v>3</v>
      </c>
      <c r="AH15" s="6">
        <f t="shared" si="5"/>
        <v>3</v>
      </c>
    </row>
    <row r="16" spans="1:34">
      <c r="A16" s="1">
        <f>IF(Data!A16&gt;0,Data!A16-4,"")</f>
        <v>3</v>
      </c>
      <c r="B16" s="1">
        <f>IF(Data!B16&gt;0,Data!B16-4,"")</f>
        <v>2</v>
      </c>
      <c r="C16" s="1">
        <f>IF(Data!C16&gt;0,4-Data!C16,"")</f>
        <v>3</v>
      </c>
      <c r="D16" s="1">
        <f>IF(Data!D16&gt;0,4-Data!D16,"")</f>
        <v>3</v>
      </c>
      <c r="E16" s="1">
        <f>IF(Data!E16&gt;0,4-Data!E16,"")</f>
        <v>3</v>
      </c>
      <c r="F16" s="1">
        <f>IF(Data!F16&gt;0,Data!F16-4,"")</f>
        <v>3</v>
      </c>
      <c r="G16" s="1">
        <f>IF(Data!G16&gt;0,Data!G16-4,"")</f>
        <v>3</v>
      </c>
      <c r="H16" s="1">
        <f>IF(Data!H16&gt;0,Data!H16-4,"")</f>
        <v>2</v>
      </c>
      <c r="I16" s="1">
        <f>IF(Data!I16&gt;0,4-Data!I16,"")</f>
        <v>0</v>
      </c>
      <c r="J16" s="1">
        <f>IF(Data!J16&gt;0,4-Data!J16,"")</f>
        <v>2</v>
      </c>
      <c r="K16" s="1">
        <f>IF(Data!K16&gt;0,Data!K16-4,"")</f>
        <v>3</v>
      </c>
      <c r="L16" s="1">
        <f>IF(Data!L16&gt;0,4-Data!L16,"")</f>
        <v>3</v>
      </c>
      <c r="M16" s="1">
        <f>IF(Data!M16&gt;0,Data!M16-4,"")</f>
        <v>2</v>
      </c>
      <c r="N16" s="1">
        <f>IF(Data!N16&gt;0,Data!N16-4,"")</f>
        <v>3</v>
      </c>
      <c r="O16" s="1">
        <f>IF(Data!O16&gt;0,Data!O16-4,"")</f>
        <v>3</v>
      </c>
      <c r="P16" s="1">
        <f>IF(Data!P16&gt;0,Data!P16-4,"")</f>
        <v>3</v>
      </c>
      <c r="Q16" s="1">
        <f>IF(Data!Q16&gt;0,4-Data!Q16,"")</f>
        <v>2</v>
      </c>
      <c r="R16" s="1">
        <f>IF(Data!R16&gt;0,4-Data!R16,"")</f>
        <v>3</v>
      </c>
      <c r="S16" s="1">
        <f>IF(Data!S16&gt;0,4-Data!S16,"")</f>
        <v>0</v>
      </c>
      <c r="T16" s="1">
        <f>IF(Data!T16&gt;0,Data!T16-4,"")</f>
        <v>3</v>
      </c>
      <c r="U16" s="1">
        <f>IF(Data!U16&gt;0,4-Data!U16,"")</f>
        <v>3</v>
      </c>
      <c r="V16" s="1">
        <f>IF(Data!V16&gt;0,Data!V16-4,"")</f>
        <v>3</v>
      </c>
      <c r="W16" s="1">
        <f>IF(Data!W16&gt;0,4-Data!W16,"")</f>
        <v>3</v>
      </c>
      <c r="X16" s="1">
        <f>IF(Data!X16&gt;0,4-Data!X16,"")</f>
        <v>3</v>
      </c>
      <c r="Y16" s="1">
        <f>IF(Data!Y16&gt;0,4-Data!Y16,"")</f>
        <v>3</v>
      </c>
      <c r="Z16" s="1">
        <f>IF(Data!Z16&gt;0,Data!Z16-4,"")</f>
        <v>3</v>
      </c>
      <c r="AC16" s="6">
        <f t="shared" si="0"/>
        <v>3</v>
      </c>
      <c r="AD16" s="6">
        <f t="shared" si="1"/>
        <v>2.5</v>
      </c>
      <c r="AE16" s="6">
        <f t="shared" si="2"/>
        <v>2.25</v>
      </c>
      <c r="AF16" s="6">
        <f t="shared" si="3"/>
        <v>1.75</v>
      </c>
      <c r="AG16" s="6">
        <f t="shared" si="4"/>
        <v>3</v>
      </c>
      <c r="AH16" s="6">
        <f t="shared" si="5"/>
        <v>2.75</v>
      </c>
    </row>
    <row r="17" spans="1:34">
      <c r="A17" s="1">
        <f>IF(Data!A17&gt;0,Data!A17-4,"")</f>
        <v>3</v>
      </c>
      <c r="B17" s="1">
        <f>IF(Data!B17&gt;0,Data!B17-4,"")</f>
        <v>3</v>
      </c>
      <c r="C17" s="1">
        <f>IF(Data!C17&gt;0,4-Data!C17,"")</f>
        <v>1</v>
      </c>
      <c r="D17" s="1">
        <f>IF(Data!D17&gt;0,4-Data!D17,"")</f>
        <v>3</v>
      </c>
      <c r="E17" s="1">
        <f>IF(Data!E17&gt;0,4-Data!E17,"")</f>
        <v>3</v>
      </c>
      <c r="F17" s="1">
        <f>IF(Data!F17&gt;0,Data!F17-4,"")</f>
        <v>3</v>
      </c>
      <c r="G17" s="1">
        <f>IF(Data!G17&gt;0,Data!G17-4,"")</f>
        <v>3</v>
      </c>
      <c r="H17" s="1">
        <f>IF(Data!H17&gt;0,Data!H17-4,"")</f>
        <v>0</v>
      </c>
      <c r="I17" s="1">
        <f>IF(Data!I17&gt;0,4-Data!I17,"")</f>
        <v>0</v>
      </c>
      <c r="J17" s="1">
        <f>IF(Data!J17&gt;0,4-Data!J17,"")</f>
        <v>3</v>
      </c>
      <c r="K17" s="1">
        <f>IF(Data!K17&gt;0,Data!K17-4,"")</f>
        <v>3</v>
      </c>
      <c r="L17" s="1">
        <f>IF(Data!L17&gt;0,4-Data!L17,"")</f>
        <v>3</v>
      </c>
      <c r="M17" s="1">
        <f>IF(Data!M17&gt;0,Data!M17-4,"")</f>
        <v>3</v>
      </c>
      <c r="N17" s="1">
        <f>IF(Data!N17&gt;0,Data!N17-4,"")</f>
        <v>2</v>
      </c>
      <c r="O17" s="1">
        <f>IF(Data!O17&gt;0,Data!O17-4,"")</f>
        <v>2</v>
      </c>
      <c r="P17" s="1">
        <f>IF(Data!P17&gt;0,Data!P17-4,"")</f>
        <v>3</v>
      </c>
      <c r="Q17" s="1">
        <f>IF(Data!Q17&gt;0,4-Data!Q17,"")</f>
        <v>3</v>
      </c>
      <c r="R17" s="1">
        <f>IF(Data!R17&gt;0,4-Data!R17,"")</f>
        <v>3</v>
      </c>
      <c r="S17" s="1">
        <f>IF(Data!S17&gt;0,4-Data!S17,"")</f>
        <v>2</v>
      </c>
      <c r="T17" s="1">
        <f>IF(Data!T17&gt;0,Data!T17-4,"")</f>
        <v>3</v>
      </c>
      <c r="U17" s="1">
        <f>IF(Data!U17&gt;0,4-Data!U17,"")</f>
        <v>3</v>
      </c>
      <c r="V17" s="1">
        <f>IF(Data!V17&gt;0,Data!V17-4,"")</f>
        <v>2</v>
      </c>
      <c r="W17" s="1">
        <f>IF(Data!W17&gt;0,4-Data!W17,"")</f>
        <v>3</v>
      </c>
      <c r="X17" s="1">
        <f>IF(Data!X17&gt;0,4-Data!X17,"")</f>
        <v>3</v>
      </c>
      <c r="Y17" s="1">
        <f>IF(Data!Y17&gt;0,4-Data!Y17,"")</f>
        <v>3</v>
      </c>
      <c r="Z17" s="1">
        <f>IF(Data!Z17&gt;0,Data!Z17-4,"")</f>
        <v>3</v>
      </c>
      <c r="AC17" s="6">
        <f t="shared" si="0"/>
        <v>2.8333333333333335</v>
      </c>
      <c r="AD17" s="6">
        <f t="shared" si="1"/>
        <v>3</v>
      </c>
      <c r="AE17" s="6">
        <f t="shared" si="2"/>
        <v>2</v>
      </c>
      <c r="AF17" s="6">
        <f t="shared" si="3"/>
        <v>2</v>
      </c>
      <c r="AG17" s="6">
        <f t="shared" si="4"/>
        <v>3</v>
      </c>
      <c r="AH17" s="6">
        <f t="shared" si="5"/>
        <v>2.25</v>
      </c>
    </row>
    <row r="18" spans="1:34">
      <c r="A18" s="1">
        <f>IF(Data!A18&gt;0,Data!A18-4,"")</f>
        <v>2</v>
      </c>
      <c r="B18" s="1">
        <f>IF(Data!B18&gt;0,Data!B18-4,"")</f>
        <v>1</v>
      </c>
      <c r="C18" s="1">
        <f>IF(Data!C18&gt;0,4-Data!C18,"")</f>
        <v>1</v>
      </c>
      <c r="D18" s="1">
        <f>IF(Data!D18&gt;0,4-Data!D18,"")</f>
        <v>1</v>
      </c>
      <c r="E18" s="1">
        <f>IF(Data!E18&gt;0,4-Data!E18,"")</f>
        <v>2</v>
      </c>
      <c r="F18" s="1">
        <f>IF(Data!F18&gt;0,Data!F18-4,"")</f>
        <v>2</v>
      </c>
      <c r="G18" s="1">
        <f>IF(Data!G18&gt;0,Data!G18-4,"")</f>
        <v>2</v>
      </c>
      <c r="H18" s="1">
        <f>IF(Data!H18&gt;0,Data!H18-4,"")</f>
        <v>2</v>
      </c>
      <c r="I18" s="1">
        <f>IF(Data!I18&gt;0,4-Data!I18,"")</f>
        <v>0</v>
      </c>
      <c r="J18" s="1">
        <f>IF(Data!J18&gt;0,4-Data!J18,"")</f>
        <v>0</v>
      </c>
      <c r="K18" s="1">
        <f>IF(Data!K18&gt;0,Data!K18-4,"")</f>
        <v>0</v>
      </c>
      <c r="L18" s="1">
        <f>IF(Data!L18&gt;0,4-Data!L18,"")</f>
        <v>2</v>
      </c>
      <c r="M18" s="1">
        <f>IF(Data!M18&gt;0,Data!M18-4,"")</f>
        <v>0</v>
      </c>
      <c r="N18" s="1">
        <f>IF(Data!N18&gt;0,Data!N18-4,"")</f>
        <v>1</v>
      </c>
      <c r="O18" s="1">
        <f>IF(Data!O18&gt;0,Data!O18-4,"")</f>
        <v>1</v>
      </c>
      <c r="P18" s="1">
        <f>IF(Data!P18&gt;0,Data!P18-4,"")</f>
        <v>2</v>
      </c>
      <c r="Q18" s="1">
        <f>IF(Data!Q18&gt;0,4-Data!Q18,"")</f>
        <v>0</v>
      </c>
      <c r="R18" s="1">
        <f>IF(Data!R18&gt;0,4-Data!R18,"")</f>
        <v>1</v>
      </c>
      <c r="S18" s="1">
        <f>IF(Data!S18&gt;0,4-Data!S18,"")</f>
        <v>-1</v>
      </c>
      <c r="T18" s="1">
        <f>IF(Data!T18&gt;0,Data!T18-4,"")</f>
        <v>0</v>
      </c>
      <c r="U18" s="1">
        <f>IF(Data!U18&gt;0,4-Data!U18,"")</f>
        <v>1</v>
      </c>
      <c r="V18" s="1">
        <f>IF(Data!V18&gt;0,Data!V18-4,"")</f>
        <v>-1</v>
      </c>
      <c r="W18" s="1">
        <f>IF(Data!W18&gt;0,4-Data!W18,"")</f>
        <v>2</v>
      </c>
      <c r="X18" s="1">
        <f>IF(Data!X18&gt;0,4-Data!X18,"")</f>
        <v>2</v>
      </c>
      <c r="Y18" s="1">
        <f>IF(Data!Y18&gt;0,4-Data!Y18,"")</f>
        <v>1</v>
      </c>
      <c r="Z18" s="1">
        <f>IF(Data!Z18&gt;0,Data!Z18-4,"")</f>
        <v>2</v>
      </c>
      <c r="AC18" s="6">
        <f t="shared" si="0"/>
        <v>1.6666666666666667</v>
      </c>
      <c r="AD18" s="6">
        <f t="shared" si="1"/>
        <v>0.75</v>
      </c>
      <c r="AE18" s="6">
        <f t="shared" si="2"/>
        <v>0.25</v>
      </c>
      <c r="AF18" s="6">
        <f t="shared" si="3"/>
        <v>0.25</v>
      </c>
      <c r="AG18" s="6">
        <f t="shared" si="4"/>
        <v>1.75</v>
      </c>
      <c r="AH18" s="6">
        <f t="shared" si="5"/>
        <v>1</v>
      </c>
    </row>
    <row r="19" spans="1:34">
      <c r="A19" s="1">
        <f>IF(Data!A19&gt;0,Data!A19-4,"")</f>
        <v>3</v>
      </c>
      <c r="B19" s="1">
        <f>IF(Data!B19&gt;0,Data!B19-4,"")</f>
        <v>3</v>
      </c>
      <c r="C19" s="1">
        <f>IF(Data!C19&gt;0,4-Data!C19,"")</f>
        <v>3</v>
      </c>
      <c r="D19" s="1">
        <f>IF(Data!D19&gt;0,4-Data!D19,"")</f>
        <v>2</v>
      </c>
      <c r="E19" s="1">
        <f>IF(Data!E19&gt;0,4-Data!E19,"")</f>
        <v>1</v>
      </c>
      <c r="F19" s="1">
        <f>IF(Data!F19&gt;0,Data!F19-4,"")</f>
        <v>3</v>
      </c>
      <c r="G19" s="1">
        <f>IF(Data!G19&gt;0,Data!G19-4,"")</f>
        <v>3</v>
      </c>
      <c r="H19" s="1">
        <f>IF(Data!H19&gt;0,Data!H19-4,"")</f>
        <v>1</v>
      </c>
      <c r="I19" s="1">
        <f>IF(Data!I19&gt;0,4-Data!I19,"")</f>
        <v>0</v>
      </c>
      <c r="J19" s="1">
        <f>IF(Data!J19&gt;0,4-Data!J19,"")</f>
        <v>2</v>
      </c>
      <c r="K19" s="1">
        <f>IF(Data!K19&gt;0,Data!K19-4,"")</f>
        <v>0</v>
      </c>
      <c r="L19" s="1">
        <f>IF(Data!L19&gt;0,4-Data!L19,"")</f>
        <v>2</v>
      </c>
      <c r="M19" s="1">
        <f>IF(Data!M19&gt;0,Data!M19-4,"")</f>
        <v>1</v>
      </c>
      <c r="N19" s="1">
        <f>IF(Data!N19&gt;0,Data!N19-4,"")</f>
        <v>2</v>
      </c>
      <c r="O19" s="1">
        <f>IF(Data!O19&gt;0,Data!O19-4,"")</f>
        <v>1</v>
      </c>
      <c r="P19" s="1">
        <f>IF(Data!P19&gt;0,Data!P19-4,"")</f>
        <v>1</v>
      </c>
      <c r="Q19" s="1">
        <f>IF(Data!Q19&gt;0,4-Data!Q19,"")</f>
        <v>0</v>
      </c>
      <c r="R19" s="1">
        <f>IF(Data!R19&gt;0,4-Data!R19,"")</f>
        <v>2</v>
      </c>
      <c r="S19" s="1">
        <f>IF(Data!S19&gt;0,4-Data!S19,"")</f>
        <v>2</v>
      </c>
      <c r="T19" s="1">
        <f>IF(Data!T19&gt;0,Data!T19-4,"")</f>
        <v>1</v>
      </c>
      <c r="U19" s="1">
        <f>IF(Data!U19&gt;0,4-Data!U19,"")</f>
        <v>2</v>
      </c>
      <c r="V19" s="1">
        <f>IF(Data!V19&gt;0,Data!V19-4,"")</f>
        <v>1</v>
      </c>
      <c r="W19" s="1">
        <f>IF(Data!W19&gt;0,4-Data!W19,"")</f>
        <v>2</v>
      </c>
      <c r="X19" s="1">
        <f>IF(Data!X19&gt;0,4-Data!X19,"")</f>
        <v>3</v>
      </c>
      <c r="Y19" s="1">
        <f>IF(Data!Y19&gt;0,4-Data!Y19,"")</f>
        <v>3</v>
      </c>
      <c r="Z19" s="1">
        <f>IF(Data!Z19&gt;0,Data!Z19-4,"")</f>
        <v>2</v>
      </c>
      <c r="AC19" s="6">
        <f t="shared" si="0"/>
        <v>2.3333333333333335</v>
      </c>
      <c r="AD19" s="6">
        <f t="shared" si="1"/>
        <v>2</v>
      </c>
      <c r="AE19" s="6">
        <f t="shared" si="2"/>
        <v>1</v>
      </c>
      <c r="AF19" s="6">
        <f t="shared" si="3"/>
        <v>0.75</v>
      </c>
      <c r="AG19" s="6">
        <f t="shared" si="4"/>
        <v>2.25</v>
      </c>
      <c r="AH19" s="6">
        <f t="shared" si="5"/>
        <v>2</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baseColWidth="10" defaultColWidth="9.109375" defaultRowHeight="14.4"/>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209.4"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2.4375</v>
      </c>
      <c r="C3" s="58">
        <f>VAR(DT!A4:A1004)</f>
        <v>0.39583333333333331</v>
      </c>
      <c r="D3" s="58">
        <f>SQRT(C3)</f>
        <v>0.62915286960589578</v>
      </c>
      <c r="E3" s="59">
        <f>COUNTA(Data!A4:A1004)</f>
        <v>16</v>
      </c>
      <c r="F3" s="60" t="str">
        <f>VLOOKUP(Read_First!B5,Items!A1:BA50,2,FALSE)</f>
        <v>unerfreulich</v>
      </c>
      <c r="G3" s="60" t="str">
        <f>VLOOKUP(Read_First!B5,Items!A1:BA50,3,FALSE)</f>
        <v>erfreulich</v>
      </c>
      <c r="H3" s="61" t="str">
        <f>VLOOKUP(Read_First!B5,Items!A1:BI50,54,FALSE)</f>
        <v>Attraktivität</v>
      </c>
      <c r="I3" s="121"/>
      <c r="K3" s="9" t="str">
        <f>VLOOKUP(Read_First!B5,Items!A1:BI50,54,FALSE)</f>
        <v>Attraktivität</v>
      </c>
      <c r="L3" s="10">
        <f>AVERAGE(DT!AC4:AC1004)</f>
        <v>2.364583333333333</v>
      </c>
      <c r="M3" s="6">
        <f>VAR(DT!AC4:AC1004)</f>
        <v>0.2008101851851857</v>
      </c>
      <c r="R3" s="5"/>
    </row>
    <row r="4" spans="1:18">
      <c r="A4" s="2">
        <v>2</v>
      </c>
      <c r="B4" s="3">
        <f>AVERAGE(DT!B4:B1004)</f>
        <v>2.1875</v>
      </c>
      <c r="C4" s="3">
        <f>VAR(DT!B4:B1004)</f>
        <v>0.6958333333333333</v>
      </c>
      <c r="D4" s="3">
        <f t="shared" ref="D4:D28" si="0">SQRT(C4)</f>
        <v>0.83416625041614656</v>
      </c>
      <c r="E4" s="4">
        <f>COUNTA(Data!B4:B1004)</f>
        <v>16</v>
      </c>
      <c r="F4" s="18" t="str">
        <f>VLOOKUP(Read_First!B5,Items!A1:BA50,4,FALSE)</f>
        <v>unverständlich</v>
      </c>
      <c r="G4" s="18" t="str">
        <f>VLOOKUP(Read_First!B5,Items!A1:BA50,5,FALSE)</f>
        <v>verständlich</v>
      </c>
      <c r="H4" s="23" t="str">
        <f>VLOOKUP(Read_First!B5,Items!A1:BI50,55,FALSE)</f>
        <v>Durchschaubarkeit</v>
      </c>
      <c r="I4" s="8"/>
      <c r="K4" s="9" t="str">
        <f>VLOOKUP(Read_First!B5,Items!A1:BI50,55,FALSE)</f>
        <v>Durchschaubarkeit</v>
      </c>
      <c r="L4" s="10">
        <f>AVERAGE(DT!AD4:AD1004)</f>
        <v>1.859375</v>
      </c>
      <c r="M4" s="6">
        <f>VAR(DT!AD4:AD1004)</f>
        <v>0.59973958333333333</v>
      </c>
    </row>
    <row r="5" spans="1:18">
      <c r="A5" s="2">
        <v>3</v>
      </c>
      <c r="B5" s="3">
        <f>AVERAGE(DT!C4:C1004)</f>
        <v>2.125</v>
      </c>
      <c r="C5" s="3">
        <f>VAR(DT!C4:C1004)</f>
        <v>2.3833333333333333</v>
      </c>
      <c r="D5" s="3">
        <f t="shared" si="0"/>
        <v>1.5438048235879214</v>
      </c>
      <c r="E5" s="4">
        <f>COUNTA(Data!C4:C1004)</f>
        <v>16</v>
      </c>
      <c r="F5" s="18" t="str">
        <f>VLOOKUP(Read_First!B5,Items!A1:BA50,6,FALSE)</f>
        <v>kreativ</v>
      </c>
      <c r="G5" s="18" t="str">
        <f>VLOOKUP(Read_First!B5,Items!A1:BA50,7,FALSE)</f>
        <v>phantasielos</v>
      </c>
      <c r="H5" s="23" t="str">
        <f>VLOOKUP(Read_First!B5,Items!A1:BI50,59,FALSE)</f>
        <v>Originalität</v>
      </c>
      <c r="I5" s="123"/>
      <c r="K5" s="9" t="str">
        <f>VLOOKUP(Read_First!B5,Items!A1:BI50,56,FALSE)</f>
        <v>Effizienz</v>
      </c>
      <c r="L5" s="10">
        <f>AVERAGE(DT!AE4:AE1004)</f>
        <v>1.4375</v>
      </c>
      <c r="M5" s="6">
        <f>VAR(DT!AE4:AE1004)</f>
        <v>0.75416666666666665</v>
      </c>
    </row>
    <row r="6" spans="1:18">
      <c r="A6" s="2">
        <v>4</v>
      </c>
      <c r="B6" s="3">
        <f>AVERAGE(DT!D4:D1004)</f>
        <v>1.75</v>
      </c>
      <c r="C6" s="3">
        <f>VAR(DT!D4:D1004)</f>
        <v>1.6666666666666667</v>
      </c>
      <c r="D6" s="3">
        <f t="shared" si="0"/>
        <v>1.2909944487358056</v>
      </c>
      <c r="E6" s="4">
        <f>COUNTA(Data!D4:D1004)</f>
        <v>16</v>
      </c>
      <c r="F6" s="18" t="str">
        <f>VLOOKUP(Read_First!B5,Items!A1:BA50,8,FALSE)</f>
        <v>leicht zu lernen</v>
      </c>
      <c r="G6" s="18" t="str">
        <f>VLOOKUP(Read_First!B5,Items!A1:BA50,9,FALSE)</f>
        <v>schwer zu lernen</v>
      </c>
      <c r="H6" s="23" t="str">
        <f>VLOOKUP(Read_First!B5,Items!A1:BI50,55,FALSE)</f>
        <v>Durchschaubarkeit</v>
      </c>
      <c r="I6" s="8"/>
      <c r="K6" s="11" t="str">
        <f>VLOOKUP(Read_First!B5,Items!A1:BI50,57,FALSE)</f>
        <v>Steuerbarkeit</v>
      </c>
      <c r="L6" s="10">
        <f>AVERAGE(DT!AF4:AF1004)</f>
        <v>1.28125</v>
      </c>
      <c r="M6" s="6">
        <f>VAR(DT!AF4:AF1004)</f>
        <v>0.32395833333333335</v>
      </c>
    </row>
    <row r="7" spans="1:18">
      <c r="A7" s="2">
        <v>5</v>
      </c>
      <c r="B7" s="3">
        <f>AVERAGE(DT!E4:E1004)</f>
        <v>2.0625</v>
      </c>
      <c r="C7" s="3">
        <f>VAR(DT!E4:E1004)</f>
        <v>1.5291666666666666</v>
      </c>
      <c r="D7" s="3">
        <f t="shared" si="0"/>
        <v>1.2365947867699696</v>
      </c>
      <c r="E7" s="4">
        <f>COUNTA(Data!E4:E1004)</f>
        <v>16</v>
      </c>
      <c r="F7" s="18" t="str">
        <f>VLOOKUP(Read_First!B5,Items!A1:BA50,10,FALSE)</f>
        <v>wertvoll</v>
      </c>
      <c r="G7" s="18" t="str">
        <f>VLOOKUP(Read_First!B5,Items!A1:BA50,11,FALSE)</f>
        <v>minderwertig</v>
      </c>
      <c r="H7" s="24" t="str">
        <f>VLOOKUP(Read_First!B5,Items!A1:BI50,58,FALSE)</f>
        <v>Stimulation</v>
      </c>
      <c r="I7" s="124"/>
      <c r="K7" s="11" t="str">
        <f>VLOOKUP(Read_First!B5,Items!A1:BI50,58,FALSE)</f>
        <v>Stimulation</v>
      </c>
      <c r="L7" s="10">
        <f>AVERAGE(DT!AG4:AG1004)</f>
        <v>2.375</v>
      </c>
      <c r="M7" s="6">
        <f>VAR(DT!AG4:AG1004)</f>
        <v>0.40833333333333333</v>
      </c>
    </row>
    <row r="8" spans="1:18">
      <c r="A8" s="2">
        <v>6</v>
      </c>
      <c r="B8" s="3">
        <f>AVERAGE(DT!F4:F1004)</f>
        <v>2.5625</v>
      </c>
      <c r="C8" s="3">
        <f>VAR(DT!F4:F1004)</f>
        <v>0.39583333333333331</v>
      </c>
      <c r="D8" s="3">
        <f t="shared" si="0"/>
        <v>0.62915286960589578</v>
      </c>
      <c r="E8" s="4">
        <f>COUNTA(Data!F4:F1004)</f>
        <v>16</v>
      </c>
      <c r="F8" s="18" t="str">
        <f>VLOOKUP(Read_First!B5,Items!A1:BA50,12,FALSE)</f>
        <v>langweilig</v>
      </c>
      <c r="G8" s="18" t="str">
        <f>VLOOKUP(Read_First!B5,Items!A1:BA50,13,FALSE)</f>
        <v>spannend</v>
      </c>
      <c r="H8" s="24" t="str">
        <f>VLOOKUP(Read_First!B5,Items!A1:BI50,58,FALSE)</f>
        <v>Stimulation</v>
      </c>
      <c r="I8" s="124"/>
      <c r="K8" s="9" t="str">
        <f>VLOOKUP(Read_First!B5,Items!A1:BI50,59,FALSE)</f>
        <v>Originalität</v>
      </c>
      <c r="L8" s="10">
        <f>AVERAGE(DT!AH4:AH1004)</f>
        <v>2.1875</v>
      </c>
      <c r="M8" s="6">
        <f>VAR(DT!AH4:AH1004)</f>
        <v>0.42916666666666664</v>
      </c>
    </row>
    <row r="9" spans="1:18">
      <c r="A9" s="2">
        <v>7</v>
      </c>
      <c r="B9" s="3">
        <f>AVERAGE(DT!G4:G1004)</f>
        <v>2.625</v>
      </c>
      <c r="C9" s="3">
        <f>VAR(DT!G4:G1004)</f>
        <v>0.38333333333333336</v>
      </c>
      <c r="D9" s="3">
        <f t="shared" si="0"/>
        <v>0.61913918736689033</v>
      </c>
      <c r="E9" s="4">
        <f>COUNTA(Data!G4:G1004)</f>
        <v>16</v>
      </c>
      <c r="F9" s="18" t="str">
        <f>VLOOKUP(Read_First!B5,Items!A1:BA50,14,FALSE)</f>
        <v>uninteressant</v>
      </c>
      <c r="G9" s="18" t="str">
        <f>VLOOKUP(Read_First!B5,Items!A1:BA50,15,FALSE)</f>
        <v>interessant</v>
      </c>
      <c r="H9" s="24" t="str">
        <f>VLOOKUP(Read_First!B5,Items!A1:BI50,58,FALSE)</f>
        <v>Stimulation</v>
      </c>
      <c r="I9" s="124"/>
    </row>
    <row r="10" spans="1:18">
      <c r="A10" s="2">
        <v>8</v>
      </c>
      <c r="B10" s="3">
        <f>AVERAGE(DT!H4:H1004)</f>
        <v>0.5</v>
      </c>
      <c r="C10" s="3">
        <f>VAR(DT!H4:H1004)</f>
        <v>2</v>
      </c>
      <c r="D10" s="3">
        <f t="shared" si="0"/>
        <v>1.4142135623730951</v>
      </c>
      <c r="E10" s="4">
        <f>COUNTA(Data!H4:H1004)</f>
        <v>16</v>
      </c>
      <c r="F10" s="18" t="str">
        <f>VLOOKUP(Read_First!B5,Items!A1:BA50,16,FALSE)</f>
        <v>unberechenbar</v>
      </c>
      <c r="G10" s="18" t="str">
        <f>VLOOKUP(Read_First!B5,Items!A1:BA50,17,FALSE)</f>
        <v>voraussagbar</v>
      </c>
      <c r="H10" s="23" t="str">
        <f>VLOOKUP(Read_First!B5,Items!A1:BI50,57,FALSE)</f>
        <v>Steuerbarkeit</v>
      </c>
      <c r="I10" s="126"/>
    </row>
    <row r="11" spans="1:18">
      <c r="A11" s="2">
        <v>9</v>
      </c>
      <c r="B11" s="3">
        <f>AVERAGE(DT!I4:I1004)</f>
        <v>0.25</v>
      </c>
      <c r="C11" s="3">
        <f>VAR(DT!I4:I1004)</f>
        <v>0.73333333333333328</v>
      </c>
      <c r="D11" s="3">
        <f t="shared" si="0"/>
        <v>0.85634883857767519</v>
      </c>
      <c r="E11" s="4">
        <f>COUNTA(Data!I4:I1004)</f>
        <v>16</v>
      </c>
      <c r="F11" s="18" t="str">
        <f>VLOOKUP(Read_First!B5,Items!A1:BA50,18,FALSE)</f>
        <v>schnell</v>
      </c>
      <c r="G11" s="18" t="str">
        <f>VLOOKUP(Read_First!B5,Items!A1:BA50,19,FALSE)</f>
        <v>langsam</v>
      </c>
      <c r="H11" s="23" t="str">
        <f>VLOOKUP(Read_First!B5,Items!A1:BI50,56,FALSE)</f>
        <v>Effizienz</v>
      </c>
      <c r="I11" s="125"/>
    </row>
    <row r="12" spans="1:18">
      <c r="A12" s="2">
        <v>10</v>
      </c>
      <c r="B12" s="3">
        <f>AVERAGE(DT!J4:J1004)</f>
        <v>1.9375</v>
      </c>
      <c r="C12" s="3">
        <f>VAR(DT!J4:J1004)</f>
        <v>0.59583333333333333</v>
      </c>
      <c r="D12" s="3">
        <f t="shared" si="0"/>
        <v>0.77190241179396069</v>
      </c>
      <c r="E12" s="4">
        <f>COUNTA(Data!J4:J1004)</f>
        <v>16</v>
      </c>
      <c r="F12" s="18" t="str">
        <f>VLOOKUP(Read_First!B5,Items!A1:BA50,20,FALSE)</f>
        <v>originell</v>
      </c>
      <c r="G12" s="18" t="str">
        <f>VLOOKUP(Read_First!B5,Items!A1:BA50,21,FALSE)</f>
        <v>konventionell</v>
      </c>
      <c r="H12" s="23" t="str">
        <f>VLOOKUP(Read_First!B5,Items!A1:BI50,59,FALSE)</f>
        <v>Originalität</v>
      </c>
      <c r="I12" s="123"/>
    </row>
    <row r="13" spans="1:18">
      <c r="A13" s="2">
        <v>11</v>
      </c>
      <c r="B13" s="3">
        <f>AVERAGE(DT!K4:K1004)</f>
        <v>1.9375</v>
      </c>
      <c r="C13" s="3">
        <f>VAR(DT!K4:K1004)</f>
        <v>0.99583333333333335</v>
      </c>
      <c r="D13" s="3">
        <f t="shared" si="0"/>
        <v>0.99791449199484694</v>
      </c>
      <c r="E13" s="4">
        <f>COUNTA(Data!K4:K1004)</f>
        <v>16</v>
      </c>
      <c r="F13" s="18" t="str">
        <f>VLOOKUP(Read_First!B5,Items!A1:BA50,22,FALSE)</f>
        <v>behindernd</v>
      </c>
      <c r="G13" s="18" t="str">
        <f>VLOOKUP(Read_First!B5,Items!A1:BA50,23,FALSE)</f>
        <v>unterstützend</v>
      </c>
      <c r="H13" s="23" t="str">
        <f>VLOOKUP(Read_First!B5,Items!A1:BI50,57,FALSE)</f>
        <v>Steuerbarkeit</v>
      </c>
      <c r="I13" s="126"/>
    </row>
    <row r="14" spans="1:18">
      <c r="A14" s="2">
        <v>12</v>
      </c>
      <c r="B14" s="3">
        <f>AVERAGE(DT!L4:L1004)</f>
        <v>2.5625</v>
      </c>
      <c r="C14" s="3">
        <f>VAR(DT!L4:L1004)</f>
        <v>0.26250000000000001</v>
      </c>
      <c r="D14" s="3">
        <f t="shared" si="0"/>
        <v>0.51234753829797997</v>
      </c>
      <c r="E14" s="4">
        <f>COUNTA(Data!L4:L1004)</f>
        <v>16</v>
      </c>
      <c r="F14" s="18" t="str">
        <f>VLOOKUP(Read_First!B5,Items!A1:BA50,24,FALSE)</f>
        <v xml:space="preserve">gut </v>
      </c>
      <c r="G14" s="18" t="str">
        <f>VLOOKUP(Read_First!B5,Items!A1:BA50,25,FALSE)</f>
        <v>schlecht</v>
      </c>
      <c r="H14" s="23" t="str">
        <f>VLOOKUP(Read_First!B5,Items!A1:BI50,54,FALSE)</f>
        <v>Attraktivität</v>
      </c>
      <c r="I14" s="122"/>
    </row>
    <row r="15" spans="1:18">
      <c r="A15" s="2">
        <v>13</v>
      </c>
      <c r="B15" s="3">
        <f>AVERAGE(DT!M4:M1004)</f>
        <v>1.375</v>
      </c>
      <c r="C15" s="3">
        <f>VAR(DT!M4:M1004)</f>
        <v>1.5833333333333333</v>
      </c>
      <c r="D15" s="3">
        <f t="shared" si="0"/>
        <v>1.2583057392117916</v>
      </c>
      <c r="E15" s="4">
        <f>COUNTA(Data!M4:M1004)</f>
        <v>16</v>
      </c>
      <c r="F15" s="18" t="str">
        <f>VLOOKUP(Read_First!B5,Items!A1:BA50,26,FALSE)</f>
        <v>kompliziert</v>
      </c>
      <c r="G15" s="18" t="str">
        <f>VLOOKUP(Read_First!B5,Items!A1:BA50,27,FALSE)</f>
        <v>einfach</v>
      </c>
      <c r="H15" s="23" t="str">
        <f>VLOOKUP(Read_First!B5,Items!A1:BI50,55,FALSE)</f>
        <v>Durchschaubarkeit</v>
      </c>
      <c r="I15" s="8"/>
    </row>
    <row r="16" spans="1:18">
      <c r="A16" s="2">
        <v>14</v>
      </c>
      <c r="B16" s="3">
        <f>AVERAGE(DT!N4:N1004)</f>
        <v>1.9375</v>
      </c>
      <c r="C16" s="3">
        <f>VAR(DT!N4:N1004)</f>
        <v>0.72916666666666663</v>
      </c>
      <c r="D16" s="3">
        <f t="shared" si="0"/>
        <v>0.8539125638299665</v>
      </c>
      <c r="E16" s="4">
        <f>COUNTA(Data!N4:N1004)</f>
        <v>16</v>
      </c>
      <c r="F16" s="18" t="str">
        <f>VLOOKUP(Read_First!B5,Items!A1:BA50,28,FALSE)</f>
        <v>abstoßend</v>
      </c>
      <c r="G16" s="18" t="str">
        <f>VLOOKUP(Read_First!B5,Items!A1:BA50,29,FALSE)</f>
        <v>anziehend</v>
      </c>
      <c r="H16" s="23" t="str">
        <f>VLOOKUP(Read_First!B5,Items!A1:BI50,54,FALSE)</f>
        <v>Attraktivität</v>
      </c>
      <c r="I16" s="122"/>
    </row>
    <row r="17" spans="1:9">
      <c r="A17" s="2">
        <v>15</v>
      </c>
      <c r="B17" s="3">
        <f>AVERAGE(DT!O4:O1004)</f>
        <v>2.125</v>
      </c>
      <c r="C17" s="3">
        <f>VAR(DT!O4:O1004)</f>
        <v>0.51666666666666672</v>
      </c>
      <c r="D17" s="3">
        <f t="shared" si="0"/>
        <v>0.7187952884282609</v>
      </c>
      <c r="E17" s="4">
        <f>COUNTA(Data!O4:O1004)</f>
        <v>16</v>
      </c>
      <c r="F17" s="18" t="str">
        <f>VLOOKUP(Read_First!B5,Items!A1:BA50,30,FALSE)</f>
        <v>herkömmlich</v>
      </c>
      <c r="G17" s="18" t="str">
        <f>VLOOKUP(Read_First!B5,Items!A1:BA50,31,FALSE)</f>
        <v>neuartig</v>
      </c>
      <c r="H17" s="23" t="str">
        <f>VLOOKUP(Read_First!B5,Items!A1:BI50,59,FALSE)</f>
        <v>Originalität</v>
      </c>
      <c r="I17" s="123"/>
    </row>
    <row r="18" spans="1:9">
      <c r="A18" s="2">
        <v>16</v>
      </c>
      <c r="B18" s="3">
        <f>AVERAGE(DT!P4:P1004)</f>
        <v>2.3125</v>
      </c>
      <c r="C18" s="3">
        <f>VAR(DT!P4:P1004)</f>
        <v>0.36249999999999999</v>
      </c>
      <c r="D18" s="3">
        <f t="shared" si="0"/>
        <v>0.60207972893961481</v>
      </c>
      <c r="E18" s="4">
        <f>COUNTA(Data!P4:P1004)</f>
        <v>16</v>
      </c>
      <c r="F18" s="18" t="str">
        <f>VLOOKUP(Read_First!B5,Items!A1:BA50,32,FALSE)</f>
        <v>unangenehm</v>
      </c>
      <c r="G18" s="18" t="str">
        <f>VLOOKUP(Read_First!B5,Items!A1:BA50,33,FALSE)</f>
        <v>angenehm</v>
      </c>
      <c r="H18" s="23" t="str">
        <f>VLOOKUP(Read_First!B5,Items!A1:BI50,54,FALSE)</f>
        <v>Attraktivität</v>
      </c>
      <c r="I18" s="122"/>
    </row>
    <row r="19" spans="1:9">
      <c r="A19" s="2">
        <v>17</v>
      </c>
      <c r="B19" s="3">
        <f>AVERAGE(DT!Q4:Q1004)</f>
        <v>1.5</v>
      </c>
      <c r="C19" s="3">
        <f>VAR(DT!Q4:Q1004)</f>
        <v>1.3333333333333333</v>
      </c>
      <c r="D19" s="3">
        <f t="shared" si="0"/>
        <v>1.1547005383792515</v>
      </c>
      <c r="E19" s="4">
        <f>COUNTA(Data!Q4:Q1004)</f>
        <v>16</v>
      </c>
      <c r="F19" s="18" t="str">
        <f>VLOOKUP(Read_First!B5,Items!A1:BA50,34,FALSE)</f>
        <v xml:space="preserve">sicher </v>
      </c>
      <c r="G19" s="18" t="str">
        <f>VLOOKUP(Read_First!B5,Items!A1:BA50,35,FALSE)</f>
        <v>unsicher</v>
      </c>
      <c r="H19" s="23" t="str">
        <f>VLOOKUP(Read_First!B5,Items!A1:BI50,57,FALSE)</f>
        <v>Steuerbarkeit</v>
      </c>
      <c r="I19" s="126"/>
    </row>
    <row r="20" spans="1:9">
      <c r="A20" s="2">
        <v>18</v>
      </c>
      <c r="B20" s="3">
        <f>AVERAGE(DT!R4:R1004)</f>
        <v>2.25</v>
      </c>
      <c r="C20" s="3">
        <f>VAR(DT!R4:R1004)</f>
        <v>0.46666666666666667</v>
      </c>
      <c r="D20" s="3">
        <f t="shared" si="0"/>
        <v>0.68313005106397318</v>
      </c>
      <c r="E20" s="4">
        <f>COUNTA(Data!R4:R1004)</f>
        <v>16</v>
      </c>
      <c r="F20" s="18" t="str">
        <f>VLOOKUP(Read_First!B5,Items!A1:BA50,36,FALSE)</f>
        <v>aktivierend</v>
      </c>
      <c r="G20" s="18" t="str">
        <f>VLOOKUP(Read_First!B5,Items!A1:BA50,37,FALSE)</f>
        <v>einschläfernd</v>
      </c>
      <c r="H20" s="24" t="str">
        <f>VLOOKUP(Read_First!B5,Items!A1:BI50,58,FALSE)</f>
        <v>Stimulation</v>
      </c>
      <c r="I20" s="124"/>
    </row>
    <row r="21" spans="1:9">
      <c r="A21" s="2">
        <v>19</v>
      </c>
      <c r="B21" s="3">
        <f>AVERAGE(DT!S4:S1004)</f>
        <v>1.1875</v>
      </c>
      <c r="C21" s="3">
        <f>VAR(DT!S4:S1004)</f>
        <v>0.96250000000000002</v>
      </c>
      <c r="D21" s="3">
        <f t="shared" si="0"/>
        <v>0.98107084351742924</v>
      </c>
      <c r="E21" s="4">
        <f>COUNTA(Data!S4:S1004)</f>
        <v>16</v>
      </c>
      <c r="F21" s="18" t="str">
        <f>VLOOKUP(Read_First!B5,Items!A1:BA50,38,FALSE)</f>
        <v>erwartungskonform</v>
      </c>
      <c r="G21" s="18" t="str">
        <f>VLOOKUP(Read_First!B5,Items!A1:BA50,39,FALSE)</f>
        <v>nicht erwartungskonform</v>
      </c>
      <c r="H21" s="23" t="str">
        <f>VLOOKUP(Read_First!B5,Items!A1:BI50,57,FALSE)</f>
        <v>Steuerbarkeit</v>
      </c>
      <c r="I21" s="126"/>
    </row>
    <row r="22" spans="1:9">
      <c r="A22" s="2">
        <v>20</v>
      </c>
      <c r="B22" s="3">
        <f>AVERAGE(DT!T4:T1004)</f>
        <v>1.6875</v>
      </c>
      <c r="C22" s="3">
        <f>VAR(DT!T4:T1004)</f>
        <v>1.1625000000000001</v>
      </c>
      <c r="D22" s="3">
        <f t="shared" si="0"/>
        <v>1.0781929326423914</v>
      </c>
      <c r="E22" s="4">
        <f>COUNTA(Data!T4:T1004)</f>
        <v>16</v>
      </c>
      <c r="F22" s="18" t="str">
        <f>VLOOKUP(Read_First!B5,Items!A1:BA50,40,FALSE)</f>
        <v>ineffizient</v>
      </c>
      <c r="G22" s="18" t="str">
        <f>VLOOKUP(Read_First!B5,Items!A1:BA50,41,FALSE)</f>
        <v>effizient</v>
      </c>
      <c r="H22" s="23" t="str">
        <f>VLOOKUP(Read_First!B5,Items!A1:BI50,56,FALSE)</f>
        <v>Effizienz</v>
      </c>
      <c r="I22" s="125"/>
    </row>
    <row r="23" spans="1:9">
      <c r="A23" s="2">
        <v>21</v>
      </c>
      <c r="B23" s="3">
        <f>AVERAGE(DT!U4:U1004)</f>
        <v>2.125</v>
      </c>
      <c r="C23" s="3">
        <f>VAR(DT!U4:U1004)</f>
        <v>0.78333333333333333</v>
      </c>
      <c r="D23" s="3">
        <f t="shared" si="0"/>
        <v>0.8850612031567836</v>
      </c>
      <c r="E23" s="4">
        <f>COUNTA(Data!U4:U1004)</f>
        <v>16</v>
      </c>
      <c r="F23" s="18" t="str">
        <f>VLOOKUP(Read_First!B5,Items!A1:BA50,42,FALSE)</f>
        <v>übersichtlich</v>
      </c>
      <c r="G23" s="18" t="str">
        <f>VLOOKUP(Read_First!B5,Items!A1:BA50,43,FALSE)</f>
        <v>verwirrend</v>
      </c>
      <c r="H23" s="23" t="str">
        <f>VLOOKUP(Read_First!B5,Items!A1:BI50,55,FALSE)</f>
        <v>Durchschaubarkeit</v>
      </c>
      <c r="I23" s="8"/>
    </row>
    <row r="24" spans="1:9">
      <c r="A24" s="2">
        <v>22</v>
      </c>
      <c r="B24" s="3">
        <f>AVERAGE(DT!V4:V1004)</f>
        <v>1.5625</v>
      </c>
      <c r="C24" s="3">
        <f>VAR(DT!V4:V1004)</f>
        <v>1.8625</v>
      </c>
      <c r="D24" s="3">
        <f t="shared" si="0"/>
        <v>1.3647344063956182</v>
      </c>
      <c r="E24" s="4">
        <f>COUNTA(Data!V4:V1004)</f>
        <v>16</v>
      </c>
      <c r="F24" s="18" t="str">
        <f>VLOOKUP(Read_First!B5,Items!A1:BA50,44,FALSE)</f>
        <v>unpragmatisch</v>
      </c>
      <c r="G24" s="18" t="str">
        <f>VLOOKUP(Read_First!B5,Items!A1:BA50,45,FALSE)</f>
        <v>pragmatisch</v>
      </c>
      <c r="H24" s="23" t="str">
        <f>VLOOKUP(Read_First!B5,Items!A1:BI50,56,FALSE)</f>
        <v>Effizienz</v>
      </c>
      <c r="I24" s="125"/>
    </row>
    <row r="25" spans="1:9">
      <c r="A25" s="2">
        <v>23</v>
      </c>
      <c r="B25" s="3">
        <f>AVERAGE(DT!W4:W1004)</f>
        <v>2.25</v>
      </c>
      <c r="C25" s="3">
        <f>VAR(DT!W4:W1004)</f>
        <v>1</v>
      </c>
      <c r="D25" s="3">
        <f t="shared" si="0"/>
        <v>1</v>
      </c>
      <c r="E25" s="4">
        <f>COUNTA(Data!W4:W1004)</f>
        <v>16</v>
      </c>
      <c r="F25" s="18" t="str">
        <f>VLOOKUP(Read_First!B5,Items!A1:BA50,46,FALSE)</f>
        <v>aufgeräumt</v>
      </c>
      <c r="G25" s="18" t="str">
        <f>VLOOKUP(Read_First!B5,Items!A1:BA50,47,FALSE)</f>
        <v>überladen</v>
      </c>
      <c r="H25" s="23" t="str">
        <f>VLOOKUP(Read_First!B5,Items!A1:BI50,56,FALSE)</f>
        <v>Effizienz</v>
      </c>
      <c r="I25" s="125"/>
    </row>
    <row r="26" spans="1:9">
      <c r="A26" s="2">
        <v>24</v>
      </c>
      <c r="B26" s="3">
        <f>AVERAGE(DT!X4:X1004)</f>
        <v>2.5</v>
      </c>
      <c r="C26" s="3">
        <f>VAR(DT!X4:X1004)</f>
        <v>0.4</v>
      </c>
      <c r="D26" s="3">
        <f t="shared" si="0"/>
        <v>0.63245553203367588</v>
      </c>
      <c r="E26" s="4">
        <f>COUNTA(Data!X4:X1004)</f>
        <v>16</v>
      </c>
      <c r="F26" s="18" t="str">
        <f>VLOOKUP(Read_First!B5,Items!A1:BA50,48,FALSE)</f>
        <v>attraktiv</v>
      </c>
      <c r="G26" s="18" t="str">
        <f>VLOOKUP(Read_First!B5,Items!A1:BA50,49,FALSE)</f>
        <v>unattraktiv</v>
      </c>
      <c r="H26" s="23" t="str">
        <f>VLOOKUP(Read_First!B5,Items!A1:BI50,54,FALSE)</f>
        <v>Attraktivität</v>
      </c>
      <c r="I26" s="122"/>
    </row>
    <row r="27" spans="1:9">
      <c r="A27" s="2">
        <v>25</v>
      </c>
      <c r="B27" s="3">
        <f>AVERAGE(DT!Y4:Y1004)</f>
        <v>2.4375</v>
      </c>
      <c r="C27" s="3">
        <f>VAR(DT!Y4:Y1004)</f>
        <v>0.39583333333333331</v>
      </c>
      <c r="D27" s="3">
        <f t="shared" si="0"/>
        <v>0.62915286960589578</v>
      </c>
      <c r="E27" s="4">
        <f>COUNTA(Data!Y4:Y1004)</f>
        <v>16</v>
      </c>
      <c r="F27" s="18" t="str">
        <f>VLOOKUP(Read_First!B5,Items!A1:BA50,50,FALSE)</f>
        <v>sympathisch</v>
      </c>
      <c r="G27" s="18" t="str">
        <f>VLOOKUP(Read_First!B5,Items!A1:BA50,51,FALSE)</f>
        <v>unsympathisch</v>
      </c>
      <c r="H27" s="23" t="str">
        <f>VLOOKUP(Read_First!B5,Items!A1:BI50,54,FALSE)</f>
        <v>Attraktivität</v>
      </c>
      <c r="I27" s="122"/>
    </row>
    <row r="28" spans="1:9">
      <c r="A28" s="2">
        <v>26</v>
      </c>
      <c r="B28" s="3">
        <f>AVERAGE(DT!Z4:Z1004)</f>
        <v>2.5625</v>
      </c>
      <c r="C28" s="3">
        <f>VAR(DT!Z4:Z1004)</f>
        <v>0.26250000000000001</v>
      </c>
      <c r="D28" s="3">
        <f t="shared" si="0"/>
        <v>0.51234753829797997</v>
      </c>
      <c r="E28" s="4">
        <f>COUNTA(Data!Z4:Z1004)</f>
        <v>16</v>
      </c>
      <c r="F28" s="18" t="str">
        <f>VLOOKUP(Read_First!B5,Items!A1:BA50,52,FALSE)</f>
        <v>konservativ</v>
      </c>
      <c r="G28" s="18" t="str">
        <f>VLOOKUP(Read_First!B5,Items!A1:BA50,53,FALSE)</f>
        <v>innovativ</v>
      </c>
      <c r="H28" s="23" t="str">
        <f>VLOOKUP(Read_First!B5,Items!A1:BI50,59,FALSE)</f>
        <v>Originalität</v>
      </c>
      <c r="I28" s="123"/>
    </row>
    <row r="39" spans="11:15">
      <c r="K39" s="152" t="s">
        <v>820</v>
      </c>
      <c r="L39" s="152"/>
    </row>
    <row r="40" spans="11:15">
      <c r="K40" s="34" t="str">
        <f>VLOOKUP(Read_First!B5,Items!A1:BI50,54,FALSE)</f>
        <v>Attraktivität</v>
      </c>
      <c r="L40" s="35">
        <f>AVERAGE(DT!AC4:AC1004)</f>
        <v>2.364583333333333</v>
      </c>
    </row>
    <row r="41" spans="11:15">
      <c r="K41" s="1" t="str">
        <f>VLOOKUP(Read_First!B5,Items!A1:BI50,60,FALSE)</f>
        <v>Pragmatische Qualität</v>
      </c>
      <c r="L41" s="36">
        <f>(L4+L5+L6)/3</f>
        <v>1.5260416666666667</v>
      </c>
    </row>
    <row r="42" spans="11:15">
      <c r="K42" s="1" t="str">
        <f>VLOOKUP(Read_First!B5,Items!A1:BI50,61,FALSE)</f>
        <v>Hedonische Qualität</v>
      </c>
      <c r="L42" s="36">
        <f>(L7+L8)/2</f>
        <v>2.28125</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16" workbookViewId="0">
      <selection activeCell="M5" sqref="M5"/>
    </sheetView>
  </sheetViews>
  <sheetFormatPr baseColWidth="10" defaultColWidth="9.109375" defaultRowHeight="14.4"/>
  <cols>
    <col min="5" max="5" width="12.6640625" customWidth="1"/>
    <col min="9" max="9" width="18.6640625" customWidth="1"/>
    <col min="13" max="13" width="11.88671875" customWidth="1"/>
    <col min="15" max="15" width="9.5546875" customWidth="1"/>
  </cols>
  <sheetData>
    <row r="1" spans="1:15" ht="100.8"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2.4375</v>
      </c>
      <c r="C5" s="70">
        <f>Results!D3</f>
        <v>0.62915286960589578</v>
      </c>
      <c r="D5" s="59">
        <f>Results!E3</f>
        <v>16</v>
      </c>
      <c r="E5" s="70">
        <f t="shared" ref="E5:E24" si="0">CONFIDENCE(0.05, C5, D5)</f>
        <v>0.30827924129939505</v>
      </c>
      <c r="F5" s="70">
        <f t="shared" ref="F5:F24" si="1">B5-E5</f>
        <v>2.1292207587006051</v>
      </c>
      <c r="G5" s="70">
        <f t="shared" ref="G5:G24" si="2">B5+E5</f>
        <v>2.7457792412993949</v>
      </c>
      <c r="I5" s="72" t="str">
        <f>VLOOKUP(Read_First!B5,Items!A1:BI50,54,FALSE)</f>
        <v>Attraktivität</v>
      </c>
      <c r="J5" s="70">
        <f>AVERAGE(DT!AC4:AC1004)</f>
        <v>2.364583333333333</v>
      </c>
      <c r="K5" s="70">
        <f>STDEV(DT!AC4:AC1004)</f>
        <v>0.44811849458060277</v>
      </c>
      <c r="L5" s="59">
        <f>MAX(D5:D24)</f>
        <v>16</v>
      </c>
      <c r="M5" s="70">
        <f>CONFIDENCE(0.05, K5, L5)</f>
        <v>0.21957402754607216</v>
      </c>
      <c r="N5" s="70">
        <f t="shared" ref="N5:N10" si="3">J5-M5</f>
        <v>2.1450093057872608</v>
      </c>
      <c r="O5" s="70">
        <f t="shared" ref="O5:O10" si="4">J5+M5</f>
        <v>2.5841573608794053</v>
      </c>
    </row>
    <row r="6" spans="1:15">
      <c r="A6" s="12">
        <v>2</v>
      </c>
      <c r="B6" s="10">
        <f>Results!B4</f>
        <v>2.1875</v>
      </c>
      <c r="C6" s="10">
        <f>Results!D4</f>
        <v>0.83416625041614656</v>
      </c>
      <c r="D6" s="4">
        <f>Results!E4</f>
        <v>16</v>
      </c>
      <c r="E6" s="10">
        <f t="shared" si="0"/>
        <v>0.40873395198361667</v>
      </c>
      <c r="F6" s="10">
        <f t="shared" si="1"/>
        <v>1.7787660480163834</v>
      </c>
      <c r="G6" s="10">
        <f t="shared" si="2"/>
        <v>2.5962339519836166</v>
      </c>
      <c r="I6" s="9" t="str">
        <f>VLOOKUP(Read_First!B5,Items!A1:BI50,55,FALSE)</f>
        <v>Durchschaubarkeit</v>
      </c>
      <c r="J6" s="10">
        <f>AVERAGE(DT!AD4:AD1004)</f>
        <v>1.859375</v>
      </c>
      <c r="K6" s="10">
        <f>STDEV(DT!AD4:AD1004)</f>
        <v>0.77442855276218558</v>
      </c>
      <c r="L6" s="4">
        <f>L5</f>
        <v>16</v>
      </c>
      <c r="M6" s="10">
        <f t="shared" ref="M6:M10" si="5">CONFIDENCE(0.05, K6, L6)</f>
        <v>0.37946301800334009</v>
      </c>
      <c r="N6" s="10">
        <f t="shared" si="3"/>
        <v>1.47991198199666</v>
      </c>
      <c r="O6" s="10">
        <f t="shared" si="4"/>
        <v>2.23883801800334</v>
      </c>
    </row>
    <row r="7" spans="1:15">
      <c r="A7" s="12">
        <v>3</v>
      </c>
      <c r="B7" s="10">
        <f>Results!B5</f>
        <v>2.125</v>
      </c>
      <c r="C7" s="10">
        <f>Results!D5</f>
        <v>1.5438048235879214</v>
      </c>
      <c r="D7" s="4">
        <f>Results!E5</f>
        <v>16</v>
      </c>
      <c r="E7" s="10">
        <f t="shared" si="0"/>
        <v>0.75645046334788424</v>
      </c>
      <c r="F7" s="10">
        <f t="shared" si="1"/>
        <v>1.3685495366521159</v>
      </c>
      <c r="G7" s="10">
        <f t="shared" si="2"/>
        <v>2.8814504633478841</v>
      </c>
      <c r="I7" s="9" t="str">
        <f>VLOOKUP(Read_First!B5,Items!A1:BI50,56,FALSE)</f>
        <v>Effizienz</v>
      </c>
      <c r="J7" s="10">
        <f>AVERAGE(DT!AE4:AE1004)</f>
        <v>1.4375</v>
      </c>
      <c r="K7" s="10">
        <f>STDEV(DT!AE4:AE1004)</f>
        <v>0.86842769800753516</v>
      </c>
      <c r="L7" s="4">
        <f>L6</f>
        <v>16</v>
      </c>
      <c r="M7" s="10">
        <f t="shared" si="5"/>
        <v>0.42552175281794874</v>
      </c>
      <c r="N7" s="10">
        <f t="shared" si="3"/>
        <v>1.0119782471820513</v>
      </c>
      <c r="O7" s="10">
        <f t="shared" si="4"/>
        <v>1.8630217528179487</v>
      </c>
    </row>
    <row r="8" spans="1:15">
      <c r="A8" s="12">
        <v>4</v>
      </c>
      <c r="B8" s="10">
        <f>Results!B6</f>
        <v>1.75</v>
      </c>
      <c r="C8" s="10">
        <f>Results!D6</f>
        <v>1.2909944487358056</v>
      </c>
      <c r="D8" s="4">
        <f>Results!E6</f>
        <v>16</v>
      </c>
      <c r="E8" s="10">
        <f t="shared" si="0"/>
        <v>0.63257565594082987</v>
      </c>
      <c r="F8" s="10">
        <f t="shared" si="1"/>
        <v>1.1174243440591702</v>
      </c>
      <c r="G8" s="10">
        <f t="shared" si="2"/>
        <v>2.3825756559408298</v>
      </c>
      <c r="I8" s="11" t="str">
        <f>VLOOKUP(Read_First!B5,Items!A1:BI50,57,FALSE)</f>
        <v>Steuerbarkeit</v>
      </c>
      <c r="J8" s="10">
        <f>AVERAGE(DT!AF4:AF1004)</f>
        <v>1.28125</v>
      </c>
      <c r="K8" s="10">
        <f>STDEV(DT!AF4:AF1004)</f>
        <v>0.5691733772176395</v>
      </c>
      <c r="L8" s="4">
        <f>L7</f>
        <v>16</v>
      </c>
      <c r="M8" s="10">
        <f t="shared" si="5"/>
        <v>0.27888983007640095</v>
      </c>
      <c r="N8" s="10">
        <f t="shared" si="3"/>
        <v>1.0023601699235991</v>
      </c>
      <c r="O8" s="10">
        <f t="shared" si="4"/>
        <v>1.5601398300764009</v>
      </c>
    </row>
    <row r="9" spans="1:15">
      <c r="A9" s="12">
        <v>5</v>
      </c>
      <c r="B9" s="10">
        <f>Results!B7</f>
        <v>2.0625</v>
      </c>
      <c r="C9" s="10">
        <f>Results!D7</f>
        <v>1.2365947867699696</v>
      </c>
      <c r="D9" s="4">
        <f>Results!E7</f>
        <v>16</v>
      </c>
      <c r="E9" s="10">
        <f t="shared" si="0"/>
        <v>0.60592031138478186</v>
      </c>
      <c r="F9" s="10">
        <f t="shared" si="1"/>
        <v>1.4565796886152182</v>
      </c>
      <c r="G9" s="10">
        <f t="shared" si="2"/>
        <v>2.6684203113847818</v>
      </c>
      <c r="I9" s="11" t="str">
        <f>VLOOKUP(Read_First!B5,Items!A1:BI50,58,FALSE)</f>
        <v>Stimulation</v>
      </c>
      <c r="J9" s="10">
        <f>AVERAGE(DT!AG4:AG1004)</f>
        <v>2.375</v>
      </c>
      <c r="K9" s="10">
        <f>STDEV(DT!AG4:AG1004)</f>
        <v>0.63900965042269375</v>
      </c>
      <c r="L9" s="4">
        <f>L8</f>
        <v>16</v>
      </c>
      <c r="M9" s="10">
        <f t="shared" si="5"/>
        <v>0.3131089751505024</v>
      </c>
      <c r="N9" s="10">
        <f t="shared" si="3"/>
        <v>2.0618910248494977</v>
      </c>
      <c r="O9" s="10">
        <f t="shared" si="4"/>
        <v>2.6881089751505023</v>
      </c>
    </row>
    <row r="10" spans="1:15">
      <c r="A10" s="12">
        <v>6</v>
      </c>
      <c r="B10" s="10">
        <f>Results!B8</f>
        <v>2.5625</v>
      </c>
      <c r="C10" s="10">
        <f>Results!D8</f>
        <v>0.62915286960589578</v>
      </c>
      <c r="D10" s="4">
        <f>Results!E8</f>
        <v>16</v>
      </c>
      <c r="E10" s="10">
        <f t="shared" si="0"/>
        <v>0.30827924129939505</v>
      </c>
      <c r="F10" s="10">
        <f t="shared" si="1"/>
        <v>2.2542207587006051</v>
      </c>
      <c r="G10" s="10">
        <f t="shared" si="2"/>
        <v>2.8707792412993949</v>
      </c>
      <c r="I10" s="9" t="str">
        <f>VLOOKUP(Read_First!B5,Items!A1:BI50,59,FALSE)</f>
        <v>Originalität</v>
      </c>
      <c r="J10" s="10">
        <f>AVERAGE(DT!AH4:AH1004)</f>
        <v>2.1875</v>
      </c>
      <c r="K10" s="10">
        <f>STDEV(DT!AH4:AH1004)</f>
        <v>0.65510813356778486</v>
      </c>
      <c r="L10" s="4">
        <f>L9</f>
        <v>16</v>
      </c>
      <c r="M10" s="10">
        <f t="shared" si="5"/>
        <v>0.32099708694302831</v>
      </c>
      <c r="N10" s="10">
        <f t="shared" si="3"/>
        <v>1.8665029130569717</v>
      </c>
      <c r="O10" s="10">
        <f t="shared" si="4"/>
        <v>2.5084970869430281</v>
      </c>
    </row>
    <row r="11" spans="1:15">
      <c r="A11" s="12">
        <v>7</v>
      </c>
      <c r="B11" s="10">
        <f>Results!B9</f>
        <v>2.625</v>
      </c>
      <c r="C11" s="10">
        <f>Results!D9</f>
        <v>0.61913918736689033</v>
      </c>
      <c r="D11" s="4">
        <f>Results!E9</f>
        <v>16</v>
      </c>
      <c r="E11" s="10">
        <f t="shared" si="0"/>
        <v>0.30337262716412527</v>
      </c>
      <c r="F11" s="10">
        <f t="shared" si="1"/>
        <v>2.3216273728358745</v>
      </c>
      <c r="G11" s="10">
        <f t="shared" si="2"/>
        <v>2.9283726271641255</v>
      </c>
    </row>
    <row r="12" spans="1:15">
      <c r="A12" s="12">
        <v>8</v>
      </c>
      <c r="B12" s="10">
        <f>Results!B10</f>
        <v>0.5</v>
      </c>
      <c r="C12" s="10">
        <f>Results!D10</f>
        <v>1.4142135623730951</v>
      </c>
      <c r="D12" s="4">
        <f>Results!E10</f>
        <v>16</v>
      </c>
      <c r="E12" s="10">
        <f t="shared" si="0"/>
        <v>0.69295191217483876</v>
      </c>
      <c r="F12" s="10">
        <f t="shared" si="1"/>
        <v>-0.19295191217483876</v>
      </c>
      <c r="G12" s="10">
        <f t="shared" si="2"/>
        <v>1.1929519121748386</v>
      </c>
    </row>
    <row r="13" spans="1:15">
      <c r="A13" s="12">
        <v>9</v>
      </c>
      <c r="B13" s="10">
        <f>Results!B11</f>
        <v>0.25</v>
      </c>
      <c r="C13" s="10">
        <f>Results!D11</f>
        <v>0.85634883857767519</v>
      </c>
      <c r="D13" s="4">
        <f>Results!E11</f>
        <v>16</v>
      </c>
      <c r="E13" s="10">
        <f t="shared" si="0"/>
        <v>0.41960322045373688</v>
      </c>
      <c r="F13" s="10">
        <f t="shared" si="1"/>
        <v>-0.16960322045373688</v>
      </c>
      <c r="G13" s="10">
        <f t="shared" si="2"/>
        <v>0.66960322045373688</v>
      </c>
    </row>
    <row r="14" spans="1:15">
      <c r="A14" s="12">
        <v>10</v>
      </c>
      <c r="B14" s="10">
        <f>Results!B12</f>
        <v>1.9375</v>
      </c>
      <c r="C14" s="10">
        <f>Results!D12</f>
        <v>0.77190241179396069</v>
      </c>
      <c r="D14" s="4">
        <f>Results!E12</f>
        <v>16</v>
      </c>
      <c r="E14" s="10">
        <f t="shared" si="0"/>
        <v>0.37822523167394212</v>
      </c>
      <c r="F14" s="10">
        <f t="shared" si="1"/>
        <v>1.5592747683260579</v>
      </c>
      <c r="G14" s="10">
        <f t="shared" si="2"/>
        <v>2.3157252316739423</v>
      </c>
    </row>
    <row r="15" spans="1:15">
      <c r="A15" s="12">
        <v>11</v>
      </c>
      <c r="B15" s="10">
        <f>Results!B13</f>
        <v>1.9375</v>
      </c>
      <c r="C15" s="10">
        <f>Results!D13</f>
        <v>0.99791449199484694</v>
      </c>
      <c r="D15" s="4">
        <f>Results!E13</f>
        <v>16</v>
      </c>
      <c r="E15" s="10">
        <f t="shared" si="0"/>
        <v>0.48896911599012088</v>
      </c>
      <c r="F15" s="10">
        <f t="shared" si="1"/>
        <v>1.4485308840098792</v>
      </c>
      <c r="G15" s="10">
        <f t="shared" si="2"/>
        <v>2.4264691159901211</v>
      </c>
      <c r="J15" s="69"/>
    </row>
    <row r="16" spans="1:15">
      <c r="A16" s="12">
        <v>12</v>
      </c>
      <c r="B16" s="10">
        <f>Results!B14</f>
        <v>2.5625</v>
      </c>
      <c r="C16" s="10">
        <f>Results!D14</f>
        <v>0.51234753829797997</v>
      </c>
      <c r="D16" s="4">
        <f>Results!E14</f>
        <v>16</v>
      </c>
      <c r="E16" s="10">
        <f t="shared" si="0"/>
        <v>0.25104568065794913</v>
      </c>
      <c r="F16" s="10">
        <f t="shared" si="1"/>
        <v>2.3114543193420509</v>
      </c>
      <c r="G16" s="10">
        <f t="shared" si="2"/>
        <v>2.8135456806579491</v>
      </c>
    </row>
    <row r="17" spans="1:7">
      <c r="A17" s="12">
        <v>13</v>
      </c>
      <c r="B17" s="10">
        <f>Results!B15</f>
        <v>1.375</v>
      </c>
      <c r="C17" s="10">
        <f>Results!D15</f>
        <v>1.2583057392117916</v>
      </c>
      <c r="D17" s="4">
        <f>Results!E15</f>
        <v>16</v>
      </c>
      <c r="E17" s="10">
        <f t="shared" si="0"/>
        <v>0.61655848259879009</v>
      </c>
      <c r="F17" s="10">
        <f t="shared" si="1"/>
        <v>0.75844151740120991</v>
      </c>
      <c r="G17" s="10">
        <f t="shared" si="2"/>
        <v>1.9915584825987902</v>
      </c>
    </row>
    <row r="18" spans="1:7">
      <c r="A18" s="12">
        <v>14</v>
      </c>
      <c r="B18" s="10">
        <f>Results!B16</f>
        <v>1.9375</v>
      </c>
      <c r="C18" s="10">
        <f>Results!D16</f>
        <v>0.8539125638299665</v>
      </c>
      <c r="D18" s="4">
        <f>Results!E16</f>
        <v>16</v>
      </c>
      <c r="E18" s="10">
        <f t="shared" si="0"/>
        <v>0.4184094677632485</v>
      </c>
      <c r="F18" s="10">
        <f t="shared" si="1"/>
        <v>1.5190905322367514</v>
      </c>
      <c r="G18" s="10">
        <f t="shared" si="2"/>
        <v>2.3559094677632486</v>
      </c>
    </row>
    <row r="19" spans="1:7">
      <c r="A19" s="12">
        <v>15</v>
      </c>
      <c r="B19" s="10">
        <f>Results!B17</f>
        <v>2.125</v>
      </c>
      <c r="C19" s="10">
        <f>Results!D17</f>
        <v>0.7187952884282609</v>
      </c>
      <c r="D19" s="4">
        <f>Results!E17</f>
        <v>16</v>
      </c>
      <c r="E19" s="10">
        <f t="shared" si="0"/>
        <v>0.35220321939411781</v>
      </c>
      <c r="F19" s="10">
        <f t="shared" si="1"/>
        <v>1.7727967806058822</v>
      </c>
      <c r="G19" s="10">
        <f t="shared" si="2"/>
        <v>2.4772032193941178</v>
      </c>
    </row>
    <row r="20" spans="1:7">
      <c r="A20" s="12">
        <v>16</v>
      </c>
      <c r="B20" s="10">
        <f>Results!B18</f>
        <v>2.3125</v>
      </c>
      <c r="C20" s="10">
        <f>Results!D18</f>
        <v>0.60207972893961481</v>
      </c>
      <c r="D20" s="4">
        <f>Results!E18</f>
        <v>16</v>
      </c>
      <c r="E20" s="10">
        <f t="shared" si="0"/>
        <v>0.29501364613582071</v>
      </c>
      <c r="F20" s="10">
        <f t="shared" si="1"/>
        <v>2.0174863538641792</v>
      </c>
      <c r="G20" s="10">
        <f t="shared" si="2"/>
        <v>2.6075136461358208</v>
      </c>
    </row>
    <row r="21" spans="1:7">
      <c r="A21" s="12">
        <v>17</v>
      </c>
      <c r="B21" s="10">
        <f>Results!B19</f>
        <v>1.5</v>
      </c>
      <c r="C21" s="10">
        <f>Results!D19</f>
        <v>1.1547005383792515</v>
      </c>
      <c r="D21" s="4">
        <f>Results!E19</f>
        <v>16</v>
      </c>
      <c r="E21" s="10">
        <f t="shared" si="0"/>
        <v>0.56579286703808573</v>
      </c>
      <c r="F21" s="10">
        <f t="shared" si="1"/>
        <v>0.93420713296191427</v>
      </c>
      <c r="G21" s="10">
        <f t="shared" si="2"/>
        <v>2.0657928670380858</v>
      </c>
    </row>
    <row r="22" spans="1:7">
      <c r="A22" s="12">
        <v>18</v>
      </c>
      <c r="B22" s="10">
        <f>Results!B20</f>
        <v>2.25</v>
      </c>
      <c r="C22" s="10">
        <f>Results!D20</f>
        <v>0.68313005106397318</v>
      </c>
      <c r="D22" s="4">
        <f>Results!E20</f>
        <v>16</v>
      </c>
      <c r="E22" s="10">
        <f t="shared" si="0"/>
        <v>0.33472757421059879</v>
      </c>
      <c r="F22" s="10">
        <f t="shared" si="1"/>
        <v>1.9152724257894012</v>
      </c>
      <c r="G22" s="10">
        <f t="shared" si="2"/>
        <v>2.5847275742105986</v>
      </c>
    </row>
    <row r="23" spans="1:7">
      <c r="A23" s="12">
        <v>19</v>
      </c>
      <c r="B23" s="10">
        <f>Results!B21</f>
        <v>1.1875</v>
      </c>
      <c r="C23" s="10">
        <f>Results!D21</f>
        <v>0.98107084351742924</v>
      </c>
      <c r="D23" s="4">
        <f>Results!E21</f>
        <v>16</v>
      </c>
      <c r="E23" s="10">
        <f t="shared" si="0"/>
        <v>0.48071587989412301</v>
      </c>
      <c r="F23" s="10">
        <f t="shared" si="1"/>
        <v>0.70678412010587699</v>
      </c>
      <c r="G23" s="10">
        <f t="shared" si="2"/>
        <v>1.6682158798941229</v>
      </c>
    </row>
    <row r="24" spans="1:7">
      <c r="A24" s="12">
        <v>20</v>
      </c>
      <c r="B24" s="10">
        <f>Results!B22</f>
        <v>1.6875</v>
      </c>
      <c r="C24" s="10">
        <f>Results!D22</f>
        <v>1.0781929326423914</v>
      </c>
      <c r="D24" s="4">
        <f>Results!E22</f>
        <v>16</v>
      </c>
      <c r="E24" s="10">
        <f t="shared" si="0"/>
        <v>0.52830482909117671</v>
      </c>
      <c r="F24" s="10">
        <f t="shared" si="1"/>
        <v>1.1591951709088233</v>
      </c>
      <c r="G24" s="10">
        <f t="shared" si="2"/>
        <v>2.2158048290911765</v>
      </c>
    </row>
    <row r="25" spans="1:7">
      <c r="A25" s="12">
        <v>21</v>
      </c>
      <c r="B25" s="10">
        <f>Results!B23</f>
        <v>2.125</v>
      </c>
      <c r="C25" s="10">
        <f>Results!D23</f>
        <v>0.8850612031567836</v>
      </c>
      <c r="D25" s="4">
        <f>Results!E23</f>
        <v>16</v>
      </c>
      <c r="E25" s="10">
        <f t="shared" ref="E25:E30" si="6">CONFIDENCE(0.05, C25, D25)</f>
        <v>0.43367202057524584</v>
      </c>
      <c r="F25" s="10">
        <f t="shared" ref="F25:F30" si="7">B25-E25</f>
        <v>1.6913279794247542</v>
      </c>
      <c r="G25" s="10">
        <f t="shared" ref="G25:G30" si="8">B25+E25</f>
        <v>2.558672020575246</v>
      </c>
    </row>
    <row r="26" spans="1:7">
      <c r="A26" s="12">
        <v>22</v>
      </c>
      <c r="B26" s="10">
        <f>Results!B24</f>
        <v>1.5625</v>
      </c>
      <c r="C26" s="10">
        <f>Results!D24</f>
        <v>1.3647344063956182</v>
      </c>
      <c r="D26" s="4">
        <f>Results!E24</f>
        <v>16</v>
      </c>
      <c r="E26" s="10">
        <f t="shared" si="6"/>
        <v>0.66870757124951519</v>
      </c>
      <c r="F26" s="10">
        <f t="shared" si="7"/>
        <v>0.89379242875048481</v>
      </c>
      <c r="G26" s="10">
        <f t="shared" si="8"/>
        <v>2.2312075712495152</v>
      </c>
    </row>
    <row r="27" spans="1:7">
      <c r="A27" s="12">
        <v>23</v>
      </c>
      <c r="B27" s="10">
        <f>Results!B25</f>
        <v>2.25</v>
      </c>
      <c r="C27" s="10">
        <f>Results!D25</f>
        <v>1</v>
      </c>
      <c r="D27" s="4">
        <f>Results!E25</f>
        <v>16</v>
      </c>
      <c r="E27" s="10">
        <f t="shared" si="6"/>
        <v>0.4899909961350134</v>
      </c>
      <c r="F27" s="10">
        <f t="shared" si="7"/>
        <v>1.7600090038649867</v>
      </c>
      <c r="G27" s="10">
        <f t="shared" si="8"/>
        <v>2.7399909961350133</v>
      </c>
    </row>
    <row r="28" spans="1:7">
      <c r="A28" s="12">
        <v>24</v>
      </c>
      <c r="B28" s="10">
        <f>Results!B26</f>
        <v>2.5</v>
      </c>
      <c r="C28" s="10">
        <f>Results!D26</f>
        <v>0.63245553203367588</v>
      </c>
      <c r="D28" s="4">
        <f>Results!E26</f>
        <v>16</v>
      </c>
      <c r="E28" s="10">
        <f t="shared" si="6"/>
        <v>0.30989751615228073</v>
      </c>
      <c r="F28" s="10">
        <f t="shared" si="7"/>
        <v>2.1901024838477192</v>
      </c>
      <c r="G28" s="10">
        <f t="shared" si="8"/>
        <v>2.8098975161522808</v>
      </c>
    </row>
    <row r="29" spans="1:7">
      <c r="A29" s="12">
        <v>25</v>
      </c>
      <c r="B29" s="10">
        <f>Results!B27</f>
        <v>2.4375</v>
      </c>
      <c r="C29" s="10">
        <f>Results!D27</f>
        <v>0.62915286960589578</v>
      </c>
      <c r="D29" s="4">
        <f>Results!E27</f>
        <v>16</v>
      </c>
      <c r="E29" s="10">
        <f t="shared" si="6"/>
        <v>0.30827924129939505</v>
      </c>
      <c r="F29" s="10">
        <f t="shared" si="7"/>
        <v>2.1292207587006051</v>
      </c>
      <c r="G29" s="10">
        <f t="shared" si="8"/>
        <v>2.7457792412993949</v>
      </c>
    </row>
    <row r="30" spans="1:7">
      <c r="A30" s="12">
        <v>26</v>
      </c>
      <c r="B30" s="10">
        <f>Results!B28</f>
        <v>2.5625</v>
      </c>
      <c r="C30" s="10">
        <f>Results!D28</f>
        <v>0.51234753829797997</v>
      </c>
      <c r="D30" s="4">
        <f>Results!E28</f>
        <v>16</v>
      </c>
      <c r="E30" s="10">
        <f t="shared" si="6"/>
        <v>0.25104568065794913</v>
      </c>
      <c r="F30" s="10">
        <f t="shared" si="7"/>
        <v>2.3114543193420509</v>
      </c>
      <c r="G30" s="10">
        <f t="shared" si="8"/>
        <v>2.8135456806579491</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baseColWidth="10" defaultColWidth="8.88671875" defaultRowHeight="14.4"/>
  <cols>
    <col min="2" max="2" width="39.88671875" customWidth="1"/>
    <col min="3" max="3" width="8.88671875" customWidth="1"/>
    <col min="10" max="10" width="18" customWidth="1"/>
    <col min="11" max="11" width="5.33203125" customWidth="1"/>
  </cols>
  <sheetData>
    <row r="1" spans="1:11" ht="82.2"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unerfreulich/erfreulich</v>
      </c>
      <c r="C3" s="1">
        <f>COUNTIF(DT!A4:A1004,"-3")</f>
        <v>0</v>
      </c>
      <c r="D3" s="1">
        <f>COUNTIF(DT!A4:A1004,"-2")</f>
        <v>0</v>
      </c>
      <c r="E3" s="1">
        <f>COUNTIF(DT!A4:A1004,"-1")</f>
        <v>0</v>
      </c>
      <c r="F3" s="1">
        <f>COUNTIF(DT!A4:A1004,"0")</f>
        <v>0</v>
      </c>
      <c r="G3" s="1">
        <f>COUNTIF(DT!A4:A1004,"1")</f>
        <v>1</v>
      </c>
      <c r="H3" s="1">
        <f>COUNTIF(DT!A4:A1004,"2")</f>
        <v>7</v>
      </c>
      <c r="I3" s="1">
        <f>COUNTIF(DT!A4:A1004,"3")</f>
        <v>8</v>
      </c>
      <c r="J3" s="23" t="str">
        <f>Results!H3</f>
        <v>Attraktivität</v>
      </c>
    </row>
    <row r="4" spans="1:11">
      <c r="A4" s="2">
        <v>2</v>
      </c>
      <c r="B4" s="1" t="str">
        <f>_xlfn.CONCAT(Results!F4,"/",Results!G4)</f>
        <v>unverständlich/verständlich</v>
      </c>
      <c r="C4" s="1">
        <f>COUNTIF(DT!B4:B1004,"-3")</f>
        <v>0</v>
      </c>
      <c r="D4" s="1">
        <f>COUNTIF(DT!B4:B1004,"-2")</f>
        <v>0</v>
      </c>
      <c r="E4" s="1">
        <f>COUNTIF(DT!B4:B1004,"-1")</f>
        <v>0</v>
      </c>
      <c r="F4" s="1">
        <f>COUNTIF(DT!B4:B1004,"0")</f>
        <v>0</v>
      </c>
      <c r="G4" s="1">
        <f>COUNTIF(DT!B4:B1004,"1")</f>
        <v>4</v>
      </c>
      <c r="H4" s="1">
        <f>COUNTIF(DT!B4:B1004,"2")</f>
        <v>5</v>
      </c>
      <c r="I4" s="1">
        <f>COUNTIF(DT!B4:B1004,"3")</f>
        <v>7</v>
      </c>
      <c r="J4" s="23" t="str">
        <f>Results!H4</f>
        <v>Durchschaubarkeit</v>
      </c>
    </row>
    <row r="5" spans="1:11">
      <c r="A5" s="2">
        <v>3</v>
      </c>
      <c r="B5" s="1" t="str">
        <f>_xlfn.CONCAT(Results!G5,"/",Results!F5)</f>
        <v>phantasielos/kreativ</v>
      </c>
      <c r="C5" s="1">
        <f>COUNTIF(DT!C4:C1004,"-3")</f>
        <v>1</v>
      </c>
      <c r="D5" s="1">
        <f>COUNTIF(DT!C4:C1004,"-2")</f>
        <v>0</v>
      </c>
      <c r="E5" s="1">
        <f>COUNTIF(DT!C4:C1004,"-1")</f>
        <v>0</v>
      </c>
      <c r="F5" s="1">
        <f>COUNTIF(DT!C4:C1004,"0")</f>
        <v>0</v>
      </c>
      <c r="G5" s="1">
        <f>COUNTIF(DT!C4:C1004,"1")</f>
        <v>2</v>
      </c>
      <c r="H5" s="1">
        <f>COUNTIF(DT!C4:C1004,"2")</f>
        <v>4</v>
      </c>
      <c r="I5" s="1">
        <f>COUNTIF(DT!C4:C1004,"3")</f>
        <v>9</v>
      </c>
      <c r="J5" s="23" t="str">
        <f>Results!H5</f>
        <v>Originalität</v>
      </c>
    </row>
    <row r="6" spans="1:11">
      <c r="A6" s="2">
        <v>4</v>
      </c>
      <c r="B6" s="1" t="str">
        <f>_xlfn.CONCAT(Results!G6,"/",Results!F6)</f>
        <v>schwer zu lernen/leicht zu lernen</v>
      </c>
      <c r="C6" s="1">
        <f>COUNTIF(DT!D4:D1004,"-3")</f>
        <v>0</v>
      </c>
      <c r="D6" s="1">
        <f>COUNTIF(DT!D4:D1004,"-2")</f>
        <v>1</v>
      </c>
      <c r="E6" s="1">
        <f>COUNTIF(DT!D4:D1004,"-1")</f>
        <v>0</v>
      </c>
      <c r="F6" s="1">
        <f>COUNTIF(DT!D4:D1004,"0")</f>
        <v>1</v>
      </c>
      <c r="G6" s="1">
        <f>COUNTIF(DT!D4:D1004,"1")</f>
        <v>2</v>
      </c>
      <c r="H6" s="1">
        <f>COUNTIF(DT!D4:D1004,"2")</f>
        <v>8</v>
      </c>
      <c r="I6" s="1">
        <f>COUNTIF(DT!D4:D1004,"3")</f>
        <v>4</v>
      </c>
      <c r="J6" s="23" t="str">
        <f>Results!H6</f>
        <v>Durchschaubarkeit</v>
      </c>
    </row>
    <row r="7" spans="1:11">
      <c r="A7" s="2">
        <v>5</v>
      </c>
      <c r="B7" s="1" t="str">
        <f>_xlfn.CONCAT(Results!G7,"/",Results!F7)</f>
        <v>minderwertig/wertvoll</v>
      </c>
      <c r="C7" s="1">
        <f>COUNTIF(DT!E4:E1004,"-3")</f>
        <v>0</v>
      </c>
      <c r="D7" s="1">
        <f>COUNTIF(DT!E4:E1004,"-2")</f>
        <v>1</v>
      </c>
      <c r="E7" s="1">
        <f>COUNTIF(DT!E4:E1004,"-1")</f>
        <v>0</v>
      </c>
      <c r="F7" s="1">
        <f>COUNTIF(DT!E4:E1004,"0")</f>
        <v>0</v>
      </c>
      <c r="G7" s="1">
        <f>COUNTIF(DT!E4:E1004,"1")</f>
        <v>1</v>
      </c>
      <c r="H7" s="1">
        <f>COUNTIF(DT!E4:E1004,"2")</f>
        <v>8</v>
      </c>
      <c r="I7" s="1">
        <f>COUNTIF(DT!E4:E1004,"3")</f>
        <v>6</v>
      </c>
      <c r="J7" s="24" t="str">
        <f>Results!H7</f>
        <v>Stimulation</v>
      </c>
    </row>
    <row r="8" spans="1:11">
      <c r="A8" s="2">
        <v>6</v>
      </c>
      <c r="B8" s="1" t="str">
        <f>_xlfn.CONCAT(Results!F8,"/",Results!G8)</f>
        <v>langweilig/spannend</v>
      </c>
      <c r="C8" s="1">
        <f>COUNTIF(DT!F4:F1004,"-3")</f>
        <v>0</v>
      </c>
      <c r="D8" s="1">
        <f>COUNTIF(DT!F4:F1004,"-2")</f>
        <v>0</v>
      </c>
      <c r="E8" s="1">
        <f>COUNTIF(DT!F4:F1004,"-1")</f>
        <v>0</v>
      </c>
      <c r="F8" s="1">
        <f>COUNTIF(DT!F4:F1004,"0")</f>
        <v>0</v>
      </c>
      <c r="G8" s="1">
        <f>COUNTIF(DT!F4:F1004,"1")</f>
        <v>1</v>
      </c>
      <c r="H8" s="1">
        <f>COUNTIF(DT!F4:F1004,"2")</f>
        <v>5</v>
      </c>
      <c r="I8" s="1">
        <f>COUNTIF(DT!F4:F1004,"3")</f>
        <v>10</v>
      </c>
      <c r="J8" s="24" t="str">
        <f>Results!H8</f>
        <v>Stimulation</v>
      </c>
    </row>
    <row r="9" spans="1:11">
      <c r="A9" s="2">
        <v>7</v>
      </c>
      <c r="B9" s="1" t="str">
        <f>_xlfn.CONCAT(Results!F9,"/",Results!G9)</f>
        <v>uninteressant/interessant</v>
      </c>
      <c r="C9" s="1">
        <f>COUNTIF(DT!G4:G1004,"-3")</f>
        <v>0</v>
      </c>
      <c r="D9" s="1">
        <f>COUNTIF(DT!G4:G1004,"-2")</f>
        <v>0</v>
      </c>
      <c r="E9" s="1">
        <f>COUNTIF(DT!G4:G1004,"-1")</f>
        <v>0</v>
      </c>
      <c r="F9" s="1">
        <f>COUNTIF(DT!G4:G1004,"0")</f>
        <v>0</v>
      </c>
      <c r="G9" s="1">
        <f>COUNTIF(DT!G4:G1004,"1")</f>
        <v>1</v>
      </c>
      <c r="H9" s="1">
        <f>COUNTIF(DT!G4:G1004,"2")</f>
        <v>4</v>
      </c>
      <c r="I9" s="1">
        <f>COUNTIF(DT!G4:G1004,"3")</f>
        <v>11</v>
      </c>
      <c r="J9" s="24" t="str">
        <f>Results!H9</f>
        <v>Stimulation</v>
      </c>
    </row>
    <row r="10" spans="1:11">
      <c r="A10" s="2">
        <v>8</v>
      </c>
      <c r="B10" s="1" t="str">
        <f>_xlfn.CONCAT(Results!F10,"/",Results!G10)</f>
        <v>unberechenbar/voraussagbar</v>
      </c>
      <c r="C10" s="1">
        <f>COUNTIF(DT!H4:H1004,"-3")</f>
        <v>0</v>
      </c>
      <c r="D10" s="1">
        <f>COUNTIF(DT!H4:H1004,"-2")</f>
        <v>2</v>
      </c>
      <c r="E10" s="1">
        <f>COUNTIF(DT!H4:H1004,"-1")</f>
        <v>2</v>
      </c>
      <c r="F10" s="1">
        <f>COUNTIF(DT!H4:H1004,"0")</f>
        <v>3</v>
      </c>
      <c r="G10" s="1">
        <f>COUNTIF(DT!H4:H1004,"1")</f>
        <v>4</v>
      </c>
      <c r="H10" s="1">
        <f>COUNTIF(DT!H4:H1004,"2")</f>
        <v>5</v>
      </c>
      <c r="I10" s="1">
        <f>COUNTIF(DT!H4:H1004,"3")</f>
        <v>0</v>
      </c>
      <c r="J10" s="23" t="str">
        <f>Results!H10</f>
        <v>Steuerbarkeit</v>
      </c>
    </row>
    <row r="11" spans="1:11">
      <c r="A11" s="2">
        <v>9</v>
      </c>
      <c r="B11" s="1" t="str">
        <f>_xlfn.CONCAT(Results!G11,"/",Results!F11)</f>
        <v>langsam/schnell</v>
      </c>
      <c r="C11" s="1">
        <f>COUNTIF(DT!I4:I1004,"-3")</f>
        <v>0</v>
      </c>
      <c r="D11" s="1">
        <f>COUNTIF(DT!I4:I1004,"-2")</f>
        <v>0</v>
      </c>
      <c r="E11" s="1">
        <f>COUNTIF(DT!I4:I1004,"-1")</f>
        <v>2</v>
      </c>
      <c r="F11" s="1">
        <f>COUNTIF(DT!I4:I1004,"0")</f>
        <v>10</v>
      </c>
      <c r="G11" s="1">
        <f>COUNTIF(DT!I4:I1004,"1")</f>
        <v>2</v>
      </c>
      <c r="H11" s="1">
        <f>COUNTIF(DT!I4:I1004,"2")</f>
        <v>2</v>
      </c>
      <c r="I11" s="1">
        <f>COUNTIF(DT!I4:I1004,"3")</f>
        <v>0</v>
      </c>
      <c r="J11" s="23" t="str">
        <f>Results!H11</f>
        <v>Effizienz</v>
      </c>
    </row>
    <row r="12" spans="1:11">
      <c r="A12" s="2">
        <v>10</v>
      </c>
      <c r="B12" s="1" t="str">
        <f>_xlfn.CONCAT(Results!G12,"/",Results!F12)</f>
        <v>konventionell/originell</v>
      </c>
      <c r="C12" s="1">
        <f>COUNTIF(DT!J4:J1004,"-3")</f>
        <v>0</v>
      </c>
      <c r="D12" s="1">
        <f>COUNTIF(DT!J4:J1004,"-2")</f>
        <v>0</v>
      </c>
      <c r="E12" s="1">
        <f>COUNTIF(DT!J4:J1004,"-1")</f>
        <v>0</v>
      </c>
      <c r="F12" s="1">
        <f>COUNTIF(DT!J4:J1004,"0")</f>
        <v>1</v>
      </c>
      <c r="G12" s="1">
        <f>COUNTIF(DT!J4:J1004,"1")</f>
        <v>2</v>
      </c>
      <c r="H12" s="1">
        <f>COUNTIF(DT!J4:J1004,"2")</f>
        <v>10</v>
      </c>
      <c r="I12" s="1">
        <f>COUNTIF(DT!J4:J1004,"3")</f>
        <v>3</v>
      </c>
      <c r="J12" s="23" t="str">
        <f>Results!H12</f>
        <v>Originalität</v>
      </c>
    </row>
    <row r="13" spans="1:11">
      <c r="A13" s="2">
        <v>11</v>
      </c>
      <c r="B13" s="1" t="str">
        <f>_xlfn.CONCAT(Results!F13,"/",Results!G13)</f>
        <v>behindernd/unterstützend</v>
      </c>
      <c r="C13" s="1">
        <f>COUNTIF(DT!K4:K1004,"-3")</f>
        <v>0</v>
      </c>
      <c r="D13" s="1">
        <f>COUNTIF(DT!K4:K1004,"-2")</f>
        <v>0</v>
      </c>
      <c r="E13" s="1">
        <f>COUNTIF(DT!K4:K1004,"-1")</f>
        <v>0</v>
      </c>
      <c r="F13" s="1">
        <f>COUNTIF(DT!K4:K1004,"0")</f>
        <v>2</v>
      </c>
      <c r="G13" s="1">
        <f>COUNTIF(DT!K4:K1004,"1")</f>
        <v>2</v>
      </c>
      <c r="H13" s="1">
        <f>COUNTIF(DT!K4:K1004,"2")</f>
        <v>7</v>
      </c>
      <c r="I13" s="1">
        <f>COUNTIF(DT!K4:K1004,"3")</f>
        <v>5</v>
      </c>
      <c r="J13" s="23" t="str">
        <f>Results!H13</f>
        <v>Steuerbarkeit</v>
      </c>
    </row>
    <row r="14" spans="1:11">
      <c r="A14" s="2">
        <v>12</v>
      </c>
      <c r="B14" s="1" t="str">
        <f>_xlfn.CONCAT(Results!G14,"/",Results!F14)</f>
        <v xml:space="preserve">schlecht/gut </v>
      </c>
      <c r="C14" s="1">
        <f>COUNTIF(DT!L4:L1004,"-3")</f>
        <v>0</v>
      </c>
      <c r="D14" s="1">
        <f>COUNTIF(DT!L4:L1004,"-2")</f>
        <v>0</v>
      </c>
      <c r="E14" s="1">
        <f>COUNTIF(DT!L4:L1004,"-1")</f>
        <v>0</v>
      </c>
      <c r="F14" s="1">
        <f>COUNTIF(DT!L4:L1004,"0")</f>
        <v>0</v>
      </c>
      <c r="G14" s="1">
        <f>COUNTIF(DT!L4:L1004,"1")</f>
        <v>0</v>
      </c>
      <c r="H14" s="1">
        <f>COUNTIF(DT!L4:L1004,"2")</f>
        <v>7</v>
      </c>
      <c r="I14" s="1">
        <f>COUNTIF(DT!L4:L1004,"3")</f>
        <v>9</v>
      </c>
      <c r="J14" s="23" t="str">
        <f>Results!H14</f>
        <v>Attraktivität</v>
      </c>
    </row>
    <row r="15" spans="1:11">
      <c r="A15" s="2">
        <v>13</v>
      </c>
      <c r="B15" s="1" t="str">
        <f>_xlfn.CONCAT(Results!F15,"/",Results!G15)</f>
        <v>kompliziert/einfach</v>
      </c>
      <c r="C15" s="1">
        <f>COUNTIF(DT!M4:M1004,"-3")</f>
        <v>0</v>
      </c>
      <c r="D15" s="1">
        <f>COUNTIF(DT!M4:M1004,"-2")</f>
        <v>0</v>
      </c>
      <c r="E15" s="1">
        <f>COUNTIF(DT!M4:M1004,"-1")</f>
        <v>1</v>
      </c>
      <c r="F15" s="1">
        <f>COUNTIF(DT!M4:M1004,"0")</f>
        <v>4</v>
      </c>
      <c r="G15" s="1">
        <f>COUNTIF(DT!M4:M1004,"1")</f>
        <v>2</v>
      </c>
      <c r="H15" s="1">
        <f>COUNTIF(DT!M4:M1004,"2")</f>
        <v>6</v>
      </c>
      <c r="I15" s="1">
        <f>COUNTIF(DT!M4:M1004,"3")</f>
        <v>3</v>
      </c>
      <c r="J15" s="23" t="str">
        <f>Results!H15</f>
        <v>Durchschaubarkeit</v>
      </c>
    </row>
    <row r="16" spans="1:11">
      <c r="A16" s="2">
        <v>14</v>
      </c>
      <c r="B16" s="1" t="str">
        <f>_xlfn.CONCAT(Results!F16,"/",Results!G16)</f>
        <v>abstoßend/anziehend</v>
      </c>
      <c r="C16" s="1">
        <f>COUNTIF(DT!N4:N1004,"-3")</f>
        <v>0</v>
      </c>
      <c r="D16" s="1">
        <f>COUNTIF(DT!N4:N1004,"-2")</f>
        <v>0</v>
      </c>
      <c r="E16" s="1">
        <f>COUNTIF(DT!N4:N1004,"-1")</f>
        <v>0</v>
      </c>
      <c r="F16" s="1">
        <f>COUNTIF(DT!N4:N1004,"0")</f>
        <v>1</v>
      </c>
      <c r="G16" s="1">
        <f>COUNTIF(DT!N4:N1004,"1")</f>
        <v>3</v>
      </c>
      <c r="H16" s="1">
        <f>COUNTIF(DT!N4:N1004,"2")</f>
        <v>8</v>
      </c>
      <c r="I16" s="1">
        <f>COUNTIF(DT!N4:N1004,"3")</f>
        <v>4</v>
      </c>
      <c r="J16" s="23" t="str">
        <f>Results!H16</f>
        <v>Attraktivität</v>
      </c>
    </row>
    <row r="17" spans="1:10">
      <c r="A17" s="2">
        <v>15</v>
      </c>
      <c r="B17" s="1" t="str">
        <f>_xlfn.CONCAT(Results!F17,"/",Results!G17)</f>
        <v>herkömmlich/neuartig</v>
      </c>
      <c r="C17" s="1">
        <f>COUNTIF(DT!O4:O1004,"-3")</f>
        <v>0</v>
      </c>
      <c r="D17" s="1">
        <f>COUNTIF(DT!O4:O1004,"-2")</f>
        <v>0</v>
      </c>
      <c r="E17" s="1">
        <f>COUNTIF(DT!O4:O1004,"-1")</f>
        <v>0</v>
      </c>
      <c r="F17" s="1">
        <f>COUNTIF(DT!O4:O1004,"0")</f>
        <v>0</v>
      </c>
      <c r="G17" s="1">
        <f>COUNTIF(DT!O4:O1004,"1")</f>
        <v>3</v>
      </c>
      <c r="H17" s="1">
        <f>COUNTIF(DT!O4:O1004,"2")</f>
        <v>8</v>
      </c>
      <c r="I17" s="1">
        <f>COUNTIF(DT!O4:O1004,"3")</f>
        <v>5</v>
      </c>
      <c r="J17" s="23" t="str">
        <f>Results!H17</f>
        <v>Originalität</v>
      </c>
    </row>
    <row r="18" spans="1:10">
      <c r="A18" s="2">
        <v>16</v>
      </c>
      <c r="B18" s="1" t="str">
        <f>_xlfn.CONCAT(Results!F18,"/",Results!G18)</f>
        <v>unangenehm/angenehm</v>
      </c>
      <c r="C18" s="1">
        <f>COUNTIF(DT!P4:P1004,"-3")</f>
        <v>0</v>
      </c>
      <c r="D18" s="1">
        <f>COUNTIF(DT!P4:P1004,"-2")</f>
        <v>0</v>
      </c>
      <c r="E18" s="1">
        <f>COUNTIF(DT!P4:P1004,"-1")</f>
        <v>0</v>
      </c>
      <c r="F18" s="1">
        <f>COUNTIF(DT!P4:P1004,"0")</f>
        <v>0</v>
      </c>
      <c r="G18" s="1">
        <f>COUNTIF(DT!P4:P1004,"1")</f>
        <v>1</v>
      </c>
      <c r="H18" s="1">
        <f>COUNTIF(DT!P4:P1004,"2")</f>
        <v>9</v>
      </c>
      <c r="I18" s="1">
        <f>COUNTIF(DT!P4:P1004,"3")</f>
        <v>6</v>
      </c>
      <c r="J18" s="23" t="str">
        <f>Results!H18</f>
        <v>Attraktivität</v>
      </c>
    </row>
    <row r="19" spans="1:10">
      <c r="A19" s="2">
        <v>17</v>
      </c>
      <c r="B19" s="1" t="str">
        <f>_xlfn.CONCAT(Results!G19,"/",Results!F19)</f>
        <v xml:space="preserve">unsicher/sicher </v>
      </c>
      <c r="C19" s="1">
        <f>COUNTIF(DT!Q4:Q1004,"-3")</f>
        <v>0</v>
      </c>
      <c r="D19" s="1">
        <f>COUNTIF(DT!Q4:Q1004,"-2")</f>
        <v>0</v>
      </c>
      <c r="E19" s="1">
        <f>COUNTIF(DT!Q4:Q1004,"-1")</f>
        <v>1</v>
      </c>
      <c r="F19" s="1">
        <f>COUNTIF(DT!Q4:Q1004,"0")</f>
        <v>3</v>
      </c>
      <c r="G19" s="1">
        <f>COUNTIF(DT!Q4:Q1004,"1")</f>
        <v>1</v>
      </c>
      <c r="H19" s="1">
        <f>COUNTIF(DT!Q4:Q1004,"2")</f>
        <v>9</v>
      </c>
      <c r="I19" s="1">
        <f>COUNTIF(DT!Q4:Q1004,"3")</f>
        <v>2</v>
      </c>
      <c r="J19" s="23" t="str">
        <f>Results!H19</f>
        <v>Steuerbarkeit</v>
      </c>
    </row>
    <row r="20" spans="1:10">
      <c r="A20" s="2">
        <v>18</v>
      </c>
      <c r="B20" s="1" t="str">
        <f>_xlfn.CONCAT(Results!G20,"/",Results!F20)</f>
        <v>einschläfernd/aktivierend</v>
      </c>
      <c r="C20" s="1">
        <f>COUNTIF(DT!R4:R1004,"-3")</f>
        <v>0</v>
      </c>
      <c r="D20" s="1">
        <f>COUNTIF(DT!R4:R1004,"-2")</f>
        <v>0</v>
      </c>
      <c r="E20" s="1">
        <f>COUNTIF(DT!R4:R1004,"-1")</f>
        <v>0</v>
      </c>
      <c r="F20" s="1">
        <f>COUNTIF(DT!R4:R1004,"0")</f>
        <v>0</v>
      </c>
      <c r="G20" s="1">
        <f>COUNTIF(DT!R4:R1004,"1")</f>
        <v>2</v>
      </c>
      <c r="H20" s="1">
        <f>COUNTIF(DT!R4:R1004,"2")</f>
        <v>8</v>
      </c>
      <c r="I20" s="1">
        <f>COUNTIF(DT!R4:R1004,"3")</f>
        <v>6</v>
      </c>
      <c r="J20" s="24" t="str">
        <f>Results!H20</f>
        <v>Stimulation</v>
      </c>
    </row>
    <row r="21" spans="1:10">
      <c r="A21" s="2">
        <v>19</v>
      </c>
      <c r="B21" s="1" t="str">
        <f>_xlfn.CONCAT(Results!G21,"/",Results!F21)</f>
        <v>nicht erwartungskonform/erwartungskonform</v>
      </c>
      <c r="C21" s="1">
        <f>COUNTIF(DT!S4:S1004,"-3")</f>
        <v>0</v>
      </c>
      <c r="D21" s="1">
        <f>COUNTIF(DT!S4:S1004,"-2")</f>
        <v>0</v>
      </c>
      <c r="E21" s="1">
        <f>COUNTIF(DT!S4:S1004,"-1")</f>
        <v>1</v>
      </c>
      <c r="F21" s="1">
        <f>COUNTIF(DT!S4:S1004,"0")</f>
        <v>3</v>
      </c>
      <c r="G21" s="1">
        <f>COUNTIF(DT!S4:S1004,"1")</f>
        <v>4</v>
      </c>
      <c r="H21" s="1">
        <f>COUNTIF(DT!S4:S1004,"2")</f>
        <v>8</v>
      </c>
      <c r="I21" s="1">
        <f>COUNTIF(DT!S4:S1004,"3")</f>
        <v>0</v>
      </c>
      <c r="J21" s="23" t="str">
        <f>Results!H21</f>
        <v>Steuerbarkeit</v>
      </c>
    </row>
    <row r="22" spans="1:10">
      <c r="A22" s="2">
        <v>20</v>
      </c>
      <c r="B22" s="1" t="str">
        <f>_xlfn.CONCAT(Results!F22,"/",Results!G22)</f>
        <v>ineffizient/effizient</v>
      </c>
      <c r="C22" s="1">
        <f>COUNTIF(DT!T4:T1004,"-3")</f>
        <v>0</v>
      </c>
      <c r="D22" s="1">
        <f>COUNTIF(DT!T4:T1004,"-2")</f>
        <v>0</v>
      </c>
      <c r="E22" s="1">
        <f>COUNTIF(DT!T4:T1004,"-1")</f>
        <v>0</v>
      </c>
      <c r="F22" s="1">
        <f>COUNTIF(DT!T4:T1004,"0")</f>
        <v>3</v>
      </c>
      <c r="G22" s="1">
        <f>COUNTIF(DT!T4:T1004,"1")</f>
        <v>3</v>
      </c>
      <c r="H22" s="1">
        <f>COUNTIF(DT!T4:T1004,"2")</f>
        <v>6</v>
      </c>
      <c r="I22" s="1">
        <f>COUNTIF(DT!T4:T1004,"3")</f>
        <v>4</v>
      </c>
      <c r="J22" s="23" t="str">
        <f>Results!H22</f>
        <v>Effizienz</v>
      </c>
    </row>
    <row r="23" spans="1:10">
      <c r="A23" s="2">
        <v>21</v>
      </c>
      <c r="B23" s="1" t="str">
        <f>_xlfn.CONCAT(Results!G23,"/",Results!F23)</f>
        <v>verwirrend/übersichtlich</v>
      </c>
      <c r="C23" s="1">
        <f>COUNTIF(DT!U4:U1004,"-3")</f>
        <v>0</v>
      </c>
      <c r="D23" s="1">
        <f>COUNTIF(DT!U4:U1004,"-2")</f>
        <v>0</v>
      </c>
      <c r="E23" s="1">
        <f>COUNTIF(DT!U4:U1004,"-1")</f>
        <v>0</v>
      </c>
      <c r="F23" s="1">
        <f>COUNTIF(DT!U4:U1004,"0")</f>
        <v>1</v>
      </c>
      <c r="G23" s="1">
        <f>COUNTIF(DT!U4:U1004,"1")</f>
        <v>2</v>
      </c>
      <c r="H23" s="1">
        <f>COUNTIF(DT!U4:U1004,"2")</f>
        <v>7</v>
      </c>
      <c r="I23" s="1">
        <f>COUNTIF(DT!U4:U1004,"3")</f>
        <v>6</v>
      </c>
      <c r="J23" s="23" t="str">
        <f>Results!H23</f>
        <v>Durchschaubarkeit</v>
      </c>
    </row>
    <row r="24" spans="1:10">
      <c r="A24" s="2">
        <v>22</v>
      </c>
      <c r="B24" s="1" t="str">
        <f>_xlfn.CONCAT(Results!F24,"/",Results!G24)</f>
        <v>unpragmatisch/pragmatisch</v>
      </c>
      <c r="C24" s="1">
        <f>COUNTIF(DT!V4:V1004,"-3")</f>
        <v>0</v>
      </c>
      <c r="D24" s="1">
        <f>COUNTIF(DT!V4:V1004,"-2")</f>
        <v>0</v>
      </c>
      <c r="E24" s="1">
        <f>COUNTIF(DT!V4:V1004,"-1")</f>
        <v>1</v>
      </c>
      <c r="F24" s="1">
        <f>COUNTIF(DT!V4:V1004,"0")</f>
        <v>4</v>
      </c>
      <c r="G24" s="1">
        <f>COUNTIF(DT!V4:V1004,"1")</f>
        <v>1</v>
      </c>
      <c r="H24" s="1">
        <f>COUNTIF(DT!V4:V1004,"2")</f>
        <v>5</v>
      </c>
      <c r="I24" s="1">
        <f>COUNTIF(DT!V4:V1004,"3")</f>
        <v>5</v>
      </c>
      <c r="J24" s="23" t="str">
        <f>Results!H24</f>
        <v>Effizienz</v>
      </c>
    </row>
    <row r="25" spans="1:10">
      <c r="A25" s="2">
        <v>23</v>
      </c>
      <c r="B25" s="1" t="str">
        <f>_xlfn.CONCAT(Results!G25,"/",Results!F25)</f>
        <v>überladen/aufgeräumt</v>
      </c>
      <c r="C25" s="1">
        <f>COUNTIF(DT!W4:W1004,"-3")</f>
        <v>0</v>
      </c>
      <c r="D25" s="1">
        <f>COUNTIF(DT!W4:W1004,"-2")</f>
        <v>0</v>
      </c>
      <c r="E25" s="1">
        <f>COUNTIF(DT!W4:W1004,"-1")</f>
        <v>1</v>
      </c>
      <c r="F25" s="1">
        <f>COUNTIF(DT!W4:W1004,"0")</f>
        <v>0</v>
      </c>
      <c r="G25" s="1">
        <f>COUNTIF(DT!W4:W1004,"1")</f>
        <v>0</v>
      </c>
      <c r="H25" s="1">
        <f>COUNTIF(DT!W4:W1004,"2")</f>
        <v>8</v>
      </c>
      <c r="I25" s="1">
        <f>COUNTIF(DT!W4:W1004,"3")</f>
        <v>7</v>
      </c>
      <c r="J25" s="23" t="str">
        <f>Results!H25</f>
        <v>Effizienz</v>
      </c>
    </row>
    <row r="26" spans="1:10">
      <c r="A26" s="2">
        <v>24</v>
      </c>
      <c r="B26" s="1" t="str">
        <f>_xlfn.CONCAT(Results!G26,"/",Results!F26)</f>
        <v>unattraktiv/attraktiv</v>
      </c>
      <c r="C26" s="1">
        <f>COUNTIF(DT!X4:X1004,"-3")</f>
        <v>0</v>
      </c>
      <c r="D26" s="1">
        <f>COUNTIF(DT!X4:X1004,"-2")</f>
        <v>0</v>
      </c>
      <c r="E26" s="1">
        <f>COUNTIF(DT!X4:X1004,"-1")</f>
        <v>0</v>
      </c>
      <c r="F26" s="1">
        <f>COUNTIF(DT!X4:X1004,"0")</f>
        <v>0</v>
      </c>
      <c r="G26" s="1">
        <f>COUNTIF(DT!X4:X1004,"1")</f>
        <v>1</v>
      </c>
      <c r="H26" s="1">
        <f>COUNTIF(DT!X4:X1004,"2")</f>
        <v>6</v>
      </c>
      <c r="I26" s="1">
        <f>COUNTIF(DT!X4:X1004,"3")</f>
        <v>9</v>
      </c>
      <c r="J26" s="23" t="str">
        <f>Results!H26</f>
        <v>Attraktivität</v>
      </c>
    </row>
    <row r="27" spans="1:10">
      <c r="A27" s="2">
        <v>25</v>
      </c>
      <c r="B27" s="1" t="str">
        <f>_xlfn.CONCAT(Results!G27,"/",Results!F27)</f>
        <v>unsympathisch/sympathisch</v>
      </c>
      <c r="C27" s="1">
        <f>COUNTIF(DT!Y4:Y1004,"-3")</f>
        <v>0</v>
      </c>
      <c r="D27" s="1">
        <f>COUNTIF(DT!Y4:Y1004,"-2")</f>
        <v>0</v>
      </c>
      <c r="E27" s="1">
        <f>COUNTIF(DT!Y4:Y1004,"-1")</f>
        <v>0</v>
      </c>
      <c r="F27" s="1">
        <f>COUNTIF(DT!Y4:Y1004,"0")</f>
        <v>0</v>
      </c>
      <c r="G27" s="1">
        <f>COUNTIF(DT!Y4:Y1004,"1")</f>
        <v>1</v>
      </c>
      <c r="H27" s="1">
        <f>COUNTIF(DT!Y4:Y1004,"2")</f>
        <v>7</v>
      </c>
      <c r="I27" s="1">
        <f>COUNTIF(DT!Y4:Y1004,"3")</f>
        <v>8</v>
      </c>
      <c r="J27" s="23" t="str">
        <f>Results!H27</f>
        <v>Attraktivität</v>
      </c>
    </row>
    <row r="28" spans="1:10">
      <c r="A28" s="2">
        <v>26</v>
      </c>
      <c r="B28" s="1" t="str">
        <f>_xlfn.CONCAT(Results!F28,"/",Results!G28)</f>
        <v>konservativ/innovativ</v>
      </c>
      <c r="C28" s="1">
        <f>COUNTIF(DT!Z4:Z1004,"-3")</f>
        <v>0</v>
      </c>
      <c r="D28" s="1">
        <f>COUNTIF(DT!Z4:Z1004,"-2")</f>
        <v>0</v>
      </c>
      <c r="E28" s="1">
        <f>COUNTIF(DT!Z4:Z1004,"-1")</f>
        <v>0</v>
      </c>
      <c r="F28" s="1">
        <f>COUNTIF(DT!Z4:Z1004,"0")</f>
        <v>0</v>
      </c>
      <c r="G28" s="1">
        <f>COUNTIF(DT!Z4:Z1004,"1")</f>
        <v>0</v>
      </c>
      <c r="H28" s="1">
        <f>COUNTIF(DT!Z4:Z1004,"2")</f>
        <v>7</v>
      </c>
      <c r="I28" s="1">
        <f>COUNTIF(DT!Z4:Z1004,"3")</f>
        <v>9</v>
      </c>
      <c r="J28" s="23" t="str">
        <f>Results!H28</f>
        <v>Originalität</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baseColWidth="10" defaultColWidth="9.109375" defaultRowHeight="14.4"/>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c r="A1" s="141" t="s">
        <v>1278</v>
      </c>
      <c r="B1" s="161"/>
      <c r="C1" s="161"/>
      <c r="D1" s="161"/>
      <c r="E1" s="161"/>
      <c r="F1" s="161"/>
      <c r="G1" s="161"/>
      <c r="H1" s="161"/>
      <c r="I1" s="161"/>
      <c r="J1" s="161"/>
      <c r="K1" s="161"/>
      <c r="L1" s="161"/>
      <c r="M1" s="161"/>
      <c r="N1" s="161"/>
      <c r="O1" s="161"/>
      <c r="P1" s="161"/>
      <c r="Q1" s="161"/>
      <c r="R1" s="161"/>
    </row>
    <row r="2" spans="1:18" ht="18.600000000000001" customHeight="1">
      <c r="A2" s="42"/>
      <c r="B2" s="43"/>
      <c r="C2" s="43"/>
      <c r="D2" s="43"/>
      <c r="E2" s="43"/>
      <c r="F2" s="43"/>
      <c r="G2" s="43"/>
      <c r="H2" s="43"/>
      <c r="I2" s="43"/>
      <c r="J2" s="43"/>
      <c r="K2" s="43"/>
      <c r="L2" s="43"/>
      <c r="M2" s="43"/>
      <c r="N2" s="43"/>
      <c r="O2" s="43"/>
      <c r="P2" s="43"/>
      <c r="Q2" s="43"/>
      <c r="R2" s="43"/>
    </row>
    <row r="3" spans="1:18" ht="172.95" customHeight="1">
      <c r="A3" s="162"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Attraktivität</v>
      </c>
      <c r="B5" s="145"/>
      <c r="D5" s="149" t="str">
        <f>VLOOKUP(Read_First!B5,Items!A1:BI50,55,FALSE)</f>
        <v>Durchschaubarkeit</v>
      </c>
      <c r="E5" s="149"/>
      <c r="G5" s="149" t="str">
        <f>VLOOKUP(Read_First!B5,Items!A1:BI50,56,FALSE)</f>
        <v>Effizienz</v>
      </c>
      <c r="H5" s="149"/>
      <c r="J5" s="149" t="str">
        <f>VLOOKUP(Read_First!B5,Items!A1:BI50,57,FALSE)</f>
        <v>Steuerbarkeit</v>
      </c>
      <c r="K5" s="149"/>
      <c r="M5" s="149" t="str">
        <f>VLOOKUP(Read_First!B5,Items!A1:BI50,58,FALSE)</f>
        <v>Stimulation</v>
      </c>
      <c r="N5" s="149"/>
      <c r="P5" s="149" t="str">
        <f>VLOOKUP(Read_First!B5,Items!A1:BI50,59,FALSE)</f>
        <v>Originalität</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0.21974390806001973</v>
      </c>
      <c r="D7" s="79" t="s">
        <v>5</v>
      </c>
      <c r="E7" s="80">
        <f>CORREL(DT!B4:B1004,DT!D4:D1004)</f>
        <v>0.60358212137662681</v>
      </c>
      <c r="G7" s="79" t="s">
        <v>11</v>
      </c>
      <c r="H7" s="80">
        <f>CORREL(DT!I4:I1004,DT!T4:T1004)</f>
        <v>0.45127530089490192</v>
      </c>
      <c r="J7" s="79" t="s">
        <v>17</v>
      </c>
      <c r="K7" s="80">
        <f>CORREL(DT!H4:H1004,DT!K4:K1004)</f>
        <v>-0.1653363926472701</v>
      </c>
      <c r="M7" s="79" t="s">
        <v>24</v>
      </c>
      <c r="N7" s="80">
        <f>CORREL(DT!E4:E1004,DT!F4:F1004)</f>
        <v>0.38024500166808362</v>
      </c>
      <c r="P7" s="79" t="s">
        <v>34</v>
      </c>
      <c r="Q7" s="80">
        <f>CORREL(DT!C4:C1004,DT!J4:J1004)</f>
        <v>6.2937062937062943E-2</v>
      </c>
    </row>
    <row r="8" spans="1:18">
      <c r="A8" s="31" t="s">
        <v>37</v>
      </c>
      <c r="B8" s="32">
        <f>CORREL(DT!A4:A1004,DT!N4:N1004)</f>
        <v>0.79883373635936583</v>
      </c>
      <c r="D8" s="31" t="s">
        <v>6</v>
      </c>
      <c r="E8" s="32">
        <f>CORREL(DT!B4:B1004,DT!M4:M1004)</f>
        <v>0.18260295353173356</v>
      </c>
      <c r="G8" s="31" t="s">
        <v>12</v>
      </c>
      <c r="H8" s="32">
        <f>CORREL(DT!I4:I1004,DT!V4:V1004)</f>
        <v>0.2139149586120587</v>
      </c>
      <c r="J8" s="31" t="s">
        <v>18</v>
      </c>
      <c r="K8" s="32">
        <f>CORREL(DT!H4:H1004,DT!Q4:Q1004)</f>
        <v>0</v>
      </c>
      <c r="M8" s="31" t="s">
        <v>25</v>
      </c>
      <c r="N8" s="32">
        <f>CORREL(DT!E4:E1004,DT!G4:G1004)</f>
        <v>0.72925237563303547</v>
      </c>
      <c r="P8" s="31" t="s">
        <v>33</v>
      </c>
      <c r="Q8" s="32">
        <f>CORREL(DT!C4:C1004,DT!O4:O1004)</f>
        <v>0.58575464522172338</v>
      </c>
    </row>
    <row r="9" spans="1:18">
      <c r="A9" s="31" t="s">
        <v>38</v>
      </c>
      <c r="B9" s="32">
        <f>CORREL(DT!A4:A1004,DT!P4:P1004)</f>
        <v>-3.2998927552281544E-2</v>
      </c>
      <c r="D9" s="31" t="s">
        <v>7</v>
      </c>
      <c r="E9" s="32">
        <f>CORREL(DT!B4:B1004,DT!U4:U1004)</f>
        <v>0.14673583500480469</v>
      </c>
      <c r="G9" s="31" t="s">
        <v>13</v>
      </c>
      <c r="H9" s="32">
        <f>CORREL(DT!I4:I1004,DT!W4:W1004)</f>
        <v>0.38924947208076149</v>
      </c>
      <c r="J9" s="31" t="s">
        <v>19</v>
      </c>
      <c r="K9" s="32">
        <f>CORREL(DT!H4:H1004,DT!S4:S1004)</f>
        <v>-0.31232498706779377</v>
      </c>
      <c r="M9" s="31" t="s">
        <v>26</v>
      </c>
      <c r="N9" s="32">
        <f>CORREL(DT!E4:E1004,DT!R4:R1004)</f>
        <v>0.37486211296537103</v>
      </c>
      <c r="P9" s="31" t="s">
        <v>32</v>
      </c>
      <c r="Q9" s="32">
        <f>CORREL(DT!C4:C1004,DT!Z4:Z1004)</f>
        <v>0.41089070180665904</v>
      </c>
    </row>
    <row r="10" spans="1:18">
      <c r="A10" s="31" t="s">
        <v>39</v>
      </c>
      <c r="B10" s="32">
        <f>CORREL(DT!A4:A1004,DT!X4:X1004)</f>
        <v>0.41885390829169561</v>
      </c>
      <c r="D10" s="31" t="s">
        <v>8</v>
      </c>
      <c r="E10" s="32">
        <f>CORREL(DT!D4:D1004,DT!M4:M1004)</f>
        <v>0.22571523745873392</v>
      </c>
      <c r="G10" s="31" t="s">
        <v>14</v>
      </c>
      <c r="H10" s="32">
        <f>CORREL(DT!T4:T1004,DT!V4:V1004)</f>
        <v>0.80702873194150593</v>
      </c>
      <c r="J10" s="31" t="s">
        <v>20</v>
      </c>
      <c r="K10" s="32">
        <f>CORREL(DT!K4:K1004,DT!Q4:Q1004)</f>
        <v>0.26035058436316727</v>
      </c>
      <c r="M10" s="31" t="s">
        <v>27</v>
      </c>
      <c r="N10" s="32">
        <f>CORREL(DT!F4:F1004,DT!G4:G1004)</f>
        <v>0.74875946222097689</v>
      </c>
      <c r="P10" s="31" t="s">
        <v>31</v>
      </c>
      <c r="Q10" s="32">
        <f>CORREL(DT!J4:J1004,DT!O4:O1004)</f>
        <v>0.25532894791716149</v>
      </c>
    </row>
    <row r="11" spans="1:18">
      <c r="A11" s="31" t="s">
        <v>40</v>
      </c>
      <c r="B11" s="32">
        <f>CORREL(DT!A4:A1004,DT!Y4:Y1004)</f>
        <v>0.66315789473684217</v>
      </c>
      <c r="D11" s="31" t="s">
        <v>9</v>
      </c>
      <c r="E11" s="32">
        <f>CORREL(DT!D4:D1004,DT!U4:U1004)</f>
        <v>0.26255698469621019</v>
      </c>
      <c r="G11" s="31" t="s">
        <v>15</v>
      </c>
      <c r="H11" s="32">
        <f>CORREL(DT!T4:T1004,DT!W4:W1004)</f>
        <v>0.63377649087222987</v>
      </c>
      <c r="J11" s="31" t="s">
        <v>21</v>
      </c>
      <c r="K11" s="32">
        <f>CORREL(DT!K4:K1004,DT!S4:S1004)</f>
        <v>0.28514769301577625</v>
      </c>
      <c r="M11" s="31" t="s">
        <v>28</v>
      </c>
      <c r="N11" s="32">
        <f>CORREL(DT!F4:F1004,DT!R4:R1004)</f>
        <v>0.58167505074711101</v>
      </c>
      <c r="P11" s="31" t="s">
        <v>30</v>
      </c>
      <c r="Q11" s="32">
        <f>CORREL(DT!J4:J1004,DT!Z4:Z1004)</f>
        <v>0.26339147551708914</v>
      </c>
    </row>
    <row r="12" spans="1:18">
      <c r="A12" s="31" t="s">
        <v>41</v>
      </c>
      <c r="B12" s="32">
        <f>CORREL(DT!L4:L1004,DT!N4:N1004)</f>
        <v>0.39047619047619048</v>
      </c>
      <c r="D12" s="31" t="s">
        <v>10</v>
      </c>
      <c r="E12" s="32">
        <f>CORREL(DT!M4:M1004,DT!U4:U1004)</f>
        <v>0.733306185659232</v>
      </c>
      <c r="G12" s="31" t="s">
        <v>16</v>
      </c>
      <c r="H12" s="32">
        <f>CORREL(DT!V4:V1004,DT!W4:W1004)</f>
        <v>0.57398225593372754</v>
      </c>
      <c r="J12" s="31" t="s">
        <v>22</v>
      </c>
      <c r="K12" s="32">
        <f>CORREL(DT!Q4:Q1004,DT!S4:S1004)</f>
        <v>2.9424494316824982E-2</v>
      </c>
      <c r="M12" s="31" t="s">
        <v>23</v>
      </c>
      <c r="N12" s="32">
        <f>CORREL(DT!G4:G1004,DT!R4:R1004)</f>
        <v>0.39405520311955033</v>
      </c>
      <c r="P12" s="31" t="s">
        <v>29</v>
      </c>
      <c r="Q12" s="32">
        <f>CORREL(DT!O4:O1004,DT!Z4:Z1004)</f>
        <v>0.70147237441220178</v>
      </c>
    </row>
    <row r="13" spans="1:18">
      <c r="A13" s="31" t="s">
        <v>42</v>
      </c>
      <c r="B13" s="32">
        <f>CORREL(DT!L4:L1004,DT!P4:P1004)</f>
        <v>0.4727571907759795</v>
      </c>
      <c r="D13" s="33" t="s">
        <v>826</v>
      </c>
      <c r="E13" s="32">
        <f>AVERAGE(E7:E12)</f>
        <v>0.35908321962122347</v>
      </c>
      <c r="G13" s="33" t="s">
        <v>826</v>
      </c>
      <c r="H13" s="32">
        <f>AVERAGE(H7:H12)</f>
        <v>0.51153786838919757</v>
      </c>
      <c r="J13" s="33" t="s">
        <v>826</v>
      </c>
      <c r="K13" s="32">
        <f>AVERAGE(K7:K12)</f>
        <v>1.6210231996784109E-2</v>
      </c>
      <c r="M13" s="33" t="s">
        <v>826</v>
      </c>
      <c r="N13" s="32">
        <f>AVERAGE(N7:N12)</f>
        <v>0.53480820105902138</v>
      </c>
      <c r="P13" s="33" t="s">
        <v>826</v>
      </c>
      <c r="Q13" s="32">
        <f>AVERAGE(Q7:Q12)</f>
        <v>0.37996253463531632</v>
      </c>
    </row>
    <row r="14" spans="1:18">
      <c r="A14" s="31" t="s">
        <v>43</v>
      </c>
      <c r="B14" s="32">
        <f>CORREL(DT!L4:L1004,DT!X4:X1004)</f>
        <v>0.10286889997472794</v>
      </c>
      <c r="C14" s="7"/>
      <c r="D14" s="44" t="s">
        <v>4</v>
      </c>
      <c r="E14" s="45">
        <f>(4*E13)/(1+(3*E13))</f>
        <v>0.69145895504472932</v>
      </c>
      <c r="F14" s="46"/>
      <c r="G14" s="44" t="s">
        <v>4</v>
      </c>
      <c r="H14" s="45">
        <f>(4*H13)/(1+(3*H13))</f>
        <v>0.8072833939599624</v>
      </c>
      <c r="I14" s="46"/>
      <c r="J14" s="44" t="s">
        <v>4</v>
      </c>
      <c r="K14" s="45">
        <f>(4*K13)/(1+(3*K13))</f>
        <v>6.1833902283300109E-2</v>
      </c>
      <c r="L14" s="46"/>
      <c r="M14" s="44" t="s">
        <v>4</v>
      </c>
      <c r="N14" s="45">
        <f>(4*N13)/(1+(3*N13))</f>
        <v>0.82138404069232629</v>
      </c>
      <c r="P14" s="44" t="s">
        <v>4</v>
      </c>
      <c r="Q14" s="45">
        <f>(4*Q13)/(1+(3*Q13))</f>
        <v>0.71024764841250265</v>
      </c>
    </row>
    <row r="15" spans="1:18">
      <c r="A15" s="31" t="s">
        <v>44</v>
      </c>
      <c r="B15" s="32">
        <f>CORREL(DT!L4:L1004,DT!Y4:Y1004)</f>
        <v>1.2926112238824689E-2</v>
      </c>
      <c r="D15" s="166" t="s">
        <v>1462</v>
      </c>
      <c r="E15" s="36">
        <f>1-EXP(LN(1-E14)+1.96*SQRT(8/(3*(Results!E3-2))))</f>
        <v>0.27420398005982061</v>
      </c>
      <c r="G15" s="166" t="s">
        <v>1462</v>
      </c>
      <c r="H15" s="36">
        <f>1-EXP(LN(1-H14)+1.96*SQRT(8/(3*(Results!E3-2))))</f>
        <v>0.5466634085571459</v>
      </c>
      <c r="J15" s="166" t="s">
        <v>1462</v>
      </c>
      <c r="K15" s="36">
        <f>1-EXP(LN(1-K14)+1.96*SQRT(8/(3*(Results!E3-2))))</f>
        <v>-1.2068934778654912</v>
      </c>
      <c r="M15" s="166" t="s">
        <v>1462</v>
      </c>
      <c r="N15" s="36">
        <f>1-EXP(LN(1-N14)+1.96*SQRT(8/(3*(Results!E3-2))))</f>
        <v>0.5798330417202664</v>
      </c>
      <c r="P15" s="166" t="s">
        <v>1462</v>
      </c>
      <c r="Q15" s="36">
        <f>1-EXP(LN(1-Q14)+1.96*SQRT(8/(3*(Results!E3-2))))</f>
        <v>0.31840153201983057</v>
      </c>
    </row>
    <row r="16" spans="1:18">
      <c r="A16" s="31" t="s">
        <v>45</v>
      </c>
      <c r="B16" s="32">
        <f>CORREL(DT!N4:N1004,DT!P4:P1004)</f>
        <v>0.17019258867935264</v>
      </c>
      <c r="D16" s="167"/>
      <c r="E16" s="36">
        <f>1-EXP(LN(1-E14)-1.96*SQRT(8/(3*(Results!E3-2))))</f>
        <v>0.86883700956373855</v>
      </c>
      <c r="G16" s="167"/>
      <c r="H16" s="36">
        <f>1-EXP(LN(1-H14)-1.96*SQRT(8/(3*(Results!E3-2))))</f>
        <v>0.9180748014948783</v>
      </c>
      <c r="J16" s="167"/>
      <c r="K16" s="36">
        <f>1-EXP(LN(1-K14)-1.96*SQRT(8/(3*(Results!E3-2))))</f>
        <v>0.60117892606385892</v>
      </c>
      <c r="M16" s="167"/>
      <c r="N16" s="36">
        <f>1-EXP(LN(1-N14)-1.96*SQRT(8/(3*(Results!E3-2))))</f>
        <v>0.92406908660780473</v>
      </c>
      <c r="P16" s="167"/>
      <c r="Q16" s="36">
        <f>1-EXP(LN(1-Q14)-1.96*SQRT(8/(3*(Results!E3-2))))</f>
        <v>0.87682421661058174</v>
      </c>
    </row>
    <row r="17" spans="1:18">
      <c r="A17" s="31" t="s">
        <v>46</v>
      </c>
      <c r="B17" s="32">
        <f>CORREL(DT!N4:N1004,DT!X4:X1004)</f>
        <v>0.5554920598635309</v>
      </c>
    </row>
    <row r="18" spans="1:18">
      <c r="A18" s="31" t="s">
        <v>47</v>
      </c>
      <c r="B18" s="32">
        <f>CORREL(DT!N4:N1004,DT!Y4:Y1004)</f>
        <v>0.5506523813739318</v>
      </c>
    </row>
    <row r="19" spans="1:18">
      <c r="A19" s="31" t="s">
        <v>48</v>
      </c>
      <c r="B19" s="32">
        <f>CORREL(DT!P4:P1004,DT!X4:X1004)</f>
        <v>0.26261286571944509</v>
      </c>
    </row>
    <row r="20" spans="1:18">
      <c r="A20" s="31" t="s">
        <v>116</v>
      </c>
      <c r="B20" s="32">
        <f>CORREL(DT!P4:P1004,DT!Y4:Y1004)</f>
        <v>0.14299535272655334</v>
      </c>
    </row>
    <row r="21" spans="1:18">
      <c r="A21" s="31" t="s">
        <v>35</v>
      </c>
      <c r="B21" s="32">
        <f>CORREL(DT!X4:X1004,DT!Y4:Y1004)</f>
        <v>0.5863954716083738</v>
      </c>
    </row>
    <row r="22" spans="1:18">
      <c r="A22" s="33" t="s">
        <v>826</v>
      </c>
      <c r="B22" s="32">
        <f>AVERAGE(B7:B21)</f>
        <v>0.3543306422221702</v>
      </c>
    </row>
    <row r="23" spans="1:18">
      <c r="A23" s="44" t="s">
        <v>4</v>
      </c>
      <c r="B23" s="45">
        <f>(6*B22)/(1+(5*B22))</f>
        <v>0.76704540265372811</v>
      </c>
    </row>
    <row r="24" spans="1:18">
      <c r="A24" s="166" t="s">
        <v>1462</v>
      </c>
      <c r="B24" s="36">
        <f>1-EXP(LN(1-B23)+1.96*SQRT(12/(5*(Results!E3-2))))</f>
        <v>0.4755444529773496</v>
      </c>
    </row>
    <row r="25" spans="1:18">
      <c r="A25" s="167"/>
      <c r="B25" s="36">
        <f>1-EXP(LN(1-B23)-1.96*SQRT(12/(5*(Results!E3-2))))</f>
        <v>0.89652536857919829</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Attraktivität</v>
      </c>
      <c r="B29" s="165"/>
      <c r="D29" s="165" t="str">
        <f>VLOOKUP(Read_First!B5,Items!A1:BI50,55,FALSE)</f>
        <v>Durchschaubarkeit</v>
      </c>
      <c r="E29" s="165"/>
      <c r="G29" s="165" t="str">
        <f>VLOOKUP(Read_First!B5,Items!A1:BI50,56,FALSE)</f>
        <v>Effizienz</v>
      </c>
      <c r="H29" s="165"/>
      <c r="J29" s="165" t="str">
        <f>VLOOKUP(Read_First!B5,Items!A1:BI50,57,FALSE)</f>
        <v>Steuerbarkeit</v>
      </c>
      <c r="K29" s="165"/>
      <c r="M29" s="165" t="str">
        <f>VLOOKUP(Read_First!B5,Items!A1:BI5,58,FALSE)</f>
        <v>Stimulation</v>
      </c>
      <c r="N29" s="165"/>
      <c r="P29" s="165" t="str">
        <f>VLOOKUP(Read_First!B5,Items!A1:BI55,59,FALSE)</f>
        <v>Originalität</v>
      </c>
      <c r="Q29" s="165"/>
    </row>
    <row r="30" spans="1:18">
      <c r="A30" s="41" t="s">
        <v>1277</v>
      </c>
      <c r="B30" s="41">
        <f>1-((Results!C3+Results!C14+Results!C16+Results!C18+Results!C26+Results!C27)/(36*(Results!M3)))</f>
        <v>0.64783861671469833</v>
      </c>
      <c r="D30" s="41" t="s">
        <v>1277</v>
      </c>
      <c r="E30" s="41">
        <f>1-((Results!C4+Results!C6+Results!C15+Results!C23)/(16*(Results!M4)))</f>
        <v>0.50716456795484155</v>
      </c>
      <c r="G30" s="41" t="s">
        <v>1277</v>
      </c>
      <c r="H30" s="41">
        <f>1-((Results!C11+Results!C22+Results!C24+Results!C25)/(16*(Results!M5)))</f>
        <v>0.60566298342541436</v>
      </c>
      <c r="J30" s="41" t="s">
        <v>1277</v>
      </c>
      <c r="K30" s="41">
        <f>1-((Results!C10+Results!C13+Results!C19+Results!C21)/(16*(Results!M6)))</f>
        <v>-2.0900321543408262E-2</v>
      </c>
      <c r="M30" s="41" t="s">
        <v>1277</v>
      </c>
      <c r="N30" s="41">
        <f>1-((Results!C7+Results!C8+Results!C9+Results!C20)/(16*(Results!M7)))</f>
        <v>0.57525510204081631</v>
      </c>
      <c r="P30" s="41" t="s">
        <v>1277</v>
      </c>
      <c r="Q30" s="41">
        <f>1-((Results!C5+Results!C12+Results!C17+Results!C28)/(16*(Results!M8)))</f>
        <v>0.45266990291262132</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4.4097900390625E-3</v>
      </c>
      <c r="D33" s="31" t="s">
        <v>5</v>
      </c>
      <c r="E33" s="32">
        <f>_xlfn.COVARIANCE.S(DT!B4:B1004,DT!D4:D1004)^2</f>
        <v>0.42250000000000004</v>
      </c>
      <c r="G33" s="31" t="s">
        <v>11</v>
      </c>
      <c r="H33" s="32">
        <f>COVAR(DT!I4:I1004,DT!T4:T1004)^2</f>
        <v>0.152587890625</v>
      </c>
      <c r="J33" s="31" t="s">
        <v>17</v>
      </c>
      <c r="K33" s="32">
        <f>COVAR(DT!H4:H1004,DT!K4:K1004)^2</f>
        <v>4.78515625E-2</v>
      </c>
      <c r="M33" s="31" t="s">
        <v>24</v>
      </c>
      <c r="N33" s="32">
        <f>COVAR(DT!E4:E1004,DT!F4:F1004)^2</f>
        <v>7.69195556640625E-2</v>
      </c>
      <c r="P33" s="31" t="s">
        <v>34</v>
      </c>
      <c r="Q33" s="32">
        <f>COVAR(DT!C4:C1004,DT!J4:J1004)^2</f>
        <v>4.94384765625E-3</v>
      </c>
    </row>
    <row r="34" spans="1:17">
      <c r="A34" s="31" t="s">
        <v>37</v>
      </c>
      <c r="B34" s="32">
        <f>COVAR(DT!A4:A1004,DT!N4:N1004)^2</f>
        <v>0.1618804931640625</v>
      </c>
      <c r="D34" s="31" t="s">
        <v>6</v>
      </c>
      <c r="E34" s="32">
        <f>_xlfn.COVARIANCE.S(DT!B4:B1004,DT!M4:M1004)^2</f>
        <v>3.6736111111111115E-2</v>
      </c>
      <c r="G34" s="31" t="s">
        <v>12</v>
      </c>
      <c r="H34" s="32">
        <f>COVAR(DT!I4:I1004,DT!V4:V1004)^2</f>
        <v>5.4931640625E-2</v>
      </c>
      <c r="J34" s="31" t="s">
        <v>18</v>
      </c>
      <c r="K34" s="32">
        <f>COVAR(DT!H4:H1004,DT!Q4:Q1004)^2</f>
        <v>0</v>
      </c>
      <c r="M34" s="31" t="s">
        <v>25</v>
      </c>
      <c r="N34" s="32">
        <f>COVAR(DT!E4:E1004,DT!G4:G1004)^2</f>
        <v>0.27398681640625</v>
      </c>
      <c r="P34" s="31" t="s">
        <v>33</v>
      </c>
      <c r="Q34" s="32">
        <f>COVAR(DT!C4:C1004,DT!O4:O1004)^2</f>
        <v>0.371337890625</v>
      </c>
    </row>
    <row r="35" spans="1:17">
      <c r="A35" s="31" t="s">
        <v>38</v>
      </c>
      <c r="B35" s="32">
        <f>COVAR(DT!A4:A1004,DT!P4:P1004)^2</f>
        <v>1.373291015625E-4</v>
      </c>
      <c r="D35" s="31" t="s">
        <v>7</v>
      </c>
      <c r="E35" s="32">
        <f>_xlfn.COVARIANCE.S(DT!B4:B1004,DT!U4:U1004)^2</f>
        <v>1.1736111111111112E-2</v>
      </c>
      <c r="G35" s="31" t="s">
        <v>13</v>
      </c>
      <c r="H35" s="32">
        <f>COVAR(DT!I4:I1004,DT!W4:W1004)^2</f>
        <v>9.765625E-2</v>
      </c>
      <c r="J35" s="31" t="s">
        <v>19</v>
      </c>
      <c r="K35" s="32">
        <f>COVAR(DT!H4:H1004,DT!S4:S1004)^2</f>
        <v>0.1650390625</v>
      </c>
      <c r="M35" s="31" t="s">
        <v>26</v>
      </c>
      <c r="N35" s="32">
        <f>COVAR(DT!E4:E1004,DT!R4:R1004)^2</f>
        <v>8.8134765625E-2</v>
      </c>
      <c r="P35" s="31" t="s">
        <v>32</v>
      </c>
      <c r="Q35" s="32">
        <f>COVAR(DT!C4:C1004,DT!Z4:Z1004)^2</f>
        <v>9.283447265625E-2</v>
      </c>
    </row>
    <row r="36" spans="1:17">
      <c r="A36" s="31" t="s">
        <v>39</v>
      </c>
      <c r="B36" s="32">
        <f>COVAR(DT!A4:A1004,DT!X4:X1004)^2</f>
        <v>2.44140625E-2</v>
      </c>
      <c r="D36" s="31" t="s">
        <v>8</v>
      </c>
      <c r="E36" s="32">
        <f>_xlfn.COVARIANCE.S(DT!D4:D1004,DT!M4:M1004)^2</f>
        <v>0.13444444444444442</v>
      </c>
      <c r="G36" s="31" t="s">
        <v>14</v>
      </c>
      <c r="H36" s="32">
        <f>COVAR(DT!T4:T1004,DT!V4:V1004)^2</f>
        <v>1.2393951416015625</v>
      </c>
      <c r="J36" s="31" t="s">
        <v>20</v>
      </c>
      <c r="K36" s="32">
        <f>COVAR(DT!K4:K1004,DT!Q4:Q1004)^2</f>
        <v>7.91015625E-2</v>
      </c>
      <c r="M36" s="31" t="s">
        <v>27</v>
      </c>
      <c r="N36" s="32">
        <f>COVAR(DT!F4:F1004,DT!G4:G1004)^2</f>
        <v>7.476806640625E-2</v>
      </c>
      <c r="P36" s="31" t="s">
        <v>31</v>
      </c>
      <c r="Q36" s="32">
        <f>COVAR(DT!J4:J1004,DT!O4:O1004)^2</f>
        <v>1.763916015625E-2</v>
      </c>
    </row>
    <row r="37" spans="1:17">
      <c r="A37" s="31" t="s">
        <v>40</v>
      </c>
      <c r="B37" s="32">
        <f>COVAR(DT!A4:A1004,DT!Y4:Y1004)^2</f>
        <v>6.05621337890625E-2</v>
      </c>
      <c r="D37" s="31" t="s">
        <v>9</v>
      </c>
      <c r="E37" s="32">
        <f>_xlfn.COVARIANCE.S(DT!D4:D1004,DT!U4:U1004)^2</f>
        <v>0.09</v>
      </c>
      <c r="G37" s="31" t="s">
        <v>15</v>
      </c>
      <c r="H37" s="32">
        <f>COVAR(DT!T4:T1004,DT!W4:W1004)^2</f>
        <v>0.410400390625</v>
      </c>
      <c r="J37" s="31" t="s">
        <v>21</v>
      </c>
      <c r="K37" s="32">
        <f>COVAR(DT!K4:K1004,DT!S4:S1004)^2</f>
        <v>6.84967041015625E-2</v>
      </c>
      <c r="M37" s="31" t="s">
        <v>28</v>
      </c>
      <c r="N37" s="32">
        <f>COVAR(DT!F4:F1004,DT!R4:R1004)^2</f>
        <v>5.4931640625E-2</v>
      </c>
      <c r="P37" s="31" t="s">
        <v>30</v>
      </c>
      <c r="Q37" s="32">
        <f>COVAR(DT!J4:J1004,DT!Z4:Z1004)^2</f>
        <v>9.5367431640625E-3</v>
      </c>
    </row>
    <row r="38" spans="1:17">
      <c r="A38" s="31" t="s">
        <v>41</v>
      </c>
      <c r="B38" s="32">
        <f>COVAR(DT!L4:L1004,DT!N4:N1004)^2</f>
        <v>2.56500244140625E-2</v>
      </c>
      <c r="D38" s="31" t="s">
        <v>10</v>
      </c>
      <c r="E38" s="32">
        <f>_xlfn.COVARIANCE.S(DT!M4:M1004,DT!U4:U1004)^2</f>
        <v>0.66694444444444445</v>
      </c>
      <c r="G38" s="31" t="s">
        <v>16</v>
      </c>
      <c r="H38" s="32">
        <f>COVAR(DT!V4:V1004,DT!W4:W1004)^2</f>
        <v>0.539306640625</v>
      </c>
      <c r="J38" s="31" t="s">
        <v>22</v>
      </c>
      <c r="K38" s="32">
        <f>COVAR(DT!Q4:Q1004,DT!S4:S1004)^2</f>
        <v>9.765625E-4</v>
      </c>
      <c r="M38" s="31" t="s">
        <v>23</v>
      </c>
      <c r="N38" s="32">
        <f>COVAR(DT!G4:G1004,DT!R4:R1004)^2</f>
        <v>2.44140625E-2</v>
      </c>
      <c r="P38" s="31" t="s">
        <v>29</v>
      </c>
      <c r="Q38" s="32">
        <f>COVAR(DT!O4:O1004,DT!Z4:Z1004)^2</f>
        <v>5.865478515625E-2</v>
      </c>
    </row>
    <row r="39" spans="1:17">
      <c r="A39" s="31" t="s">
        <v>42</v>
      </c>
      <c r="B39" s="32">
        <f>COVAR(DT!L4:L1004,DT!P4:P1004)^2</f>
        <v>1.86920166015625E-2</v>
      </c>
      <c r="D39" s="31" t="s">
        <v>1275</v>
      </c>
      <c r="E39" s="6">
        <f>SUM(E33:E38)</f>
        <v>1.3623611111111111</v>
      </c>
      <c r="G39" s="31" t="s">
        <v>1275</v>
      </c>
      <c r="H39" s="6">
        <f>SUM(H33:H38)</f>
        <v>2.4942779541015625</v>
      </c>
      <c r="J39" s="31" t="s">
        <v>1275</v>
      </c>
      <c r="K39" s="6">
        <f>SUM(K33:K38)</f>
        <v>0.3614654541015625</v>
      </c>
      <c r="M39" s="31" t="s">
        <v>1275</v>
      </c>
      <c r="N39" s="6">
        <f>SUM(N33:N38)</f>
        <v>0.5931549072265625</v>
      </c>
      <c r="P39" s="31" t="s">
        <v>1275</v>
      </c>
      <c r="Q39" s="6">
        <f>SUM(Q33:Q38)</f>
        <v>0.5549468994140625</v>
      </c>
    </row>
    <row r="40" spans="1:17">
      <c r="A40" s="31" t="s">
        <v>43</v>
      </c>
      <c r="B40" s="32">
        <f>COVAR(DT!L4:L1004,DT!X4:X1004)^2</f>
        <v>9.765625E-4</v>
      </c>
      <c r="D40" s="33" t="s">
        <v>1276</v>
      </c>
      <c r="E40" s="40">
        <f>E30+SQRT((4/3)*2*E39)/(16*(Results!M4))</f>
        <v>0.70579591550198506</v>
      </c>
      <c r="G40" s="33" t="s">
        <v>1276</v>
      </c>
      <c r="H40" s="40">
        <f>H30+SQRT((4/3)*2*H39)/(16*(Results!M5))</f>
        <v>0.81939494637773624</v>
      </c>
      <c r="J40" s="33" t="s">
        <v>1276</v>
      </c>
      <c r="K40" s="40">
        <f>K30+SQRT((4/3)*2*K39)/(16*(Results!M6))</f>
        <v>0.16851217405617705</v>
      </c>
      <c r="M40" s="33" t="s">
        <v>1276</v>
      </c>
      <c r="N40" s="40">
        <f>N30+SQRT((4/3)*2*N39)/(16*(Results!M7))</f>
        <v>0.76775637838138122</v>
      </c>
      <c r="P40" s="33" t="s">
        <v>1276</v>
      </c>
      <c r="Q40" s="40">
        <f>Q30+SQRT((4/3)*2*Q39)/(16*(Results!M8))</f>
        <v>0.62982926797822936</v>
      </c>
    </row>
    <row r="41" spans="1:17">
      <c r="A41" s="31" t="s">
        <v>44</v>
      </c>
      <c r="B41" s="32">
        <f>COVAR(DT!L4:L1004,DT!Y4:Y1004)^2</f>
        <v>1.52587890625E-5</v>
      </c>
    </row>
    <row r="42" spans="1:17">
      <c r="A42" s="31" t="s">
        <v>45</v>
      </c>
      <c r="B42" s="32">
        <f>COVAR(DT!N4:N1004,DT!P4:P1004)^2</f>
        <v>6.7291259765625E-3</v>
      </c>
    </row>
    <row r="43" spans="1:17">
      <c r="A43" s="31" t="s">
        <v>46</v>
      </c>
      <c r="B43" s="32">
        <f>COVAR(DT!N4:N1004,DT!X4:X1004)^2</f>
        <v>7.91015625E-2</v>
      </c>
    </row>
    <row r="44" spans="1:17">
      <c r="A44" s="31" t="s">
        <v>47</v>
      </c>
      <c r="B44" s="32">
        <f>COVAR(DT!N4:N1004,DT!Y4:Y1004)^2</f>
        <v>7.69195556640625E-2</v>
      </c>
    </row>
    <row r="45" spans="1:17">
      <c r="A45" s="31" t="s">
        <v>48</v>
      </c>
      <c r="B45" s="32">
        <f>COVAR(DT!P4:P1004,DT!X4:X1004)^2</f>
        <v>8.7890625E-3</v>
      </c>
    </row>
    <row r="46" spans="1:17">
      <c r="A46" s="31" t="s">
        <v>116</v>
      </c>
      <c r="B46" s="32">
        <f>COVAR(DT!P4:P1004,DT!Y4:Y1004)^2</f>
        <v>2.5787353515625E-3</v>
      </c>
    </row>
    <row r="47" spans="1:17">
      <c r="A47" s="31" t="s">
        <v>35</v>
      </c>
      <c r="B47" s="32">
        <f>COVAR(DT!X4:X1004,DT!Y4:Y1004)^2</f>
        <v>4.78515625E-2</v>
      </c>
    </row>
    <row r="48" spans="1:17">
      <c r="A48" s="31" t="s">
        <v>1275</v>
      </c>
      <c r="B48" s="6">
        <f>SUM(B33:B47)</f>
        <v>0.518707275390625</v>
      </c>
    </row>
    <row r="49" spans="1:2">
      <c r="A49" s="33" t="s">
        <v>1276</v>
      </c>
      <c r="B49" s="40">
        <f>B30+SQRT((6/5)*2*B48)/(36*(Results!M3))</f>
        <v>0.80217863706130255</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baseColWidth="10" defaultColWidth="9.109375" defaultRowHeight="14.4"/>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41.44999999999999" customHeight="1">
      <c r="A1" s="162" t="s">
        <v>2211</v>
      </c>
      <c r="B1" s="168"/>
      <c r="C1" s="168"/>
      <c r="D1" s="168"/>
      <c r="E1" s="168"/>
      <c r="F1" s="168"/>
      <c r="G1" s="168"/>
      <c r="H1" s="168"/>
    </row>
    <row r="2" spans="1:8">
      <c r="A2" s="109" t="s">
        <v>110</v>
      </c>
      <c r="B2" s="110" t="s">
        <v>106</v>
      </c>
      <c r="C2" s="110" t="s">
        <v>120</v>
      </c>
      <c r="D2" s="110" t="s">
        <v>121</v>
      </c>
    </row>
    <row r="3" spans="1:8">
      <c r="A3" s="14" t="str">
        <f>VLOOKUP(Read_First!B5,Items!A1:BI50,54,FALSE)</f>
        <v>Attraktivität</v>
      </c>
      <c r="B3" s="49">
        <f>Results!L3</f>
        <v>2.364583333333333</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Durchschaubarkeit</v>
      </c>
      <c r="B4" s="49">
        <f>Results!L4</f>
        <v>1.859375</v>
      </c>
      <c r="C4" s="13" t="str">
        <f>IF(B4&gt;E38,"Excellent",IF(B4&gt;D38,"Good",IF(B4&gt;C38,"Above Average",IF(B4&gt;B38,"Below Average","Bad"))))</f>
        <v>Good</v>
      </c>
      <c r="D4" t="str">
        <f t="shared" si="0"/>
        <v>10% of results better, 75% of results worse</v>
      </c>
    </row>
    <row r="5" spans="1:8">
      <c r="A5" s="14" t="str">
        <f>VLOOKUP(Read_First!B5,Items!A1:BI50,56,FALSE)</f>
        <v>Effizienz</v>
      </c>
      <c r="B5" s="49">
        <f>Results!L5</f>
        <v>1.4375</v>
      </c>
      <c r="C5" s="13" t="str">
        <f>IF(B5&gt;E39,"Excellent",IF(B5&gt;D39,"Good",IF(B5&gt;C39,"Above Average",IF(B5&gt;B39,"Below Average","Bad"))))</f>
        <v>Above Average</v>
      </c>
      <c r="D5" t="str">
        <f t="shared" si="0"/>
        <v>25% of results better, 50% of results worse</v>
      </c>
    </row>
    <row r="6" spans="1:8">
      <c r="A6" s="15" t="str">
        <f>VLOOKUP(Read_First!B5,Items!A1:BI50,57,FALSE)</f>
        <v>Steuerbarkeit</v>
      </c>
      <c r="B6" s="49">
        <f>Results!L6</f>
        <v>1.28125</v>
      </c>
      <c r="C6" s="13" t="str">
        <f>IF(B6&gt;E40,"Excellent",IF(B6&gt;D40,"Good",IF(B6&gt;C40,"Above Average",IF(B6&gt;B40,"Below Average","Bad"))))</f>
        <v>Above Average</v>
      </c>
      <c r="D6" t="str">
        <f t="shared" si="0"/>
        <v>25% of results better, 50% of results worse</v>
      </c>
    </row>
    <row r="7" spans="1:8">
      <c r="A7" s="15" t="str">
        <f>VLOOKUP(Read_First!B5,Items!A1:BI50,58,FALSE)</f>
        <v>Stimulation</v>
      </c>
      <c r="B7" s="49">
        <f>Results!L7</f>
        <v>2.375</v>
      </c>
      <c r="C7" s="13" t="str">
        <f>IF(B7&gt;E41,"Excellent",IF(B7&gt;D41,"Good",IF(B7&gt;C41,"Above Average",IF(B7&gt;B41,"Below Average","Bad"))))</f>
        <v>Excellent</v>
      </c>
      <c r="D7" t="str">
        <f t="shared" si="0"/>
        <v>In the range of the 10% best results</v>
      </c>
    </row>
    <row r="8" spans="1:8">
      <c r="A8" s="14" t="str">
        <f>VLOOKUP(Read_First!B5,Items!A1:BI50,59,FALSE)</f>
        <v>Originalität</v>
      </c>
      <c r="B8" s="49">
        <f>Results!L8</f>
        <v>2.1875</v>
      </c>
      <c r="C8" s="13" t="str">
        <f>IF(B8&gt;E42,"Excellent",IF(B8&gt;D42,"Good",IF(B8&gt;C42,"Above Average",IF(B8&gt;B42,"Below Average","Bad"))))</f>
        <v>Excellent</v>
      </c>
      <c r="D8" t="str">
        <f t="shared" si="0"/>
        <v>In the range of the 10% best results</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Attraktivität</v>
      </c>
      <c r="B28" s="27">
        <v>-1</v>
      </c>
      <c r="C28" s="28">
        <f>B37</f>
        <v>0.69</v>
      </c>
      <c r="D28" s="28">
        <f>C37-B37</f>
        <v>0.49</v>
      </c>
      <c r="E28" s="28">
        <f>D37-C37</f>
        <v>0.40000000000000013</v>
      </c>
      <c r="F28" s="28">
        <f>E37-D37</f>
        <v>0.26</v>
      </c>
      <c r="G28" s="28">
        <f>2.5-E37</f>
        <v>0.65999999999999992</v>
      </c>
      <c r="H28" s="50">
        <f>Results!L3</f>
        <v>2.364583333333333</v>
      </c>
    </row>
    <row r="29" spans="1:8">
      <c r="A29" s="14" t="str">
        <f>VLOOKUP(Read_First!B5,Items!A1:BI50,55,FALSE)</f>
        <v>Durchschaubarkeit</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1.859375</v>
      </c>
    </row>
    <row r="30" spans="1:8">
      <c r="A30" s="14" t="str">
        <f>VLOOKUP(Read_First!B5,Items!A1:BI50,56,FALSE)</f>
        <v>Effizienz</v>
      </c>
      <c r="B30" s="27">
        <v>-1</v>
      </c>
      <c r="C30" s="28">
        <f t="shared" si="1"/>
        <v>0.6</v>
      </c>
      <c r="D30" s="28">
        <f t="shared" si="2"/>
        <v>0.45000000000000007</v>
      </c>
      <c r="E30" s="28">
        <f t="shared" si="3"/>
        <v>0.44999999999999996</v>
      </c>
      <c r="F30" s="28">
        <f t="shared" si="4"/>
        <v>0.37999999999999989</v>
      </c>
      <c r="G30" s="28">
        <f t="shared" si="5"/>
        <v>0.62000000000000011</v>
      </c>
      <c r="H30" s="50">
        <f>Results!L5</f>
        <v>1.4375</v>
      </c>
    </row>
    <row r="31" spans="1:8">
      <c r="A31" s="15" t="str">
        <f>VLOOKUP(Read_First!B5,Items!A1:BI50,57,FALSE)</f>
        <v>Steuerbarkeit</v>
      </c>
      <c r="B31" s="27">
        <v>-1</v>
      </c>
      <c r="C31" s="28">
        <f t="shared" si="1"/>
        <v>0.78</v>
      </c>
      <c r="D31" s="28">
        <f t="shared" si="2"/>
        <v>0.35999999999999988</v>
      </c>
      <c r="E31" s="28">
        <f t="shared" si="3"/>
        <v>0.34000000000000008</v>
      </c>
      <c r="F31" s="28">
        <f t="shared" si="4"/>
        <v>0.21999999999999997</v>
      </c>
      <c r="G31" s="28">
        <f t="shared" si="5"/>
        <v>0.8</v>
      </c>
      <c r="H31" s="50">
        <f>Results!L6</f>
        <v>1.28125</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2.375</v>
      </c>
    </row>
    <row r="33" spans="1:8">
      <c r="A33" s="14" t="str">
        <f>VLOOKUP(Read_First!B5,Items!A1:BI50,59,FALSE)</f>
        <v>Originalität</v>
      </c>
      <c r="B33" s="27">
        <v>-1</v>
      </c>
      <c r="C33" s="28">
        <f t="shared" si="1"/>
        <v>0.16</v>
      </c>
      <c r="D33" s="28">
        <f t="shared" si="2"/>
        <v>0.53999999999999992</v>
      </c>
      <c r="E33" s="28">
        <f t="shared" si="3"/>
        <v>0.42000000000000015</v>
      </c>
      <c r="F33" s="28">
        <f t="shared" si="4"/>
        <v>0.48</v>
      </c>
      <c r="G33" s="28">
        <f t="shared" si="5"/>
        <v>0.89999999999999991</v>
      </c>
      <c r="H33" s="50">
        <f>Results!L8</f>
        <v>2.1875</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Attraktivität</v>
      </c>
      <c r="B37">
        <v>0.69</v>
      </c>
      <c r="C37">
        <v>1.18</v>
      </c>
      <c r="D37">
        <v>1.58</v>
      </c>
      <c r="E37">
        <v>1.84</v>
      </c>
    </row>
    <row r="38" spans="1:8">
      <c r="A38" s="13" t="str">
        <f>VLOOKUP(Read_First!B5,Items!A1:BI50,55,FALSE)</f>
        <v>Durchschaubarkeit</v>
      </c>
      <c r="B38">
        <v>0.72</v>
      </c>
      <c r="C38">
        <v>1.2</v>
      </c>
      <c r="D38">
        <v>1.73</v>
      </c>
      <c r="E38">
        <v>2</v>
      </c>
    </row>
    <row r="39" spans="1:8">
      <c r="A39" s="13" t="str">
        <f>VLOOKUP(Read_First!B5,Items!A1:BI50,56,FALSE)</f>
        <v>Effizienz</v>
      </c>
      <c r="B39">
        <v>0.6</v>
      </c>
      <c r="C39">
        <v>1.05</v>
      </c>
      <c r="D39">
        <v>1.5</v>
      </c>
      <c r="E39">
        <v>1.88</v>
      </c>
    </row>
    <row r="40" spans="1:8">
      <c r="A40" s="13" t="str">
        <f>VLOOKUP(Read_First!B5,Items!A1:BI50,57,FALSE)</f>
        <v>Steuerbarkeit</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Originalität</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baseColWidth="10" defaultColWidth="9.109375" defaultRowHeight="14.4"/>
  <cols>
    <col min="1" max="26" width="3.6640625" style="1" customWidth="1"/>
    <col min="29" max="35" width="13.77734375" style="1" customWidth="1"/>
    <col min="37" max="37" width="18.21875" style="136" customWidth="1"/>
  </cols>
  <sheetData>
    <row r="1" spans="1:37" ht="170.5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Attraktivität</v>
      </c>
      <c r="AD3" s="98" t="str">
        <f>VLOOKUP(Read_First!B5,Items!A1:BI50,55,FALSE)</f>
        <v>Durchschaubarkeit</v>
      </c>
      <c r="AE3" s="98" t="str">
        <f>VLOOKUP(Read_First!B5,Items!A1:BI50,56,FALSE)</f>
        <v>Effizienz</v>
      </c>
      <c r="AF3" s="99" t="str">
        <f>VLOOKUP(Read_First!B5,Items!A1:BI50,57,FALSE)</f>
        <v>Steuerbarkeit</v>
      </c>
      <c r="AG3" s="99" t="str">
        <f>VLOOKUP(Read_First!B5,Items!A1:BI50,58,FALSE)</f>
        <v>Stimulation</v>
      </c>
      <c r="AH3" s="99" t="str">
        <f>VLOOKUP(Read_First!B5,Items!A1:BI50,59,FALSE)</f>
        <v>Originalität</v>
      </c>
      <c r="AI3" s="111" t="s">
        <v>824</v>
      </c>
      <c r="AK3" s="135" t="s">
        <v>2213</v>
      </c>
    </row>
    <row r="4" spans="1:37">
      <c r="A4" s="54">
        <f>IF(Data!A4&gt;0,Data!A4-4,"")</f>
        <v>2</v>
      </c>
      <c r="B4" s="54">
        <f>IF(Data!B4&gt;0,Data!B4-4,"")</f>
        <v>2</v>
      </c>
      <c r="C4" s="54">
        <f>IF(Data!C4&gt;0,4-Data!C4,"")</f>
        <v>3</v>
      </c>
      <c r="D4" s="54">
        <f>IF(Data!D4&gt;0,4-Data!D4,"")</f>
        <v>2</v>
      </c>
      <c r="E4" s="54">
        <f>IF(Data!E4&gt;0,4-Data!E4,"")</f>
        <v>2</v>
      </c>
      <c r="F4" s="54">
        <f>IF(Data!F4&gt;0,Data!F4-4,"")</f>
        <v>3</v>
      </c>
      <c r="G4" s="54">
        <f>IF(Data!G4&gt;0,Data!G4-4,"")</f>
        <v>3</v>
      </c>
      <c r="H4" s="54">
        <f>IF(Data!H4&gt;0,Data!H4-4,"")</f>
        <v>-1</v>
      </c>
      <c r="I4" s="54">
        <f>IF(Data!I4&gt;0,4-Data!I4,"")</f>
        <v>1</v>
      </c>
      <c r="J4" s="54">
        <f>IF(Data!J4&gt;0,4-Data!J4,"")</f>
        <v>2</v>
      </c>
      <c r="K4" s="54">
        <f>IF(Data!K4&gt;0,Data!K4-4,"")</f>
        <v>2</v>
      </c>
      <c r="L4" s="54">
        <f>IF(Data!L4&gt;0,4-Data!L4,"")</f>
        <v>3</v>
      </c>
      <c r="M4" s="54">
        <f>IF(Data!M4&gt;0,Data!M4-4,"")</f>
        <v>2</v>
      </c>
      <c r="N4" s="54">
        <f>IF(Data!N4&gt;0,Data!N4-4,"")</f>
        <v>2</v>
      </c>
      <c r="O4" s="54">
        <f>IF(Data!O4&gt;0,Data!O4-4,"")</f>
        <v>2</v>
      </c>
      <c r="P4" s="54">
        <f>IF(Data!P4&gt;0,Data!P4-4,"")</f>
        <v>3</v>
      </c>
      <c r="Q4" s="54">
        <f>IF(Data!Q4&gt;0,4-Data!Q4,"")</f>
        <v>2</v>
      </c>
      <c r="R4" s="1">
        <f>IF(Data!R4&gt;0,4-Data!R4,"")</f>
        <v>2</v>
      </c>
      <c r="S4" s="54">
        <f>IF(Data!S4&gt;0,4-Data!S4,"")</f>
        <v>2</v>
      </c>
      <c r="T4" s="54">
        <f>IF(Data!T4&gt;0,Data!T4-4,"")</f>
        <v>2</v>
      </c>
      <c r="U4" s="54">
        <f>IF(Data!U4&gt;0,4-Data!U4,"")</f>
        <v>2</v>
      </c>
      <c r="V4" s="54">
        <f>IF(Data!V4&gt;0,Data!V4-4,"")</f>
        <v>2</v>
      </c>
      <c r="W4" s="54">
        <f>IF(Data!W4&gt;0,4-Data!W4,"")</f>
        <v>3</v>
      </c>
      <c r="X4" s="54">
        <f>IF(Data!X4&gt;0,4-Data!X4,"")</f>
        <v>3</v>
      </c>
      <c r="Y4" s="54">
        <f>IF(Data!Y4&gt;0,4-Data!Y4,"")</f>
        <v>2</v>
      </c>
      <c r="Z4" s="54">
        <f>IF(Data!Z4&gt;0,Data!Z4-4,"")</f>
        <v>3</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8</v>
      </c>
    </row>
    <row r="5" spans="1:37">
      <c r="A5" s="1">
        <f>IF(Data!A5&gt;0,Data!A5-4,"")</f>
        <v>1</v>
      </c>
      <c r="B5" s="1">
        <f>IF(Data!B5&gt;0,Data!B5-4,"")</f>
        <v>1</v>
      </c>
      <c r="C5" s="1">
        <f>IF(Data!C5&gt;0,4-Data!C5,"")</f>
        <v>2</v>
      </c>
      <c r="D5" s="1">
        <f>IF(Data!D5&gt;0,4-Data!D5,"")</f>
        <v>0</v>
      </c>
      <c r="E5" s="1">
        <f>IF(Data!E5&gt;0,4-Data!E5,"")</f>
        <v>2</v>
      </c>
      <c r="F5" s="1">
        <f>IF(Data!F5&gt;0,Data!F5-4,"")</f>
        <v>1</v>
      </c>
      <c r="G5" s="1">
        <f>IF(Data!G5&gt;0,Data!G5-4,"")</f>
        <v>2</v>
      </c>
      <c r="H5" s="1">
        <f>IF(Data!H5&gt;0,Data!H5-4,"")</f>
        <v>2</v>
      </c>
      <c r="I5" s="1">
        <f>IF(Data!I5&gt;0,4-Data!I5,"")</f>
        <v>-1</v>
      </c>
      <c r="J5" s="1">
        <f>IF(Data!J5&gt;0,4-Data!J5,"")</f>
        <v>2</v>
      </c>
      <c r="K5" s="1">
        <f>IF(Data!K5&gt;0,Data!K5-4,"")</f>
        <v>1</v>
      </c>
      <c r="L5" s="1">
        <f>IF(Data!L5&gt;0,4-Data!L5,"")</f>
        <v>2</v>
      </c>
      <c r="M5" s="1">
        <f>IF(Data!M5&gt;0,Data!M5-4,"")</f>
        <v>3</v>
      </c>
      <c r="N5" s="1">
        <f>IF(Data!N5&gt;0,Data!N5-4,"")</f>
        <v>0</v>
      </c>
      <c r="O5" s="1">
        <f>IF(Data!O5&gt;0,Data!O5-4,"")</f>
        <v>2</v>
      </c>
      <c r="P5" s="1">
        <f>IF(Data!P5&gt;0,Data!P5-4,"")</f>
        <v>3</v>
      </c>
      <c r="Q5" s="1">
        <f>IF(Data!Q5&gt;0,4-Data!Q5,"")</f>
        <v>2</v>
      </c>
      <c r="R5" s="1">
        <f>IF(Data!R5&gt;0,4-Data!R5,"")</f>
        <v>1</v>
      </c>
      <c r="S5" s="1">
        <f>IF(Data!S5&gt;0,4-Data!S5,"")</f>
        <v>2</v>
      </c>
      <c r="T5" s="1">
        <f>IF(Data!T5&gt;0,Data!T5-4,"")</f>
        <v>0</v>
      </c>
      <c r="U5" s="1">
        <f>IF(Data!U5&gt;0,4-Data!U5,"")</f>
        <v>3</v>
      </c>
      <c r="V5" s="1">
        <f>IF(Data!V5&gt;0,Data!V5-4,"")</f>
        <v>0</v>
      </c>
      <c r="W5" s="1">
        <f>IF(Data!W5&gt;0,4-Data!W5,"")</f>
        <v>-1</v>
      </c>
      <c r="X5" s="1">
        <f>IF(Data!X5&gt;0,4-Data!X5,"")</f>
        <v>2</v>
      </c>
      <c r="Y5" s="1">
        <f>IF(Data!Y5&gt;0,4-Data!Y5,"")</f>
        <v>2</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8</v>
      </c>
    </row>
    <row r="6" spans="1:37">
      <c r="A6" s="1">
        <f>IF(Data!A6&gt;0,Data!A6-4,"")</f>
        <v>3</v>
      </c>
      <c r="B6" s="1">
        <f>IF(Data!B6&gt;0,Data!B6-4,"")</f>
        <v>1</v>
      </c>
      <c r="C6" s="1">
        <f>IF(Data!C6&gt;0,4-Data!C6,"")</f>
        <v>-3</v>
      </c>
      <c r="D6" s="1">
        <f>IF(Data!D6&gt;0,4-Data!D6,"")</f>
        <v>-2</v>
      </c>
      <c r="E6" s="1">
        <f>IF(Data!E6&gt;0,4-Data!E6,"")</f>
        <v>-2</v>
      </c>
      <c r="F6" s="1">
        <f>IF(Data!F6&gt;0,Data!F6-4,"")</f>
        <v>2</v>
      </c>
      <c r="G6" s="1">
        <f>IF(Data!G6&gt;0,Data!G6-4,"")</f>
        <v>1</v>
      </c>
      <c r="H6" s="1">
        <f>IF(Data!H6&gt;0,Data!H6-4,"")</f>
        <v>1</v>
      </c>
      <c r="I6" s="1">
        <f>IF(Data!I6&gt;0,4-Data!I6,"")</f>
        <v>-1</v>
      </c>
      <c r="J6" s="1">
        <f>IF(Data!J6&gt;0,4-Data!J6,"")</f>
        <v>2</v>
      </c>
      <c r="K6" s="1">
        <f>IF(Data!K6&gt;0,Data!K6-4,"")</f>
        <v>1</v>
      </c>
      <c r="L6" s="1">
        <f>IF(Data!L6&gt;0,4-Data!L6,"")</f>
        <v>3</v>
      </c>
      <c r="M6" s="1">
        <f>IF(Data!M6&gt;0,Data!M6-4,"")</f>
        <v>0</v>
      </c>
      <c r="N6" s="1">
        <f>IF(Data!N6&gt;0,Data!N6-4,"")</f>
        <v>2</v>
      </c>
      <c r="O6" s="1">
        <f>IF(Data!O6&gt;0,Data!O6-4,"")</f>
        <v>1</v>
      </c>
      <c r="P6" s="1">
        <f>IF(Data!P6&gt;0,Data!P6-4,"")</f>
        <v>2</v>
      </c>
      <c r="Q6" s="1">
        <f>IF(Data!Q6&gt;0,4-Data!Q6,"")</f>
        <v>2</v>
      </c>
      <c r="R6" s="1">
        <f>IF(Data!R6&gt;0,4-Data!R6,"")</f>
        <v>2</v>
      </c>
      <c r="S6" s="1">
        <f>IF(Data!S6&gt;0,4-Data!S6,"")</f>
        <v>1</v>
      </c>
      <c r="T6" s="1">
        <f>IF(Data!T6&gt;0,Data!T6-4,"")</f>
        <v>1</v>
      </c>
      <c r="U6" s="1">
        <f>IF(Data!U6&gt;0,4-Data!U6,"")</f>
        <v>1</v>
      </c>
      <c r="V6" s="1">
        <f>IF(Data!V6&gt;0,Data!V6-4,"")</f>
        <v>2</v>
      </c>
      <c r="W6" s="1">
        <f>IF(Data!W6&gt;0,4-Data!W6,"")</f>
        <v>2</v>
      </c>
      <c r="X6" s="1">
        <f>IF(Data!X6&gt;0,4-Data!X6,"")</f>
        <v>2</v>
      </c>
      <c r="Y6" s="1">
        <f>IF(Data!Y6&gt;0,4-Data!Y6,"")</f>
        <v>2</v>
      </c>
      <c r="Z6" s="1">
        <f>IF(Data!Z6&gt;0,Data!Z6-4,"")</f>
        <v>2</v>
      </c>
      <c r="AC6" s="4" t="str">
        <f t="shared" si="4"/>
        <v/>
      </c>
      <c r="AD6" s="4" t="str">
        <f t="shared" si="5"/>
        <v/>
      </c>
      <c r="AE6" s="4" t="str">
        <f t="shared" si="6"/>
        <v/>
      </c>
      <c r="AF6" s="4" t="str">
        <f t="shared" si="7"/>
        <v/>
      </c>
      <c r="AG6" s="4">
        <f t="shared" si="8"/>
        <v>1</v>
      </c>
      <c r="AH6" s="4">
        <f t="shared" si="9"/>
        <v>1</v>
      </c>
      <c r="AI6" s="2">
        <f t="shared" si="10"/>
        <v>2</v>
      </c>
      <c r="AK6" s="2">
        <f>IF(MAX(COUNTIF(Data!A6:Z6,1),COUNTIF(Data!A6:Z6,2),COUNTIF(Data!A6:Z6,3),COUNTIF(Data!A6:Z6,4),COUNTIF(Data!A6:Z6,5),COUNTIF(Data!A6:Z6,6),COUNTIF(Data!A6:Z6,7))&gt;0,MAX(COUNTIF(Data!A6:Z6,1),COUNTIF(Data!A6:Z6,2),COUNTIF(Data!A6:Z6,3),COUNTIF(Data!A6:Z6,4),COUNTIF(Data!A6:Z6,5),COUNTIF(Data!A6:Z6,6),COUNTIF(Data!A6:Z6,7)),"")</f>
        <v>7</v>
      </c>
    </row>
    <row r="7" spans="1:37">
      <c r="A7" s="1">
        <f>IF(Data!A7&gt;0,Data!A7-4,"")</f>
        <v>3</v>
      </c>
      <c r="B7" s="1">
        <f>IF(Data!B7&gt;0,Data!B7-4,"")</f>
        <v>3</v>
      </c>
      <c r="C7" s="1">
        <f>IF(Data!C7&gt;0,4-Data!C7,"")</f>
        <v>3</v>
      </c>
      <c r="D7" s="1">
        <f>IF(Data!D7&gt;0,4-Data!D7,"")</f>
        <v>1</v>
      </c>
      <c r="E7" s="1">
        <f>IF(Data!E7&gt;0,4-Data!E7,"")</f>
        <v>3</v>
      </c>
      <c r="F7" s="1">
        <f>IF(Data!F7&gt;0,Data!F7-4,"")</f>
        <v>3</v>
      </c>
      <c r="G7" s="1">
        <f>IF(Data!G7&gt;0,Data!G7-4,"")</f>
        <v>3</v>
      </c>
      <c r="H7" s="1">
        <f>IF(Data!H7&gt;0,Data!H7-4,"")</f>
        <v>1</v>
      </c>
      <c r="I7" s="1">
        <f>IF(Data!I7&gt;0,4-Data!I7,"")</f>
        <v>0</v>
      </c>
      <c r="J7" s="1">
        <f>IF(Data!J7&gt;0,4-Data!J7,"")</f>
        <v>1</v>
      </c>
      <c r="K7" s="1">
        <f>IF(Data!K7&gt;0,Data!K7-4,"")</f>
        <v>3</v>
      </c>
      <c r="L7" s="1">
        <f>IF(Data!L7&gt;0,4-Data!L7,"")</f>
        <v>3</v>
      </c>
      <c r="M7" s="1">
        <f>IF(Data!M7&gt;0,Data!M7-4,"")</f>
        <v>2</v>
      </c>
      <c r="N7" s="1">
        <f>IF(Data!N7&gt;0,Data!N7-4,"")</f>
        <v>3</v>
      </c>
      <c r="O7" s="1">
        <f>IF(Data!O7&gt;0,Data!O7-4,"")</f>
        <v>3</v>
      </c>
      <c r="P7" s="1">
        <f>IF(Data!P7&gt;0,Data!P7-4,"")</f>
        <v>3</v>
      </c>
      <c r="Q7" s="1">
        <f>IF(Data!Q7&gt;0,4-Data!Q7,"")</f>
        <v>0</v>
      </c>
      <c r="R7" s="1">
        <f>IF(Data!R7&gt;0,4-Data!R7,"")</f>
        <v>3</v>
      </c>
      <c r="S7" s="1">
        <f>IF(Data!S7&gt;0,4-Data!S7,"")</f>
        <v>2</v>
      </c>
      <c r="T7" s="1">
        <f>IF(Data!T7&gt;0,Data!T7-4,"")</f>
        <v>3</v>
      </c>
      <c r="U7" s="1">
        <f>IF(Data!U7&gt;0,4-Data!U7,"")</f>
        <v>3</v>
      </c>
      <c r="V7" s="1">
        <f>IF(Data!V7&gt;0,Data!V7-4,"")</f>
        <v>3</v>
      </c>
      <c r="W7" s="1">
        <f>IF(Data!W7&gt;0,4-Data!W7,"")</f>
        <v>3</v>
      </c>
      <c r="X7" s="1">
        <f>IF(Data!X7&gt;0,4-Data!X7,"")</f>
        <v>3</v>
      </c>
      <c r="Y7" s="1">
        <f>IF(Data!Y7&gt;0,4-Data!Y7,"")</f>
        <v>3</v>
      </c>
      <c r="Z7" s="1">
        <f>IF(Data!Z7&gt;0,Data!Z7-4,"")</f>
        <v>3</v>
      </c>
      <c r="AC7" s="4" t="str">
        <f t="shared" si="4"/>
        <v/>
      </c>
      <c r="AD7" s="4" t="str">
        <f t="shared" si="5"/>
        <v/>
      </c>
      <c r="AE7" s="4" t="str">
        <f t="shared" si="6"/>
        <v/>
      </c>
      <c r="AF7" s="4" t="str">
        <f t="shared" si="7"/>
        <v/>
      </c>
      <c r="AG7" s="4" t="str">
        <f t="shared" si="8"/>
        <v/>
      </c>
      <c r="AH7" s="4" t="str">
        <f t="shared" si="9"/>
        <v/>
      </c>
      <c r="AI7" s="2">
        <f t="shared" si="10"/>
        <v>0</v>
      </c>
      <c r="AK7" s="2">
        <f>IF(MAX(COUNTIF(Data!A7:Z7,1),COUNTIF(Data!A7:Z7,2),COUNTIF(Data!A7:Z7,3),COUNTIF(Data!A7:Z7,4),COUNTIF(Data!A7:Z7,5),COUNTIF(Data!A7:Z7,6),COUNTIF(Data!A7:Z7,7))&gt;0,MAX(COUNTIF(Data!A7:Z7,1),COUNTIF(Data!A7:Z7,2),COUNTIF(Data!A7:Z7,3),COUNTIF(Data!A7:Z7,4),COUNTIF(Data!A7:Z7,5),COUNTIF(Data!A7:Z7,6),COUNTIF(Data!A7:Z7,7)),"")</f>
        <v>11</v>
      </c>
    </row>
    <row r="8" spans="1:37">
      <c r="A8" s="1">
        <f>IF(Data!A8&gt;0,Data!A8-4,"")</f>
        <v>3</v>
      </c>
      <c r="B8" s="1">
        <f>IF(Data!B8&gt;0,Data!B8-4,"")</f>
        <v>1</v>
      </c>
      <c r="C8" s="1">
        <f>IF(Data!C8&gt;0,4-Data!C8,"")</f>
        <v>3</v>
      </c>
      <c r="D8" s="1">
        <f>IF(Data!D8&gt;0,4-Data!D8,"")</f>
        <v>2</v>
      </c>
      <c r="E8" s="1">
        <f>IF(Data!E8&gt;0,4-Data!E8,"")</f>
        <v>3</v>
      </c>
      <c r="F8" s="1">
        <f>IF(Data!F8&gt;0,Data!F8-4,"")</f>
        <v>3</v>
      </c>
      <c r="G8" s="1">
        <f>IF(Data!G8&gt;0,Data!G8-4,"")</f>
        <v>3</v>
      </c>
      <c r="H8" s="1">
        <f>IF(Data!H8&gt;0,Data!H8-4,"")</f>
        <v>2</v>
      </c>
      <c r="I8" s="1">
        <f>IF(Data!I8&gt;0,4-Data!I8,"")</f>
        <v>0</v>
      </c>
      <c r="J8" s="1">
        <f>IF(Data!J8&gt;0,4-Data!J8,"")</f>
        <v>3</v>
      </c>
      <c r="K8" s="1">
        <f>IF(Data!K8&gt;0,Data!K8-4,"")</f>
        <v>3</v>
      </c>
      <c r="L8" s="1">
        <f>IF(Data!L8&gt;0,4-Data!L8,"")</f>
        <v>3</v>
      </c>
      <c r="M8" s="1">
        <f>IF(Data!M8&gt;0,Data!M8-4,"")</f>
        <v>2</v>
      </c>
      <c r="N8" s="1">
        <f>IF(Data!N8&gt;0,Data!N8-4,"")</f>
        <v>3</v>
      </c>
      <c r="O8" s="1">
        <f>IF(Data!O8&gt;0,Data!O8-4,"")</f>
        <v>3</v>
      </c>
      <c r="P8" s="1">
        <f>IF(Data!P8&gt;0,Data!P8-4,"")</f>
        <v>3</v>
      </c>
      <c r="Q8" s="1">
        <f>IF(Data!Q8&gt;0,4-Data!Q8,"")</f>
        <v>3</v>
      </c>
      <c r="R8" s="1">
        <f>IF(Data!R8&gt;0,4-Data!R8,"")</f>
        <v>3</v>
      </c>
      <c r="S8" s="1">
        <f>IF(Data!S8&gt;0,4-Data!S8,"")</f>
        <v>2</v>
      </c>
      <c r="T8" s="1">
        <f>IF(Data!T8&gt;0,Data!T8-4,"")</f>
        <v>2</v>
      </c>
      <c r="U8" s="1">
        <f>IF(Data!U8&gt;0,4-Data!U8,"")</f>
        <v>2</v>
      </c>
      <c r="V8" s="1">
        <f>IF(Data!V8&gt;0,Data!V8-4,"")</f>
        <v>3</v>
      </c>
      <c r="W8" s="1">
        <f>IF(Data!W8&gt;0,4-Data!W8,"")</f>
        <v>3</v>
      </c>
      <c r="X8" s="1">
        <f>IF(Data!X8&gt;0,4-Data!X8,"")</f>
        <v>3</v>
      </c>
      <c r="Y8" s="1">
        <f>IF(Data!Y8&gt;0,4-Data!Y8,"")</f>
        <v>3</v>
      </c>
      <c r="Z8" s="1">
        <f>IF(Data!Z8&gt;0,Data!Z8-4,"")</f>
        <v>3</v>
      </c>
      <c r="AC8" s="4" t="str">
        <f t="shared" si="4"/>
        <v/>
      </c>
      <c r="AD8" s="4" t="str">
        <f t="shared" si="5"/>
        <v/>
      </c>
      <c r="AE8" s="4" t="str">
        <f t="shared" si="6"/>
        <v/>
      </c>
      <c r="AF8" s="4" t="str">
        <f t="shared" si="7"/>
        <v/>
      </c>
      <c r="AG8" s="4" t="str">
        <f t="shared" si="8"/>
        <v/>
      </c>
      <c r="AH8" s="4" t="str">
        <f t="shared" si="9"/>
        <v/>
      </c>
      <c r="AI8" s="2">
        <f t="shared" si="10"/>
        <v>0</v>
      </c>
      <c r="AK8" s="2">
        <f>IF(MAX(COUNTIF(Data!A8:Z8,1),COUNTIF(Data!A8:Z8,2),COUNTIF(Data!A8:Z8,3),COUNTIF(Data!A8:Z8,4),COUNTIF(Data!A8:Z8,5),COUNTIF(Data!A8:Z8,6),COUNTIF(Data!A8:Z8,7))&gt;0,MAX(COUNTIF(Data!A8:Z8,1),COUNTIF(Data!A8:Z8,2),COUNTIF(Data!A8:Z8,3),COUNTIF(Data!A8:Z8,4),COUNTIF(Data!A8:Z8,5),COUNTIF(Data!A8:Z8,6),COUNTIF(Data!A8:Z8,7)),"")</f>
        <v>9</v>
      </c>
    </row>
    <row r="9" spans="1:37">
      <c r="A9" s="1">
        <f>IF(Data!A9&gt;0,Data!A9-4,"")</f>
        <v>2</v>
      </c>
      <c r="B9" s="1">
        <f>IF(Data!B9&gt;0,Data!B9-4,"")</f>
        <v>2</v>
      </c>
      <c r="C9" s="1">
        <f>IF(Data!C9&gt;0,4-Data!C9,"")</f>
        <v>3</v>
      </c>
      <c r="D9" s="1">
        <f>IF(Data!D9&gt;0,4-Data!D9,"")</f>
        <v>2</v>
      </c>
      <c r="E9" s="1">
        <f>IF(Data!E9&gt;0,4-Data!E9,"")</f>
        <v>2</v>
      </c>
      <c r="F9" s="1">
        <f>IF(Data!F9&gt;0,Data!F9-4,"")</f>
        <v>2</v>
      </c>
      <c r="G9" s="1">
        <f>IF(Data!G9&gt;0,Data!G9-4,"")</f>
        <v>3</v>
      </c>
      <c r="H9" s="1">
        <f>IF(Data!H9&gt;0,Data!H9-4,"")</f>
        <v>0</v>
      </c>
      <c r="I9" s="1">
        <f>IF(Data!I9&gt;0,4-Data!I9,"")</f>
        <v>2</v>
      </c>
      <c r="J9" s="1">
        <f>IF(Data!J9&gt;0,4-Data!J9,"")</f>
        <v>2</v>
      </c>
      <c r="K9" s="1">
        <f>IF(Data!K9&gt;0,Data!K9-4,"")</f>
        <v>3</v>
      </c>
      <c r="L9" s="1">
        <f>IF(Data!L9&gt;0,4-Data!L9,"")</f>
        <v>3</v>
      </c>
      <c r="M9" s="1">
        <f>IF(Data!M9&gt;0,Data!M9-4,"")</f>
        <v>2</v>
      </c>
      <c r="N9" s="1">
        <f>IF(Data!N9&gt;0,Data!N9-4,"")</f>
        <v>2</v>
      </c>
      <c r="O9" s="1">
        <f>IF(Data!O9&gt;0,Data!O9-4,"")</f>
        <v>2</v>
      </c>
      <c r="P9" s="1">
        <f>IF(Data!P9&gt;0,Data!P9-4,"")</f>
        <v>2</v>
      </c>
      <c r="Q9" s="1">
        <f>IF(Data!Q9&gt;0,4-Data!Q9,"")</f>
        <v>-1</v>
      </c>
      <c r="R9" s="1">
        <f>IF(Data!R9&gt;0,4-Data!R9,"")</f>
        <v>2</v>
      </c>
      <c r="S9" s="1">
        <f>IF(Data!S9&gt;0,4-Data!S9,"")</f>
        <v>2</v>
      </c>
      <c r="T9" s="1">
        <f>IF(Data!T9&gt;0,Data!T9-4,"")</f>
        <v>3</v>
      </c>
      <c r="U9" s="1">
        <f>IF(Data!U9&gt;0,4-Data!U9,"")</f>
        <v>3</v>
      </c>
      <c r="V9" s="1">
        <f>IF(Data!V9&gt;0,Data!V9-4,"")</f>
        <v>3</v>
      </c>
      <c r="W9" s="1">
        <f>IF(Data!W9&gt;0,4-Data!W9,"")</f>
        <v>2</v>
      </c>
      <c r="X9" s="1">
        <f>IF(Data!X9&gt;0,4-Data!X9,"")</f>
        <v>2</v>
      </c>
      <c r="Y9" s="1">
        <f>IF(Data!Y9&gt;0,4-Data!Y9,"")</f>
        <v>2</v>
      </c>
      <c r="Z9" s="1">
        <f>IF(Data!Z9&gt;0,Data!Z9-4,"")</f>
        <v>2</v>
      </c>
      <c r="AC9" s="4" t="str">
        <f t="shared" si="4"/>
        <v/>
      </c>
      <c r="AD9" s="4" t="str">
        <f t="shared" si="5"/>
        <v/>
      </c>
      <c r="AE9" s="4" t="str">
        <f t="shared" si="6"/>
        <v/>
      </c>
      <c r="AF9" s="4">
        <f t="shared" si="7"/>
        <v>1</v>
      </c>
      <c r="AG9" s="4" t="str">
        <f t="shared" si="8"/>
        <v/>
      </c>
      <c r="AH9" s="4" t="str">
        <f t="shared" si="9"/>
        <v/>
      </c>
      <c r="AI9" s="2">
        <f t="shared" si="10"/>
        <v>1</v>
      </c>
      <c r="AK9" s="2">
        <f>IF(MAX(COUNTIF(Data!A9:Z9,1),COUNTIF(Data!A9:Z9,2),COUNTIF(Data!A9:Z9,3),COUNTIF(Data!A9:Z9,4),COUNTIF(Data!A9:Z9,5),COUNTIF(Data!A9:Z9,6),COUNTIF(Data!A9:Z9,7))&gt;0,MAX(COUNTIF(Data!A9:Z9,1),COUNTIF(Data!A9:Z9,2),COUNTIF(Data!A9:Z9,3),COUNTIF(Data!A9:Z9,4),COUNTIF(Data!A9:Z9,5),COUNTIF(Data!A9:Z9,6),COUNTIF(Data!A9:Z9,7)),"")</f>
        <v>9</v>
      </c>
    </row>
    <row r="10" spans="1:37">
      <c r="A10" s="1">
        <f>IF(Data!A10&gt;0,Data!A10-4,"")</f>
        <v>2</v>
      </c>
      <c r="B10" s="1">
        <f>IF(Data!B10&gt;0,Data!B10-4,"")</f>
        <v>2</v>
      </c>
      <c r="C10" s="1">
        <f>IF(Data!C10&gt;0,4-Data!C10,"")</f>
        <v>2</v>
      </c>
      <c r="D10" s="1">
        <f>IF(Data!D10&gt;0,4-Data!D10,"")</f>
        <v>2</v>
      </c>
      <c r="E10" s="1">
        <f>IF(Data!E10&gt;0,4-Data!E10,"")</f>
        <v>3</v>
      </c>
      <c r="F10" s="1">
        <f>IF(Data!F10&gt;0,Data!F10-4,"")</f>
        <v>3</v>
      </c>
      <c r="G10" s="1">
        <f>IF(Data!G10&gt;0,Data!G10-4,"")</f>
        <v>3</v>
      </c>
      <c r="H10" s="1">
        <f>IF(Data!H10&gt;0,Data!H10-4,"")</f>
        <v>0</v>
      </c>
      <c r="I10" s="1">
        <f>IF(Data!I10&gt;0,4-Data!I10,"")</f>
        <v>0</v>
      </c>
      <c r="J10" s="1">
        <f>IF(Data!J10&gt;0,4-Data!J10,"")</f>
        <v>2</v>
      </c>
      <c r="K10" s="1">
        <f>IF(Data!K10&gt;0,Data!K10-4,"")</f>
        <v>2</v>
      </c>
      <c r="L10" s="1">
        <f>IF(Data!L10&gt;0,4-Data!L10,"")</f>
        <v>2</v>
      </c>
      <c r="M10" s="1">
        <f>IF(Data!M10&gt;0,Data!M10-4,"")</f>
        <v>-1</v>
      </c>
      <c r="N10" s="1">
        <f>IF(Data!N10&gt;0,Data!N10-4,"")</f>
        <v>2</v>
      </c>
      <c r="O10" s="1">
        <f>IF(Data!O10&gt;0,Data!O10-4,"")</f>
        <v>2</v>
      </c>
      <c r="P10" s="1">
        <f>IF(Data!P10&gt;0,Data!P10-4,"")</f>
        <v>2</v>
      </c>
      <c r="Q10" s="1">
        <f>IF(Data!Q10&gt;0,4-Data!Q10,"")</f>
        <v>2</v>
      </c>
      <c r="R10" s="1">
        <f>IF(Data!R10&gt;0,4-Data!R10,"")</f>
        <v>2</v>
      </c>
      <c r="S10" s="1">
        <f>IF(Data!S10&gt;0,4-Data!S10,"")</f>
        <v>0</v>
      </c>
      <c r="T10" s="1">
        <f>IF(Data!T10&gt;0,Data!T10-4,"")</f>
        <v>1</v>
      </c>
      <c r="U10" s="1">
        <f>IF(Data!U10&gt;0,4-Data!U10,"")</f>
        <v>2</v>
      </c>
      <c r="V10" s="1">
        <f>IF(Data!V10&gt;0,Data!V10-4,"")</f>
        <v>0</v>
      </c>
      <c r="W10" s="1">
        <f>IF(Data!W10&gt;0,4-Data!W10,"")</f>
        <v>2</v>
      </c>
      <c r="X10" s="1">
        <f>IF(Data!X10&gt;0,4-Data!X10,"")</f>
        <v>2</v>
      </c>
      <c r="Y10" s="1">
        <f>IF(Data!Y10&gt;0,4-Data!Y10,"")</f>
        <v>2</v>
      </c>
      <c r="Z10" s="1">
        <f>IF(Data!Z10&gt;0,Data!Z10-4,"")</f>
        <v>2</v>
      </c>
      <c r="AC10" s="4" t="str">
        <f t="shared" si="4"/>
        <v/>
      </c>
      <c r="AD10" s="4" t="str">
        <f t="shared" si="5"/>
        <v/>
      </c>
      <c r="AE10" s="4" t="str">
        <f t="shared" si="6"/>
        <v/>
      </c>
      <c r="AF10" s="4" t="str">
        <f t="shared" si="7"/>
        <v/>
      </c>
      <c r="AG10" s="4" t="str">
        <f t="shared" si="8"/>
        <v/>
      </c>
      <c r="AH10" s="4" t="str">
        <f t="shared" si="9"/>
        <v/>
      </c>
      <c r="AI10" s="2">
        <f t="shared" si="10"/>
        <v>0</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10</v>
      </c>
    </row>
    <row r="11" spans="1:37">
      <c r="A11" s="1">
        <f>IF(Data!A11&gt;0,Data!A11-4,"")</f>
        <v>2</v>
      </c>
      <c r="B11" s="1">
        <f>IF(Data!B11&gt;0,Data!B11-4,"")</f>
        <v>3</v>
      </c>
      <c r="C11" s="1">
        <f>IF(Data!C11&gt;0,4-Data!C11,"")</f>
        <v>2</v>
      </c>
      <c r="D11" s="1">
        <f>IF(Data!D11&gt;0,4-Data!D11,"")</f>
        <v>2</v>
      </c>
      <c r="E11" s="1">
        <f>IF(Data!E11&gt;0,4-Data!E11,"")</f>
        <v>2</v>
      </c>
      <c r="F11" s="1">
        <f>IF(Data!F11&gt;0,Data!F11-4,"")</f>
        <v>3</v>
      </c>
      <c r="G11" s="1">
        <f>IF(Data!G11&gt;0,Data!G11-4,"")</f>
        <v>3</v>
      </c>
      <c r="H11" s="1">
        <f>IF(Data!H11&gt;0,Data!H11-4,"")</f>
        <v>-2</v>
      </c>
      <c r="I11" s="1">
        <f>IF(Data!I11&gt;0,4-Data!I11,"")</f>
        <v>1</v>
      </c>
      <c r="J11" s="1">
        <f>IF(Data!J11&gt;0,4-Data!J11,"")</f>
        <v>2</v>
      </c>
      <c r="K11" s="1">
        <f>IF(Data!K11&gt;0,Data!K11-4,"")</f>
        <v>2</v>
      </c>
      <c r="L11" s="1">
        <f>IF(Data!L11&gt;0,4-Data!L11,"")</f>
        <v>2</v>
      </c>
      <c r="M11" s="1">
        <f>IF(Data!M11&gt;0,Data!M11-4,"")</f>
        <v>0</v>
      </c>
      <c r="N11" s="1">
        <f>IF(Data!N11&gt;0,Data!N11-4,"")</f>
        <v>1</v>
      </c>
      <c r="O11" s="1">
        <f>IF(Data!O11&gt;0,Data!O11-4,"")</f>
        <v>2</v>
      </c>
      <c r="P11" s="1">
        <f>IF(Data!P11&gt;0,Data!P11-4,"")</f>
        <v>2</v>
      </c>
      <c r="Q11" s="1">
        <f>IF(Data!Q11&gt;0,4-Data!Q11,"")</f>
        <v>1</v>
      </c>
      <c r="R11" s="1">
        <f>IF(Data!R11&gt;0,4-Data!R11,"")</f>
        <v>2</v>
      </c>
      <c r="S11" s="1">
        <f>IF(Data!S11&gt;0,4-Data!S11,"")</f>
        <v>1</v>
      </c>
      <c r="T11" s="1">
        <f>IF(Data!T11&gt;0,Data!T11-4,"")</f>
        <v>2</v>
      </c>
      <c r="U11" s="1">
        <f>IF(Data!U11&gt;0,4-Data!U11,"")</f>
        <v>0</v>
      </c>
      <c r="V11" s="1">
        <f>IF(Data!V11&gt;0,Data!V11-4,"")</f>
        <v>0</v>
      </c>
      <c r="W11" s="1">
        <f>IF(Data!W11&gt;0,4-Data!W11,"")</f>
        <v>2</v>
      </c>
      <c r="X11" s="1">
        <f>IF(Data!X11&gt;0,4-Data!X11,"")</f>
        <v>3</v>
      </c>
      <c r="Y11" s="1">
        <f>IF(Data!Y11&gt;0,4-Data!Y11,"")</f>
        <v>3</v>
      </c>
      <c r="Z11" s="1">
        <f>IF(Data!Z11&gt;0,Data!Z11-4,"")</f>
        <v>3</v>
      </c>
      <c r="AC11" s="4" t="str">
        <f t="shared" si="4"/>
        <v/>
      </c>
      <c r="AD11" s="4" t="str">
        <f t="shared" si="5"/>
        <v/>
      </c>
      <c r="AE11" s="4" t="str">
        <f t="shared" si="6"/>
        <v/>
      </c>
      <c r="AF11" s="4">
        <f t="shared" si="7"/>
        <v>1</v>
      </c>
      <c r="AG11" s="4" t="str">
        <f t="shared" si="8"/>
        <v/>
      </c>
      <c r="AH11" s="4" t="str">
        <f t="shared" si="9"/>
        <v/>
      </c>
      <c r="AI11" s="2">
        <f t="shared" si="10"/>
        <v>1</v>
      </c>
      <c r="AK11" s="2">
        <f>IF(MAX(COUNTIF(Data!A11:Z11,1),COUNTIF(Data!A11:Z11,2),COUNTIF(Data!A11:Z11,3),COUNTIF(Data!A11:Z11,4),COUNTIF(Data!A11:Z11,5),COUNTIF(Data!A11:Z11,6),COUNTIF(Data!A11:Z11,7))&gt;0,MAX(COUNTIF(Data!A11:Z11,1),COUNTIF(Data!A11:Z11,2),COUNTIF(Data!A11:Z11,3),COUNTIF(Data!A11:Z11,4),COUNTIF(Data!A11:Z11,5),COUNTIF(Data!A11:Z11,6),COUNTIF(Data!A11:Z11,7)),"")</f>
        <v>8</v>
      </c>
    </row>
    <row r="12" spans="1:37">
      <c r="A12" s="1">
        <f>IF(Data!A12&gt;0,Data!A12-4,"")</f>
        <v>3</v>
      </c>
      <c r="B12" s="1">
        <f>IF(Data!B12&gt;0,Data!B12-4,"")</f>
        <v>3</v>
      </c>
      <c r="C12" s="1">
        <f>IF(Data!C12&gt;0,4-Data!C12,"")</f>
        <v>3</v>
      </c>
      <c r="D12" s="1">
        <f>IF(Data!D12&gt;0,4-Data!D12,"")</f>
        <v>2</v>
      </c>
      <c r="E12" s="1">
        <f>IF(Data!E12&gt;0,4-Data!E12,"")</f>
        <v>2</v>
      </c>
      <c r="F12" s="1">
        <f>IF(Data!F12&gt;0,Data!F12-4,"")</f>
        <v>2</v>
      </c>
      <c r="G12" s="1">
        <f>IF(Data!G12&gt;0,Data!G12-4,"")</f>
        <v>2</v>
      </c>
      <c r="H12" s="1">
        <f>IF(Data!H12&gt;0,Data!H12-4,"")</f>
        <v>1</v>
      </c>
      <c r="I12" s="1">
        <f>IF(Data!I12&gt;0,4-Data!I12,"")</f>
        <v>2</v>
      </c>
      <c r="J12" s="1">
        <f>IF(Data!J12&gt;0,4-Data!J12,"")</f>
        <v>1</v>
      </c>
      <c r="K12" s="1">
        <f>IF(Data!K12&gt;0,Data!K12-4,"")</f>
        <v>2</v>
      </c>
      <c r="L12" s="1">
        <f>IF(Data!L12&gt;0,4-Data!L12,"")</f>
        <v>2</v>
      </c>
      <c r="M12" s="1">
        <f>IF(Data!M12&gt;0,Data!M12-4,"")</f>
        <v>3</v>
      </c>
      <c r="N12" s="1">
        <f>IF(Data!N12&gt;0,Data!N12-4,"")</f>
        <v>2</v>
      </c>
      <c r="O12" s="1">
        <f>IF(Data!O12&gt;0,Data!O12-4,"")</f>
        <v>3</v>
      </c>
      <c r="P12" s="1">
        <f>IF(Data!P12&gt;0,Data!P12-4,"")</f>
        <v>2</v>
      </c>
      <c r="Q12" s="1">
        <f>IF(Data!Q12&gt;0,4-Data!Q12,"")</f>
        <v>2</v>
      </c>
      <c r="R12" s="1">
        <f>IF(Data!R12&gt;0,4-Data!R12,"")</f>
        <v>3</v>
      </c>
      <c r="S12" s="1">
        <f>IF(Data!S12&gt;0,4-Data!S12,"")</f>
        <v>1</v>
      </c>
      <c r="T12" s="1">
        <f>IF(Data!T12&gt;0,Data!T12-4,"")</f>
        <v>2</v>
      </c>
      <c r="U12" s="1">
        <f>IF(Data!U12&gt;0,4-Data!U12,"")</f>
        <v>3</v>
      </c>
      <c r="V12" s="1">
        <f>IF(Data!V12&gt;0,Data!V12-4,"")</f>
        <v>2</v>
      </c>
      <c r="W12" s="1">
        <f>IF(Data!W12&gt;0,4-Data!W12,"")</f>
        <v>3</v>
      </c>
      <c r="X12" s="1">
        <f>IF(Data!X12&gt;0,4-Data!X12,"")</f>
        <v>2</v>
      </c>
      <c r="Y12" s="1">
        <f>IF(Data!Y12&gt;0,4-Data!Y12,"")</f>
        <v>3</v>
      </c>
      <c r="Z12" s="1">
        <f>IF(Data!Z12&gt;0,Data!Z12-4,"")</f>
        <v>3</v>
      </c>
      <c r="AC12" s="4" t="str">
        <f t="shared" si="4"/>
        <v/>
      </c>
      <c r="AD12" s="4" t="str">
        <f t="shared" si="5"/>
        <v/>
      </c>
      <c r="AE12" s="4" t="str">
        <f t="shared" si="6"/>
        <v/>
      </c>
      <c r="AF12" s="4" t="str">
        <f t="shared" si="7"/>
        <v/>
      </c>
      <c r="AG12" s="4" t="str">
        <f t="shared" si="8"/>
        <v/>
      </c>
      <c r="AH12" s="4" t="str">
        <f t="shared" si="9"/>
        <v/>
      </c>
      <c r="AI12" s="2">
        <f t="shared" si="10"/>
        <v>0</v>
      </c>
      <c r="AK12" s="2">
        <f>IF(MAX(COUNTIF(Data!A12:Z12,1),COUNTIF(Data!A12:Z12,2),COUNTIF(Data!A12:Z12,3),COUNTIF(Data!A12:Z12,4),COUNTIF(Data!A12:Z12,5),COUNTIF(Data!A12:Z12,6),COUNTIF(Data!A12:Z12,7))&gt;0,MAX(COUNTIF(Data!A12:Z12,1),COUNTIF(Data!A12:Z12,2),COUNTIF(Data!A12:Z12,3),COUNTIF(Data!A12:Z12,4),COUNTIF(Data!A12:Z12,5),COUNTIF(Data!A12:Z12,6),COUNTIF(Data!A12:Z12,7)),"")</f>
        <v>7</v>
      </c>
    </row>
    <row r="13" spans="1:37">
      <c r="A13" s="1">
        <f>IF(Data!A13&gt;0,Data!A13-4,"")</f>
        <v>2</v>
      </c>
      <c r="B13" s="1">
        <f>IF(Data!B13&gt;0,Data!B13-4,"")</f>
        <v>3</v>
      </c>
      <c r="C13" s="1">
        <f>IF(Data!C13&gt;0,4-Data!C13,"")</f>
        <v>2</v>
      </c>
      <c r="D13" s="1">
        <f>IF(Data!D13&gt;0,4-Data!D13,"")</f>
        <v>3</v>
      </c>
      <c r="E13" s="1">
        <f>IF(Data!E13&gt;0,4-Data!E13,"")</f>
        <v>2</v>
      </c>
      <c r="F13" s="1">
        <f>IF(Data!F13&gt;0,Data!F13-4,"")</f>
        <v>2</v>
      </c>
      <c r="G13" s="1">
        <f>IF(Data!G13&gt;0,Data!G13-4,"")</f>
        <v>2</v>
      </c>
      <c r="H13" s="1">
        <f>IF(Data!H13&gt;0,Data!H13-4,"")</f>
        <v>2</v>
      </c>
      <c r="I13" s="1">
        <f>IF(Data!I13&gt;0,4-Data!I13,"")</f>
        <v>0</v>
      </c>
      <c r="J13" s="1">
        <f>IF(Data!J13&gt;0,4-Data!J13,"")</f>
        <v>2</v>
      </c>
      <c r="K13" s="1">
        <f>IF(Data!K13&gt;0,Data!K13-4,"")</f>
        <v>2</v>
      </c>
      <c r="L13" s="1">
        <f>IF(Data!L13&gt;0,4-Data!L13,"")</f>
        <v>3</v>
      </c>
      <c r="M13" s="1">
        <f>IF(Data!M13&gt;0,Data!M13-4,"")</f>
        <v>1</v>
      </c>
      <c r="N13" s="1">
        <f>IF(Data!N13&gt;0,Data!N13-4,"")</f>
        <v>1</v>
      </c>
      <c r="O13" s="1">
        <f>IF(Data!O13&gt;0,Data!O13-4,"")</f>
        <v>2</v>
      </c>
      <c r="P13" s="1">
        <f>IF(Data!P13&gt;0,Data!P13-4,"")</f>
        <v>2</v>
      </c>
      <c r="Q13" s="1">
        <f>IF(Data!Q13&gt;0,4-Data!Q13,"")</f>
        <v>2</v>
      </c>
      <c r="R13" s="1">
        <f>IF(Data!R13&gt;0,4-Data!R13,"")</f>
        <v>2</v>
      </c>
      <c r="S13" s="1">
        <f>IF(Data!S13&gt;0,4-Data!S13,"")</f>
        <v>0</v>
      </c>
      <c r="T13" s="1">
        <f>IF(Data!T13&gt;0,Data!T13-4,"")</f>
        <v>0</v>
      </c>
      <c r="U13" s="1">
        <f>IF(Data!U13&gt;0,4-Data!U13,"")</f>
        <v>2</v>
      </c>
      <c r="V13" s="1">
        <f>IF(Data!V13&gt;0,Data!V13-4,"")</f>
        <v>0</v>
      </c>
      <c r="W13" s="1">
        <f>IF(Data!W13&gt;0,4-Data!W13,"")</f>
        <v>2</v>
      </c>
      <c r="X13" s="1">
        <f>IF(Data!X13&gt;0,4-Data!X13,"")</f>
        <v>1</v>
      </c>
      <c r="Y13" s="1">
        <f>IF(Data!Y13&gt;0,4-Data!Y13,"")</f>
        <v>2</v>
      </c>
      <c r="Z13" s="1">
        <f>IF(Data!Z13&gt;0,Data!Z13-4,"")</f>
        <v>2</v>
      </c>
      <c r="AC13" s="4" t="str">
        <f t="shared" si="4"/>
        <v/>
      </c>
      <c r="AD13" s="4" t="str">
        <f t="shared" si="5"/>
        <v/>
      </c>
      <c r="AE13" s="4" t="str">
        <f t="shared" si="6"/>
        <v/>
      </c>
      <c r="AF13" s="4" t="str">
        <f t="shared" si="7"/>
        <v/>
      </c>
      <c r="AG13" s="4" t="str">
        <f t="shared" si="8"/>
        <v/>
      </c>
      <c r="AH13" s="4" t="str">
        <f t="shared" si="9"/>
        <v/>
      </c>
      <c r="AI13" s="2">
        <f t="shared" si="10"/>
        <v>0</v>
      </c>
      <c r="AK13" s="2">
        <f>IF(MAX(COUNTIF(Data!A13:Z13,1),COUNTIF(Data!A13:Z13,2),COUNTIF(Data!A13:Z13,3),COUNTIF(Data!A13:Z13,4),COUNTIF(Data!A13:Z13,5),COUNTIF(Data!A13:Z13,6),COUNTIF(Data!A13:Z13,7))&gt;0,MAX(COUNTIF(Data!A13:Z13,1),COUNTIF(Data!A13:Z13,2),COUNTIF(Data!A13:Z13,3),COUNTIF(Data!A13:Z13,4),COUNTIF(Data!A13:Z13,5),COUNTIF(Data!A13:Z13,6),COUNTIF(Data!A13:Z13,7)),"")</f>
        <v>8</v>
      </c>
    </row>
    <row r="14" spans="1:37">
      <c r="A14" s="1">
        <f>IF(Data!A14&gt;0,Data!A14-4,"")</f>
        <v>3</v>
      </c>
      <c r="B14" s="1">
        <f>IF(Data!B14&gt;0,Data!B14-4,"")</f>
        <v>3</v>
      </c>
      <c r="C14" s="1">
        <f>IF(Data!C14&gt;0,4-Data!C14,"")</f>
        <v>3</v>
      </c>
      <c r="D14" s="1">
        <f>IF(Data!D14&gt;0,4-Data!D14,"")</f>
        <v>3</v>
      </c>
      <c r="E14" s="1">
        <f>IF(Data!E14&gt;0,4-Data!E14,"")</f>
        <v>2</v>
      </c>
      <c r="F14" s="1">
        <f>IF(Data!F14&gt;0,Data!F14-4,"")</f>
        <v>3</v>
      </c>
      <c r="G14" s="1">
        <f>IF(Data!G14&gt;0,Data!G14-4,"")</f>
        <v>3</v>
      </c>
      <c r="H14" s="1">
        <f>IF(Data!H14&gt;0,Data!H14-4,"")</f>
        <v>-2</v>
      </c>
      <c r="I14" s="1">
        <f>IF(Data!I14&gt;0,4-Data!I14,"")</f>
        <v>0</v>
      </c>
      <c r="J14" s="1">
        <f>IF(Data!J14&gt;0,4-Data!J14,"")</f>
        <v>2</v>
      </c>
      <c r="K14" s="1">
        <f>IF(Data!K14&gt;0,Data!K14-4,"")</f>
        <v>2</v>
      </c>
      <c r="L14" s="1">
        <f>IF(Data!L14&gt;0,4-Data!L14,"")</f>
        <v>2</v>
      </c>
      <c r="M14" s="1">
        <f>IF(Data!M14&gt;0,Data!M14-4,"")</f>
        <v>2</v>
      </c>
      <c r="N14" s="1">
        <f>IF(Data!N14&gt;0,Data!N14-4,"")</f>
        <v>3</v>
      </c>
      <c r="O14" s="1">
        <f>IF(Data!O14&gt;0,Data!O14-4,"")</f>
        <v>2</v>
      </c>
      <c r="P14" s="1">
        <f>IF(Data!P14&gt;0,Data!P14-4,"")</f>
        <v>2</v>
      </c>
      <c r="Q14" s="1">
        <f>IF(Data!Q14&gt;0,4-Data!Q14,"")</f>
        <v>2</v>
      </c>
      <c r="R14" s="1">
        <f>IF(Data!R14&gt;0,4-Data!R14,"")</f>
        <v>2</v>
      </c>
      <c r="S14" s="1">
        <f>IF(Data!S14&gt;0,4-Data!S14,"")</f>
        <v>2</v>
      </c>
      <c r="T14" s="1">
        <f>IF(Data!T14&gt;0,Data!T14-4,"")</f>
        <v>2</v>
      </c>
      <c r="U14" s="1">
        <f>IF(Data!U14&gt;0,4-Data!U14,"")</f>
        <v>2</v>
      </c>
      <c r="V14" s="1">
        <f>IF(Data!V14&gt;0,Data!V14-4,"")</f>
        <v>2</v>
      </c>
      <c r="W14" s="1">
        <f>IF(Data!W14&gt;0,4-Data!W14,"")</f>
        <v>2</v>
      </c>
      <c r="X14" s="1">
        <f>IF(Data!X14&gt;0,4-Data!X14,"")</f>
        <v>3</v>
      </c>
      <c r="Y14" s="1">
        <f>IF(Data!Y14&gt;0,4-Data!Y14,"")</f>
        <v>3</v>
      </c>
      <c r="Z14" s="1">
        <f>IF(Data!Z14&gt;0,Data!Z14-4,"")</f>
        <v>3</v>
      </c>
      <c r="AC14" s="4" t="str">
        <f t="shared" ref="AC14:AC68" si="11">IF((MAX(A14,L14,N14,P14,X14,Y14)-MIN(A14,L14,N14,P14,X14,Y14))&gt;3,1,"")</f>
        <v/>
      </c>
      <c r="AD14" s="4" t="str">
        <f t="shared" ref="AD14:AD68" si="12">IF((MAX(B14,D14,M14,U14)-MIN(B14,D14,M14,U14))&gt;3,1,"")</f>
        <v/>
      </c>
      <c r="AE14" s="4" t="str">
        <f t="shared" ref="AE14:AE68" si="13">IF((MAX(I14,T14,V14,W14)-MIN(I14,T14,V14,W14))&gt;3,1,"")</f>
        <v/>
      </c>
      <c r="AF14" s="4">
        <f t="shared" ref="AF14:AF68" si="14">IF((MAX(H14,K14,Q14,S14)-MIN(H14,K14,Q14,S14))&gt;3,1,"")</f>
        <v>1</v>
      </c>
      <c r="AG14" s="4" t="str">
        <f t="shared" si="8"/>
        <v/>
      </c>
      <c r="AH14" s="4" t="str">
        <f t="shared" ref="AH14:AH68" si="15">IF((MAX(C14,J14,O14,Z14)-MIN(C14,J14,O14,Z14))&gt;3,1,"")</f>
        <v/>
      </c>
      <c r="AI14" s="2">
        <f t="shared" si="10"/>
        <v>1</v>
      </c>
      <c r="AK14" s="2">
        <f>IF(MAX(COUNTIF(Data!A14:Z14,1),COUNTIF(Data!A14:Z14,2),COUNTIF(Data!A14:Z14,3),COUNTIF(Data!A14:Z14,4),COUNTIF(Data!A14:Z14,5),COUNTIF(Data!A14:Z14,6),COUNTIF(Data!A14:Z14,7))&gt;0,MAX(COUNTIF(Data!A14:Z14,1),COUNTIF(Data!A14:Z14,2),COUNTIF(Data!A14:Z14,3),COUNTIF(Data!A14:Z14,4),COUNTIF(Data!A14:Z14,5),COUNTIF(Data!A14:Z14,6),COUNTIF(Data!A14:Z14,7)),"")</f>
        <v>9</v>
      </c>
    </row>
    <row r="15" spans="1:37">
      <c r="A15" s="1">
        <f>IF(Data!A15&gt;0,Data!A15-4,"")</f>
        <v>2</v>
      </c>
      <c r="B15" s="1">
        <f>IF(Data!B15&gt;0,Data!B15-4,"")</f>
        <v>2</v>
      </c>
      <c r="C15" s="1">
        <f>IF(Data!C15&gt;0,4-Data!C15,"")</f>
        <v>3</v>
      </c>
      <c r="D15" s="1">
        <f>IF(Data!D15&gt;0,4-Data!D15,"")</f>
        <v>2</v>
      </c>
      <c r="E15" s="1">
        <f>IF(Data!E15&gt;0,4-Data!E15,"")</f>
        <v>3</v>
      </c>
      <c r="F15" s="1">
        <f>IF(Data!F15&gt;0,Data!F15-4,"")</f>
        <v>3</v>
      </c>
      <c r="G15" s="1">
        <f>IF(Data!G15&gt;0,Data!G15-4,"")</f>
        <v>3</v>
      </c>
      <c r="H15" s="1">
        <f>IF(Data!H15&gt;0,Data!H15-4,"")</f>
        <v>-1</v>
      </c>
      <c r="I15" s="1">
        <f>IF(Data!I15&gt;0,4-Data!I15,"")</f>
        <v>0</v>
      </c>
      <c r="J15" s="1">
        <f>IF(Data!J15&gt;0,4-Data!J15,"")</f>
        <v>3</v>
      </c>
      <c r="K15" s="1">
        <f>IF(Data!K15&gt;0,Data!K15-4,"")</f>
        <v>2</v>
      </c>
      <c r="L15" s="1">
        <f>IF(Data!L15&gt;0,4-Data!L15,"")</f>
        <v>3</v>
      </c>
      <c r="M15" s="1">
        <f>IF(Data!M15&gt;0,Data!M15-4,"")</f>
        <v>0</v>
      </c>
      <c r="N15" s="1">
        <f>IF(Data!N15&gt;0,Data!N15-4,"")</f>
        <v>2</v>
      </c>
      <c r="O15" s="1">
        <f>IF(Data!O15&gt;0,Data!O15-4,"")</f>
        <v>3</v>
      </c>
      <c r="P15" s="1">
        <f>IF(Data!P15&gt;0,Data!P15-4,"")</f>
        <v>2</v>
      </c>
      <c r="Q15" s="1">
        <f>IF(Data!Q15&gt;0,4-Data!Q15,"")</f>
        <v>2</v>
      </c>
      <c r="R15" s="1">
        <f>IF(Data!R15&gt;0,4-Data!R15,"")</f>
        <v>3</v>
      </c>
      <c r="S15" s="1">
        <f>IF(Data!S15&gt;0,4-Data!S15,"")</f>
        <v>1</v>
      </c>
      <c r="T15" s="1">
        <f>IF(Data!T15&gt;0,Data!T15-4,"")</f>
        <v>2</v>
      </c>
      <c r="U15" s="1">
        <f>IF(Data!U15&gt;0,4-Data!U15,"")</f>
        <v>2</v>
      </c>
      <c r="V15" s="1">
        <f>IF(Data!V15&gt;0,Data!V15-4,"")</f>
        <v>3</v>
      </c>
      <c r="W15" s="1">
        <f>IF(Data!W15&gt;0,4-Data!W15,"")</f>
        <v>3</v>
      </c>
      <c r="X15" s="1">
        <f>IF(Data!X15&gt;0,4-Data!X15,"")</f>
        <v>3</v>
      </c>
      <c r="Y15" s="1">
        <f>IF(Data!Y15&gt;0,4-Data!Y15,"")</f>
        <v>2</v>
      </c>
      <c r="Z15" s="1">
        <f>IF(Data!Z15&gt;0,Data!Z15-4,"")</f>
        <v>3</v>
      </c>
      <c r="AC15" s="4" t="str">
        <f t="shared" si="11"/>
        <v/>
      </c>
      <c r="AD15" s="4" t="str">
        <f t="shared" si="12"/>
        <v/>
      </c>
      <c r="AE15" s="4" t="str">
        <f t="shared" si="13"/>
        <v/>
      </c>
      <c r="AF15" s="4" t="str">
        <f t="shared" si="14"/>
        <v/>
      </c>
      <c r="AG15" s="4" t="str">
        <f t="shared" si="8"/>
        <v/>
      </c>
      <c r="AH15" s="4" t="str">
        <f t="shared" si="15"/>
        <v/>
      </c>
      <c r="AI15" s="2">
        <f t="shared" si="10"/>
        <v>0</v>
      </c>
      <c r="AK15" s="2">
        <f>IF(MAX(COUNTIF(Data!A15:Z15,1),COUNTIF(Data!A15:Z15,2),COUNTIF(Data!A15:Z15,3),COUNTIF(Data!A15:Z15,4),COUNTIF(Data!A15:Z15,5),COUNTIF(Data!A15:Z15,6),COUNTIF(Data!A15:Z15,7))&gt;0,MAX(COUNTIF(Data!A15:Z15,1),COUNTIF(Data!A15:Z15,2),COUNTIF(Data!A15:Z15,3),COUNTIF(Data!A15:Z15,4),COUNTIF(Data!A15:Z15,5),COUNTIF(Data!A15:Z15,6),COUNTIF(Data!A15:Z15,7)),"")</f>
        <v>7</v>
      </c>
    </row>
    <row r="16" spans="1:37">
      <c r="A16" s="1">
        <f>IF(Data!A16&gt;0,Data!A16-4,"")</f>
        <v>3</v>
      </c>
      <c r="B16" s="1">
        <f>IF(Data!B16&gt;0,Data!B16-4,"")</f>
        <v>2</v>
      </c>
      <c r="C16" s="1">
        <f>IF(Data!C16&gt;0,4-Data!C16,"")</f>
        <v>3</v>
      </c>
      <c r="D16" s="1">
        <f>IF(Data!D16&gt;0,4-Data!D16,"")</f>
        <v>3</v>
      </c>
      <c r="E16" s="1">
        <f>IF(Data!E16&gt;0,4-Data!E16,"")</f>
        <v>3</v>
      </c>
      <c r="F16" s="1">
        <f>IF(Data!F16&gt;0,Data!F16-4,"")</f>
        <v>3</v>
      </c>
      <c r="G16" s="1">
        <f>IF(Data!G16&gt;0,Data!G16-4,"")</f>
        <v>3</v>
      </c>
      <c r="H16" s="1">
        <f>IF(Data!H16&gt;0,Data!H16-4,"")</f>
        <v>2</v>
      </c>
      <c r="I16" s="1">
        <f>IF(Data!I16&gt;0,4-Data!I16,"")</f>
        <v>0</v>
      </c>
      <c r="J16" s="1">
        <f>IF(Data!J16&gt;0,4-Data!J16,"")</f>
        <v>2</v>
      </c>
      <c r="K16" s="1">
        <f>IF(Data!K16&gt;0,Data!K16-4,"")</f>
        <v>3</v>
      </c>
      <c r="L16" s="1">
        <f>IF(Data!L16&gt;0,4-Data!L16,"")</f>
        <v>3</v>
      </c>
      <c r="M16" s="1">
        <f>IF(Data!M16&gt;0,Data!M16-4,"")</f>
        <v>2</v>
      </c>
      <c r="N16" s="1">
        <f>IF(Data!N16&gt;0,Data!N16-4,"")</f>
        <v>3</v>
      </c>
      <c r="O16" s="1">
        <f>IF(Data!O16&gt;0,Data!O16-4,"")</f>
        <v>3</v>
      </c>
      <c r="P16" s="1">
        <f>IF(Data!P16&gt;0,Data!P16-4,"")</f>
        <v>3</v>
      </c>
      <c r="Q16" s="1">
        <f>IF(Data!Q16&gt;0,4-Data!Q16,"")</f>
        <v>2</v>
      </c>
      <c r="R16" s="1">
        <f>IF(Data!R16&gt;0,4-Data!R16,"")</f>
        <v>3</v>
      </c>
      <c r="S16" s="1">
        <f>IF(Data!S16&gt;0,4-Data!S16,"")</f>
        <v>0</v>
      </c>
      <c r="T16" s="1">
        <f>IF(Data!T16&gt;0,Data!T16-4,"")</f>
        <v>3</v>
      </c>
      <c r="U16" s="1">
        <f>IF(Data!U16&gt;0,4-Data!U16,"")</f>
        <v>3</v>
      </c>
      <c r="V16" s="1">
        <f>IF(Data!V16&gt;0,Data!V16-4,"")</f>
        <v>3</v>
      </c>
      <c r="W16" s="1">
        <f>IF(Data!W16&gt;0,4-Data!W16,"")</f>
        <v>3</v>
      </c>
      <c r="X16" s="1">
        <f>IF(Data!X16&gt;0,4-Data!X16,"")</f>
        <v>3</v>
      </c>
      <c r="Y16" s="1">
        <f>IF(Data!Y16&gt;0,4-Data!Y16,"")</f>
        <v>3</v>
      </c>
      <c r="Z16" s="1">
        <f>IF(Data!Z16&gt;0,Data!Z16-4,"")</f>
        <v>3</v>
      </c>
      <c r="AC16" s="4" t="str">
        <f t="shared" si="11"/>
        <v/>
      </c>
      <c r="AD16" s="4" t="str">
        <f t="shared" si="12"/>
        <v/>
      </c>
      <c r="AE16" s="4" t="str">
        <f t="shared" si="13"/>
        <v/>
      </c>
      <c r="AF16" s="4" t="str">
        <f t="shared" si="14"/>
        <v/>
      </c>
      <c r="AG16" s="4" t="str">
        <f t="shared" si="8"/>
        <v/>
      </c>
      <c r="AH16" s="4" t="str">
        <f t="shared" si="15"/>
        <v/>
      </c>
      <c r="AI16" s="2">
        <f t="shared" si="10"/>
        <v>0</v>
      </c>
      <c r="AK16" s="2">
        <f>IF(MAX(COUNTIF(Data!A16:Z16,1),COUNTIF(Data!A16:Z16,2),COUNTIF(Data!A16:Z16,3),COUNTIF(Data!A16:Z16,4),COUNTIF(Data!A16:Z16,5),COUNTIF(Data!A16:Z16,6),COUNTIF(Data!A16:Z16,7))&gt;0,MAX(COUNTIF(Data!A16:Z16,1),COUNTIF(Data!A16:Z16,2),COUNTIF(Data!A16:Z16,3),COUNTIF(Data!A16:Z16,4),COUNTIF(Data!A16:Z16,5),COUNTIF(Data!A16:Z16,6),COUNTIF(Data!A16:Z16,7)),"")</f>
        <v>10</v>
      </c>
    </row>
    <row r="17" spans="1:37">
      <c r="A17" s="1">
        <f>IF(Data!A17&gt;0,Data!A17-4,"")</f>
        <v>3</v>
      </c>
      <c r="B17" s="1">
        <f>IF(Data!B17&gt;0,Data!B17-4,"")</f>
        <v>3</v>
      </c>
      <c r="C17" s="1">
        <f>IF(Data!C17&gt;0,4-Data!C17,"")</f>
        <v>1</v>
      </c>
      <c r="D17" s="1">
        <f>IF(Data!D17&gt;0,4-Data!D17,"")</f>
        <v>3</v>
      </c>
      <c r="E17" s="1">
        <f>IF(Data!E17&gt;0,4-Data!E17,"")</f>
        <v>3</v>
      </c>
      <c r="F17" s="1">
        <f>IF(Data!F17&gt;0,Data!F17-4,"")</f>
        <v>3</v>
      </c>
      <c r="G17" s="1">
        <f>IF(Data!G17&gt;0,Data!G17-4,"")</f>
        <v>3</v>
      </c>
      <c r="H17" s="1">
        <f>IF(Data!H17&gt;0,Data!H17-4,"")</f>
        <v>0</v>
      </c>
      <c r="I17" s="1">
        <f>IF(Data!I17&gt;0,4-Data!I17,"")</f>
        <v>0</v>
      </c>
      <c r="J17" s="1">
        <f>IF(Data!J17&gt;0,4-Data!J17,"")</f>
        <v>3</v>
      </c>
      <c r="K17" s="1">
        <f>IF(Data!K17&gt;0,Data!K17-4,"")</f>
        <v>3</v>
      </c>
      <c r="L17" s="1">
        <f>IF(Data!L17&gt;0,4-Data!L17,"")</f>
        <v>3</v>
      </c>
      <c r="M17" s="1">
        <f>IF(Data!M17&gt;0,Data!M17-4,"")</f>
        <v>3</v>
      </c>
      <c r="N17" s="1">
        <f>IF(Data!N17&gt;0,Data!N17-4,"")</f>
        <v>2</v>
      </c>
      <c r="O17" s="1">
        <f>IF(Data!O17&gt;0,Data!O17-4,"")</f>
        <v>2</v>
      </c>
      <c r="P17" s="1">
        <f>IF(Data!P17&gt;0,Data!P17-4,"")</f>
        <v>3</v>
      </c>
      <c r="Q17" s="1">
        <f>IF(Data!Q17&gt;0,4-Data!Q17,"")</f>
        <v>3</v>
      </c>
      <c r="R17" s="1">
        <f>IF(Data!R17&gt;0,4-Data!R17,"")</f>
        <v>3</v>
      </c>
      <c r="S17" s="1">
        <f>IF(Data!S17&gt;0,4-Data!S17,"")</f>
        <v>2</v>
      </c>
      <c r="T17" s="1">
        <f>IF(Data!T17&gt;0,Data!T17-4,"")</f>
        <v>3</v>
      </c>
      <c r="U17" s="1">
        <f>IF(Data!U17&gt;0,4-Data!U17,"")</f>
        <v>3</v>
      </c>
      <c r="V17" s="1">
        <f>IF(Data!V17&gt;0,Data!V17-4,"")</f>
        <v>2</v>
      </c>
      <c r="W17" s="1">
        <f>IF(Data!W17&gt;0,4-Data!W17,"")</f>
        <v>3</v>
      </c>
      <c r="X17" s="1">
        <f>IF(Data!X17&gt;0,4-Data!X17,"")</f>
        <v>3</v>
      </c>
      <c r="Y17" s="1">
        <f>IF(Data!Y17&gt;0,4-Data!Y17,"")</f>
        <v>3</v>
      </c>
      <c r="Z17" s="1">
        <f>IF(Data!Z17&gt;0,Data!Z17-4,"")</f>
        <v>3</v>
      </c>
      <c r="AC17" s="4" t="str">
        <f t="shared" si="11"/>
        <v/>
      </c>
      <c r="AD17" s="4" t="str">
        <f t="shared" si="12"/>
        <v/>
      </c>
      <c r="AE17" s="4" t="str">
        <f t="shared" si="13"/>
        <v/>
      </c>
      <c r="AF17" s="4" t="str">
        <f t="shared" si="14"/>
        <v/>
      </c>
      <c r="AG17" s="4" t="str">
        <f t="shared" si="8"/>
        <v/>
      </c>
      <c r="AH17" s="4" t="str">
        <f t="shared" si="15"/>
        <v/>
      </c>
      <c r="AI17" s="2">
        <f t="shared" si="10"/>
        <v>0</v>
      </c>
      <c r="AK17" s="2">
        <f>IF(MAX(COUNTIF(Data!A17:Z17,1),COUNTIF(Data!A17:Z17,2),COUNTIF(Data!A17:Z17,3),COUNTIF(Data!A17:Z17,4),COUNTIF(Data!A17:Z17,5),COUNTIF(Data!A17:Z17,6),COUNTIF(Data!A17:Z17,7))&gt;0,MAX(COUNTIF(Data!A17:Z17,1),COUNTIF(Data!A17:Z17,2),COUNTIF(Data!A17:Z17,3),COUNTIF(Data!A17:Z17,4),COUNTIF(Data!A17:Z17,5),COUNTIF(Data!A17:Z17,6),COUNTIF(Data!A17:Z17,7)),"")</f>
        <v>10</v>
      </c>
    </row>
    <row r="18" spans="1:37">
      <c r="A18" s="1">
        <f>IF(Data!A18&gt;0,Data!A18-4,"")</f>
        <v>2</v>
      </c>
      <c r="B18" s="1">
        <f>IF(Data!B18&gt;0,Data!B18-4,"")</f>
        <v>1</v>
      </c>
      <c r="C18" s="1">
        <f>IF(Data!C18&gt;0,4-Data!C18,"")</f>
        <v>1</v>
      </c>
      <c r="D18" s="1">
        <f>IF(Data!D18&gt;0,4-Data!D18,"")</f>
        <v>1</v>
      </c>
      <c r="E18" s="1">
        <f>IF(Data!E18&gt;0,4-Data!E18,"")</f>
        <v>2</v>
      </c>
      <c r="F18" s="1">
        <f>IF(Data!F18&gt;0,Data!F18-4,"")</f>
        <v>2</v>
      </c>
      <c r="G18" s="1">
        <f>IF(Data!G18&gt;0,Data!G18-4,"")</f>
        <v>2</v>
      </c>
      <c r="H18" s="1">
        <f>IF(Data!H18&gt;0,Data!H18-4,"")</f>
        <v>2</v>
      </c>
      <c r="I18" s="1">
        <f>IF(Data!I18&gt;0,4-Data!I18,"")</f>
        <v>0</v>
      </c>
      <c r="J18" s="1">
        <f>IF(Data!J18&gt;0,4-Data!J18,"")</f>
        <v>0</v>
      </c>
      <c r="K18" s="1">
        <f>IF(Data!K18&gt;0,Data!K18-4,"")</f>
        <v>0</v>
      </c>
      <c r="L18" s="1">
        <f>IF(Data!L18&gt;0,4-Data!L18,"")</f>
        <v>2</v>
      </c>
      <c r="M18" s="1">
        <f>IF(Data!M18&gt;0,Data!M18-4,"")</f>
        <v>0</v>
      </c>
      <c r="N18" s="1">
        <f>IF(Data!N18&gt;0,Data!N18-4,"")</f>
        <v>1</v>
      </c>
      <c r="O18" s="1">
        <f>IF(Data!O18&gt;0,Data!O18-4,"")</f>
        <v>1</v>
      </c>
      <c r="P18" s="1">
        <f>IF(Data!P18&gt;0,Data!P18-4,"")</f>
        <v>2</v>
      </c>
      <c r="Q18" s="1">
        <f>IF(Data!Q18&gt;0,4-Data!Q18,"")</f>
        <v>0</v>
      </c>
      <c r="R18" s="1">
        <f>IF(Data!R18&gt;0,4-Data!R18,"")</f>
        <v>1</v>
      </c>
      <c r="S18" s="1">
        <f>IF(Data!S18&gt;0,4-Data!S18,"")</f>
        <v>-1</v>
      </c>
      <c r="T18" s="1">
        <f>IF(Data!T18&gt;0,Data!T18-4,"")</f>
        <v>0</v>
      </c>
      <c r="U18" s="1">
        <f>IF(Data!U18&gt;0,4-Data!U18,"")</f>
        <v>1</v>
      </c>
      <c r="V18" s="1">
        <f>IF(Data!V18&gt;0,Data!V18-4,"")</f>
        <v>-1</v>
      </c>
      <c r="W18" s="1">
        <f>IF(Data!W18&gt;0,4-Data!W18,"")</f>
        <v>2</v>
      </c>
      <c r="X18" s="1">
        <f>IF(Data!X18&gt;0,4-Data!X18,"")</f>
        <v>2</v>
      </c>
      <c r="Y18" s="1">
        <f>IF(Data!Y18&gt;0,4-Data!Y18,"")</f>
        <v>1</v>
      </c>
      <c r="Z18" s="1">
        <f>IF(Data!Z18&gt;0,Data!Z18-4,"")</f>
        <v>2</v>
      </c>
      <c r="AC18" s="4" t="str">
        <f t="shared" si="11"/>
        <v/>
      </c>
      <c r="AD18" s="4" t="str">
        <f t="shared" si="12"/>
        <v/>
      </c>
      <c r="AE18" s="4" t="str">
        <f t="shared" si="13"/>
        <v/>
      </c>
      <c r="AF18" s="4" t="str">
        <f t="shared" si="14"/>
        <v/>
      </c>
      <c r="AG18" s="4" t="str">
        <f t="shared" si="8"/>
        <v/>
      </c>
      <c r="AH18" s="4" t="str">
        <f t="shared" si="15"/>
        <v/>
      </c>
      <c r="AI18" s="2">
        <f t="shared" si="10"/>
        <v>0</v>
      </c>
      <c r="AK18" s="2">
        <f>IF(MAX(COUNTIF(Data!A18:Z18,1),COUNTIF(Data!A18:Z18,2),COUNTIF(Data!A18:Z18,3),COUNTIF(Data!A18:Z18,4),COUNTIF(Data!A18:Z18,5),COUNTIF(Data!A18:Z18,6),COUNTIF(Data!A18:Z18,7))&gt;0,MAX(COUNTIF(Data!A18:Z18,1),COUNTIF(Data!A18:Z18,2),COUNTIF(Data!A18:Z18,3),COUNTIF(Data!A18:Z18,4),COUNTIF(Data!A18:Z18,5),COUNTIF(Data!A18:Z18,6),COUNTIF(Data!A18:Z18,7)),"")</f>
        <v>6</v>
      </c>
    </row>
    <row r="19" spans="1:37">
      <c r="A19" s="1">
        <f>IF(Data!A19&gt;0,Data!A19-4,"")</f>
        <v>3</v>
      </c>
      <c r="B19" s="1">
        <f>IF(Data!B19&gt;0,Data!B19-4,"")</f>
        <v>3</v>
      </c>
      <c r="C19" s="1">
        <f>IF(Data!C19&gt;0,4-Data!C19,"")</f>
        <v>3</v>
      </c>
      <c r="D19" s="1">
        <f>IF(Data!D19&gt;0,4-Data!D19,"")</f>
        <v>2</v>
      </c>
      <c r="E19" s="1">
        <f>IF(Data!E19&gt;0,4-Data!E19,"")</f>
        <v>1</v>
      </c>
      <c r="F19" s="1">
        <f>IF(Data!F19&gt;0,Data!F19-4,"")</f>
        <v>3</v>
      </c>
      <c r="G19" s="1">
        <f>IF(Data!G19&gt;0,Data!G19-4,"")</f>
        <v>3</v>
      </c>
      <c r="H19" s="1">
        <f>IF(Data!H19&gt;0,Data!H19-4,"")</f>
        <v>1</v>
      </c>
      <c r="I19" s="1">
        <f>IF(Data!I19&gt;0,4-Data!I19,"")</f>
        <v>0</v>
      </c>
      <c r="J19" s="1">
        <f>IF(Data!J19&gt;0,4-Data!J19,"")</f>
        <v>2</v>
      </c>
      <c r="K19" s="1">
        <f>IF(Data!K19&gt;0,Data!K19-4,"")</f>
        <v>0</v>
      </c>
      <c r="L19" s="1">
        <f>IF(Data!L19&gt;0,4-Data!L19,"")</f>
        <v>2</v>
      </c>
      <c r="M19" s="1">
        <f>IF(Data!M19&gt;0,Data!M19-4,"")</f>
        <v>1</v>
      </c>
      <c r="N19" s="1">
        <f>IF(Data!N19&gt;0,Data!N19-4,"")</f>
        <v>2</v>
      </c>
      <c r="O19" s="1">
        <f>IF(Data!O19&gt;0,Data!O19-4,"")</f>
        <v>1</v>
      </c>
      <c r="P19" s="1">
        <f>IF(Data!P19&gt;0,Data!P19-4,"")</f>
        <v>1</v>
      </c>
      <c r="Q19" s="1">
        <f>IF(Data!Q19&gt;0,4-Data!Q19,"")</f>
        <v>0</v>
      </c>
      <c r="R19" s="1">
        <f>IF(Data!R19&gt;0,4-Data!R19,"")</f>
        <v>2</v>
      </c>
      <c r="S19" s="1">
        <f>IF(Data!S19&gt;0,4-Data!S19,"")</f>
        <v>2</v>
      </c>
      <c r="T19" s="1">
        <f>IF(Data!T19&gt;0,Data!T19-4,"")</f>
        <v>1</v>
      </c>
      <c r="U19" s="1">
        <f>IF(Data!U19&gt;0,4-Data!U19,"")</f>
        <v>2</v>
      </c>
      <c r="V19" s="1">
        <f>IF(Data!V19&gt;0,Data!V19-4,"")</f>
        <v>1</v>
      </c>
      <c r="W19" s="1">
        <f>IF(Data!W19&gt;0,4-Data!W19,"")</f>
        <v>2</v>
      </c>
      <c r="X19" s="1">
        <f>IF(Data!X19&gt;0,4-Data!X19,"")</f>
        <v>3</v>
      </c>
      <c r="Y19" s="1">
        <f>IF(Data!Y19&gt;0,4-Data!Y19,"")</f>
        <v>3</v>
      </c>
      <c r="Z19" s="1">
        <f>IF(Data!Z19&gt;0,Data!Z19-4,"")</f>
        <v>2</v>
      </c>
      <c r="AC19" s="4" t="str">
        <f t="shared" si="11"/>
        <v/>
      </c>
      <c r="AD19" s="4" t="str">
        <f t="shared" si="12"/>
        <v/>
      </c>
      <c r="AE19" s="4" t="str">
        <f t="shared" si="13"/>
        <v/>
      </c>
      <c r="AF19" s="4" t="str">
        <f t="shared" si="14"/>
        <v/>
      </c>
      <c r="AG19" s="4" t="str">
        <f t="shared" si="8"/>
        <v/>
      </c>
      <c r="AH19" s="4" t="str">
        <f t="shared" si="15"/>
        <v/>
      </c>
      <c r="AI19" s="2">
        <f t="shared" si="10"/>
        <v>0</v>
      </c>
      <c r="AK19" s="2">
        <f>IF(MAX(COUNTIF(Data!A19:Z19,1),COUNTIF(Data!A19:Z19,2),COUNTIF(Data!A19:Z19,3),COUNTIF(Data!A19:Z19,4),COUNTIF(Data!A19:Z19,5),COUNTIF(Data!A19:Z19,6),COUNTIF(Data!A19:Z19,7))&gt;0,MAX(COUNTIF(Data!A19:Z19,1),COUNTIF(Data!A19:Z19,2),COUNTIF(Data!A19:Z19,3),COUNTIF(Data!A19:Z19,4),COUNTIF(Data!A19:Z19,5),COUNTIF(Data!A19:Z19,6),COUNTIF(Data!A19:Z19,7)),"")</f>
        <v>7</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8671875" defaultRowHeight="14.4"/>
  <cols>
    <col min="1" max="1" width="28" customWidth="1"/>
    <col min="2" max="2" width="18.109375" customWidth="1"/>
    <col min="3" max="5" width="18.33203125" customWidth="1"/>
    <col min="6" max="6" width="18.44140625" customWidth="1"/>
    <col min="7" max="7" width="18.33203125" customWidth="1"/>
  </cols>
  <sheetData>
    <row r="1" spans="1:7" ht="21">
      <c r="A1" s="172" t="s">
        <v>829</v>
      </c>
      <c r="B1" s="172"/>
      <c r="C1" s="172"/>
      <c r="D1" s="172"/>
      <c r="E1" s="172"/>
      <c r="F1" s="172"/>
      <c r="G1" s="172"/>
    </row>
    <row r="2" spans="1:7" ht="184.8" customHeight="1">
      <c r="A2" s="160" t="s">
        <v>830</v>
      </c>
      <c r="B2" s="160"/>
      <c r="C2" s="160"/>
      <c r="D2" s="160"/>
      <c r="E2" s="160"/>
      <c r="F2" s="160"/>
      <c r="G2" s="160"/>
    </row>
    <row r="3" spans="1:7">
      <c r="A3" s="83" t="s">
        <v>110</v>
      </c>
      <c r="B3" s="76" t="s">
        <v>827</v>
      </c>
    </row>
    <row r="4" spans="1:7">
      <c r="A4" s="9" t="str">
        <f>VLOOKUP(Read_First!B5,Items!A1:BI50,54,FALSE)</f>
        <v>Attraktivität</v>
      </c>
      <c r="B4" s="6">
        <f>SQRT(VAR(DT!AC4:AC1004))</f>
        <v>0.44811849458060277</v>
      </c>
    </row>
    <row r="5" spans="1:7">
      <c r="A5" s="9" t="str">
        <f>VLOOKUP(Read_First!B5,Items!A1:BI50,55,FALSE)</f>
        <v>Durchschaubarkeit</v>
      </c>
      <c r="B5" s="6">
        <f>SQRT(VAR(DT!AD4:AD1004))</f>
        <v>0.77442855276218558</v>
      </c>
    </row>
    <row r="6" spans="1:7">
      <c r="A6" s="9" t="str">
        <f>VLOOKUP(Read_First!B5,Items!A1:BI50,56,FALSE)</f>
        <v>Effizienz</v>
      </c>
      <c r="B6" s="6">
        <f>SQRT(VAR(DT!AE4:AE1004))</f>
        <v>0.86842769800753516</v>
      </c>
    </row>
    <row r="7" spans="1:7">
      <c r="A7" s="9" t="str">
        <f>VLOOKUP(Read_First!B5,Items!A1:BI50,57,FALSE)</f>
        <v>Steuerbarkeit</v>
      </c>
      <c r="B7" s="6">
        <f>SQRT(VAR(DT!AF4:AF1004))</f>
        <v>0.5691733772176395</v>
      </c>
    </row>
    <row r="8" spans="1:7">
      <c r="A8" s="9" t="str">
        <f>VLOOKUP(Read_First!B5,Items!A1:BI50,58,FALSE)</f>
        <v>Stimulation</v>
      </c>
      <c r="B8" s="6">
        <f>SQRT(VAR(DT!AG4:AG1004))</f>
        <v>0.63900965042269375</v>
      </c>
    </row>
    <row r="9" spans="1:7">
      <c r="A9" s="9" t="str">
        <f>VLOOKUP(Read_First!B5,Items!A1:BI50,59,FALSE)</f>
        <v>Originalität</v>
      </c>
      <c r="B9" s="6">
        <f>SQRT(VAR(DT!AH4:AH1004))</f>
        <v>0.65510813356778486</v>
      </c>
    </row>
    <row r="11" spans="1:7">
      <c r="A11" s="88" t="s">
        <v>828</v>
      </c>
      <c r="B11" s="84" t="str">
        <f>VLOOKUP(Read_First!B5,Items!A1:BI50,54,FALSE)</f>
        <v>Attraktivität</v>
      </c>
      <c r="C11" s="86" t="str">
        <f>VLOOKUP(Read_First!B5,Items!A1:BI50,55,FALSE)</f>
        <v>Durchschaubarkeit</v>
      </c>
      <c r="D11" s="86" t="str">
        <f>VLOOKUP(Read_First!B5,Items!A1:BI50,56,FALSE)</f>
        <v>Effizienz</v>
      </c>
      <c r="E11" s="87" t="str">
        <f>VLOOKUP(Read_First!B5,Items!A1:BI50,57,FALSE)</f>
        <v>Steuerbarkeit</v>
      </c>
      <c r="F11" s="84" t="str">
        <f>VLOOKUP(Read_First!B5,Items!A1:BI50,58,FALSE)</f>
        <v>Stimulation</v>
      </c>
      <c r="G11" s="85" t="str">
        <f>VLOOKUP(Read_First!B5,Items!A1:BI50,59,FALSE)</f>
        <v>Originalität</v>
      </c>
    </row>
    <row r="12" spans="1:7">
      <c r="A12" s="90" t="s">
        <v>831</v>
      </c>
      <c r="B12" s="4">
        <f>POWER((1.65*B4)/0.5,2)</f>
        <v>2.1868229166666717</v>
      </c>
      <c r="C12" s="4">
        <f>POWER((1.65*B5)/0.5,2)</f>
        <v>6.5311640624999994</v>
      </c>
      <c r="D12" s="4">
        <f>POWER((1.65*B6)/0.5,2)</f>
        <v>8.2128749999999986</v>
      </c>
      <c r="E12" s="4">
        <f>POWER((1.65*B7)/0.5,2)</f>
        <v>3.5279062499999996</v>
      </c>
      <c r="F12" s="4">
        <f>POWER((1.65*B8)/0.5,2)</f>
        <v>4.4467499999999998</v>
      </c>
      <c r="G12" s="4">
        <f>POWER((1.65*B9)/0.5,2)</f>
        <v>4.6736249999999995</v>
      </c>
    </row>
    <row r="13" spans="1:7">
      <c r="A13" s="90" t="s">
        <v>832</v>
      </c>
      <c r="B13" s="4">
        <f>POWER((1.96*B4)/0.5,2)</f>
        <v>3.085729629629637</v>
      </c>
      <c r="C13" s="4">
        <f>POWER((1.96*B5)/0.5,2)</f>
        <v>9.2158383333333322</v>
      </c>
      <c r="D13" s="4">
        <f>POWER((1.96*B6)/0.5,2)</f>
        <v>11.588826666666668</v>
      </c>
      <c r="E13" s="4">
        <f>POWER((1.96*B7)/0.5,2)</f>
        <v>4.9780733333333327</v>
      </c>
      <c r="F13" s="4">
        <f>POWER((1.96*B8)/0.5,2)</f>
        <v>6.274613333333332</v>
      </c>
      <c r="G13" s="4">
        <f>POWER((1.96*B9)/0.5,2)</f>
        <v>6.5947466666666665</v>
      </c>
    </row>
    <row r="14" spans="1:7">
      <c r="A14" s="90" t="s">
        <v>833</v>
      </c>
      <c r="B14" s="4">
        <f>POWER((2.58*B4)/0.5,2)</f>
        <v>5.3466916666666808</v>
      </c>
      <c r="C14" s="4">
        <f>POWER((2.58*B5)/0.5,2)</f>
        <v>15.968426249999998</v>
      </c>
      <c r="D14" s="4">
        <f>POWER((2.58*B6)/0.5,2)</f>
        <v>20.080140000000007</v>
      </c>
      <c r="E14" s="4">
        <f>POWER((2.58*B7)/0.5,2)</f>
        <v>8.6255850000000009</v>
      </c>
      <c r="F14" s="4">
        <f>POWER((2.58*B8)/0.5,2)</f>
        <v>10.872119999999999</v>
      </c>
      <c r="G14" s="4">
        <f>POWER((2.58*B9)/0.5,2)</f>
        <v>11.426819999999999</v>
      </c>
    </row>
    <row r="15" spans="1:7">
      <c r="A15" s="90" t="s">
        <v>834</v>
      </c>
      <c r="B15" s="4">
        <f>POWER((1.65*B4)/0.25,2)</f>
        <v>8.7472916666666869</v>
      </c>
      <c r="C15" s="4">
        <f>POWER((1.65*B5)/0.25,2)</f>
        <v>26.124656249999997</v>
      </c>
      <c r="D15" s="4">
        <f>POWER((1.65*B6)/0.25,2)</f>
        <v>32.851499999999994</v>
      </c>
      <c r="E15" s="4">
        <f>POWER((1.65*B7)/0.25,2)</f>
        <v>14.111624999999998</v>
      </c>
      <c r="F15" s="4">
        <f>POWER((1.65*B8)/0.25,2)</f>
        <v>17.786999999999999</v>
      </c>
      <c r="G15" s="4">
        <f>POWER((1.65*B9)/0.25,2)</f>
        <v>18.694499999999998</v>
      </c>
    </row>
    <row r="16" spans="1:7">
      <c r="A16" s="90" t="s">
        <v>835</v>
      </c>
      <c r="B16" s="4">
        <f>POWER((1.96*B4)/0.25,2)</f>
        <v>12.342918518518548</v>
      </c>
      <c r="C16" s="4">
        <f>POWER((1.96*B5)/0.25,2)</f>
        <v>36.863353333333329</v>
      </c>
      <c r="D16" s="4">
        <f>POWER((1.96*B6)/0.25,2)</f>
        <v>46.355306666666671</v>
      </c>
      <c r="E16" s="4">
        <f>POWER((1.96*B7)/0.25,2)</f>
        <v>19.912293333333331</v>
      </c>
      <c r="F16" s="4">
        <f>POWER((1.96*B8)/0.25,2)</f>
        <v>25.098453333333328</v>
      </c>
      <c r="G16" s="4">
        <f>POWER((1.96*B9)/0.25,2)</f>
        <v>26.378986666666666</v>
      </c>
    </row>
    <row r="17" spans="1:7">
      <c r="A17" s="90" t="s">
        <v>836</v>
      </c>
      <c r="B17" s="4">
        <f>POWER((2.58*B4)/0.25,2)</f>
        <v>21.386766666666723</v>
      </c>
      <c r="C17" s="4">
        <f>POWER((2.58*B5)/0.25,2)</f>
        <v>63.873704999999994</v>
      </c>
      <c r="D17" s="4">
        <f>POWER((2.58*B6)/0.25,2)</f>
        <v>80.320560000000029</v>
      </c>
      <c r="E17" s="4">
        <f>POWER((2.58*B7)/0.25,2)</f>
        <v>34.502340000000004</v>
      </c>
      <c r="F17" s="4">
        <f>POWER((2.58*B8)/0.25,2)</f>
        <v>43.488479999999996</v>
      </c>
      <c r="G17" s="4">
        <f>POWER((2.58*B9)/0.25,2)</f>
        <v>45.707279999999997</v>
      </c>
    </row>
    <row r="18" spans="1:7">
      <c r="A18" s="90" t="s">
        <v>837</v>
      </c>
      <c r="B18" s="4">
        <f>POWER((1.65*B4)/0.1,2)</f>
        <v>54.670572916666785</v>
      </c>
      <c r="C18" s="4">
        <f>POWER((1.65*B5)/0.1,2)</f>
        <v>163.27910156249996</v>
      </c>
      <c r="D18" s="4">
        <f>POWER((1.65*B6)/0.1,2)</f>
        <v>205.32187499999998</v>
      </c>
      <c r="E18" s="4">
        <f>POWER((1.65*B7)/0.1,2)</f>
        <v>88.19765624999998</v>
      </c>
      <c r="F18" s="4">
        <f>POWER((1.65*B8)/0.1,2)</f>
        <v>111.16874999999997</v>
      </c>
      <c r="G18" s="4">
        <f>POWER((1.65*B9)/0.1,2)</f>
        <v>116.84062499999997</v>
      </c>
    </row>
    <row r="19" spans="1:7">
      <c r="A19" s="90" t="s">
        <v>838</v>
      </c>
      <c r="B19" s="4">
        <f>POWER((1.96*B4)/0.1,2)</f>
        <v>77.143240740740907</v>
      </c>
      <c r="C19" s="4">
        <f>POWER((1.96*B5)/0.1,2)</f>
        <v>230.39595833333328</v>
      </c>
      <c r="D19" s="4">
        <f>POWER((1.96*B6)/0.1,2)</f>
        <v>289.7206666666666</v>
      </c>
      <c r="E19" s="4">
        <f>POWER((1.96*B7)/0.1,2)</f>
        <v>124.45183333333331</v>
      </c>
      <c r="F19" s="4">
        <f>POWER((1.96*B8)/0.1,2)</f>
        <v>156.8653333333333</v>
      </c>
      <c r="G19" s="4">
        <f>POWER((1.96*B9)/0.1,2)</f>
        <v>164.86866666666668</v>
      </c>
    </row>
    <row r="20" spans="1:7">
      <c r="A20" s="91" t="s">
        <v>839</v>
      </c>
      <c r="B20" s="4">
        <f>POWER((2.58*B4)/0.1,2)</f>
        <v>133.66729166666698</v>
      </c>
      <c r="C20" s="4">
        <f>POWER((2.58*B5)/0.1,2)</f>
        <v>399.21065624999994</v>
      </c>
      <c r="D20" s="4">
        <f>POWER((2.58*B6)/0.1,2)</f>
        <v>502.00350000000009</v>
      </c>
      <c r="E20" s="4">
        <f>POWER((2.58*B7)/0.1,2)</f>
        <v>215.63962500000002</v>
      </c>
      <c r="F20" s="4">
        <f>POWER((2.58*B8)/0.1,2)</f>
        <v>271.80299999999988</v>
      </c>
      <c r="G20" s="4">
        <f>POWER((2.58*B9)/0.1,2)</f>
        <v>285.6705</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8.88671875" defaultRowHeight="14.4"/>
  <cols>
    <col min="1" max="6" width="12.77734375" customWidth="1"/>
    <col min="7" max="7" width="10.6640625" customWidth="1"/>
    <col min="8" max="8" width="11.109375" customWidth="1"/>
    <col min="9" max="11" width="12.77734375" customWidth="1"/>
    <col min="12" max="12" width="14.77734375" customWidth="1"/>
    <col min="13" max="13" width="13.44140625" customWidth="1"/>
    <col min="14" max="14" width="12.77734375" customWidth="1"/>
    <col min="17" max="17" width="12.77734375" customWidth="1"/>
    <col min="18" max="18" width="8.6640625" customWidth="1"/>
    <col min="19" max="19" width="10" customWidth="1"/>
    <col min="20" max="20" width="7.6640625" customWidth="1"/>
    <col min="21" max="21" width="10.5546875" customWidth="1"/>
  </cols>
  <sheetData>
    <row r="1" spans="1:23" ht="133.19999999999999"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Attraktivität</v>
      </c>
      <c r="B3" s="77" t="str">
        <f>VLOOKUP(Read_First!B5,Items!A1:BI50,55,FALSE)</f>
        <v>Durchschaubarkeit</v>
      </c>
      <c r="C3" s="77" t="str">
        <f>VLOOKUP(Read_First!B5,Items!A1:BI50,56,FALSE)</f>
        <v>Effizienz</v>
      </c>
      <c r="D3" s="77" t="str">
        <f>VLOOKUP(Read_First!B5,Items!A1:BI50,57,FALSE)</f>
        <v>Steuerbarkeit</v>
      </c>
      <c r="E3" s="77" t="str">
        <f>VLOOKUP(Read_First!B5,Items!A1:BI50,58,FALSE)</f>
        <v>Stimulation</v>
      </c>
      <c r="F3" s="77" t="str">
        <f>VLOOKUP(Read_First!B5,Items!A1:BI50,59,FALSE)</f>
        <v>Originalität</v>
      </c>
      <c r="G3" s="76" t="s">
        <v>1271</v>
      </c>
      <c r="I3" s="112" t="str">
        <f>VLOOKUP(Read_First!B5,Items!A1:BI50,54,FALSE)</f>
        <v>Attraktivität</v>
      </c>
      <c r="J3" s="75" t="str">
        <f>VLOOKUP(Read_First!B5,Items!A1:BI50,55,FALSE)</f>
        <v>Durchschaubarkeit</v>
      </c>
      <c r="K3" s="74" t="str">
        <f>VLOOKUP(Read_First!B5,Items!A1:BI50,56,FALSE)</f>
        <v>Effizienz</v>
      </c>
      <c r="L3" s="74" t="str">
        <f>VLOOKUP(Read_First!B5,Items!A1:BI50,57,FALSE)</f>
        <v>Steuerbarkeit</v>
      </c>
      <c r="M3" s="74" t="str">
        <f>VLOOKUP(Read_First!B5,Items!A1:BI50,58,FALSE)</f>
        <v>Stimulation</v>
      </c>
      <c r="N3" s="74" t="str">
        <f>VLOOKUP(Read_First!B5,Items!A1:BI50,59,FALSE)</f>
        <v>Originalität</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2.1029411764705888</v>
      </c>
      <c r="Q4" s="131" t="str">
        <f>VLOOKUP(Read_First!B5,Items!A1:BI50,54,FALSE)</f>
        <v>Attraktivität</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1.3611111111111109</v>
      </c>
      <c r="Q5" s="131" t="str">
        <f>VLOOKUP(Read_First!B5,Items!A1:BI50,55,FALSE)</f>
        <v>Durchschaubarkeit</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1.0142857142857145</v>
      </c>
      <c r="Q6" s="131" t="str">
        <f>VLOOKUP(Read_First!B5,Items!A1:BI50,56,FALSE)</f>
        <v>Effizienz</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2.3583333333333334</v>
      </c>
      <c r="Q7" s="131" t="str">
        <f>VLOOKUP(Read_First!B5,Items!A1:BI50,57,FALSE)</f>
        <v>Steuerbarkeit</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2.5</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1.9845679012345681</v>
      </c>
      <c r="Q9" s="131" t="str">
        <f>VLOOKUP(Read_First!B5,Items!A1:BI50,59,FALSE)</f>
        <v>Originalität</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f>IF(G10&gt;0,DT!AC10*I10+DT!AD10*J10+DT!AE10*K10+DT!AF10*L10+DT!AG10*M10+DT!AH10*N10,"")</f>
        <v>1.4791666666666665</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f>IF(G11&gt;0,DT!AC11*I11+DT!AD11*J11+DT!AE11*K11+DT!AF11*L11+DT!AG11*M11+DT!AH11*N11,"")</f>
        <v>1.4861111111111112</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f>IF(G12&gt;0,DT!AC12*I12+DT!AD12*J12+DT!AE12*K12+DT!AF12*L12+DT!AG12*M12+DT!AH12*N12,"")</f>
        <v>2.2454954954954953</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f>IF(G13&gt;0,DT!AC13*I13+DT!AD13*J13+DT!AE13*K13+DT!AF13*L13+DT!AG13*M13+DT!AH13*N13,"")</f>
        <v>1.6495726495726497</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f>IF(G14&gt;0,DT!AC14*I14+DT!AD14*J14+DT!AE14*K14+DT!AF14*L14+DT!AG14*M14+DT!AH14*N14,"")</f>
        <v>2.1196581196581197</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f>IF(G15&gt;0,DT!AC15*I15+DT!AD15*J15+DT!AE15*K15+DT!AF15*L15+DT!AG15*M15+DT!AH15*N15,"")</f>
        <v>2.1388888888888888</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f>IF(G16&gt;0,DT!AC16*I16+DT!AD16*J16+DT!AE16*K16+DT!AF16*L16+DT!AG16*M16+DT!AH16*N16,"")</f>
        <v>2.540322580645161</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f>IF(G17&gt;0,DT!AC17*I17+DT!AD17*J17+DT!AE17*K17+DT!AF17*L17+DT!AG17*M17+DT!AH17*N17,"")</f>
        <v>2.5083333333333333</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f>IF(G18&gt;0,DT!AC18*I18+DT!AD18*J18+DT!AE18*K18+DT!AF18*L18+DT!AG18*M18+DT!AH18*N18,"")</f>
        <v>0.79292929292929282</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f>IF(G19&gt;0,DT!AC19*I19+DT!AD19*J19+DT!AE19*K19+DT!AF19*L19+DT!AG19*M19+DT!AH19*N19,"")</f>
        <v>1.7000000000000002</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baseColWidth="10" defaultColWidth="9.109375" defaultRowHeight="14.4"/>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8">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7.399999999999999">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s0isnoac</cp:lastModifiedBy>
  <dcterms:created xsi:type="dcterms:W3CDTF">2012-03-20T13:56:56Z</dcterms:created>
  <dcterms:modified xsi:type="dcterms:W3CDTF">2024-08-01T15:42:34Z</dcterms:modified>
</cp:coreProperties>
</file>