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\Documents\Inventario DGSW\"/>
    </mc:Choice>
  </mc:AlternateContent>
  <bookViews>
    <workbookView xWindow="-120" yWindow="-120" windowWidth="29040" windowHeight="15840" firstSheet="6" activeTab="6"/>
  </bookViews>
  <sheets>
    <sheet name="Inventario" sheetId="1" state="hidden" r:id="rId1"/>
    <sheet name="Movimientos" sheetId="2" state="hidden" r:id="rId2"/>
    <sheet name="Proveedores" sheetId="3" state="hidden" r:id="rId3"/>
    <sheet name="RegistrodeSalidas" sheetId="4" state="hidden" r:id="rId4"/>
    <sheet name="RegistrodeEntradas" sheetId="5" state="hidden" r:id="rId5"/>
    <sheet name="LISTASDESALIDA" sheetId="21" state="hidden" r:id="rId6"/>
    <sheet name="DG_Inventarios" sheetId="9" r:id="rId7"/>
    <sheet name="ENCABEZADO" sheetId="17" state="hidden" r:id="rId8"/>
    <sheet name="LISTADEPRODUCTOS" sheetId="12" state="hidden" r:id="rId9"/>
    <sheet name="HOJA DE SALIDAS" sheetId="13" r:id="rId10"/>
    <sheet name="LISTA DE SALIDAS" sheetId="22" r:id="rId11"/>
    <sheet name="HOJA DE ENTRADAS" sheetId="15" r:id="rId12"/>
    <sheet name="HOJA PARA INVENTARIO" sheetId="18" r:id="rId13"/>
    <sheet name="REPORTE" sheetId="20" r:id="rId14"/>
    <sheet name="USUARIOS" sheetId="16" state="hidden" r:id="rId15"/>
  </sheets>
  <functionGroups builtInGroupCount="18"/>
  <definedNames>
    <definedName name="I">DG_Inventarios!$I$13</definedName>
    <definedName name="nombre">DG_Inventarios!#REF!</definedName>
    <definedName name="referenc">DG_Inventarios!$I$13</definedName>
    <definedName name="referencia">DG_Inventarios!$I$13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3" i="2" l="1"/>
  <c r="A4" i="2"/>
  <c r="A3" i="4"/>
  <c r="A5" i="2"/>
  <c r="A6" i="2"/>
  <c r="A7" i="2"/>
  <c r="A3" i="5"/>
  <c r="A8" i="2"/>
  <c r="A9" i="2" l="1"/>
  <c r="A10" i="2"/>
  <c r="A11" i="2"/>
  <c r="A12" i="2"/>
  <c r="A13" i="2"/>
  <c r="A14" i="2"/>
  <c r="A4" i="4"/>
  <c r="A15" i="2"/>
  <c r="A16" i="2"/>
  <c r="A17" i="2"/>
  <c r="A18" i="2"/>
  <c r="A19" i="2"/>
  <c r="A4" i="5"/>
  <c r="A20" i="2"/>
  <c r="A21" i="2" l="1"/>
  <c r="A22" i="2"/>
  <c r="A23" i="2"/>
  <c r="A24" i="2"/>
  <c r="A25" i="2"/>
  <c r="A26" i="2"/>
  <c r="A27" i="2"/>
  <c r="A28" i="2"/>
  <c r="A29" i="2"/>
  <c r="A5" i="5"/>
  <c r="A30" i="2"/>
  <c r="A31" i="2"/>
  <c r="B408" i="1"/>
  <c r="A32" i="2"/>
  <c r="B407" i="1"/>
  <c r="A33" i="2"/>
  <c r="B406" i="1"/>
  <c r="A34" i="2"/>
  <c r="B405" i="1"/>
  <c r="A35" i="2"/>
  <c r="B404" i="1"/>
  <c r="A36" i="2"/>
  <c r="B403" i="1"/>
  <c r="A5" i="4" l="1"/>
  <c r="A37" i="2"/>
  <c r="A6" i="5"/>
  <c r="A38" i="2"/>
  <c r="A39" i="2"/>
  <c r="B402" i="1"/>
  <c r="A40" i="2"/>
  <c r="A41" i="2"/>
  <c r="A42" i="2"/>
  <c r="A43" i="2"/>
  <c r="A6" i="4"/>
  <c r="A44" i="2"/>
  <c r="A45" i="2"/>
  <c r="A46" i="2"/>
  <c r="A47" i="2"/>
  <c r="A48" i="2"/>
  <c r="A7" i="5"/>
  <c r="A49" i="2"/>
  <c r="A50" i="2"/>
  <c r="B401" i="1"/>
  <c r="A51" i="2"/>
  <c r="B400" i="1"/>
  <c r="A52" i="2"/>
  <c r="B399" i="1"/>
  <c r="A53" i="2"/>
  <c r="A7" i="4"/>
  <c r="A54" i="2"/>
  <c r="A55" i="2"/>
  <c r="A8" i="5"/>
  <c r="A56" i="2"/>
  <c r="A8" i="4"/>
  <c r="A57" i="2"/>
  <c r="A9" i="5"/>
  <c r="A58" i="2"/>
  <c r="A59" i="2"/>
  <c r="B398" i="1"/>
  <c r="A9" i="4" l="1"/>
  <c r="A60" i="2"/>
  <c r="A10" i="5"/>
  <c r="A61" i="2"/>
  <c r="A10" i="4"/>
  <c r="A62" i="2"/>
  <c r="A11" i="5"/>
  <c r="A63" i="2"/>
  <c r="A64" i="2"/>
  <c r="B397" i="1"/>
  <c r="A11" i="4"/>
  <c r="A65" i="2"/>
  <c r="A12" i="5"/>
  <c r="A66" i="2"/>
  <c r="A67" i="2"/>
  <c r="B396" i="1"/>
  <c r="A12" i="4"/>
  <c r="A68" i="2"/>
  <c r="A13" i="5"/>
  <c r="A69" i="2"/>
  <c r="A70" i="2"/>
  <c r="B395" i="1"/>
  <c r="A71" i="2"/>
  <c r="A72" i="2"/>
  <c r="A73" i="2"/>
  <c r="A74" i="2"/>
  <c r="A75" i="2"/>
  <c r="A76" i="2"/>
  <c r="A13" i="4"/>
  <c r="A77" i="2"/>
  <c r="A78" i="2"/>
  <c r="A79" i="2"/>
  <c r="A80" i="2"/>
  <c r="A81" i="2"/>
  <c r="A82" i="2"/>
  <c r="A83" i="2"/>
  <c r="A14" i="5"/>
  <c r="A84" i="2"/>
  <c r="A14" i="4" l="1"/>
  <c r="A85" i="2"/>
  <c r="A15" i="5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15" i="4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6" i="4"/>
  <c r="A119" i="2"/>
  <c r="A120" i="2"/>
  <c r="A121" i="2"/>
  <c r="A122" i="2"/>
  <c r="A123" i="2"/>
  <c r="A124" i="2"/>
  <c r="A125" i="2"/>
  <c r="A126" i="2"/>
  <c r="A127" i="2"/>
  <c r="A128" i="2"/>
  <c r="A16" i="5"/>
  <c r="A129" i="2"/>
  <c r="A130" i="2" l="1"/>
  <c r="B394" i="1"/>
  <c r="A131" i="2"/>
  <c r="B393" i="1"/>
  <c r="A132" i="2"/>
  <c r="B392" i="1"/>
  <c r="A133" i="2"/>
  <c r="B391" i="1"/>
  <c r="A17" i="4" l="1"/>
  <c r="A134" i="2"/>
  <c r="A17" i="5"/>
  <c r="A135" i="2"/>
  <c r="A136" i="2"/>
  <c r="B390" i="1"/>
  <c r="A18" i="4"/>
  <c r="A137" i="2"/>
  <c r="A18" i="5"/>
  <c r="A138" i="2"/>
  <c r="A139" i="2"/>
  <c r="B389" i="1"/>
  <c r="A140" i="2" l="1"/>
  <c r="B388" i="1"/>
  <c r="A141" i="2"/>
  <c r="B387" i="1"/>
  <c r="A142" i="2"/>
  <c r="B386" i="1"/>
  <c r="A143" i="2"/>
  <c r="B385" i="1"/>
  <c r="A144" i="2"/>
  <c r="B384" i="1"/>
  <c r="A145" i="2" l="1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9" i="4"/>
  <c r="A164" i="2"/>
  <c r="A165" i="2"/>
  <c r="A166" i="2"/>
  <c r="A167" i="2"/>
  <c r="A168" i="2"/>
  <c r="A169" i="2"/>
  <c r="A170" i="2"/>
  <c r="A19" i="5"/>
  <c r="A171" i="2"/>
  <c r="A172" i="2"/>
  <c r="B383" i="1"/>
  <c r="A173" i="2"/>
  <c r="B382" i="1"/>
  <c r="A174" i="2"/>
  <c r="B381" i="1"/>
  <c r="A175" i="2"/>
  <c r="B380" i="1"/>
  <c r="A176" i="2"/>
  <c r="B379" i="1"/>
  <c r="A177" i="2"/>
  <c r="B378" i="1"/>
  <c r="A178" i="2"/>
  <c r="B377" i="1"/>
  <c r="A179" i="2"/>
  <c r="B376" i="1"/>
  <c r="A180" i="2" l="1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20" i="4"/>
  <c r="A194" i="2"/>
  <c r="A195" i="2"/>
  <c r="A196" i="2"/>
  <c r="A197" i="2"/>
  <c r="A21" i="4"/>
  <c r="A198" i="2"/>
  <c r="A199" i="2" l="1"/>
  <c r="A200" i="2"/>
  <c r="A201" i="2"/>
  <c r="A202" i="2"/>
  <c r="A20" i="5"/>
  <c r="A203" i="2"/>
  <c r="A204" i="2"/>
  <c r="A205" i="2"/>
  <c r="A206" i="2"/>
  <c r="A207" i="2"/>
  <c r="A208" i="2"/>
  <c r="A209" i="2"/>
  <c r="A210" i="2"/>
  <c r="A211" i="2"/>
  <c r="A212" i="2"/>
  <c r="A213" i="2"/>
  <c r="A214" i="2"/>
  <c r="A21" i="5"/>
  <c r="A215" i="2"/>
  <c r="A216" i="2"/>
  <c r="A217" i="2"/>
  <c r="A218" i="2"/>
  <c r="A219" i="2"/>
  <c r="A220" i="2"/>
  <c r="A22" i="4"/>
  <c r="A221" i="2"/>
  <c r="A222" i="2" l="1"/>
  <c r="B375" i="1"/>
  <c r="A223" i="2"/>
  <c r="B374" i="1"/>
  <c r="A224" i="2"/>
  <c r="B373" i="1"/>
  <c r="A225" i="2"/>
  <c r="B372" i="1"/>
  <c r="A226" i="2"/>
  <c r="B371" i="1"/>
  <c r="A227" i="2"/>
  <c r="B370" i="1"/>
  <c r="A228" i="2"/>
  <c r="B369" i="1"/>
  <c r="A229" i="2"/>
  <c r="B368" i="1"/>
  <c r="A230" i="2"/>
  <c r="B367" i="1"/>
  <c r="A231" i="2"/>
  <c r="B366" i="1"/>
  <c r="A232" i="2"/>
  <c r="B365" i="1"/>
  <c r="A233" i="2"/>
  <c r="B364" i="1"/>
  <c r="A234" i="2"/>
  <c r="B363" i="1"/>
  <c r="A235" i="2"/>
  <c r="B362" i="1"/>
  <c r="A236" i="2"/>
  <c r="B361" i="1"/>
  <c r="A237" i="2"/>
  <c r="B360" i="1"/>
  <c r="A3" i="21"/>
  <c r="A238" i="2" l="1"/>
  <c r="A239" i="2"/>
  <c r="A240" i="2"/>
  <c r="A241" i="2"/>
  <c r="A242" i="2"/>
  <c r="A22" i="5"/>
  <c r="A243" i="2"/>
  <c r="A244" i="2"/>
  <c r="B359" i="1"/>
  <c r="A245" i="2"/>
  <c r="B358" i="1"/>
  <c r="A246" i="2"/>
  <c r="B357" i="1"/>
  <c r="A247" i="2"/>
  <c r="B356" i="1"/>
  <c r="A248" i="2" l="1"/>
  <c r="A249" i="2"/>
  <c r="A250" i="2"/>
  <c r="A251" i="2"/>
  <c r="A252" i="2"/>
  <c r="A23" i="4"/>
  <c r="A253" i="2"/>
  <c r="A254" i="2"/>
  <c r="A255" i="2"/>
  <c r="A256" i="2"/>
  <c r="A257" i="2"/>
  <c r="A258" i="2"/>
  <c r="A23" i="5"/>
  <c r="A259" i="2"/>
  <c r="A260" i="2"/>
  <c r="B355" i="1"/>
  <c r="A261" i="2"/>
  <c r="B354" i="1"/>
  <c r="A262" i="2"/>
  <c r="B353" i="1"/>
  <c r="A263" i="2"/>
  <c r="B352" i="1"/>
  <c r="A24" i="4" l="1"/>
  <c r="A264" i="2"/>
  <c r="A25" i="4" l="1"/>
  <c r="A265" i="2"/>
  <c r="A266" i="2" l="1"/>
  <c r="A267" i="2"/>
  <c r="A26" i="4"/>
  <c r="A268" i="2"/>
  <c r="A24" i="5"/>
  <c r="A269" i="2"/>
  <c r="A270" i="2"/>
  <c r="B351" i="1"/>
  <c r="A271" i="2"/>
  <c r="A272" i="2"/>
  <c r="A27" i="4"/>
  <c r="A273" i="2"/>
  <c r="A37" i="13" l="1"/>
  <c r="A28" i="4"/>
  <c r="A274" i="2"/>
  <c r="A25" i="5"/>
  <c r="A275" i="2"/>
  <c r="A276" i="2"/>
  <c r="B350" i="1"/>
  <c r="A26" i="5" l="1"/>
  <c r="A277" i="2"/>
  <c r="A278" i="2"/>
  <c r="B349" i="1"/>
  <c r="A279" i="2" l="1"/>
  <c r="A280" i="2"/>
  <c r="A281" i="2"/>
  <c r="A282" i="2"/>
  <c r="A283" i="2"/>
  <c r="A284" i="2"/>
  <c r="A29" i="4"/>
  <c r="A285" i="2"/>
  <c r="A286" i="2"/>
  <c r="A287" i="2"/>
  <c r="A288" i="2"/>
  <c r="A289" i="2"/>
  <c r="A290" i="2"/>
  <c r="A291" i="2"/>
  <c r="A27" i="5"/>
  <c r="A292" i="2"/>
  <c r="A293" i="2"/>
  <c r="B348" i="1"/>
  <c r="A294" i="2"/>
  <c r="B347" i="1"/>
  <c r="A295" i="2"/>
  <c r="B346" i="1"/>
  <c r="A296" i="2"/>
  <c r="B345" i="1"/>
  <c r="A297" i="2" l="1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28" i="5"/>
  <c r="A312" i="2"/>
  <c r="A313" i="2"/>
  <c r="B344" i="1"/>
  <c r="A314" i="2"/>
  <c r="B343" i="1"/>
  <c r="A315" i="2"/>
  <c r="B342" i="1"/>
  <c r="A316" i="2"/>
  <c r="B341" i="1"/>
  <c r="A317" i="2"/>
  <c r="B340" i="1"/>
  <c r="A318" i="2"/>
  <c r="B339" i="1"/>
  <c r="A319" i="2"/>
  <c r="B338" i="1"/>
  <c r="A320" i="2"/>
  <c r="B337" i="1"/>
  <c r="A321" i="2"/>
  <c r="B336" i="1"/>
  <c r="A322" i="2"/>
  <c r="B335" i="1"/>
  <c r="A323" i="2"/>
  <c r="B334" i="1"/>
  <c r="A324" i="2"/>
  <c r="B333" i="1"/>
  <c r="A325" i="2"/>
  <c r="B332" i="1"/>
  <c r="A326" i="2"/>
  <c r="B331" i="1"/>
  <c r="A327" i="2"/>
  <c r="B330" i="1"/>
  <c r="A328" i="2"/>
  <c r="B329" i="1"/>
  <c r="A329" i="2" l="1"/>
  <c r="A330" i="2"/>
  <c r="A331" i="2"/>
  <c r="A332" i="2"/>
  <c r="A30" i="4"/>
  <c r="A333" i="2"/>
  <c r="A334" i="2"/>
  <c r="A335" i="2"/>
  <c r="A336" i="2"/>
  <c r="A29" i="5"/>
  <c r="A337" i="2"/>
  <c r="A338" i="2"/>
  <c r="B328" i="1"/>
  <c r="A339" i="2"/>
  <c r="B327" i="1"/>
  <c r="A340" i="2"/>
  <c r="A341" i="2"/>
  <c r="A342" i="2"/>
  <c r="A343" i="2"/>
  <c r="A344" i="2"/>
  <c r="A345" i="2"/>
  <c r="A346" i="2"/>
  <c r="A31" i="4"/>
  <c r="A347" i="2"/>
  <c r="A348" i="2"/>
  <c r="A349" i="2"/>
  <c r="A30" i="5"/>
  <c r="A350" i="2"/>
  <c r="A351" i="2"/>
  <c r="A352" i="2"/>
  <c r="A353" i="2"/>
  <c r="A31" i="5"/>
  <c r="A354" i="2"/>
  <c r="A355" i="2" l="1"/>
  <c r="B326" i="1"/>
  <c r="A356" i="2"/>
  <c r="B325" i="1"/>
  <c r="A357" i="2" l="1"/>
  <c r="A358" i="2"/>
  <c r="A359" i="2"/>
  <c r="A360" i="2"/>
  <c r="A361" i="2"/>
  <c r="A362" i="2"/>
  <c r="A363" i="2"/>
  <c r="A364" i="2"/>
  <c r="A365" i="2"/>
  <c r="A366" i="2"/>
  <c r="A367" i="2"/>
  <c r="A368" i="2"/>
  <c r="A32" i="5"/>
  <c r="A369" i="2"/>
  <c r="A370" i="2"/>
  <c r="B324" i="1"/>
  <c r="A371" i="2"/>
  <c r="B323" i="1"/>
  <c r="A372" i="2"/>
  <c r="B322" i="1"/>
  <c r="A373" i="2"/>
  <c r="B321" i="1"/>
  <c r="A374" i="2"/>
  <c r="B320" i="1"/>
  <c r="A375" i="2"/>
  <c r="B319" i="1"/>
  <c r="A376" i="2"/>
  <c r="B318" i="1"/>
  <c r="A32" i="4" l="1"/>
  <c r="A377" i="2"/>
  <c r="A378" i="2" l="1"/>
  <c r="A33" i="4"/>
  <c r="A379" i="2"/>
  <c r="A33" i="5" l="1"/>
  <c r="A380" i="2"/>
  <c r="A2" i="16" l="1"/>
  <c r="A3" i="16"/>
  <c r="A4" i="16"/>
  <c r="A5" i="16"/>
  <c r="A6" i="16"/>
  <c r="A7" i="16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B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409" i="1"/>
  <c r="A14" i="15" l="1"/>
  <c r="M7" i="9"/>
  <c r="M9" i="9"/>
  <c r="G78" i="22"/>
  <c r="G77" i="22"/>
  <c r="G76" i="22"/>
  <c r="G75" i="22"/>
  <c r="G74" i="22"/>
  <c r="G73" i="22"/>
  <c r="G72" i="22"/>
  <c r="G71" i="22"/>
  <c r="G70" i="22"/>
  <c r="G69" i="22"/>
  <c r="G68" i="22"/>
  <c r="G67" i="22"/>
  <c r="G66" i="22"/>
  <c r="G65" i="22"/>
  <c r="G64" i="22"/>
  <c r="G80" i="22"/>
  <c r="G79" i="22"/>
  <c r="G81" i="22"/>
  <c r="G82" i="22"/>
  <c r="G83" i="22"/>
  <c r="F83" i="22"/>
  <c r="F82" i="22"/>
  <c r="F81" i="22"/>
  <c r="F80" i="22"/>
  <c r="F79" i="22"/>
  <c r="F78" i="22"/>
  <c r="F77" i="22"/>
  <c r="F76" i="22"/>
  <c r="F75" i="22"/>
  <c r="F74" i="22"/>
  <c r="F73" i="22"/>
  <c r="F72" i="22"/>
  <c r="F71" i="22"/>
  <c r="F70" i="22"/>
  <c r="F69" i="22"/>
  <c r="F68" i="22"/>
  <c r="F67" i="22"/>
  <c r="F66" i="22"/>
  <c r="F65" i="22"/>
  <c r="F6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D83" i="22"/>
  <c r="D82" i="22"/>
  <c r="D81" i="22"/>
  <c r="D80" i="22"/>
  <c r="D79" i="22"/>
  <c r="D78" i="22"/>
  <c r="D77" i="22"/>
  <c r="D76" i="22"/>
  <c r="D75" i="22"/>
  <c r="D74" i="22"/>
  <c r="D73" i="22"/>
  <c r="D72" i="22"/>
  <c r="D71" i="22"/>
  <c r="D70" i="22"/>
  <c r="D69" i="22"/>
  <c r="D68" i="22"/>
  <c r="D67" i="22"/>
  <c r="D66" i="22"/>
  <c r="D65" i="22"/>
  <c r="D64" i="22"/>
  <c r="C83" i="22"/>
  <c r="C82" i="22"/>
  <c r="C81" i="22"/>
  <c r="C80" i="22"/>
  <c r="C79" i="22"/>
  <c r="C78" i="22"/>
  <c r="C77" i="22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B83" i="22"/>
  <c r="B82" i="22"/>
  <c r="B81" i="22"/>
  <c r="B80" i="22"/>
  <c r="B79" i="22"/>
  <c r="B78" i="22"/>
  <c r="B77" i="22"/>
  <c r="B76" i="22"/>
  <c r="B75" i="22"/>
  <c r="B74" i="22"/>
  <c r="B73" i="22"/>
  <c r="B72" i="22"/>
  <c r="B71" i="22"/>
  <c r="B70" i="22"/>
  <c r="B69" i="22"/>
  <c r="B68" i="22"/>
  <c r="B67" i="22"/>
  <c r="B66" i="22"/>
  <c r="B65" i="22"/>
  <c r="B64" i="22"/>
  <c r="A83" i="22"/>
  <c r="A82" i="22"/>
  <c r="A81" i="22"/>
  <c r="A80" i="22"/>
  <c r="A79" i="22"/>
  <c r="A78" i="22"/>
  <c r="A77" i="22"/>
  <c r="A76" i="22"/>
  <c r="A75" i="22"/>
  <c r="A74" i="22"/>
  <c r="A73" i="22"/>
  <c r="A72" i="22"/>
  <c r="A71" i="22"/>
  <c r="A70" i="22"/>
  <c r="A69" i="22"/>
  <c r="A68" i="22"/>
  <c r="A67" i="22"/>
  <c r="A66" i="22"/>
  <c r="A65" i="22"/>
  <c r="A64" i="22"/>
  <c r="A14" i="22"/>
  <c r="C61" i="22"/>
  <c r="C8" i="22"/>
  <c r="A87" i="22"/>
  <c r="A37" i="22"/>
  <c r="H33" i="22"/>
  <c r="H32" i="22"/>
  <c r="H31" i="22"/>
  <c r="H30" i="22"/>
  <c r="H29" i="22"/>
  <c r="H28" i="22"/>
  <c r="H27" i="22"/>
  <c r="H26" i="22"/>
  <c r="H25" i="22"/>
  <c r="H24" i="22"/>
  <c r="H23" i="22"/>
  <c r="H22" i="22"/>
  <c r="H21" i="22"/>
  <c r="H20" i="22"/>
  <c r="H19" i="22"/>
  <c r="H18" i="22"/>
  <c r="H17" i="22"/>
  <c r="H16" i="22"/>
  <c r="H15" i="22"/>
  <c r="H14" i="22"/>
  <c r="G33" i="22"/>
  <c r="G32" i="22"/>
  <c r="G31" i="22"/>
  <c r="G30" i="22"/>
  <c r="G29" i="22"/>
  <c r="G28" i="22"/>
  <c r="G27" i="22"/>
  <c r="G26" i="22"/>
  <c r="G25" i="22"/>
  <c r="G24" i="22"/>
  <c r="G23" i="22"/>
  <c r="G22" i="22"/>
  <c r="G21" i="22"/>
  <c r="G20" i="22"/>
  <c r="G19" i="22"/>
  <c r="G18" i="22"/>
  <c r="G17" i="22"/>
  <c r="G16" i="22"/>
  <c r="G15" i="22"/>
  <c r="G14" i="22"/>
  <c r="F33" i="22"/>
  <c r="F32" i="22"/>
  <c r="F31" i="22"/>
  <c r="F30" i="22"/>
  <c r="F29" i="22"/>
  <c r="F28" i="22"/>
  <c r="F27" i="22"/>
  <c r="F26" i="22"/>
  <c r="F25" i="22"/>
  <c r="F24" i="22"/>
  <c r="F23" i="22"/>
  <c r="F22" i="22"/>
  <c r="F21" i="22"/>
  <c r="F20" i="22"/>
  <c r="F19" i="22"/>
  <c r="F18" i="22"/>
  <c r="F17" i="22"/>
  <c r="F16" i="22"/>
  <c r="F15" i="22"/>
  <c r="F14" i="22"/>
  <c r="E33" i="22"/>
  <c r="E32" i="22"/>
  <c r="E31" i="22"/>
  <c r="E30" i="22"/>
  <c r="E29" i="22"/>
  <c r="E28" i="22"/>
  <c r="E27" i="22"/>
  <c r="E26" i="22"/>
  <c r="E25" i="22"/>
  <c r="E24" i="22"/>
  <c r="E23" i="22"/>
  <c r="E22" i="22"/>
  <c r="E21" i="22"/>
  <c r="E20" i="22"/>
  <c r="E19" i="22"/>
  <c r="E18" i="22"/>
  <c r="E17" i="22"/>
  <c r="E16" i="22"/>
  <c r="E15" i="22"/>
  <c r="E14" i="22"/>
  <c r="D33" i="22"/>
  <c r="D32" i="22"/>
  <c r="D31" i="22"/>
  <c r="D30" i="22"/>
  <c r="D29" i="22"/>
  <c r="D28" i="22"/>
  <c r="D27" i="22"/>
  <c r="D26" i="22"/>
  <c r="D25" i="22"/>
  <c r="D24" i="22"/>
  <c r="D23" i="22"/>
  <c r="D22" i="22"/>
  <c r="D21" i="22"/>
  <c r="D20" i="22"/>
  <c r="D19" i="22"/>
  <c r="D18" i="22"/>
  <c r="D17" i="22"/>
  <c r="D16" i="22"/>
  <c r="D15" i="22"/>
  <c r="D1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B33" i="22"/>
  <c r="B32" i="22"/>
  <c r="B31" i="22"/>
  <c r="B30" i="22"/>
  <c r="B29" i="22"/>
  <c r="B28" i="22"/>
  <c r="B27" i="22"/>
  <c r="B26" i="22"/>
  <c r="B25" i="22"/>
  <c r="B24" i="22"/>
  <c r="B23" i="22"/>
  <c r="B22" i="22"/>
  <c r="B21" i="22"/>
  <c r="B20" i="22"/>
  <c r="B19" i="22"/>
  <c r="B18" i="22"/>
  <c r="B17" i="22"/>
  <c r="B16" i="22"/>
  <c r="B15" i="22"/>
  <c r="B14" i="22"/>
  <c r="A33" i="22"/>
  <c r="A32" i="22"/>
  <c r="A31" i="22"/>
  <c r="A30" i="22"/>
  <c r="A29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C12" i="22"/>
  <c r="A37" i="15"/>
  <c r="H33" i="15"/>
  <c r="H33" i="13"/>
  <c r="C62" i="22"/>
  <c r="C11" i="22"/>
  <c r="C60" i="22"/>
  <c r="C10" i="22"/>
  <c r="C59" i="22"/>
  <c r="C9" i="22"/>
  <c r="C58" i="22"/>
  <c r="D7" i="22"/>
  <c r="D57" i="22" s="1"/>
  <c r="A4" i="21"/>
  <c r="A2" i="21"/>
  <c r="A26" i="13" l="1"/>
  <c r="A26" i="15"/>
  <c r="A34" i="4"/>
  <c r="A2" i="5"/>
  <c r="A34" i="5"/>
  <c r="A2" i="4"/>
  <c r="A381" i="2" l="1"/>
  <c r="B17" i="13" l="1"/>
  <c r="A2" i="2"/>
  <c r="B24" i="15"/>
  <c r="B23" i="15"/>
  <c r="D7" i="13"/>
  <c r="D7" i="15"/>
  <c r="H32" i="13"/>
  <c r="H31" i="13"/>
  <c r="H30" i="13"/>
  <c r="H29" i="13"/>
  <c r="H28" i="13"/>
  <c r="H27" i="13"/>
  <c r="H26" i="13"/>
  <c r="H25" i="13"/>
  <c r="H24" i="13"/>
  <c r="H23" i="13"/>
  <c r="H22" i="13"/>
  <c r="H21" i="13"/>
  <c r="H20" i="13"/>
  <c r="H19" i="13"/>
  <c r="H18" i="13"/>
  <c r="H17" i="13"/>
  <c r="H16" i="13"/>
  <c r="H15" i="13"/>
  <c r="H14" i="13"/>
  <c r="G33" i="13"/>
  <c r="G32" i="13"/>
  <c r="G31" i="13"/>
  <c r="G30" i="13"/>
  <c r="G29" i="13"/>
  <c r="G28" i="13"/>
  <c r="G27" i="13"/>
  <c r="G26" i="13"/>
  <c r="G25" i="13"/>
  <c r="G24" i="13"/>
  <c r="G23" i="13"/>
  <c r="G22" i="13"/>
  <c r="G21" i="13"/>
  <c r="G20" i="13"/>
  <c r="G19" i="13"/>
  <c r="G18" i="13"/>
  <c r="G17" i="13"/>
  <c r="G16" i="13"/>
  <c r="G15" i="13"/>
  <c r="G14" i="13"/>
  <c r="F33" i="13"/>
  <c r="F32" i="13"/>
  <c r="F31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16" i="13"/>
  <c r="F15" i="13"/>
  <c r="F14" i="13"/>
  <c r="E33" i="13"/>
  <c r="E32" i="13"/>
  <c r="E31" i="13"/>
  <c r="E30" i="13"/>
  <c r="E29" i="13"/>
  <c r="E28" i="13"/>
  <c r="E27" i="13"/>
  <c r="E26" i="13"/>
  <c r="E25" i="13"/>
  <c r="E24" i="13"/>
  <c r="E23" i="13"/>
  <c r="E22" i="13"/>
  <c r="E21" i="13"/>
  <c r="E20" i="13"/>
  <c r="E19" i="13"/>
  <c r="E18" i="13"/>
  <c r="E17" i="13"/>
  <c r="E16" i="13"/>
  <c r="E15" i="13"/>
  <c r="E14" i="13"/>
  <c r="D33" i="13"/>
  <c r="D32" i="13"/>
  <c r="D31" i="13"/>
  <c r="D30" i="13"/>
  <c r="D29" i="13"/>
  <c r="D28" i="13"/>
  <c r="D27" i="13"/>
  <c r="D26" i="13"/>
  <c r="D25" i="13"/>
  <c r="D24" i="13"/>
  <c r="D23" i="13"/>
  <c r="D22" i="13"/>
  <c r="D21" i="13"/>
  <c r="D20" i="13"/>
  <c r="D19" i="13"/>
  <c r="D18" i="13"/>
  <c r="D17" i="13"/>
  <c r="D16" i="13"/>
  <c r="D15" i="13"/>
  <c r="D14" i="13"/>
  <c r="C33" i="13"/>
  <c r="C32" i="13"/>
  <c r="C31" i="13"/>
  <c r="C30" i="13"/>
  <c r="C29" i="13"/>
  <c r="C28" i="13"/>
  <c r="C27" i="13"/>
  <c r="C26" i="13"/>
  <c r="C25" i="13"/>
  <c r="C24" i="13"/>
  <c r="C23" i="13"/>
  <c r="C22" i="13"/>
  <c r="C21" i="13"/>
  <c r="C20" i="13"/>
  <c r="C19" i="13"/>
  <c r="C18" i="13"/>
  <c r="C17" i="13"/>
  <c r="C16" i="13"/>
  <c r="C15" i="13"/>
  <c r="C14" i="13"/>
  <c r="B32" i="13"/>
  <c r="B31" i="13"/>
  <c r="B30" i="13"/>
  <c r="B29" i="13"/>
  <c r="B28" i="13"/>
  <c r="B27" i="13"/>
  <c r="B26" i="13"/>
  <c r="B25" i="13"/>
  <c r="B24" i="13"/>
  <c r="B23" i="13"/>
  <c r="B22" i="13"/>
  <c r="B21" i="13"/>
  <c r="B20" i="13"/>
  <c r="B19" i="13"/>
  <c r="B18" i="13"/>
  <c r="B16" i="13"/>
  <c r="B15" i="13"/>
  <c r="B14" i="13"/>
  <c r="B33" i="13"/>
  <c r="A33" i="13"/>
  <c r="A32" i="13"/>
  <c r="A31" i="13"/>
  <c r="A30" i="13"/>
  <c r="A29" i="13"/>
  <c r="A28" i="13"/>
  <c r="A27" i="13"/>
  <c r="A25" i="13"/>
  <c r="A24" i="13"/>
  <c r="A23" i="13"/>
  <c r="A22" i="13"/>
  <c r="A21" i="13"/>
  <c r="A20" i="13"/>
  <c r="A19" i="13"/>
  <c r="A18" i="13"/>
  <c r="A17" i="13"/>
  <c r="A16" i="13"/>
  <c r="A15" i="13"/>
  <c r="A14" i="13"/>
  <c r="C12" i="13"/>
  <c r="C11" i="13"/>
  <c r="C10" i="13"/>
  <c r="C9" i="13"/>
  <c r="C8" i="13"/>
  <c r="H32" i="15"/>
  <c r="H31" i="15"/>
  <c r="H30" i="15"/>
  <c r="H29" i="15"/>
  <c r="H28" i="15"/>
  <c r="H27" i="15"/>
  <c r="H26" i="15"/>
  <c r="H25" i="15"/>
  <c r="H24" i="15"/>
  <c r="H23" i="15"/>
  <c r="H22" i="15"/>
  <c r="H21" i="15"/>
  <c r="H20" i="15"/>
  <c r="H19" i="15"/>
  <c r="H18" i="15"/>
  <c r="H17" i="15"/>
  <c r="H16" i="15"/>
  <c r="H15" i="15"/>
  <c r="G33" i="15"/>
  <c r="G32" i="15"/>
  <c r="G31" i="15"/>
  <c r="G30" i="15"/>
  <c r="G29" i="15"/>
  <c r="G28" i="15"/>
  <c r="G27" i="15"/>
  <c r="G26" i="15"/>
  <c r="G25" i="15"/>
  <c r="G24" i="15"/>
  <c r="G23" i="15"/>
  <c r="G22" i="15"/>
  <c r="G21" i="15"/>
  <c r="G20" i="15"/>
  <c r="G19" i="15"/>
  <c r="G18" i="15"/>
  <c r="G17" i="15"/>
  <c r="G16" i="15"/>
  <c r="G15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E33" i="15"/>
  <c r="E32" i="15"/>
  <c r="E31" i="15"/>
  <c r="E30" i="15"/>
  <c r="E29" i="15"/>
  <c r="E28" i="15"/>
  <c r="E27" i="15"/>
  <c r="E26" i="15"/>
  <c r="E25" i="15"/>
  <c r="E24" i="15"/>
  <c r="E23" i="15"/>
  <c r="E22" i="15"/>
  <c r="E21" i="15"/>
  <c r="E20" i="15"/>
  <c r="E19" i="15"/>
  <c r="E18" i="15"/>
  <c r="E17" i="15"/>
  <c r="E16" i="15"/>
  <c r="E15" i="15"/>
  <c r="D33" i="15"/>
  <c r="D32" i="15"/>
  <c r="D31" i="15"/>
  <c r="D30" i="15"/>
  <c r="D29" i="15"/>
  <c r="D28" i="15"/>
  <c r="D27" i="15"/>
  <c r="D26" i="15"/>
  <c r="D25" i="15"/>
  <c r="D24" i="15"/>
  <c r="D23" i="15"/>
  <c r="D22" i="15"/>
  <c r="D21" i="15"/>
  <c r="D20" i="15"/>
  <c r="D19" i="15"/>
  <c r="D18" i="15"/>
  <c r="D17" i="15"/>
  <c r="D16" i="15"/>
  <c r="D15" i="15"/>
  <c r="C33" i="15"/>
  <c r="C32" i="15"/>
  <c r="C31" i="15"/>
  <c r="C30" i="15"/>
  <c r="C29" i="15"/>
  <c r="C28" i="15"/>
  <c r="C27" i="15"/>
  <c r="C26" i="15"/>
  <c r="C25" i="15"/>
  <c r="C24" i="15"/>
  <c r="C23" i="15"/>
  <c r="C22" i="15"/>
  <c r="C21" i="15"/>
  <c r="C20" i="15"/>
  <c r="C19" i="15"/>
  <c r="C18" i="15"/>
  <c r="C17" i="15"/>
  <c r="C16" i="15"/>
  <c r="C15" i="15"/>
  <c r="B33" i="15"/>
  <c r="B32" i="15"/>
  <c r="B31" i="15"/>
  <c r="B30" i="15"/>
  <c r="B29" i="15"/>
  <c r="B28" i="15"/>
  <c r="B27" i="15"/>
  <c r="B26" i="15"/>
  <c r="B25" i="15"/>
  <c r="B22" i="15"/>
  <c r="B21" i="15"/>
  <c r="B20" i="15"/>
  <c r="B19" i="15"/>
  <c r="B18" i="15"/>
  <c r="B17" i="15"/>
  <c r="B16" i="15"/>
  <c r="B15" i="15"/>
  <c r="A33" i="15"/>
  <c r="A32" i="15"/>
  <c r="A31" i="15"/>
  <c r="A30" i="15"/>
  <c r="A29" i="15"/>
  <c r="A28" i="15"/>
  <c r="A27" i="15"/>
  <c r="A25" i="15"/>
  <c r="A24" i="15"/>
  <c r="A23" i="15"/>
  <c r="A22" i="15"/>
  <c r="A21" i="15"/>
  <c r="A20" i="15"/>
  <c r="A19" i="15"/>
  <c r="A18" i="15"/>
  <c r="A17" i="15"/>
  <c r="A16" i="15"/>
  <c r="A15" i="15"/>
  <c r="H14" i="15"/>
  <c r="G14" i="15"/>
  <c r="F14" i="15"/>
  <c r="E14" i="15"/>
  <c r="D14" i="15"/>
  <c r="C14" i="15"/>
  <c r="B14" i="15"/>
  <c r="C12" i="15"/>
  <c r="C11" i="15"/>
  <c r="C10" i="15"/>
  <c r="C9" i="15"/>
  <c r="C8" i="15"/>
  <c r="I9" i="9" l="1"/>
  <c r="I15" i="9" l="1"/>
  <c r="T4" i="9"/>
  <c r="I11" i="9"/>
  <c r="I19" i="9"/>
  <c r="M13" i="9"/>
  <c r="I13" i="9"/>
  <c r="I17" i="9"/>
  <c r="M11" i="9"/>
</calcChain>
</file>

<file path=xl/sharedStrings.xml><?xml version="1.0" encoding="utf-8"?>
<sst xmlns="http://schemas.openxmlformats.org/spreadsheetml/2006/main" count="9978" uniqueCount="1365">
  <si>
    <t>ID</t>
  </si>
  <si>
    <t>NUMERO</t>
  </si>
  <si>
    <t>MARCA</t>
  </si>
  <si>
    <t>COLOR</t>
  </si>
  <si>
    <t>UNIDAD</t>
  </si>
  <si>
    <t>STOCK</t>
  </si>
  <si>
    <t xml:space="preserve">PROVEEDOR </t>
  </si>
  <si>
    <t>LUGAR</t>
  </si>
  <si>
    <t>PRECIO DE COMPRA</t>
  </si>
  <si>
    <t xml:space="preserve">PRECIO DE VENTA </t>
  </si>
  <si>
    <t>Nombre del Poducto</t>
  </si>
  <si>
    <t>Precio de Venta</t>
  </si>
  <si>
    <t>Referencia</t>
  </si>
  <si>
    <t>Precio de Compra</t>
  </si>
  <si>
    <t>Numero</t>
  </si>
  <si>
    <t>Marca</t>
  </si>
  <si>
    <t>Color</t>
  </si>
  <si>
    <t>Unidad</t>
  </si>
  <si>
    <t>Stock</t>
  </si>
  <si>
    <t>Proveedor</t>
  </si>
  <si>
    <t>Lugar</t>
  </si>
  <si>
    <t>NOMBRE DEL PRODUCTO</t>
  </si>
  <si>
    <t>Imagen</t>
  </si>
  <si>
    <t>CANTIDAD</t>
  </si>
  <si>
    <t>FECHA</t>
  </si>
  <si>
    <t>PROVEEDOR</t>
  </si>
  <si>
    <t>CORREO</t>
  </si>
  <si>
    <t>TIPO DE MOV.</t>
  </si>
  <si>
    <t>FOLIO</t>
  </si>
  <si>
    <t>OBRA</t>
  </si>
  <si>
    <t>SOLICITA</t>
  </si>
  <si>
    <t>AUTORIZA</t>
  </si>
  <si>
    <t>ALMACEN</t>
  </si>
  <si>
    <t>REFERENCIA</t>
  </si>
  <si>
    <t>DESCRIPCION</t>
  </si>
  <si>
    <t>ANCHO</t>
  </si>
  <si>
    <t>LARGO</t>
  </si>
  <si>
    <t>FOLIO REQ</t>
  </si>
  <si>
    <t>REFERENCIA2</t>
  </si>
  <si>
    <t>DESCRIPCION3</t>
  </si>
  <si>
    <t>UNIDAD4</t>
  </si>
  <si>
    <t>CANTIDAD5</t>
  </si>
  <si>
    <t>ANCHO6</t>
  </si>
  <si>
    <t>LARGO7</t>
  </si>
  <si>
    <t>LUGAR8</t>
  </si>
  <si>
    <t>FOLIO REQ9</t>
  </si>
  <si>
    <t>DESCRIPCION2</t>
  </si>
  <si>
    <t>UNIDAD2</t>
  </si>
  <si>
    <t>CANTIDAD2</t>
  </si>
  <si>
    <t>ANCHO2</t>
  </si>
  <si>
    <t>LARGO2</t>
  </si>
  <si>
    <t>LUGAR2</t>
  </si>
  <si>
    <t>FOLIO REQ2</t>
  </si>
  <si>
    <t>REFERENCIA3</t>
  </si>
  <si>
    <t>UNIDAD3</t>
  </si>
  <si>
    <t>CANTIDAD3</t>
  </si>
  <si>
    <t>ANCHO3</t>
  </si>
  <si>
    <t>LARGO3</t>
  </si>
  <si>
    <t>LUGAR3</t>
  </si>
  <si>
    <t>FOLIO REQ3</t>
  </si>
  <si>
    <t>REFERENCIA4</t>
  </si>
  <si>
    <t>DESCRIPCION4</t>
  </si>
  <si>
    <t>CANTIDAD4</t>
  </si>
  <si>
    <t>ANCHO4</t>
  </si>
  <si>
    <t>LARGO4</t>
  </si>
  <si>
    <t>LUGAR4</t>
  </si>
  <si>
    <t>FOLIO REQ4</t>
  </si>
  <si>
    <t>REFERENCIA5</t>
  </si>
  <si>
    <t>DESCRIPCION5</t>
  </si>
  <si>
    <t>UNIDAD5</t>
  </si>
  <si>
    <t>ANCHO5</t>
  </si>
  <si>
    <t>LARGO5</t>
  </si>
  <si>
    <t>LUGAR5</t>
  </si>
  <si>
    <t>FOLIO REQ5</t>
  </si>
  <si>
    <t>REFERENCIA6</t>
  </si>
  <si>
    <t>DESCRIPCION6</t>
  </si>
  <si>
    <t>UNIDAD6</t>
  </si>
  <si>
    <t>LARGO6</t>
  </si>
  <si>
    <t>LUGAR6</t>
  </si>
  <si>
    <t>FOLIO REQ6</t>
  </si>
  <si>
    <t>REFERENCIA7</t>
  </si>
  <si>
    <t>DESCRIPCION7</t>
  </si>
  <si>
    <t>UNIDAD7</t>
  </si>
  <si>
    <t>CANTIDAD6</t>
  </si>
  <si>
    <t>ANCHO7</t>
  </si>
  <si>
    <t>LUGAR7</t>
  </si>
  <si>
    <t>FOLIO REQ7</t>
  </si>
  <si>
    <t>REFERENCIA8</t>
  </si>
  <si>
    <t>DESCRIPCION8</t>
  </si>
  <si>
    <t>UNIDAD8</t>
  </si>
  <si>
    <t>CANTIDAD7</t>
  </si>
  <si>
    <t>ANCHO8</t>
  </si>
  <si>
    <t>LARGO8</t>
  </si>
  <si>
    <t>FOLIO REQ8</t>
  </si>
  <si>
    <t>REFERENCIA9</t>
  </si>
  <si>
    <t>DESCRIPCION9</t>
  </si>
  <si>
    <t>UNIDAD9</t>
  </si>
  <si>
    <t>CANTIDAD8</t>
  </si>
  <si>
    <t>ANCHO9</t>
  </si>
  <si>
    <t>LARGO9</t>
  </si>
  <si>
    <t>LUGAR9</t>
  </si>
  <si>
    <t>REFERENCIA10</t>
  </si>
  <si>
    <t>DESCRIPCION10</t>
  </si>
  <si>
    <t>UNIDAD10</t>
  </si>
  <si>
    <t>CANTIDAD9</t>
  </si>
  <si>
    <t>ANCHO10</t>
  </si>
  <si>
    <t>LARGO10</t>
  </si>
  <si>
    <t>LUGAR10</t>
  </si>
  <si>
    <t>FOLIO REQ10</t>
  </si>
  <si>
    <t>REFERENCIA11</t>
  </si>
  <si>
    <t>DESCRIPCION11</t>
  </si>
  <si>
    <t>UNIDAD11</t>
  </si>
  <si>
    <t>CANTIDAD10</t>
  </si>
  <si>
    <t>ANCHO11</t>
  </si>
  <si>
    <t>LARGO11</t>
  </si>
  <si>
    <t>LUGAR11</t>
  </si>
  <si>
    <t>FOLIO REQ11</t>
  </si>
  <si>
    <t>REFERENCIA12</t>
  </si>
  <si>
    <t>DESCRIPCION12</t>
  </si>
  <si>
    <t>UNIDAD12</t>
  </si>
  <si>
    <t>CANTIDAD11</t>
  </si>
  <si>
    <t>ANCHO12</t>
  </si>
  <si>
    <t>LARGO12</t>
  </si>
  <si>
    <t>LUGAR12</t>
  </si>
  <si>
    <t>FOLIO REQ12</t>
  </si>
  <si>
    <t>FOLIO REQ13</t>
  </si>
  <si>
    <t>FOLIO REQ14</t>
  </si>
  <si>
    <t>FOLIO REQ15</t>
  </si>
  <si>
    <t>FOLIO REQ16</t>
  </si>
  <si>
    <t>FOLIO REQ17</t>
  </si>
  <si>
    <t>FOLIO REQ18</t>
  </si>
  <si>
    <t>FOLIO REQ19</t>
  </si>
  <si>
    <t>FOLIO REQ20</t>
  </si>
  <si>
    <t>REFERENCIA13</t>
  </si>
  <si>
    <t>DESCRIPCION14</t>
  </si>
  <si>
    <t>UNIDAD15</t>
  </si>
  <si>
    <t>CANTIDAD16</t>
  </si>
  <si>
    <t>ANCHO17</t>
  </si>
  <si>
    <t>LARGO18</t>
  </si>
  <si>
    <t>LUGAR19</t>
  </si>
  <si>
    <t>REFERENCIA14</t>
  </si>
  <si>
    <t>DESCRIPCION15</t>
  </si>
  <si>
    <t>UNIDAD16</t>
  </si>
  <si>
    <t>CANTIDAD17</t>
  </si>
  <si>
    <t>ANCHO18</t>
  </si>
  <si>
    <t>LARGO19</t>
  </si>
  <si>
    <t>LUGAR20</t>
  </si>
  <si>
    <t>REFERENCIA15</t>
  </si>
  <si>
    <t>DESCRIPCION16</t>
  </si>
  <si>
    <t>UNIDAD17</t>
  </si>
  <si>
    <t>CANTIDAD18</t>
  </si>
  <si>
    <t>ANCHO19</t>
  </si>
  <si>
    <t>LARGO20</t>
  </si>
  <si>
    <t>REFERENCIA16</t>
  </si>
  <si>
    <t>DESCRIPCION17</t>
  </si>
  <si>
    <t>UNIDAD18</t>
  </si>
  <si>
    <t>CANTIDAD19</t>
  </si>
  <si>
    <t>ANCHO20</t>
  </si>
  <si>
    <t>REFERENCIA17</t>
  </si>
  <si>
    <t>DESCRIPCION18</t>
  </si>
  <si>
    <t>UNIDAD19</t>
  </si>
  <si>
    <t>CANTIDAD20</t>
  </si>
  <si>
    <t>REFERENCIA18</t>
  </si>
  <si>
    <t>DESCRIPCION19</t>
  </si>
  <si>
    <t>UNIDAD20</t>
  </si>
  <si>
    <t>REFERENCIA19</t>
  </si>
  <si>
    <t>DESCRIPCION20</t>
  </si>
  <si>
    <t>REFERENCIA20</t>
  </si>
  <si>
    <t>CANTIDAD12</t>
  </si>
  <si>
    <t>DESCRIPCION13</t>
  </si>
  <si>
    <t>UNIDAD13</t>
  </si>
  <si>
    <t>CANTIDAD13</t>
  </si>
  <si>
    <t>ANCHO13</t>
  </si>
  <si>
    <t>LARGO13</t>
  </si>
  <si>
    <t>LUGAR13</t>
  </si>
  <si>
    <t>UNIDAD14</t>
  </si>
  <si>
    <t>CANTIDAD14</t>
  </si>
  <si>
    <t>ANCHO14</t>
  </si>
  <si>
    <t>LARGO14</t>
  </si>
  <si>
    <t>LUGAR14</t>
  </si>
  <si>
    <t>ANCHO15</t>
  </si>
  <si>
    <t>LARGO15</t>
  </si>
  <si>
    <t>LUGAR15</t>
  </si>
  <si>
    <t>CANTIDAD15</t>
  </si>
  <si>
    <t>ANCHO16</t>
  </si>
  <si>
    <t>LARGO16</t>
  </si>
  <si>
    <t>LUGAR16</t>
  </si>
  <si>
    <t>LARGO17</t>
  </si>
  <si>
    <t>LUGAR17</t>
  </si>
  <si>
    <t>LUGAR18</t>
  </si>
  <si>
    <t>PROCEDENCIA</t>
  </si>
  <si>
    <t>TP.MOV</t>
  </si>
  <si>
    <t>HOJA DE SALIDA FOLIO:</t>
  </si>
  <si>
    <t>OBRA:</t>
  </si>
  <si>
    <t>FECHA:</t>
  </si>
  <si>
    <t>SOLICITA:</t>
  </si>
  <si>
    <t>AUTORIZA:</t>
  </si>
  <si>
    <t>ALMACEN:</t>
  </si>
  <si>
    <t>CLAVE</t>
  </si>
  <si>
    <t>HOJA DE ENTRADAS FOLIO:</t>
  </si>
  <si>
    <t>ORDEN DE COMPRA</t>
  </si>
  <si>
    <t>FOLIO FACTURA</t>
  </si>
  <si>
    <t>Ignacio</t>
  </si>
  <si>
    <t>Karlita2682</t>
  </si>
  <si>
    <t>Isaac</t>
  </si>
  <si>
    <t>ORDEN COMPRA</t>
  </si>
  <si>
    <t>PRODUCTO</t>
  </si>
  <si>
    <t>ACTUAL</t>
  </si>
  <si>
    <t>EXISTENTE</t>
  </si>
  <si>
    <t>OBSERVACIONES</t>
  </si>
  <si>
    <t>Temporar</t>
  </si>
  <si>
    <t>D4G3S2W1</t>
  </si>
  <si>
    <t>STATUS</t>
  </si>
  <si>
    <t>Qwerty1379</t>
  </si>
  <si>
    <t>COMENTARIO</t>
  </si>
  <si>
    <t>LISTA DE SALIDA FOLIO:</t>
  </si>
  <si>
    <t>OBSERVACIONES:</t>
  </si>
  <si>
    <t>OBSERBACIONES:</t>
  </si>
  <si>
    <t>ALMOHADILLAS DE SILICONA TRANS</t>
  </si>
  <si>
    <t>ALSILTR</t>
  </si>
  <si>
    <t xml:space="preserve">TRANSPARENTE </t>
  </si>
  <si>
    <t>PIEZA</t>
  </si>
  <si>
    <t>COSMO HERRAJES</t>
  </si>
  <si>
    <t xml:space="preserve">ALMACEN </t>
  </si>
  <si>
    <t xml:space="preserve">ANGULO DE 3/4" NATURAL </t>
  </si>
  <si>
    <t>an/na</t>
  </si>
  <si>
    <t xml:space="preserve">NATURAL </t>
  </si>
  <si>
    <t>ANGULO DE 3/4" DURO-E</t>
  </si>
  <si>
    <t>PA34DE</t>
  </si>
  <si>
    <t>1 pz de 3 mtros</t>
  </si>
  <si>
    <t>DURO-E</t>
  </si>
  <si>
    <t xml:space="preserve">MTS </t>
  </si>
  <si>
    <t xml:space="preserve">ARAÑA QUERETARO 2 PATAS </t>
  </si>
  <si>
    <t>HERRALUM</t>
  </si>
  <si>
    <t xml:space="preserve">SATIN </t>
  </si>
  <si>
    <t>PZA</t>
  </si>
  <si>
    <t xml:space="preserve">ARAÑA QUERETARO CON BASE A MURO </t>
  </si>
  <si>
    <t xml:space="preserve">ATOMIZADOR P/PELICULA </t>
  </si>
  <si>
    <t>ATPE</t>
  </si>
  <si>
    <t xml:space="preserve">NARANJA </t>
  </si>
  <si>
    <t xml:space="preserve">PIEZA </t>
  </si>
  <si>
    <t xml:space="preserve">BACKER ROAD 1/4" </t>
  </si>
  <si>
    <t>BR1/4</t>
  </si>
  <si>
    <t>MTS</t>
  </si>
  <si>
    <t xml:space="preserve">BACKER ROAD 1/8" </t>
  </si>
  <si>
    <t>BR1/8</t>
  </si>
  <si>
    <t xml:space="preserve">BARRA ANTIPANICO </t>
  </si>
  <si>
    <t>BRRAN</t>
  </si>
  <si>
    <t>BASE CON TAPA P/TUBO DE 50.8mm</t>
  </si>
  <si>
    <t xml:space="preserve">BRUKEN </t>
  </si>
  <si>
    <t xml:space="preserve">BISAGRA AEREA </t>
  </si>
  <si>
    <t>BIAEREA</t>
  </si>
  <si>
    <t>KIT</t>
  </si>
  <si>
    <t xml:space="preserve">BISAGRA DE 2 PALAS </t>
  </si>
  <si>
    <t>22296002GR</t>
  </si>
  <si>
    <t>GRIS</t>
  </si>
  <si>
    <t>2229600NE</t>
  </si>
  <si>
    <t>NEGRO</t>
  </si>
  <si>
    <t>2296002NE</t>
  </si>
  <si>
    <t xml:space="preserve">BISAGRA DE 3 PALAS </t>
  </si>
  <si>
    <t>2296003BL</t>
  </si>
  <si>
    <t xml:space="preserve">BLANCO </t>
  </si>
  <si>
    <t>2296003NE</t>
  </si>
  <si>
    <t>PAR</t>
  </si>
  <si>
    <t xml:space="preserve">BISAGRA DE LIBRO </t>
  </si>
  <si>
    <t>BILIBL</t>
  </si>
  <si>
    <t xml:space="preserve">BILIGR </t>
  </si>
  <si>
    <t xml:space="preserve">BISAGRA DE PALAS NEGRO </t>
  </si>
  <si>
    <t>1906NE</t>
  </si>
  <si>
    <t xml:space="preserve">NEGRO </t>
  </si>
  <si>
    <t xml:space="preserve">BISAGRA HIDRAULICA/DE PISO </t>
  </si>
  <si>
    <t xml:space="preserve">BISAGRA MURO-CRISTAL DESFASADA NEGRO </t>
  </si>
  <si>
    <t>BIDESBRK7613NE</t>
  </si>
  <si>
    <t xml:space="preserve">HERRAJES AZTECA </t>
  </si>
  <si>
    <t xml:space="preserve">BISAGRA MURO-VIDRIO DESFASADA </t>
  </si>
  <si>
    <t>1133DES</t>
  </si>
  <si>
    <t>BISAGRA MURO-VIDRIO DESFASADA P/VIDRIO DE 6mm</t>
  </si>
  <si>
    <t>GALIER</t>
  </si>
  <si>
    <t>BISAGRA P/PUERTA BATIENTE S-70 NEGRO</t>
  </si>
  <si>
    <t>2177000NE</t>
  </si>
  <si>
    <t>JUEGO</t>
  </si>
  <si>
    <t xml:space="preserve">ALUPRATIC </t>
  </si>
  <si>
    <t xml:space="preserve">BISAGRA P/VENTANA </t>
  </si>
  <si>
    <t>2176IZQBL</t>
  </si>
  <si>
    <t>2176IZQGR</t>
  </si>
  <si>
    <t xml:space="preserve">BISAGRA PLEGABLE </t>
  </si>
  <si>
    <t xml:space="preserve">EXTRUSIONES METALICAS </t>
  </si>
  <si>
    <t>BISAGRA TLAQUEPAQUE VIDRIO-VIDRIO A 90°</t>
  </si>
  <si>
    <t>CROMO</t>
  </si>
  <si>
    <t>BISAGRA VIDRIO-VIDRIO A 135°</t>
  </si>
  <si>
    <t>BISAGRA VIDRIO-VIDRIO A 180°</t>
  </si>
  <si>
    <t xml:space="preserve">BISAGRA VIDRIO-VIDRIO SISTEMA ACAPULCO </t>
  </si>
  <si>
    <t xml:space="preserve">BOTON PASADO </t>
  </si>
  <si>
    <t xml:space="preserve">BRAZO DE PROYECCION DE 12" </t>
  </si>
  <si>
    <t>BRPR12</t>
  </si>
  <si>
    <t>BRAZO DE PROYECCION DE 16"</t>
  </si>
  <si>
    <t>BRPR16</t>
  </si>
  <si>
    <t>BRAZO DE PROYECCION DE 8"</t>
  </si>
  <si>
    <t>BRPR8</t>
  </si>
  <si>
    <t xml:space="preserve">CANCEL DE BAÑO BACALAR </t>
  </si>
  <si>
    <t xml:space="preserve">CARRETILLA 4 BALEROS </t>
  </si>
  <si>
    <t>CARRETILLA AJUSTABLE  SERIE 10000</t>
  </si>
  <si>
    <t>CARRAJUS</t>
  </si>
  <si>
    <t>CARRETILLA AJUSTABLE  SERIE 80</t>
  </si>
  <si>
    <t xml:space="preserve">CARRETILLA DE ENSAMBLE P/3" </t>
  </si>
  <si>
    <t>CAENP3</t>
  </si>
  <si>
    <t xml:space="preserve">CARRETILLA DE ZOCLO ALTO PARA 2" </t>
  </si>
  <si>
    <t>CARRZOAL2</t>
  </si>
  <si>
    <t xml:space="preserve">CARRETILLA DE ZOCLO ALTO PARA 2" DE METAL </t>
  </si>
  <si>
    <t>CARRZOALME2</t>
  </si>
  <si>
    <t xml:space="preserve">CARRETILLA NARANJA </t>
  </si>
  <si>
    <t>CARRNA</t>
  </si>
  <si>
    <t>CARRETILLA P/MOSQUITERO</t>
  </si>
  <si>
    <t xml:space="preserve">2006EMBNI </t>
  </si>
  <si>
    <t xml:space="preserve">CARRETILLA P/PUERTA PESADA </t>
  </si>
  <si>
    <t>CARRPPP</t>
  </si>
  <si>
    <t xml:space="preserve">CARRETILLA P/SISTEMA AUTOMATICO </t>
  </si>
  <si>
    <t xml:space="preserve">CARRETILLA P/SISTEMA RIO BRAVO </t>
  </si>
  <si>
    <t>CARRETILLA PARA SERIE 10000</t>
  </si>
  <si>
    <t>1089D0B00</t>
  </si>
  <si>
    <t>CARRETILLA PARA SERIE 6000</t>
  </si>
  <si>
    <t>CARRS6000</t>
  </si>
  <si>
    <t>CARRETILLA SERIE 10000</t>
  </si>
  <si>
    <t>CARRS10000</t>
  </si>
  <si>
    <t xml:space="preserve">CARRETILLA SERIE 10000 PABOSE </t>
  </si>
  <si>
    <t>CARRS10000PA</t>
  </si>
  <si>
    <t xml:space="preserve">CARRETILLAS P/SISTEMA RIO BRAVO </t>
  </si>
  <si>
    <t>KITCARR</t>
  </si>
  <si>
    <t>CERCO LISO VENTANA DURO-E</t>
  </si>
  <si>
    <t xml:space="preserve">CERCO PERIMETRAL DURO-E </t>
  </si>
  <si>
    <t xml:space="preserve">CERRADURA DE GATILLO </t>
  </si>
  <si>
    <t>CDGCH</t>
  </si>
  <si>
    <t xml:space="preserve">CERRADURA PALA Y MANILLA DE 25mm  </t>
  </si>
  <si>
    <t>2211-0</t>
  </si>
  <si>
    <t xml:space="preserve">CHAMBRANA DE 1 1/2" BLANCO </t>
  </si>
  <si>
    <t>CH11/2BL</t>
  </si>
  <si>
    <t xml:space="preserve">CHAPA DE GANCHO </t>
  </si>
  <si>
    <t>1124GR</t>
  </si>
  <si>
    <t xml:space="preserve">CHAPA DOBLE MANIJA P/ALUMINIO </t>
  </si>
  <si>
    <t>1096NE</t>
  </si>
  <si>
    <t xml:space="preserve">CHAPA MARUATA </t>
  </si>
  <si>
    <t xml:space="preserve">CHAPA RESBALON </t>
  </si>
  <si>
    <t>CHAPA SAN CARLOS</t>
  </si>
  <si>
    <t>CHAPA TIPO TETRA/GANCHO</t>
  </si>
  <si>
    <t>1133BL</t>
  </si>
  <si>
    <t>1133BR</t>
  </si>
  <si>
    <t>BRONCE</t>
  </si>
  <si>
    <t xml:space="preserve">CHAPETON </t>
  </si>
  <si>
    <t>CHAP</t>
  </si>
  <si>
    <t xml:space="preserve">CIERRE DE EMBUTIR </t>
  </si>
  <si>
    <t xml:space="preserve">CIERREM  </t>
  </si>
  <si>
    <t xml:space="preserve">CIERRE DE EMBUTIR 2" </t>
  </si>
  <si>
    <t>CIER</t>
  </si>
  <si>
    <t>CIERRE DE EMBUTIR 3"</t>
  </si>
  <si>
    <t>CIERREM3</t>
  </si>
  <si>
    <t xml:space="preserve">CIERRE DE EMBUTIR CON LLAVE </t>
  </si>
  <si>
    <t>CIEEMCONLL</t>
  </si>
  <si>
    <t>2255NE</t>
  </si>
  <si>
    <t xml:space="preserve">CIERRE DE EMBUTIR DE 2" </t>
  </si>
  <si>
    <t>CIEMB2NE</t>
  </si>
  <si>
    <t>CIERRE DE EMBUTIR DE 3"</t>
  </si>
  <si>
    <t>CIEMB3NE</t>
  </si>
  <si>
    <t xml:space="preserve">CIERRE DE EMBUTIR OLE </t>
  </si>
  <si>
    <t>4600NE</t>
  </si>
  <si>
    <t xml:space="preserve">CIERRE DE EMBUTIR PARA 3" NEGRO </t>
  </si>
  <si>
    <t>CIEM3NE</t>
  </si>
  <si>
    <t xml:space="preserve">CIERRE DE PRESION </t>
  </si>
  <si>
    <t>140INC</t>
  </si>
  <si>
    <t>CIERRE DE PRESION BL</t>
  </si>
  <si>
    <t>CIERRE DE PRESION INCOMPLETO</t>
  </si>
  <si>
    <t xml:space="preserve">CIERRE DE PRESION NEGRO </t>
  </si>
  <si>
    <t>1410NE</t>
  </si>
  <si>
    <t xml:space="preserve">CIERRE EMBUTIDO OLE NEGRO </t>
  </si>
  <si>
    <t>CILINDRO CVL</t>
  </si>
  <si>
    <t>CVL</t>
  </si>
  <si>
    <t xml:space="preserve">CILINDRO DE CHAPA </t>
  </si>
  <si>
    <t>CILCHA</t>
  </si>
  <si>
    <t xml:space="preserve">CILINDRO P/CHAPA GUADALAJARA </t>
  </si>
  <si>
    <t>CINTA DE MADERA DE 2*1*2.44</t>
  </si>
  <si>
    <t>CINMA</t>
  </si>
  <si>
    <t xml:space="preserve">CINTA NORTON DE 1/2X1/8" </t>
  </si>
  <si>
    <t>CN1/2X1/8NE</t>
  </si>
  <si>
    <t>ROLLO</t>
  </si>
  <si>
    <t>CN1/2X1/8BL</t>
  </si>
  <si>
    <t>CLIP P/VIDRIO A 90° P/VIDRIO DE 6mm</t>
  </si>
  <si>
    <t xml:space="preserve">CLIPO PUNTA </t>
  </si>
  <si>
    <t>CODO DE ARTICULACION P/TUBO DE 2" ACERO INOXIDABLE</t>
  </si>
  <si>
    <t>CDARACIN</t>
  </si>
  <si>
    <t>CODO RECTO A 90°</t>
  </si>
  <si>
    <t xml:space="preserve">CONECTOR "L" P/VIDRIO DE 10mm </t>
  </si>
  <si>
    <t>CONECTOR "L" P/VIDRIO DE 6mm</t>
  </si>
  <si>
    <t xml:space="preserve">CONECTOR A VIDRIO SISTEMA OAXACA </t>
  </si>
  <si>
    <t xml:space="preserve">CONECTOR AJUSTABLE  VIDRIO-TUBO </t>
  </si>
  <si>
    <t xml:space="preserve">CONECTOR AJUSTABLE TUBO-TUBO </t>
  </si>
  <si>
    <t xml:space="preserve">CONECTOR ARTICULADO DE POSTE </t>
  </si>
  <si>
    <t>BRK 3042-3</t>
  </si>
  <si>
    <t xml:space="preserve">CONECTOR CURVO A 90° </t>
  </si>
  <si>
    <t xml:space="preserve">CONECTOR FIJO VIDRIO-TUBO </t>
  </si>
  <si>
    <t xml:space="preserve">CONECTOR IRAPUATO </t>
  </si>
  <si>
    <t xml:space="preserve">CONECTOR MURO-CRISTAL NEGRO </t>
  </si>
  <si>
    <t>1480NE</t>
  </si>
  <si>
    <t>CONECTOR MURO-CRISTAL</t>
  </si>
  <si>
    <t xml:space="preserve">CONECTOR P/CRISTAL </t>
  </si>
  <si>
    <t>BRK733</t>
  </si>
  <si>
    <t xml:space="preserve">CONECTOR P/FIJACION VIDRIO-MURO </t>
  </si>
  <si>
    <t xml:space="preserve">CONECTOR PEÑA DE BERNAL </t>
  </si>
  <si>
    <t>CONECTOR VIDRIO-TUBO</t>
  </si>
  <si>
    <t>CONECTOR VIDRIO-VIDRIO A 90°</t>
  </si>
  <si>
    <t xml:space="preserve">CONJUNTO RUEDA PLEGABLE </t>
  </si>
  <si>
    <t xml:space="preserve">CONTRA CHAPA LORETO </t>
  </si>
  <si>
    <t>CONTRA CHAPA MARUATA</t>
  </si>
  <si>
    <t>CONTRA P/CHAPA SAN CARLOS</t>
  </si>
  <si>
    <t>CONTRA P/CIERRE DE EMBUTIR SERIE 10000</t>
  </si>
  <si>
    <t>CONT</t>
  </si>
  <si>
    <t xml:space="preserve">CONTRAS PARA CIERRE DE PRESION </t>
  </si>
  <si>
    <t>CRISTAL CLARO RECOCIDO DE 6mm DE 1.0X0.50</t>
  </si>
  <si>
    <t>CCR6mm1.0X0.50</t>
  </si>
  <si>
    <t>CRISTAL CLARO RECOCIDO DE 6mm DE 1.80X2.60</t>
  </si>
  <si>
    <t>CCR6</t>
  </si>
  <si>
    <t>S/C</t>
  </si>
  <si>
    <t>HOJA</t>
  </si>
  <si>
    <t>DURETAN GRIS</t>
  </si>
  <si>
    <t>DRGR1</t>
  </si>
  <si>
    <t xml:space="preserve">DURETAN BLANCO </t>
  </si>
  <si>
    <t>DURBL</t>
  </si>
  <si>
    <t>DURETAN NEGRO</t>
  </si>
  <si>
    <t>DURNE</t>
  </si>
  <si>
    <t xml:space="preserve">ELIMINADOR PARA TIRA DE LUZ LED </t>
  </si>
  <si>
    <t>EPTLL</t>
  </si>
  <si>
    <t xml:space="preserve">ESCUADRA CERCO DE 3 RIELES </t>
  </si>
  <si>
    <t xml:space="preserve">ESCUADRA CERCO FIJO </t>
  </si>
  <si>
    <t xml:space="preserve">ESCUADRA DE PUERTA </t>
  </si>
  <si>
    <t>1312-0</t>
  </si>
  <si>
    <t xml:space="preserve">ESCUADRA DE VENTANA </t>
  </si>
  <si>
    <t>1311-0</t>
  </si>
  <si>
    <t>ESCUADRA HOJA</t>
  </si>
  <si>
    <t>1326-0</t>
  </si>
  <si>
    <t>ESCUADRA HOJA SERIE 10000</t>
  </si>
  <si>
    <t>H6011</t>
  </si>
  <si>
    <t>ESCUADRA MARCO SERIE 10000</t>
  </si>
  <si>
    <t>H6010</t>
  </si>
  <si>
    <t xml:space="preserve">ESCUADRA TETON CERCO Y FIJO </t>
  </si>
  <si>
    <t>1328-0</t>
  </si>
  <si>
    <t>ESCUADRA TETON HOJA  SERIE 3600</t>
  </si>
  <si>
    <t xml:space="preserve">ESCUADRA Y HOJA </t>
  </si>
  <si>
    <t>H1004</t>
  </si>
  <si>
    <t>ESTOPA</t>
  </si>
  <si>
    <t>ESTBL</t>
  </si>
  <si>
    <t>KG</t>
  </si>
  <si>
    <t>FELPA ALMA DE PLASTICO 7X5</t>
  </si>
  <si>
    <t>3205-0GR</t>
  </si>
  <si>
    <t>3205-0NE</t>
  </si>
  <si>
    <t>3205-0</t>
  </si>
  <si>
    <t xml:space="preserve">FELPA ALMA DE PLASTICO 7X6 GRIS </t>
  </si>
  <si>
    <t>3206-0GR</t>
  </si>
  <si>
    <t xml:space="preserve">GRIS </t>
  </si>
  <si>
    <t xml:space="preserve">FELPA NACIONAL </t>
  </si>
  <si>
    <t>FNNE</t>
  </si>
  <si>
    <t>FNGR</t>
  </si>
  <si>
    <t xml:space="preserve">FELPA NACIONAL GRIS </t>
  </si>
  <si>
    <t>FELNAGR</t>
  </si>
  <si>
    <t>FELPA NACIONAL NEGRA</t>
  </si>
  <si>
    <t>FELNANE</t>
  </si>
  <si>
    <t xml:space="preserve">FELPON </t>
  </si>
  <si>
    <t>FPNE</t>
  </si>
  <si>
    <t xml:space="preserve">FIJASET </t>
  </si>
  <si>
    <t>FSBL</t>
  </si>
  <si>
    <t xml:space="preserve">GOMA DE BASE RIGIDA CAUCHO </t>
  </si>
  <si>
    <t>1518-7</t>
  </si>
  <si>
    <t xml:space="preserve">GOMA DE BASE RIGIDA RESPALDO </t>
  </si>
  <si>
    <t>1519-7</t>
  </si>
  <si>
    <t xml:space="preserve">HERRAJE DE ACCESO Y FACHADA </t>
  </si>
  <si>
    <t>BRK057</t>
  </si>
  <si>
    <t xml:space="preserve">HERRAJE INFERIOR   </t>
  </si>
  <si>
    <t xml:space="preserve">HERRAJE INFERIOR CON PIVOTE CD. GUZMAN </t>
  </si>
  <si>
    <t xml:space="preserve">HERRAJE SUPERIOR  </t>
  </si>
  <si>
    <t xml:space="preserve">HERRAJE SUPERIOR TIPO L </t>
  </si>
  <si>
    <t xml:space="preserve">HOJA LISA VENTANA DURO-E </t>
  </si>
  <si>
    <t xml:space="preserve">HOJA PERIMETRAL DURO-E </t>
  </si>
  <si>
    <t xml:space="preserve">JALADERA </t>
  </si>
  <si>
    <t>JALA</t>
  </si>
  <si>
    <t>JALADERA CON CHAPA</t>
  </si>
  <si>
    <t>20206GR</t>
  </si>
  <si>
    <t xml:space="preserve">JALADERA H CON CHAPA A PISO </t>
  </si>
  <si>
    <t>JHCAP</t>
  </si>
  <si>
    <t xml:space="preserve">JALADERA P/VENTANA DE PROYECC. IZQ. BRONCE </t>
  </si>
  <si>
    <t>2024IZQBR</t>
  </si>
  <si>
    <t>0PIEZA</t>
  </si>
  <si>
    <t xml:space="preserve">JALADERA POMO  </t>
  </si>
  <si>
    <t>JALADERA POMO NEGRO</t>
  </si>
  <si>
    <t>JAPMNE</t>
  </si>
  <si>
    <t xml:space="preserve">JALADERA POMO P/SISTEMA RIO BRAVO </t>
  </si>
  <si>
    <t>130100200BL</t>
  </si>
  <si>
    <t>130100200GR</t>
  </si>
  <si>
    <t>130100200NE</t>
  </si>
  <si>
    <t xml:space="preserve">JALADERA SAN BLASS P/PUERTA CORREDIZA </t>
  </si>
  <si>
    <t xml:space="preserve">JALADERA TIPO LAPIZ </t>
  </si>
  <si>
    <t xml:space="preserve">JALADERA TIRADOR  </t>
  </si>
  <si>
    <t xml:space="preserve">JALADERA TIRADOR COAHUILA </t>
  </si>
  <si>
    <t>2145NE</t>
  </si>
  <si>
    <t>JALADERA TOALLERO 45cm 20centros</t>
  </si>
  <si>
    <t>JT4520</t>
  </si>
  <si>
    <t>JALADERA TOALLERO DE 45cm</t>
  </si>
  <si>
    <t>JT45</t>
  </si>
  <si>
    <t xml:space="preserve">JALADERA TROMPA DE ELEFANTE </t>
  </si>
  <si>
    <t>2022GR</t>
  </si>
  <si>
    <t xml:space="preserve">JALADERA TUBULAR DE ACERO INOXIDABLE </t>
  </si>
  <si>
    <t xml:space="preserve">JALADOR </t>
  </si>
  <si>
    <t>JL</t>
  </si>
  <si>
    <t xml:space="preserve">JALAEDERA </t>
  </si>
  <si>
    <t xml:space="preserve">JUEGO TAPON PILASTRA </t>
  </si>
  <si>
    <t>JUNQUILLO ANCHO DURO-E</t>
  </si>
  <si>
    <t xml:space="preserve">KIT PERIMETRAL </t>
  </si>
  <si>
    <t>7151-7</t>
  </si>
  <si>
    <t xml:space="preserve">KIT </t>
  </si>
  <si>
    <t xml:space="preserve">luna clara  6mm </t>
  </si>
  <si>
    <t>VD-LN6M</t>
  </si>
  <si>
    <t>clara</t>
  </si>
  <si>
    <t>pza</t>
  </si>
  <si>
    <t>bonividrio</t>
  </si>
  <si>
    <t>almacen</t>
  </si>
  <si>
    <t xml:space="preserve">MANIILLA P/MULTIPUNTOS </t>
  </si>
  <si>
    <t>MANPMULTBL</t>
  </si>
  <si>
    <t xml:space="preserve">MANILLA P/MULTIPUNTOS </t>
  </si>
  <si>
    <t>MANPMULTNE</t>
  </si>
  <si>
    <t xml:space="preserve">MANILLAS RECUPERABLES BLANCO </t>
  </si>
  <si>
    <t>1408BL</t>
  </si>
  <si>
    <t xml:space="preserve">MANILLAS RECUPERABLES NEGRO </t>
  </si>
  <si>
    <t>1408NE</t>
  </si>
  <si>
    <t xml:space="preserve">MASKING DE 3/4" AMARILLO </t>
  </si>
  <si>
    <t>MAS3/4AM</t>
  </si>
  <si>
    <t>AMARILLO</t>
  </si>
  <si>
    <t xml:space="preserve">FIX </t>
  </si>
  <si>
    <t>NAVAJA DE 1 FILO</t>
  </si>
  <si>
    <t>NF</t>
  </si>
  <si>
    <t xml:space="preserve">PAIPID CORTO </t>
  </si>
  <si>
    <t xml:space="preserve">PAIPID LARGO </t>
  </si>
  <si>
    <t xml:space="preserve">PAPEL CARTON </t>
  </si>
  <si>
    <t>PCTN</t>
  </si>
  <si>
    <t xml:space="preserve">PASADOR DE MAROMA </t>
  </si>
  <si>
    <t>2172BL</t>
  </si>
  <si>
    <t xml:space="preserve">PASADOR PLANO </t>
  </si>
  <si>
    <t>7109GR</t>
  </si>
  <si>
    <t xml:space="preserve">PASADOR SENCILLO </t>
  </si>
  <si>
    <t>2175NE</t>
  </si>
  <si>
    <t xml:space="preserve">PELICULA DECORATIVA </t>
  </si>
  <si>
    <t xml:space="preserve">PD </t>
  </si>
  <si>
    <t xml:space="preserve">PELICULA ESMERILADA </t>
  </si>
  <si>
    <t>PE</t>
  </si>
  <si>
    <t xml:space="preserve">PELICULA REFLECTA PLATA </t>
  </si>
  <si>
    <t>PRP</t>
  </si>
  <si>
    <t xml:space="preserve">PIJA DE 10X1 1/2" C. FIJADORA </t>
  </si>
  <si>
    <t>PIJ10X11/2CF</t>
  </si>
  <si>
    <t xml:space="preserve">PIJA DE 10X1 1/2" P/TABLA ROCA </t>
  </si>
  <si>
    <t>PIJ10X11/2PTR</t>
  </si>
  <si>
    <t xml:space="preserve">PIJA DE 10X1" C. FIJADORA GALVANIZADA </t>
  </si>
  <si>
    <t>PCF10X1</t>
  </si>
  <si>
    <t>CIENTO</t>
  </si>
  <si>
    <t xml:space="preserve">PIJA DE 10X3" C. PLANA </t>
  </si>
  <si>
    <t>PCP10X3</t>
  </si>
  <si>
    <t xml:space="preserve">CIENTO </t>
  </si>
  <si>
    <t xml:space="preserve">TORNILLERIA </t>
  </si>
  <si>
    <t xml:space="preserve">PIJA DE 8X1 1/2" C. FIJADORA </t>
  </si>
  <si>
    <t>PIJ8X11/2CF</t>
  </si>
  <si>
    <t xml:space="preserve">PIJA DE 8X1/2" C. PLANA </t>
  </si>
  <si>
    <t>PIJ8X1/2CP</t>
  </si>
  <si>
    <t>PILASTRA LISA VENTANA DURO-E</t>
  </si>
  <si>
    <t xml:space="preserve">PINTURA AZUL </t>
  </si>
  <si>
    <t>PAZUL</t>
  </si>
  <si>
    <t>AZUL</t>
  </si>
  <si>
    <t>LTS</t>
  </si>
  <si>
    <t xml:space="preserve">PINTURA EN AEROSOL NEGRO MATE </t>
  </si>
  <si>
    <t>PANM</t>
  </si>
  <si>
    <t xml:space="preserve">NEGRO MATE </t>
  </si>
  <si>
    <t xml:space="preserve">PIVOTE </t>
  </si>
  <si>
    <t>PIV</t>
  </si>
  <si>
    <t xml:space="preserve">PIVOTE CENTRADO (INCOMPLETOS) </t>
  </si>
  <si>
    <t>PIVO</t>
  </si>
  <si>
    <t xml:space="preserve">PIVOTE CENTRADO INYECTADO </t>
  </si>
  <si>
    <t>PIVOTE DESCENTRADO HEXAGONAL NEGRO</t>
  </si>
  <si>
    <t xml:space="preserve">PLECA </t>
  </si>
  <si>
    <t>PL</t>
  </si>
  <si>
    <t xml:space="preserve">POSTE DE 50cm </t>
  </si>
  <si>
    <t>POSTESDECESAR</t>
  </si>
  <si>
    <t xml:space="preserve">POSTE MONTERREY DE 25cm </t>
  </si>
  <si>
    <t xml:space="preserve">POSTE MONTERREY DE 50cm </t>
  </si>
  <si>
    <t>PTR DE 4X2" C-14</t>
  </si>
  <si>
    <t>PTRC144X2</t>
  </si>
  <si>
    <t xml:space="preserve">RECOGER EN TIENDA </t>
  </si>
  <si>
    <t xml:space="preserve">PUNTO DE GIRO/PIVOTE </t>
  </si>
  <si>
    <t>PUNT</t>
  </si>
  <si>
    <t xml:space="preserve">REMACHES DEL NO. 56 NEGRO </t>
  </si>
  <si>
    <t>RE56NE</t>
  </si>
  <si>
    <t>REM56NE</t>
  </si>
  <si>
    <t xml:space="preserve">RIEL DE 1 1/2" BLANCO </t>
  </si>
  <si>
    <t>RI11/2BL</t>
  </si>
  <si>
    <t xml:space="preserve">RUEDA TANDEM GRADUABLE </t>
  </si>
  <si>
    <t>7153-0</t>
  </si>
  <si>
    <t xml:space="preserve">SACATE SCOCH </t>
  </si>
  <si>
    <t>SSC</t>
  </si>
  <si>
    <t>SELLADOR ACRILICO NEGRO</t>
  </si>
  <si>
    <t>SANE</t>
  </si>
  <si>
    <t xml:space="preserve">SELLADOR ACRILICO ALUMINIO </t>
  </si>
  <si>
    <t>SAA</t>
  </si>
  <si>
    <t>ALUMINIO</t>
  </si>
  <si>
    <t>SELLADOR ACRILICO BLANCO</t>
  </si>
  <si>
    <t>SABL</t>
  </si>
  <si>
    <t xml:space="preserve">SELLADOR ACRILICO NEGRO </t>
  </si>
  <si>
    <t xml:space="preserve">Sellador Arcrilico Blanco </t>
  </si>
  <si>
    <t>SEARBL</t>
  </si>
  <si>
    <t>Acrilastic</t>
  </si>
  <si>
    <t>Blanco</t>
  </si>
  <si>
    <t>Pza</t>
  </si>
  <si>
    <t>Almacen</t>
  </si>
  <si>
    <t xml:space="preserve">SEPARADOOR </t>
  </si>
  <si>
    <t>SEPA</t>
  </si>
  <si>
    <t xml:space="preserve">SERIE 800 BISAGRA DE PISO </t>
  </si>
  <si>
    <t>SERI</t>
  </si>
  <si>
    <t xml:space="preserve">SHAMPOO </t>
  </si>
  <si>
    <t>SHPO</t>
  </si>
  <si>
    <t xml:space="preserve">SOBRE </t>
  </si>
  <si>
    <t xml:space="preserve">SILICON ARQUITECTONICO </t>
  </si>
  <si>
    <t>SATR</t>
  </si>
  <si>
    <t xml:space="preserve">SILICON ARQUITECTONICO NEGRO </t>
  </si>
  <si>
    <t>SIARACNE</t>
  </si>
  <si>
    <t>ARQUITECTONICO</t>
  </si>
  <si>
    <t xml:space="preserve">PZA </t>
  </si>
  <si>
    <t xml:space="preserve">SILICON BAÑOS Y COCINA TRANSPARENTE </t>
  </si>
  <si>
    <t>SBYCTR</t>
  </si>
  <si>
    <t xml:space="preserve">EN TIENDA </t>
  </si>
  <si>
    <t xml:space="preserve">SILICON CONTRUCCION II </t>
  </si>
  <si>
    <t>SCIINE</t>
  </si>
  <si>
    <t>SILICON NEUTRO NEGRO</t>
  </si>
  <si>
    <t>SNNE</t>
  </si>
  <si>
    <t>Silicon Transparente de Uso General</t>
  </si>
  <si>
    <t>SlUGTR</t>
  </si>
  <si>
    <t>Usado</t>
  </si>
  <si>
    <t>Transparnte</t>
  </si>
  <si>
    <t>Pza.</t>
  </si>
  <si>
    <t>Almcen</t>
  </si>
  <si>
    <t>SILICON USO GENERAL</t>
  </si>
  <si>
    <t>SUGBL</t>
  </si>
  <si>
    <t xml:space="preserve">SILICON USO GENERAL </t>
  </si>
  <si>
    <t>SUGTR</t>
  </si>
  <si>
    <t>SUGTR1</t>
  </si>
  <si>
    <t xml:space="preserve">DEL PROVEEDOR A OBRA </t>
  </si>
  <si>
    <t xml:space="preserve">SISTEMA CHETUMAL II </t>
  </si>
  <si>
    <t xml:space="preserve">SISTEMA MULTIPUNTOS </t>
  </si>
  <si>
    <t>SISMULTI</t>
  </si>
  <si>
    <t xml:space="preserve">SOPORTE ESTANDAR P/ARAÑA QUERETARO </t>
  </si>
  <si>
    <t>1203ESTSA</t>
  </si>
  <si>
    <t xml:space="preserve">SOPORTE INTERMEDIO </t>
  </si>
  <si>
    <t>SOPORTE P/PASAMANOS 2" MURO-TUBO</t>
  </si>
  <si>
    <t>2299AMUSA</t>
  </si>
  <si>
    <t>SOPORTE P/PASAMANOS 2" VIDRIO-TUBO</t>
  </si>
  <si>
    <t xml:space="preserve">TAPA HOJA CENTRAL DURO-E </t>
  </si>
  <si>
    <t>TAPONES NEGROS</t>
  </si>
  <si>
    <t>TANE3/8</t>
  </si>
  <si>
    <t xml:space="preserve">TAQUETE DE EXPANSION DE 3/8" </t>
  </si>
  <si>
    <t>TX3/8</t>
  </si>
  <si>
    <t xml:space="preserve">TAQUETE DE PLASTICO DE 1/4" </t>
  </si>
  <si>
    <t>TAPL1/4</t>
  </si>
  <si>
    <t>THINNER</t>
  </si>
  <si>
    <t>THLSD</t>
  </si>
  <si>
    <t xml:space="preserve">THINNER AMERICANO </t>
  </si>
  <si>
    <t>THAME</t>
  </si>
  <si>
    <t>TIRA DE LUZ LED</t>
  </si>
  <si>
    <t>TDLL</t>
  </si>
  <si>
    <t xml:space="preserve">TOP DE 3/4X1 1/4" </t>
  </si>
  <si>
    <t xml:space="preserve">TOPE BOLA </t>
  </si>
  <si>
    <t>TOPE DE 1X1 1/2"</t>
  </si>
  <si>
    <t xml:space="preserve">TOPE DE PLASTICO P/CANCEL RIO BRAVO </t>
  </si>
  <si>
    <t xml:space="preserve">TOPE MEDIA LUNA </t>
  </si>
  <si>
    <t xml:space="preserve">TOPE P/SISTEMA RIO BRAVO </t>
  </si>
  <si>
    <t>TSRB</t>
  </si>
  <si>
    <t>TOPES NEGROS</t>
  </si>
  <si>
    <t>TOPE</t>
  </si>
  <si>
    <t>TORNILLO CABEZA PLANA ALLEN ACERO NOXIDABLE DE 3/8X2 1/2"</t>
  </si>
  <si>
    <t>TORCALLACIN</t>
  </si>
  <si>
    <t xml:space="preserve">ACERO INOXIDABLE </t>
  </si>
  <si>
    <t xml:space="preserve">TORNILLO HILTI 1/2X5 1/2" </t>
  </si>
  <si>
    <t xml:space="preserve">HILTI </t>
  </si>
  <si>
    <t xml:space="preserve">TRAPO </t>
  </si>
  <si>
    <t>TRPO</t>
  </si>
  <si>
    <t>TRIPLAY DE 12mm A 0.60X2.44</t>
  </si>
  <si>
    <t>TR12</t>
  </si>
  <si>
    <t xml:space="preserve">UNION P/TUBO DE 2" ACERO INOXIDABLE </t>
  </si>
  <si>
    <t>UNP/TACIN</t>
  </si>
  <si>
    <t xml:space="preserve">UNION PILASTRA PUERTA </t>
  </si>
  <si>
    <t>1315-0</t>
  </si>
  <si>
    <t xml:space="preserve">UNION PILASTRA VENTANA </t>
  </si>
  <si>
    <t>1314-0</t>
  </si>
  <si>
    <t>vidrio claro de 10mm</t>
  </si>
  <si>
    <t>VD-CL10M</t>
  </si>
  <si>
    <t>CLARO</t>
  </si>
  <si>
    <t xml:space="preserve">VINIL COLA DE RATA </t>
  </si>
  <si>
    <t>VCLNE</t>
  </si>
  <si>
    <t>VINIL DE CUÑA NO. 10</t>
  </si>
  <si>
    <t>VINI</t>
  </si>
  <si>
    <t xml:space="preserve">VINIL DE CUÑA NO. 10 </t>
  </si>
  <si>
    <t>VPC10TR</t>
  </si>
  <si>
    <t>VINIL DE CUÑA NO. 11</t>
  </si>
  <si>
    <t>VC11TR</t>
  </si>
  <si>
    <t>VINIL DE CUÑA NO. 12</t>
  </si>
  <si>
    <t>VC12BL</t>
  </si>
  <si>
    <t>VC12TR</t>
  </si>
  <si>
    <t>VINIL DE CUÑA NO. 13</t>
  </si>
  <si>
    <t>VC13BL</t>
  </si>
  <si>
    <t>VINIL DE CUÑA NO. 15</t>
  </si>
  <si>
    <t>VC15BL</t>
  </si>
  <si>
    <t>VINIL DE CUÑA NO. 16</t>
  </si>
  <si>
    <t>VC16NE</t>
  </si>
  <si>
    <t>VINIL DE CUÑA NO.11</t>
  </si>
  <si>
    <t>VC11BL</t>
  </si>
  <si>
    <t xml:space="preserve">VINIL PARA SERIE 35 NEGRO </t>
  </si>
  <si>
    <t>VPS35NE</t>
  </si>
  <si>
    <t>VINIL PATA DE COCHINO NO. 10</t>
  </si>
  <si>
    <t>VPC10NE</t>
  </si>
  <si>
    <t>VINIL PATA DE COCHINO NO. 11</t>
  </si>
  <si>
    <t>VPC11TR</t>
  </si>
  <si>
    <t>VPC11GR</t>
  </si>
  <si>
    <t>VPC11NE</t>
  </si>
  <si>
    <t>VPC11BL</t>
  </si>
  <si>
    <t xml:space="preserve">VINIL PATA DE COCHINO NO. 11 </t>
  </si>
  <si>
    <t xml:space="preserve">VINIL PATA DE COCHINO NO. 12 </t>
  </si>
  <si>
    <t>VPC12TR</t>
  </si>
  <si>
    <t>VPC12NE</t>
  </si>
  <si>
    <t>VPC12BL</t>
  </si>
  <si>
    <t>VINIL PATA DE COCHINO NO. 15</t>
  </si>
  <si>
    <t>VPC15TR</t>
  </si>
  <si>
    <t>VPC15NE</t>
  </si>
  <si>
    <t>VINIL PATA DE COCHINO NO. 16</t>
  </si>
  <si>
    <t>VPC16NE</t>
  </si>
  <si>
    <t>VINIL PATA DE COCHINO NO.11</t>
  </si>
  <si>
    <t>VINIL PATA DE COCHINO NO.15</t>
  </si>
  <si>
    <t>VINIL PATA DE COCHINO NO.16</t>
  </si>
  <si>
    <t xml:space="preserve">YESO PIEDRA </t>
  </si>
  <si>
    <t>YEPI</t>
  </si>
  <si>
    <t xml:space="preserve">ZOCLO CABEZAL DE 1 1/2" BLANCO </t>
  </si>
  <si>
    <t>ZOCA11/2BL</t>
  </si>
  <si>
    <t xml:space="preserve">TABLON DE PINO </t>
  </si>
  <si>
    <t>TADPI</t>
  </si>
  <si>
    <t xml:space="preserve">TRAPO DE MICROFIBRA </t>
  </si>
  <si>
    <t>TRDMI</t>
  </si>
  <si>
    <t xml:space="preserve">ESCOBA CHICA </t>
  </si>
  <si>
    <t>ESCH</t>
  </si>
  <si>
    <t xml:space="preserve">WINDEX </t>
  </si>
  <si>
    <t>WX</t>
  </si>
  <si>
    <t xml:space="preserve">BOLSA DE BASURA </t>
  </si>
  <si>
    <t>BOLDBA</t>
  </si>
  <si>
    <t>4601DU</t>
  </si>
  <si>
    <t>HOJA PERIMETRAL DURO-E</t>
  </si>
  <si>
    <t>4605DU</t>
  </si>
  <si>
    <t>TAPA HOJA CENTRAL DURO-E</t>
  </si>
  <si>
    <t>4604DU</t>
  </si>
  <si>
    <t>CERCO LISO PUERTA DURO-E</t>
  </si>
  <si>
    <t>1407DU</t>
  </si>
  <si>
    <t>1402DU</t>
  </si>
  <si>
    <t>HOJA LISA VENTANA DURO-E</t>
  </si>
  <si>
    <t>1401DU</t>
  </si>
  <si>
    <t xml:space="preserve">JUNQUILLO ANCHO DURO-E </t>
  </si>
  <si>
    <t>1430DU</t>
  </si>
  <si>
    <t>CRISTAL CLARO TEMPLADO DE 10mm DE 0.20*1.03</t>
  </si>
  <si>
    <t>CCT101.03*0.2</t>
  </si>
  <si>
    <t xml:space="preserve">ANGULO DE 1" NATURAL </t>
  </si>
  <si>
    <t>AN1NA</t>
  </si>
  <si>
    <t>CONECTOR MURO-CRISTAL SATIN</t>
  </si>
  <si>
    <t>1480SA</t>
  </si>
  <si>
    <t xml:space="preserve">HERRALUM </t>
  </si>
  <si>
    <t xml:space="preserve">BISAGRA MURO-CRISTAL CENTRADA SATIN </t>
  </si>
  <si>
    <t>1033SA</t>
  </si>
  <si>
    <t>SATIN</t>
  </si>
  <si>
    <t xml:space="preserve">TOPE CORREDIZO SERIE 4600 NEGRO </t>
  </si>
  <si>
    <t>TP4600NE</t>
  </si>
  <si>
    <t xml:space="preserve">CRISTAL CONFORTLIGHT DE 6mm </t>
  </si>
  <si>
    <t>CCONLIG6MM</t>
  </si>
  <si>
    <t>CRISTAL CLIMAGUARD LAMINAD DE 6+6mm</t>
  </si>
  <si>
    <t>CCLILAM6+6</t>
  </si>
  <si>
    <t xml:space="preserve">ALUMINIO ZARAGOZA </t>
  </si>
  <si>
    <t xml:space="preserve">BEREL </t>
  </si>
  <si>
    <t xml:space="preserve">ESMA </t>
  </si>
  <si>
    <t>LS 2022 0583</t>
  </si>
  <si>
    <t>PS1</t>
  </si>
  <si>
    <t xml:space="preserve">ALFREDO AGUILAR </t>
  </si>
  <si>
    <t xml:space="preserve">VICTOR BARBA </t>
  </si>
  <si>
    <t xml:space="preserve">ROCIO HERNANDEZ </t>
  </si>
  <si>
    <t>LS 2022 0582</t>
  </si>
  <si>
    <t xml:space="preserve">DOMO CODEME </t>
  </si>
  <si>
    <t>C2022-920</t>
  </si>
  <si>
    <t>LS 2022 0581</t>
  </si>
  <si>
    <t>C2022-932</t>
  </si>
  <si>
    <t>LS 2022 0580</t>
  </si>
  <si>
    <t>2022-931</t>
  </si>
  <si>
    <t>C2022-931</t>
  </si>
  <si>
    <t>LS 2022 0579</t>
  </si>
  <si>
    <t xml:space="preserve">CHEDRAUI </t>
  </si>
  <si>
    <t>C2022-926</t>
  </si>
  <si>
    <t>LS 2022 0578</t>
  </si>
  <si>
    <t xml:space="preserve">OSCAR GOMEZ </t>
  </si>
  <si>
    <t>LS 2022 0577</t>
  </si>
  <si>
    <t>LS 2022 0576</t>
  </si>
  <si>
    <t>REPONER DE NAPOLES</t>
  </si>
  <si>
    <t xml:space="preserve">REPONER DE NAPOLES </t>
  </si>
  <si>
    <t>LS 2022 0575</t>
  </si>
  <si>
    <t xml:space="preserve">ADRIAN Y ANLEW </t>
  </si>
  <si>
    <t xml:space="preserve">LILIANA REYES </t>
  </si>
  <si>
    <t>C2022-927</t>
  </si>
  <si>
    <t>C2022-928</t>
  </si>
  <si>
    <t>C2022-929</t>
  </si>
  <si>
    <t>LS 2022 0574</t>
  </si>
  <si>
    <t xml:space="preserve">ROGELIO MONDRAGON </t>
  </si>
  <si>
    <t>JOSE ANLEW</t>
  </si>
  <si>
    <t>LS 2022 0573</t>
  </si>
  <si>
    <t xml:space="preserve">VIDALTA </t>
  </si>
  <si>
    <t>LS 2022 0572</t>
  </si>
  <si>
    <t xml:space="preserve">TERRAZA LAURELES </t>
  </si>
  <si>
    <t xml:space="preserve">CARLOS RIOS </t>
  </si>
  <si>
    <t xml:space="preserve">EFRAIN TELLO </t>
  </si>
  <si>
    <t>DURETAN Negro</t>
  </si>
  <si>
    <t>LS 2022 0571</t>
  </si>
  <si>
    <t xml:space="preserve">FALY MUSIC </t>
  </si>
  <si>
    <t xml:space="preserve">DIEGO LOPEZ </t>
  </si>
  <si>
    <t>LS 2022 0570</t>
  </si>
  <si>
    <t xml:space="preserve">SHOWROOM POPOCATEPETL </t>
  </si>
  <si>
    <t>VICTOR BARBA</t>
  </si>
  <si>
    <t>LS 2022 0569</t>
  </si>
  <si>
    <t>TERRAZA LAURELES</t>
  </si>
  <si>
    <t>CARLOS RIOS</t>
  </si>
  <si>
    <t>C2022-914</t>
  </si>
  <si>
    <t>LS 2022 0568</t>
  </si>
  <si>
    <t>DIEGO LOPEZ</t>
  </si>
  <si>
    <t>C2022-715</t>
  </si>
  <si>
    <t>LS 2022 0567</t>
  </si>
  <si>
    <t xml:space="preserve">IECM CODEME </t>
  </si>
  <si>
    <t>C2022-917</t>
  </si>
  <si>
    <t>C2022-918</t>
  </si>
  <si>
    <t>LS 2022 0566</t>
  </si>
  <si>
    <t>LAGO ONEGA 411</t>
  </si>
  <si>
    <t>LS 2022 0565</t>
  </si>
  <si>
    <t xml:space="preserve">SONORA GRILL HERMOSILLO </t>
  </si>
  <si>
    <t xml:space="preserve">IGNACIO BARBA </t>
  </si>
  <si>
    <t>LS 2022 0564</t>
  </si>
  <si>
    <t>LS 2022 0563</t>
  </si>
  <si>
    <t xml:space="preserve">ALEJANDRO MENDOZA </t>
  </si>
  <si>
    <t>PES</t>
  </si>
  <si>
    <t>C2022-910</t>
  </si>
  <si>
    <t xml:space="preserve">POR COMPRAR </t>
  </si>
  <si>
    <t>NO LAS HAN REGRESADO</t>
  </si>
  <si>
    <t>910-ALM</t>
  </si>
  <si>
    <t>LS 2022 0562</t>
  </si>
  <si>
    <t>C2022-908</t>
  </si>
  <si>
    <t>LS 2022 0561</t>
  </si>
  <si>
    <t>JUAN LOPEZ</t>
  </si>
  <si>
    <t>VICTOR</t>
  </si>
  <si>
    <t>EFRAIN</t>
  </si>
  <si>
    <t>2.50MTRS</t>
  </si>
  <si>
    <t>1720MTRS</t>
  </si>
  <si>
    <t>LS 2022 0560</t>
  </si>
  <si>
    <t>8.10MTRS</t>
  </si>
  <si>
    <t>LS 2022 0559</t>
  </si>
  <si>
    <t xml:space="preserve">CENTURA </t>
  </si>
  <si>
    <t xml:space="preserve">ADRIAN </t>
  </si>
  <si>
    <t>MARCO</t>
  </si>
  <si>
    <t>angulo 3/4 natural</t>
  </si>
  <si>
    <t>silicon arquitectonico acetico negro</t>
  </si>
  <si>
    <t>LS 2022 0558</t>
  </si>
  <si>
    <t>barberia</t>
  </si>
  <si>
    <t>victor</t>
  </si>
  <si>
    <t>efrain</t>
  </si>
  <si>
    <t>1.09mtr</t>
  </si>
  <si>
    <t>1.30mtr</t>
  </si>
  <si>
    <t>LS 2022 0557</t>
  </si>
  <si>
    <t>JUAN LOPEZ TOLUCA</t>
  </si>
  <si>
    <t>almohadillas de silicona trasparente</t>
  </si>
  <si>
    <t>pz</t>
  </si>
  <si>
    <t>C0222</t>
  </si>
  <si>
    <t>LS 2022 0556</t>
  </si>
  <si>
    <t>CENTURA</t>
  </si>
  <si>
    <t>ADRIAN</t>
  </si>
  <si>
    <t>LS 2022 0555</t>
  </si>
  <si>
    <t>Casa de Nacho</t>
  </si>
  <si>
    <t>Marco</t>
  </si>
  <si>
    <t>Efrain</t>
  </si>
  <si>
    <t>angulo de 3/4 color duroe</t>
  </si>
  <si>
    <t xml:space="preserve"> 3/4</t>
  </si>
  <si>
    <t>3 Mts</t>
  </si>
  <si>
    <t>LS 2022 0554</t>
  </si>
  <si>
    <t>ROCIO</t>
  </si>
  <si>
    <t>C2022-909</t>
  </si>
  <si>
    <t xml:space="preserve">DURETAN </t>
  </si>
  <si>
    <t>LE 2022 0030</t>
  </si>
  <si>
    <t>LE 2022 0029</t>
  </si>
  <si>
    <t>LE 2022 0028</t>
  </si>
  <si>
    <t xml:space="preserve">PEDIDO ALMACEN </t>
  </si>
  <si>
    <t>ROCIO HERNANDEZ</t>
  </si>
  <si>
    <t>LILIANA REYES</t>
  </si>
  <si>
    <t>LE 2022 0027</t>
  </si>
  <si>
    <t xml:space="preserve">RETORNO DE DOMO CODEME </t>
  </si>
  <si>
    <t>ADRIAN MORALES</t>
  </si>
  <si>
    <t>LE 2022 0026</t>
  </si>
  <si>
    <t xml:space="preserve">RETORNO DE TERRAZA LAURELES </t>
  </si>
  <si>
    <t>LE 2022 0025</t>
  </si>
  <si>
    <t>LE 2022 0024</t>
  </si>
  <si>
    <t>P</t>
  </si>
  <si>
    <t>LE 2022 0023</t>
  </si>
  <si>
    <t>LE 2022 0022</t>
  </si>
  <si>
    <t xml:space="preserve">ROCIO </t>
  </si>
  <si>
    <t>LE 2022 0021</t>
  </si>
  <si>
    <t>LE 2022 0020</t>
  </si>
  <si>
    <t>LE 2022 0019</t>
  </si>
  <si>
    <t>ADRIAN Y ANLEW</t>
  </si>
  <si>
    <t>C2022-527</t>
  </si>
  <si>
    <t>LE 2022 0018</t>
  </si>
  <si>
    <t>LE 2022 0017</t>
  </si>
  <si>
    <t>LE 2022 0016</t>
  </si>
  <si>
    <t>LE 2022 0015</t>
  </si>
  <si>
    <t>LE 2022 0014</t>
  </si>
  <si>
    <t xml:space="preserve">DROFF LEON </t>
  </si>
  <si>
    <t xml:space="preserve">RUBEN LOZANO </t>
  </si>
  <si>
    <t>HEPIES</t>
  </si>
  <si>
    <t xml:space="preserve">HERRAJE PIPA ESPECIAL </t>
  </si>
  <si>
    <t>C2022-892</t>
  </si>
  <si>
    <t>LS 2022 0013</t>
  </si>
  <si>
    <t xml:space="preserve">SHOWROOM ATLIXCO </t>
  </si>
  <si>
    <t>RUBEN LOZANO</t>
  </si>
  <si>
    <t>LE 2022 0012</t>
  </si>
  <si>
    <t>P-</t>
  </si>
  <si>
    <t>LS 2022 0011</t>
  </si>
  <si>
    <t>LE 2022 0010</t>
  </si>
  <si>
    <t xml:space="preserve">VICTOR ROMERO </t>
  </si>
  <si>
    <t>C2022-824</t>
  </si>
  <si>
    <t xml:space="preserve">VICTOR </t>
  </si>
  <si>
    <t xml:space="preserve">MANILLA RECUPERABLE </t>
  </si>
  <si>
    <t>LE 2022 0009</t>
  </si>
  <si>
    <t>LE 2022 0008</t>
  </si>
  <si>
    <t>LE 2022 0007</t>
  </si>
  <si>
    <t>4.90MTRS</t>
  </si>
  <si>
    <t>LE 2022 0006</t>
  </si>
  <si>
    <t>LE 2022 0005</t>
  </si>
  <si>
    <t>juan lopez toluca</t>
  </si>
  <si>
    <t xml:space="preserve">victor </t>
  </si>
  <si>
    <t>LE 2022 0004</t>
  </si>
  <si>
    <t>BARBERIA</t>
  </si>
  <si>
    <t>ALFREDO E.</t>
  </si>
  <si>
    <t>1X62869</t>
  </si>
  <si>
    <t>LE 2022 0003</t>
  </si>
  <si>
    <t>Reingreso Obra Casa CODEME</t>
  </si>
  <si>
    <t>Adrian</t>
  </si>
  <si>
    <t>DURETAN Blanco</t>
  </si>
  <si>
    <t>LE 2022 0002</t>
  </si>
  <si>
    <t>LE 2022 0001</t>
  </si>
  <si>
    <t xml:space="preserve">ADRAIN </t>
  </si>
  <si>
    <t>Entrada</t>
  </si>
  <si>
    <t>LE 2022 0031</t>
  </si>
  <si>
    <t xml:space="preserve">SENTURA </t>
  </si>
  <si>
    <t xml:space="preserve">FERNANDO GIL </t>
  </si>
  <si>
    <t>C2022-728</t>
  </si>
  <si>
    <t>Salida</t>
  </si>
  <si>
    <t>LS 2022 0584</t>
  </si>
  <si>
    <t>SENTURA</t>
  </si>
  <si>
    <t>LS 2022 0585</t>
  </si>
  <si>
    <t xml:space="preserve">TRASPASO ALMACEN DE DOMOTICA </t>
  </si>
  <si>
    <t>ISAIAS MONTES</t>
  </si>
  <si>
    <t>Sellador Acrilico Negro</t>
  </si>
  <si>
    <t>CARRETILLA SERIE 10000 PABOSE</t>
  </si>
  <si>
    <t>CINTA NORTON DE 1/2X1/8"</t>
  </si>
  <si>
    <t>Rollo</t>
  </si>
  <si>
    <t>Sellador Acrilico Blanco</t>
  </si>
  <si>
    <t>TOPE CORREDIZO SERIE 4600 NEGRO</t>
  </si>
  <si>
    <t>CRISTAL CLIMAGUARD LAMINAD DE 6mm</t>
  </si>
  <si>
    <t>CRISTAL CONFORTLIGHT DE 6mm</t>
  </si>
  <si>
    <t>Silicon Arquitectonico Acetico Negro</t>
  </si>
  <si>
    <t>ARQUITECTONIC</t>
  </si>
  <si>
    <t>BISAGRA MURO-CRISTAL CENTRADA</t>
  </si>
  <si>
    <t>DEL PROVEDOR A OBRA</t>
  </si>
  <si>
    <t>ANGULO DE 1" NATURAL</t>
  </si>
  <si>
    <t>EN TIENDA</t>
  </si>
  <si>
    <t xml:space="preserve">CRISTAL CLARO TEMPLADO DE 10MM </t>
  </si>
  <si>
    <t>Angulo 3/4 Natural</t>
  </si>
  <si>
    <t>AN/NA</t>
  </si>
  <si>
    <t>GOMA DE BASE RIGIDA RESPALDO</t>
  </si>
  <si>
    <t>Mts</t>
  </si>
  <si>
    <t>CIERRE DE PRESION NEGRO</t>
  </si>
  <si>
    <t>RUEDA TANDEM GRADUABLE</t>
  </si>
  <si>
    <t>FELPA ALMA DE PLASTICO 7X6 GRIS</t>
  </si>
  <si>
    <t>ESCUADRA TETON CERCO Y FIJO</t>
  </si>
  <si>
    <t>KIT PERIMETRAL</t>
  </si>
  <si>
    <t>CERCO PERIMETRAL DURO-E</t>
  </si>
  <si>
    <t>Kg</t>
  </si>
  <si>
    <t>Lts</t>
  </si>
  <si>
    <t>ESCOBA CHICA</t>
  </si>
  <si>
    <t>BOLSA DE BASURA</t>
  </si>
  <si>
    <t>WINDEX</t>
  </si>
  <si>
    <t>TRAPO DE MICROFIBRA</t>
  </si>
  <si>
    <t>Silicon Arquitectonico Acetico Transparente</t>
  </si>
  <si>
    <t>YESO PIEDRA</t>
  </si>
  <si>
    <t>HERRAJES AZTECA</t>
  </si>
  <si>
    <t>CONECTOR MURO-CRISTAL NEGRO</t>
  </si>
  <si>
    <t>BISAGRA MURO-CRISTAL NEGRO</t>
  </si>
  <si>
    <t>BIDESBRK76NE</t>
  </si>
  <si>
    <t>TRAPO</t>
  </si>
  <si>
    <t>ATOMIZADOR P/PELICULA</t>
  </si>
  <si>
    <t>SACATE SCOCH</t>
  </si>
  <si>
    <t>PLECA</t>
  </si>
  <si>
    <t>THINNER AMERICANO</t>
  </si>
  <si>
    <t>FIJASET</t>
  </si>
  <si>
    <t>PINTURA AZUL</t>
  </si>
  <si>
    <t>PIJA DE 10X1 1/2" P/TABLA ROCA</t>
  </si>
  <si>
    <t>TRIPLAY DE 12 mm A 0.60X2.44</t>
  </si>
  <si>
    <t>MASKING DE 3/4" AMARILLO</t>
  </si>
  <si>
    <t>FIX</t>
  </si>
  <si>
    <t>HERRAJE PIPA ESPECIAL</t>
  </si>
  <si>
    <t>ZOCLO CABEZAL DE 1 1/2" BLANCO</t>
  </si>
  <si>
    <t>CHAMBRANA DE 1 1/2" BLANCO</t>
  </si>
  <si>
    <t>RIEL DE 1 1/2" BLANCO</t>
  </si>
  <si>
    <t>CRISTAL CLARO RECOCIDO DE 6mm</t>
  </si>
  <si>
    <t>CCRR6mm1.0X0.50</t>
  </si>
  <si>
    <t>PELICULA ESMERILADA</t>
  </si>
  <si>
    <t>VINIL DE CUÑA NO.16</t>
  </si>
  <si>
    <t>VINIL PATA DE COCHINO NO.10</t>
  </si>
  <si>
    <t>PIJA DE 8X1/2" C. PLANA</t>
  </si>
  <si>
    <t>REMACHES DEL NO.56 NEGRO</t>
  </si>
  <si>
    <t>PIJA DE 8X1 1/2" C. FIJADORA</t>
  </si>
  <si>
    <t>PIJA DE 10X1 1/2" C. FIJADORA</t>
  </si>
  <si>
    <t>ALUPRATIC</t>
  </si>
  <si>
    <t>FELPA NACIONAL GRIS</t>
  </si>
  <si>
    <t>BRAZO DE PROYECCION DE 12"</t>
  </si>
  <si>
    <t>VINIL PARA SERIE 35 NEGRO</t>
  </si>
  <si>
    <t>CARRETILLA DE ENSAMBLE P/3"</t>
  </si>
  <si>
    <t>CIERRE DE EMBUTIR PARA 3" NEGRO</t>
  </si>
  <si>
    <t>BISAGRA P/PUERTA BATIENTES S-70 N</t>
  </si>
  <si>
    <t>Juego</t>
  </si>
  <si>
    <t>JALADERA P/VENTANA DE PROYECC.</t>
  </si>
  <si>
    <t>PIVOTE DESENTRADO HEXAGONAL</t>
  </si>
  <si>
    <t>PINTURA EN AEROSOL NEGRO MATE</t>
  </si>
  <si>
    <t>SHAMPOO</t>
  </si>
  <si>
    <t>Sobre</t>
  </si>
  <si>
    <t>JALADOR</t>
  </si>
  <si>
    <t>SILICON BAÑOS Y COCINA TRANSPARENTE</t>
  </si>
  <si>
    <t>17/09/202</t>
  </si>
  <si>
    <t>VINIL DE CUÑA NO.15</t>
  </si>
  <si>
    <t>GOMA DE BASE RIGIDA CAUCHO</t>
  </si>
  <si>
    <t>15-18-7</t>
  </si>
  <si>
    <t>VENTANA DE ESCUADRA</t>
  </si>
  <si>
    <t>MANILLA RECUPERABLE</t>
  </si>
  <si>
    <t>Vidrio Claro de 10mm</t>
  </si>
  <si>
    <t>BACKER ROAD 1/4"</t>
  </si>
  <si>
    <t>Angulo de 3/4 Color Duroe</t>
  </si>
  <si>
    <t>1Pza. De 3 Mts.</t>
  </si>
  <si>
    <t>SIUGTR</t>
  </si>
  <si>
    <t>USADO</t>
  </si>
  <si>
    <t>ACRILASTIC</t>
  </si>
  <si>
    <t>Almohadilla de silicona transparente</t>
  </si>
  <si>
    <t xml:space="preserve">COSMO HERRAJES </t>
  </si>
  <si>
    <t>CARRETILLA DE ZOCLO ALTO PARA 2"</t>
  </si>
  <si>
    <t>CARRZOLALME2</t>
  </si>
  <si>
    <t>CARRZOLAL2</t>
  </si>
  <si>
    <t>Luna Clara 6mm</t>
  </si>
  <si>
    <t>Bonividrio</t>
  </si>
  <si>
    <t>LE 2022 0032</t>
  </si>
  <si>
    <t>SHOWROOM ATLIXCO</t>
  </si>
  <si>
    <t>ESPARRAGO DE 3/8" DE 1m</t>
  </si>
  <si>
    <t>ES3/8</t>
  </si>
  <si>
    <t>Ingreso</t>
  </si>
  <si>
    <t>VINIL P/VENTANA DE PROYECCION SERIE 35 Y 70 NEGRO</t>
  </si>
  <si>
    <t>VPVP35Y70NE</t>
  </si>
  <si>
    <t xml:space="preserve">ESCUADRA P/MOSQUITERO </t>
  </si>
  <si>
    <t>ESPMO</t>
  </si>
  <si>
    <t>CIERRE DE EMBUTIR NEGRO</t>
  </si>
  <si>
    <t>CIEMSHAT</t>
  </si>
  <si>
    <t xml:space="preserve">ESCUADRAS </t>
  </si>
  <si>
    <t>ESCSHAT</t>
  </si>
  <si>
    <t xml:space="preserve">CARRETILLAS </t>
  </si>
  <si>
    <t>CARRSHAT</t>
  </si>
  <si>
    <t>VINIL PARA SERIE 140 NEGRO</t>
  </si>
  <si>
    <t>VPS140</t>
  </si>
  <si>
    <t>TOPE PARA JALADERA H CON CHAPA A PISO</t>
  </si>
  <si>
    <t>TDJHCCAP</t>
  </si>
  <si>
    <t>LE 2022 0033</t>
  </si>
  <si>
    <t xml:space="preserve">LIJA DE AGUA </t>
  </si>
  <si>
    <t>LDA</t>
  </si>
  <si>
    <t>LS 2022 0586</t>
  </si>
  <si>
    <t>LE 2022 0034</t>
  </si>
  <si>
    <t xml:space="preserve">SHWROOM POPOCATEPETL </t>
  </si>
  <si>
    <t xml:space="preserve">PASAR A COMPRAR 5 LIJAS DE AGUA </t>
  </si>
  <si>
    <t>AN3/4DU</t>
  </si>
  <si>
    <t xml:space="preserve">CRISTAL DUOVENT </t>
  </si>
  <si>
    <t>VD-CDV</t>
  </si>
  <si>
    <t>LE 2022 0035</t>
  </si>
  <si>
    <t>BOSQUE REAL G3</t>
  </si>
  <si>
    <t>C2022-948</t>
  </si>
  <si>
    <t>LS 2022 0587</t>
  </si>
  <si>
    <t xml:space="preserve">BOSQUE REAL G3 </t>
  </si>
  <si>
    <t xml:space="preserve">BATIENTE GRANDE NEGRO </t>
  </si>
  <si>
    <t>BAGDNE</t>
  </si>
  <si>
    <t>BATIENTE PUERTA RESIDENCIAL S-50 CEREZO</t>
  </si>
  <si>
    <t>BAPTARES50CE</t>
  </si>
  <si>
    <t>CEREZO</t>
  </si>
  <si>
    <t xml:space="preserve">CABEZAL P/PUERTA PESADA NEGRO </t>
  </si>
  <si>
    <t>CAPTAPENE</t>
  </si>
  <si>
    <t xml:space="preserve">CERCO DE 6mm S-100 SIN ACABADO </t>
  </si>
  <si>
    <t>CE6S100S/A</t>
  </si>
  <si>
    <t>CERCO CHAPA P(PUERTA PESADA NEGRO</t>
  </si>
  <si>
    <t>CECHPPTAPNE</t>
  </si>
  <si>
    <t xml:space="preserve">	</t>
  </si>
  <si>
    <t xml:space="preserve">CERCO CHAPA P/PUERTA PESADA RESIDENCIAL S-50 CEREZO </t>
  </si>
  <si>
    <t>CECHPPTAPRESS50CE</t>
  </si>
  <si>
    <t xml:space="preserve">CERCO PERIMETRAL </t>
  </si>
  <si>
    <t>4601NG</t>
  </si>
  <si>
    <t>NOGAL</t>
  </si>
  <si>
    <t>CONTRAMARCO DE PROYECCION S-35 NOGAL</t>
  </si>
  <si>
    <t>COMAPRS35NG</t>
  </si>
  <si>
    <t xml:space="preserve">HOJA PERIMETRAL NOGAL </t>
  </si>
  <si>
    <t>4605NG</t>
  </si>
  <si>
    <t>JUNQUILLO P/PUERTA PESADA NEGRO</t>
  </si>
  <si>
    <t>JUNPPTAPNE</t>
  </si>
  <si>
    <t xml:space="preserve">MARCO COLONIAL DE PROYECCION S-35 NOGAL </t>
  </si>
  <si>
    <t>MACOPRS35NG</t>
  </si>
  <si>
    <t xml:space="preserve">NOGAL </t>
  </si>
  <si>
    <t xml:space="preserve">RIEL DOBLE SIN ACABADO </t>
  </si>
  <si>
    <t>RDS/A</t>
  </si>
  <si>
    <t xml:space="preserve">SIN ACABADO </t>
  </si>
  <si>
    <t>TAPA HOJA CENTRAL NOGAL</t>
  </si>
  <si>
    <t>4604NG</t>
  </si>
  <si>
    <t>TRASLAPE S-150</t>
  </si>
  <si>
    <t>TRAS150</t>
  </si>
  <si>
    <t>ZOCLO DE LUJO P/PUERTA PESADA RESIDENCIAL S-50 CEREZO</t>
  </si>
  <si>
    <t>ZOLUPPTAPS50CE</t>
  </si>
  <si>
    <t>ZOCLO P/PUERTA PESADA NEGRO</t>
  </si>
  <si>
    <t>ZPPPTAPNE</t>
  </si>
  <si>
    <t>LE 2022 0036</t>
  </si>
  <si>
    <t>TUERCA DE ACERO INOX DE 3/8"</t>
  </si>
  <si>
    <t>TUACINOX3/8</t>
  </si>
  <si>
    <t xml:space="preserve">PINTURA COLOR NEGRO </t>
  </si>
  <si>
    <t>PINE</t>
  </si>
  <si>
    <t xml:space="preserve">BROCHA </t>
  </si>
  <si>
    <t>BROC</t>
  </si>
  <si>
    <t xml:space="preserve">PRIMARIO SECADO RAPIDO </t>
  </si>
  <si>
    <t>PRISERA</t>
  </si>
  <si>
    <t>C2022-937</t>
  </si>
  <si>
    <t>LE 2022 0037</t>
  </si>
  <si>
    <t xml:space="preserve">PUNTA TIBURON </t>
  </si>
  <si>
    <t>C2022-938</t>
  </si>
  <si>
    <t>C2022-939</t>
  </si>
  <si>
    <t>C2022-940</t>
  </si>
  <si>
    <t>C2022-941</t>
  </si>
  <si>
    <t>LS 2022 0588</t>
  </si>
  <si>
    <t xml:space="preserve">REPARACION EQUIPO MERIK </t>
  </si>
  <si>
    <t>REPMERIK</t>
  </si>
  <si>
    <t>C2022-951</t>
  </si>
  <si>
    <t>LE 2022 0038</t>
  </si>
  <si>
    <t xml:space="preserve">CALLE 5, ING. ALVARO </t>
  </si>
  <si>
    <t xml:space="preserve">CARRETILLAS PARA PORTON </t>
  </si>
  <si>
    <t>CARRPORTON</t>
  </si>
  <si>
    <t>C2022-944</t>
  </si>
  <si>
    <t>LE 2022 0039</t>
  </si>
  <si>
    <t>LS 2022 0589</t>
  </si>
  <si>
    <t xml:space="preserve">PASAR A CESDAVI POR LOS ANGULOS </t>
  </si>
  <si>
    <t>LS 2022 0590</t>
  </si>
  <si>
    <t>NAPOLES</t>
  </si>
  <si>
    <t>CRISTAL ESMERILADO TEMPLADO DE 10mm</t>
  </si>
  <si>
    <t>VD-CET10mm</t>
  </si>
  <si>
    <t>LS 2022 0591</t>
  </si>
  <si>
    <t xml:space="preserve">FA VIADUCTO </t>
  </si>
  <si>
    <t>LE 2022 0040</t>
  </si>
  <si>
    <t xml:space="preserve">F.A. VIADUCTO </t>
  </si>
  <si>
    <t>LS 2022 0592</t>
  </si>
  <si>
    <t xml:space="preserve">JOSE ANLEW </t>
  </si>
  <si>
    <t>LS 2022 0593</t>
  </si>
  <si>
    <t>CRISTAL CLARO TEMPLADO DE 10mm</t>
  </si>
  <si>
    <t>VD-CCT10</t>
  </si>
  <si>
    <t xml:space="preserve">CONECTOR LEON SATIN </t>
  </si>
  <si>
    <t>1272SA</t>
  </si>
  <si>
    <t xml:space="preserve">TAQUETE TIPO Z DE 3/8" </t>
  </si>
  <si>
    <t>TATZ</t>
  </si>
  <si>
    <t>ANGULO DE 1" DURO-E</t>
  </si>
  <si>
    <t>AN1DU</t>
  </si>
  <si>
    <t>LE 2022 0041</t>
  </si>
  <si>
    <t>LS 2022 0594</t>
  </si>
  <si>
    <t xml:space="preserve">CIERRE DE EMBUTIR P/3" GRIS </t>
  </si>
  <si>
    <t>CEP3GR</t>
  </si>
  <si>
    <t>DIESEL</t>
  </si>
  <si>
    <t>DS</t>
  </si>
  <si>
    <t xml:space="preserve">PIEDRA ROSA/CAFE PARA PULIR ALUMINIO </t>
  </si>
  <si>
    <t>PIRO/CA</t>
  </si>
  <si>
    <t>LIJA DE BANDA DE 3X21" DE GRANO 400</t>
  </si>
  <si>
    <t>LB3X21</t>
  </si>
  <si>
    <t>LE 2022 0042</t>
  </si>
  <si>
    <t>HERMOSILLO 2</t>
  </si>
  <si>
    <t xml:space="preserve">RECOGER EN HERRAJES AZTECA </t>
  </si>
  <si>
    <t>FALTA 1</t>
  </si>
  <si>
    <t xml:space="preserve">PASAR A COMPRAR </t>
  </si>
  <si>
    <t xml:space="preserve">COMPRAR </t>
  </si>
  <si>
    <t>COMPRAR</t>
  </si>
  <si>
    <t>RECOGER EN HERRAJES AZTECA</t>
  </si>
  <si>
    <t>TUERCA DE 3/8"</t>
  </si>
  <si>
    <t>TU3/8"</t>
  </si>
  <si>
    <t xml:space="preserve">RONDANA DE 3/8" </t>
  </si>
  <si>
    <t>RON3/8</t>
  </si>
  <si>
    <t>MULTIPUNTO ANTIFALSA MANIOBRA 1600mm C10</t>
  </si>
  <si>
    <t>MULTIPUNTO</t>
  </si>
  <si>
    <t xml:space="preserve">KIT DE INSTALACION MULTIPUNTO MAC 1800mm </t>
  </si>
  <si>
    <t xml:space="preserve">KIT MULTIPUNTO </t>
  </si>
  <si>
    <t>CREMONA CURVA POLARIS CLICK NEGRO</t>
  </si>
  <si>
    <t>CRECUNE</t>
  </si>
  <si>
    <t xml:space="preserve">CREOMA-MANILLA POLARIS C/LLAVE NEGRO </t>
  </si>
  <si>
    <t>CREC/LLAVENE</t>
  </si>
  <si>
    <t>DUELA LISA DURO-E</t>
  </si>
  <si>
    <t>DLDU</t>
  </si>
  <si>
    <t>ALETA DE POLICARBONATO DE BURBUJA P/10mm</t>
  </si>
  <si>
    <t>ALBU10</t>
  </si>
  <si>
    <t xml:space="preserve">FIJO TUBULAR DURO-E </t>
  </si>
  <si>
    <t>10003DU</t>
  </si>
  <si>
    <t>PILASTRA LISA PUERTA DURO-E</t>
  </si>
  <si>
    <t>1405DU</t>
  </si>
  <si>
    <t>HOJA MONUMENTAL DURO-E</t>
  </si>
  <si>
    <t>1423DU</t>
  </si>
  <si>
    <t xml:space="preserve">PELICULA AMBAR </t>
  </si>
  <si>
    <t>PEAM</t>
  </si>
  <si>
    <t>ESPARRAGO DE 3/8" DE 3mts</t>
  </si>
  <si>
    <t>ES3/83MTS</t>
  </si>
  <si>
    <t>CRISTAL LAMINADO SN68 TEMPLADO DE 6mm+CLARO RECOCIDO DE 6mm</t>
  </si>
  <si>
    <t>VD-CRLATESN68</t>
  </si>
  <si>
    <t>CRISTAL CLARO LAMINADO DE 6+6mm</t>
  </si>
  <si>
    <t>VD-CRLA6+6</t>
  </si>
  <si>
    <t>LUNA ESPEJO DE 6mm</t>
  </si>
  <si>
    <t>LUES6</t>
  </si>
  <si>
    <t xml:space="preserve">HERMOSILLO 2 </t>
  </si>
  <si>
    <t>LS 2022 0595</t>
  </si>
  <si>
    <t>LS 2022 0596</t>
  </si>
  <si>
    <t>C2022-976</t>
  </si>
  <si>
    <t>C2022-977</t>
  </si>
  <si>
    <t>C2022-975</t>
  </si>
  <si>
    <t>C2022-974</t>
  </si>
  <si>
    <t>C2022-973</t>
  </si>
  <si>
    <t>LE 2022 0043</t>
  </si>
  <si>
    <t>LS 2022 0597</t>
  </si>
  <si>
    <t>REMACHES DEL NO.56 BLANCO</t>
  </si>
  <si>
    <t>RE56BL</t>
  </si>
  <si>
    <t xml:space="preserve">CERCO LISO VENTANA BLANCO </t>
  </si>
  <si>
    <t>1402BL</t>
  </si>
  <si>
    <t xml:space="preserve">JUNQUILLO ANCHO BLANCO </t>
  </si>
  <si>
    <t>1430BL</t>
  </si>
  <si>
    <t xml:space="preserve">CERCO LISO PUERTA BLANCO </t>
  </si>
  <si>
    <t>1407BL</t>
  </si>
  <si>
    <t xml:space="preserve">PILASTRA LISA PUERTA </t>
  </si>
  <si>
    <t>1405BL</t>
  </si>
  <si>
    <t>TUBO DE 2X1" BLANCO</t>
  </si>
  <si>
    <t>T2X1BL</t>
  </si>
  <si>
    <t xml:space="preserve">ANGULO PARA ESCUADRA </t>
  </si>
  <si>
    <t>ANPES</t>
  </si>
  <si>
    <t xml:space="preserve">CHAPA DOBLE MANIJA CON MARIPOSA </t>
  </si>
  <si>
    <t>1096BL</t>
  </si>
  <si>
    <t>LE 2022 0044</t>
  </si>
  <si>
    <t xml:space="preserve">VALLE DE CHALCO </t>
  </si>
  <si>
    <t>LS 2022 0598</t>
  </si>
  <si>
    <t>PRIMARIO CROMATO ZINC</t>
  </si>
  <si>
    <t>PRCRZI</t>
  </si>
  <si>
    <t>GALON</t>
  </si>
  <si>
    <t xml:space="preserve">EN OBRA </t>
  </si>
  <si>
    <t xml:space="preserve">CROMACRYL ACRILICO </t>
  </si>
  <si>
    <t>CRCRAC</t>
  </si>
  <si>
    <t>EN OBRA</t>
  </si>
  <si>
    <t xml:space="preserve">CUCHILLAS </t>
  </si>
  <si>
    <t>CUCH</t>
  </si>
  <si>
    <t xml:space="preserve">NAVAJA DE REPUESTO </t>
  </si>
  <si>
    <t>NADRE</t>
  </si>
  <si>
    <t xml:space="preserve">PAQUETE </t>
  </si>
  <si>
    <t xml:space="preserve">BROCA P/VIDRIO </t>
  </si>
  <si>
    <t>BRPVI</t>
  </si>
  <si>
    <t>PISTON POWER 230 PLUSS MERIK</t>
  </si>
  <si>
    <t>PP230PLME</t>
  </si>
  <si>
    <t>C2022-1001</t>
  </si>
  <si>
    <t>LE 2022 0045</t>
  </si>
  <si>
    <t>CALLE NEW YORK 290</t>
  </si>
  <si>
    <t>LS 2022 0599</t>
  </si>
  <si>
    <t>CRISTAL CLARO TEMPLADO DE 6mm</t>
  </si>
  <si>
    <t>VD-CCT6</t>
  </si>
  <si>
    <t>LE 2022 0046</t>
  </si>
  <si>
    <t xml:space="preserve">F.A VIADUCTO </t>
  </si>
  <si>
    <t>LS 2022 0600</t>
  </si>
  <si>
    <t>CIERRE EMBUTIDO OLE NEGRO</t>
  </si>
  <si>
    <t>7250NE</t>
  </si>
  <si>
    <t xml:space="preserve">PIJA DE 10X3" CABEZA PLANA </t>
  </si>
  <si>
    <t>PD10X3CP</t>
  </si>
  <si>
    <t>SERVITOALLAS</t>
  </si>
  <si>
    <t>SERV</t>
  </si>
  <si>
    <t xml:space="preserve">PIJA PUNTA DE BROCA 8X1" CABEZA PLANA </t>
  </si>
  <si>
    <t>PPDB8X1CP</t>
  </si>
  <si>
    <t>LE 2022 0047</t>
  </si>
  <si>
    <t>C2022-1008-09</t>
  </si>
  <si>
    <t>C2022-1010</t>
  </si>
  <si>
    <t>C2022-1011</t>
  </si>
  <si>
    <t>C2022-</t>
  </si>
  <si>
    <t>LS 2022 0601</t>
  </si>
  <si>
    <t>ALM-824</t>
  </si>
  <si>
    <t>LS 2022 0602</t>
  </si>
  <si>
    <t>LE 2022 0048</t>
  </si>
  <si>
    <t>LS 2022 0603</t>
  </si>
  <si>
    <t>C2022-608</t>
  </si>
  <si>
    <t>LE 2022 0049</t>
  </si>
  <si>
    <t xml:space="preserve">CY TUXPAN </t>
  </si>
  <si>
    <t>C2022-609</t>
  </si>
  <si>
    <t>LS 2022 0604</t>
  </si>
  <si>
    <t xml:space="preserve">BRAZO DE PROYECCION DE 24" </t>
  </si>
  <si>
    <t>BRPR24</t>
  </si>
  <si>
    <t>C2022-671</t>
  </si>
  <si>
    <t>LE 2022 0050</t>
  </si>
  <si>
    <t xml:space="preserve">SAN MIGUEL DE ALLENDE </t>
  </si>
  <si>
    <t xml:space="preserve">ADRIAN MORALES </t>
  </si>
  <si>
    <t>LS 2022 0605</t>
  </si>
  <si>
    <t xml:space="preserve">PLAYO </t>
  </si>
  <si>
    <t>EMPL</t>
  </si>
  <si>
    <t>C2022-679</t>
  </si>
  <si>
    <t>LE 2022 0051</t>
  </si>
  <si>
    <t xml:space="preserve">JIUTEPEC </t>
  </si>
  <si>
    <t>LS 2022 0606</t>
  </si>
  <si>
    <t xml:space="preserve">GOMA MOSQUITERO </t>
  </si>
  <si>
    <t>1515-7</t>
  </si>
  <si>
    <t>C2022-681</t>
  </si>
  <si>
    <t>LE 2022 0052</t>
  </si>
  <si>
    <t>LS 2022 0607</t>
  </si>
  <si>
    <t>C2022-682</t>
  </si>
  <si>
    <t>LE 2022 0053</t>
  </si>
  <si>
    <t>LS 2022 0608</t>
  </si>
  <si>
    <t>ALFREDO AGUILAR</t>
  </si>
  <si>
    <t xml:space="preserve">CONECTOR VIDRIO-VIDRIO SATIN </t>
  </si>
  <si>
    <t>2231SA</t>
  </si>
  <si>
    <t>C2022-706</t>
  </si>
  <si>
    <t>LE 2022 0054</t>
  </si>
  <si>
    <t xml:space="preserve">HOTEL W PUNTA MITA </t>
  </si>
  <si>
    <t>LS 2022 0609</t>
  </si>
  <si>
    <t>C2022-710</t>
  </si>
  <si>
    <t>LE 2022 0055</t>
  </si>
  <si>
    <t>LS 2022 0610</t>
  </si>
  <si>
    <t xml:space="preserve">DISCO P/CORTE </t>
  </si>
  <si>
    <t>DPC</t>
  </si>
  <si>
    <t xml:space="preserve">LLAVE COMBINADA </t>
  </si>
  <si>
    <t>LLACO</t>
  </si>
  <si>
    <t xml:space="preserve">PIJA CABEZA HEXAGONAL </t>
  </si>
  <si>
    <t>PCH</t>
  </si>
  <si>
    <t>C2022-711</t>
  </si>
  <si>
    <t>LE 2022 0056</t>
  </si>
  <si>
    <t>LS 2022 0611</t>
  </si>
  <si>
    <t>CARTON</t>
  </si>
  <si>
    <t>CAR</t>
  </si>
  <si>
    <t>C2022-712</t>
  </si>
  <si>
    <t>LE 2022 0057</t>
  </si>
  <si>
    <t>LS 2022 0612</t>
  </si>
  <si>
    <t>25/10/2022</t>
  </si>
  <si>
    <t xml:space="preserve">RIEL SUPERIOR SISTEMA ACAPULCO </t>
  </si>
  <si>
    <t xml:space="preserve">CARRETILLA C/HERRAJE CENTRAL </t>
  </si>
  <si>
    <t xml:space="preserve">BISAGRA VIDRIO-MURO SISTEMA ACAPULCO </t>
  </si>
  <si>
    <t xml:space="preserve">SEGURO C/PASADOR P/VIDRIO SATIN </t>
  </si>
  <si>
    <t>1058SA</t>
  </si>
  <si>
    <t xml:space="preserve">JALADERA REDONDA P/VIDRIO SATIN </t>
  </si>
  <si>
    <t>6320SA</t>
  </si>
  <si>
    <t>C2022-1035</t>
  </si>
  <si>
    <t>LE 2022 0058</t>
  </si>
  <si>
    <t xml:space="preserve">ING. EMILIO ACOZAC </t>
  </si>
  <si>
    <t>LE 2022 0059</t>
  </si>
  <si>
    <t>LS 2022 0613</t>
  </si>
  <si>
    <t>LE 2022 0060</t>
  </si>
  <si>
    <t>OSCAR GOMEZ</t>
  </si>
  <si>
    <t>LS 2022 0614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</si>
</sst>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(&quot;$&quot;* #,##0.00_);_(&quot;$&quot;* \(#,##0.00\);_(&quot;$&quot;* &quot;-&quot;??_);_(@_)"/>
    <numFmt numFmtId="165" formatCode="dd/mm/yyyy;@"/>
    <numFmt numFmtId="166" formatCode="[$-F800]dddd\,\ mmmm\ dd\,\ yyyy"/>
    <numFmt numFmtId="167" formatCode="\ 0;\-0;;@"/>
    <numFmt numFmtId="168" formatCode="0;\-0;;@"/>
    <numFmt numFmtId="169" formatCode="m/d/yyyy"/>
  </numFmts>
  <fonts count="1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  <font>
      <u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8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theme="4" tint="0.79998168889431442"/>
      </patternFill>
    </fill>
  </fills>
  <borders count="34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7" fillId="0" borderId="0" applyFont="0" applyFill="0" applyBorder="0" applyAlignment="0" applyProtection="0"/>
  </cellStyleXfs>
  <cellXfs count="132">
    <xf numFmtId="0" fontId="0" fillId="0" borderId="0" xfId="0"/>
    <xf numFmtId="0" fontId="2" fillId="3" borderId="0" xfId="0" applyFont="1" applyFill="1"/>
    <xf numFmtId="0" fontId="1" fillId="4" borderId="1" xfId="0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4" borderId="3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2" fillId="3" borderId="0" xfId="0" applyFont="1" applyFill="1" applyBorder="1" applyAlignment="1"/>
    <xf numFmtId="0" fontId="2" fillId="3" borderId="0" xfId="0" applyFont="1" applyFill="1" applyBorder="1" applyAlignment="1">
      <alignment vertical="center"/>
    </xf>
    <xf numFmtId="0" fontId="0" fillId="0" borderId="7" xfId="0" applyBorder="1" applyAlignment="1">
      <alignment horizontal="left" vertical="center"/>
    </xf>
    <xf numFmtId="165" fontId="1" fillId="4" borderId="2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left" vertical="center" wrapText="1"/>
    </xf>
    <xf numFmtId="0" fontId="0" fillId="0" borderId="8" xfId="0" applyBorder="1" applyAlignment="1">
      <alignment horizontal="left" vertical="center"/>
    </xf>
    <xf numFmtId="0" fontId="1" fillId="4" borderId="9" xfId="0" applyFont="1" applyFill="1" applyBorder="1" applyAlignment="1">
      <alignment horizontal="center" vertical="center" wrapText="1"/>
    </xf>
    <xf numFmtId="0" fontId="1" fillId="4" borderId="7" xfId="0" applyFont="1" applyFill="1" applyBorder="1" applyAlignment="1">
      <alignment horizontal="center" vertical="center" wrapText="1"/>
    </xf>
    <xf numFmtId="0" fontId="1" fillId="4" borderId="8" xfId="0" applyFont="1" applyFill="1" applyBorder="1" applyAlignment="1">
      <alignment horizontal="center" vertical="center" wrapText="1"/>
    </xf>
    <xf numFmtId="0" fontId="1" fillId="4" borderId="10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0" fillId="0" borderId="12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166" fontId="1" fillId="4" borderId="2" xfId="0" applyNumberFormat="1" applyFont="1" applyFill="1" applyBorder="1" applyAlignment="1">
      <alignment horizontal="center" vertical="center" wrapText="1"/>
    </xf>
    <xf numFmtId="166" fontId="0" fillId="0" borderId="5" xfId="0" applyNumberFormat="1" applyBorder="1" applyAlignment="1">
      <alignment horizontal="left" vertical="center"/>
    </xf>
    <xf numFmtId="166" fontId="0" fillId="0" borderId="0" xfId="0" applyNumberFormat="1"/>
    <xf numFmtId="165" fontId="0" fillId="0" borderId="0" xfId="0" applyNumberFormat="1" applyAlignment="1">
      <alignment horizontal="center" vertical="center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0" fillId="0" borderId="6" xfId="0" applyNumberFormat="1" applyBorder="1" applyAlignment="1">
      <alignment horizontal="center" vertical="center" wrapText="1"/>
    </xf>
    <xf numFmtId="0" fontId="0" fillId="0" borderId="6" xfId="0" applyBorder="1" applyAlignment="1">
      <alignment horizontal="left" vertical="center" wrapText="1"/>
    </xf>
    <xf numFmtId="0" fontId="0" fillId="0" borderId="17" xfId="0" applyBorder="1" applyAlignment="1">
      <alignment horizontal="left" vertical="center" wrapText="1"/>
    </xf>
    <xf numFmtId="0" fontId="0" fillId="0" borderId="6" xfId="0" applyNumberFormat="1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18" xfId="0" applyNumberFormat="1" applyBorder="1" applyAlignment="1">
      <alignment horizontal="center" vertical="center"/>
    </xf>
    <xf numFmtId="0" fontId="0" fillId="0" borderId="5" xfId="0" applyNumberFormat="1" applyBorder="1" applyAlignment="1">
      <alignment horizontal="left" vertical="center"/>
    </xf>
    <xf numFmtId="165" fontId="0" fillId="0" borderId="6" xfId="0" applyNumberFormat="1" applyBorder="1" applyAlignment="1">
      <alignment horizontal="center" vertical="center"/>
    </xf>
    <xf numFmtId="0" fontId="5" fillId="3" borderId="0" xfId="0" applyFont="1" applyFill="1"/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166" fontId="0" fillId="0" borderId="0" xfId="0" applyNumberFormat="1" applyBorder="1" applyAlignment="1">
      <alignment horizontal="left" vertical="center"/>
    </xf>
    <xf numFmtId="0" fontId="0" fillId="4" borderId="20" xfId="0" applyFill="1" applyBorder="1" applyAlignment="1">
      <alignment horizontal="center" vertical="center"/>
    </xf>
    <xf numFmtId="0" fontId="0" fillId="4" borderId="19" xfId="0" applyFill="1" applyBorder="1" applyAlignment="1">
      <alignment horizontal="center" vertical="center"/>
    </xf>
    <xf numFmtId="0" fontId="0" fillId="4" borderId="21" xfId="0" applyFill="1" applyBorder="1" applyAlignment="1">
      <alignment horizontal="center" vertical="center"/>
    </xf>
    <xf numFmtId="166" fontId="0" fillId="0" borderId="6" xfId="0" applyNumberFormat="1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1" fillId="4" borderId="2" xfId="0" applyNumberFormat="1" applyFont="1" applyFill="1" applyBorder="1" applyAlignment="1">
      <alignment horizontal="center" vertical="center" wrapText="1"/>
    </xf>
    <xf numFmtId="0" fontId="0" fillId="0" borderId="6" xfId="0" applyNumberFormat="1" applyBorder="1" applyAlignment="1">
      <alignment horizontal="left" vertical="center"/>
    </xf>
    <xf numFmtId="0" fontId="0" fillId="0" borderId="0" xfId="0" applyNumberFormat="1"/>
    <xf numFmtId="0" fontId="0" fillId="0" borderId="0" xfId="0" applyNumberFormat="1" applyBorder="1" applyAlignment="1">
      <alignment horizontal="left" vertical="center"/>
    </xf>
    <xf numFmtId="0" fontId="0" fillId="0" borderId="2" xfId="0" applyBorder="1"/>
    <xf numFmtId="0" fontId="0" fillId="0" borderId="3" xfId="0" applyBorder="1"/>
    <xf numFmtId="0" fontId="0" fillId="5" borderId="17" xfId="0" applyFill="1" applyBorder="1"/>
    <xf numFmtId="0" fontId="0" fillId="5" borderId="24" xfId="0" applyFill="1" applyBorder="1"/>
    <xf numFmtId="0" fontId="0" fillId="5" borderId="18" xfId="0" applyFill="1" applyBorder="1"/>
    <xf numFmtId="0" fontId="6" fillId="0" borderId="6" xfId="0" applyFont="1" applyBorder="1" applyAlignment="1">
      <alignment horizontal="center" vertical="center"/>
    </xf>
    <xf numFmtId="0" fontId="0" fillId="5" borderId="24" xfId="0" applyFont="1" applyFill="1" applyBorder="1" applyAlignment="1"/>
    <xf numFmtId="0" fontId="1" fillId="0" borderId="0" xfId="0" applyFont="1" applyProtection="1">
      <protection locked="0"/>
    </xf>
    <xf numFmtId="164" fontId="2" fillId="2" borderId="6" xfId="1" applyFont="1" applyFill="1" applyBorder="1" applyAlignment="1">
      <alignment horizontal="center" vertical="center"/>
    </xf>
    <xf numFmtId="168" fontId="2" fillId="2" borderId="6" xfId="0" applyNumberFormat="1" applyFont="1" applyFill="1" applyBorder="1" applyAlignment="1">
      <alignment horizontal="center" vertical="center"/>
    </xf>
    <xf numFmtId="0" fontId="0" fillId="0" borderId="4" xfId="0" applyNumberFormat="1" applyBorder="1" applyAlignment="1">
      <alignment horizontal="center" vertical="center"/>
    </xf>
    <xf numFmtId="165" fontId="0" fillId="0" borderId="5" xfId="0" applyNumberFormat="1" applyBorder="1" applyAlignment="1">
      <alignment horizontal="center" vertical="center"/>
    </xf>
    <xf numFmtId="0" fontId="8" fillId="4" borderId="1" xfId="0" applyNumberFormat="1" applyFont="1" applyFill="1" applyBorder="1" applyAlignment="1">
      <alignment horizontal="center" vertical="center" wrapText="1"/>
    </xf>
    <xf numFmtId="0" fontId="8" fillId="4" borderId="2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0" fillId="0" borderId="5" xfId="0" applyBorder="1"/>
    <xf numFmtId="0" fontId="0" fillId="0" borderId="25" xfId="0" applyBorder="1"/>
    <xf numFmtId="0" fontId="0" fillId="6" borderId="1" xfId="0" applyNumberFormat="1" applyFont="1" applyFill="1" applyBorder="1" applyAlignment="1">
      <alignment horizontal="left" vertical="center"/>
    </xf>
    <xf numFmtId="0" fontId="0" fillId="6" borderId="2" xfId="0" applyFont="1" applyFill="1" applyBorder="1" applyAlignment="1">
      <alignment horizontal="left" vertical="center"/>
    </xf>
    <xf numFmtId="0" fontId="0" fillId="7" borderId="4" xfId="0" applyNumberFormat="1" applyFont="1" applyFill="1" applyBorder="1" applyAlignment="1">
      <alignment horizontal="left" vertical="center"/>
    </xf>
    <xf numFmtId="0" fontId="0" fillId="7" borderId="5" xfId="0" applyFont="1" applyFill="1" applyBorder="1" applyAlignment="1">
      <alignment horizontal="left" vertical="center"/>
    </xf>
    <xf numFmtId="0" fontId="0" fillId="0" borderId="5" xfId="0" applyNumberFormat="1" applyBorder="1" applyAlignment="1">
      <alignment horizontal="center" vertical="center"/>
    </xf>
    <xf numFmtId="0" fontId="0" fillId="0" borderId="0" xfId="0" applyBorder="1"/>
    <xf numFmtId="0" fontId="0" fillId="0" borderId="18" xfId="0" applyBorder="1"/>
    <xf numFmtId="0" fontId="0" fillId="0" borderId="6" xfId="0" applyBorder="1"/>
    <xf numFmtId="0" fontId="0" fillId="0" borderId="17" xfId="0" applyBorder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Border="1" applyAlignment="1">
      <alignment horizontal="left" vertical="center" wrapText="1"/>
    </xf>
    <xf numFmtId="0" fontId="0" fillId="0" borderId="25" xfId="0" applyBorder="1" applyAlignment="1">
      <alignment horizontal="left" vertical="center" wrapText="1"/>
    </xf>
    <xf numFmtId="0" fontId="4" fillId="0" borderId="4" xfId="0" applyFont="1" applyBorder="1" applyAlignment="1">
      <alignment horizontal="left" vertical="center" wrapText="1"/>
    </xf>
    <xf numFmtId="0" fontId="0" fillId="0" borderId="1" xfId="0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 wrapText="1"/>
    </xf>
    <xf numFmtId="0" fontId="10" fillId="4" borderId="2" xfId="0" applyFont="1" applyFill="1" applyBorder="1" applyAlignment="1">
      <alignment horizontal="center" vertical="center" wrapText="1"/>
    </xf>
    <xf numFmtId="0" fontId="11" fillId="0" borderId="5" xfId="0" applyNumberFormat="1" applyFont="1" applyBorder="1" applyAlignment="1">
      <alignment horizontal="left" vertical="center"/>
    </xf>
    <xf numFmtId="0" fontId="11" fillId="0" borderId="6" xfId="0" applyFont="1" applyBorder="1" applyAlignment="1">
      <alignment horizontal="left" vertical="center"/>
    </xf>
    <xf numFmtId="14" fontId="10" fillId="4" borderId="2" xfId="0" applyNumberFormat="1" applyFont="1" applyFill="1" applyBorder="1" applyAlignment="1">
      <alignment horizontal="center" vertical="center" wrapText="1"/>
    </xf>
    <xf numFmtId="14" fontId="11" fillId="0" borderId="6" xfId="0" applyNumberFormat="1" applyFont="1" applyBorder="1" applyAlignment="1">
      <alignment horizontal="center" vertical="center"/>
    </xf>
    <xf numFmtId="14" fontId="0" fillId="0" borderId="0" xfId="0" applyNumberFormat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1" fillId="2" borderId="30" xfId="0" applyFont="1" applyFill="1" applyBorder="1" applyAlignment="1">
      <alignment horizontal="center" vertical="center"/>
    </xf>
    <xf numFmtId="167" fontId="11" fillId="0" borderId="6" xfId="0" applyNumberFormat="1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/>
    </xf>
    <xf numFmtId="0" fontId="0" fillId="0" borderId="9" xfId="0" applyBorder="1" applyAlignment="1">
      <alignment horizontal="left" vertical="center" wrapText="1"/>
    </xf>
    <xf numFmtId="0" fontId="0" fillId="0" borderId="6" xfId="0" applyFont="1" applyBorder="1" applyAlignment="1">
      <alignment horizontal="left" vertical="center"/>
    </xf>
    <xf numFmtId="0" fontId="0" fillId="6" borderId="22" xfId="0" applyNumberFormat="1" applyFont="1" applyFill="1" applyBorder="1" applyAlignment="1">
      <alignment horizontal="center" vertical="center"/>
    </xf>
    <xf numFmtId="0" fontId="0" fillId="0" borderId="22" xfId="0" applyNumberFormat="1" applyFont="1" applyBorder="1" applyAlignment="1">
      <alignment horizontal="center" vertical="center"/>
    </xf>
    <xf numFmtId="0" fontId="0" fillId="0" borderId="33" xfId="0" applyNumberFormat="1" applyFont="1" applyBorder="1" applyAlignment="1">
      <alignment horizontal="center" vertical="center"/>
    </xf>
    <xf numFmtId="169" fontId="11" fillId="0" borderId="6" xfId="0" applyNumberFormat="1" applyFont="1" applyBorder="1" applyAlignment="1">
      <alignment horizontal="center" vertical="center"/>
    </xf>
    <xf numFmtId="0" fontId="2" fillId="3" borderId="0" xfId="0" applyFont="1" applyFill="1" applyBorder="1" applyAlignment="1">
      <alignment horizontal="center"/>
    </xf>
    <xf numFmtId="0" fontId="0" fillId="0" borderId="25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8" xfId="0" applyFont="1" applyBorder="1" applyAlignment="1">
      <alignment horizontal="left" vertical="top"/>
    </xf>
    <xf numFmtId="0" fontId="0" fillId="0" borderId="0" xfId="0" applyFont="1" applyBorder="1" applyAlignment="1">
      <alignment horizontal="left" vertical="top"/>
    </xf>
    <xf numFmtId="0" fontId="0" fillId="0" borderId="9" xfId="0" applyFont="1" applyBorder="1" applyAlignment="1">
      <alignment horizontal="left" vertical="top"/>
    </xf>
    <xf numFmtId="0" fontId="0" fillId="0" borderId="3" xfId="0" applyFont="1" applyBorder="1" applyAlignment="1">
      <alignment horizontal="left" vertical="top"/>
    </xf>
    <xf numFmtId="0" fontId="0" fillId="0" borderId="32" xfId="0" applyFont="1" applyBorder="1" applyAlignment="1">
      <alignment horizontal="left" vertical="top"/>
    </xf>
    <xf numFmtId="0" fontId="0" fillId="0" borderId="1" xfId="0" applyFont="1" applyBorder="1" applyAlignment="1">
      <alignment horizontal="left" vertical="top"/>
    </xf>
    <xf numFmtId="0" fontId="6" fillId="0" borderId="6" xfId="0" applyFont="1" applyBorder="1" applyAlignment="1">
      <alignment horizontal="center" vertical="center"/>
    </xf>
    <xf numFmtId="167" fontId="0" fillId="0" borderId="6" xfId="0" applyNumberFormat="1" applyBorder="1" applyAlignment="1">
      <alignment horizontal="center" vertical="center" wrapText="1"/>
    </xf>
    <xf numFmtId="166" fontId="0" fillId="0" borderId="6" xfId="0" applyNumberFormat="1" applyBorder="1" applyAlignment="1">
      <alignment horizontal="center" vertical="center" wrapText="1"/>
    </xf>
    <xf numFmtId="0" fontId="6" fillId="5" borderId="24" xfId="0" applyFont="1" applyFill="1" applyBorder="1" applyAlignment="1">
      <alignment horizontal="right"/>
    </xf>
    <xf numFmtId="167" fontId="0" fillId="5" borderId="24" xfId="0" applyNumberFormat="1" applyFont="1" applyFill="1" applyBorder="1" applyAlignment="1">
      <alignment horizontal="center" vertical="center"/>
    </xf>
    <xf numFmtId="0" fontId="0" fillId="0" borderId="25" xfId="0" applyBorder="1" applyAlignment="1">
      <alignment horizontal="left" vertical="top"/>
    </xf>
    <xf numFmtId="0" fontId="0" fillId="0" borderId="31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0" fillId="0" borderId="8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9" xfId="0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0" fillId="0" borderId="32" xfId="0" applyBorder="1" applyAlignment="1">
      <alignment horizontal="left" vertical="top"/>
    </xf>
    <xf numFmtId="0" fontId="0" fillId="0" borderId="1" xfId="0" applyBorder="1" applyAlignment="1">
      <alignment horizontal="left" vertical="top"/>
    </xf>
  </cellXfs>
  <cellStyles count="2">
    <cellStyle name="Moneda" xfId="1" builtinId="4"/>
    <cellStyle name="Normal" xfId="0" builtinId="0"/>
  </cellStyles>
  <dxfs count="631"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left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m/d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bottom style="medium">
          <color indexed="64"/>
        </bottom>
      </border>
    </dxf>
    <dxf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/>
        <bottom/>
        <vertical style="thin">
          <color indexed="64"/>
        </vertical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alignment horizontal="left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[$-F800]dddd\,\ mmmm\ dd\,\ yyyy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left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/>
        <bottom/>
        <vertical style="thin">
          <color indexed="64"/>
        </vertical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alignment horizontal="left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[$-F800]dddd\,\ mmmm\ dd\,\ yyyy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left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/>
        <bottom/>
        <vertical style="thin">
          <color indexed="64"/>
        </vertical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alignment horizontal="left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[$-F800]dddd\,\ mmmm\ dd\,\ yyyy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left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left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65" formatCode="dd/mm/yyyy;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left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left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6.png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17</xdr:col>
      <xdr:colOff>0</xdr:colOff>
      <xdr:row>4</xdr:row>
      <xdr:rowOff>28575</xdr:rowOff>
    </xdr:to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xmlns="" id="{ED8A6ECD-9B49-4589-BEDC-8BB84EC21C46}"/>
            </a:ext>
          </a:extLst>
        </xdr:cNvPr>
        <xdr:cNvSpPr/>
      </xdr:nvSpPr>
      <xdr:spPr>
        <a:xfrm>
          <a:off x="0" y="0"/>
          <a:ext cx="14363700" cy="790575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 editAs="oneCell">
    <xdr:from>
      <xdr:col>0</xdr:col>
      <xdr:colOff>228600</xdr:colOff>
      <xdr:row>0</xdr:row>
      <xdr:rowOff>57150</xdr:rowOff>
    </xdr:from>
    <xdr:to>
      <xdr:col>1</xdr:col>
      <xdr:colOff>590550</xdr:colOff>
      <xdr:row>3</xdr:row>
      <xdr:rowOff>114145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xmlns="" id="{0BE96A62-B0B8-425B-948C-482CBD6A54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57150"/>
          <a:ext cx="1123950" cy="628495"/>
        </a:xfrm>
        <a:prstGeom prst="rect">
          <a:avLst/>
        </a:prstGeom>
      </xdr:spPr>
    </xdr:pic>
    <xdr:clientData/>
  </xdr:twoCellAnchor>
  <xdr:twoCellAnchor>
    <xdr:from>
      <xdr:col>1</xdr:col>
      <xdr:colOff>704850</xdr:colOff>
      <xdr:row>0</xdr:row>
      <xdr:rowOff>104775</xdr:rowOff>
    </xdr:from>
    <xdr:to>
      <xdr:col>8</xdr:col>
      <xdr:colOff>9526</xdr:colOff>
      <xdr:row>3</xdr:row>
      <xdr:rowOff>180975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xmlns="" id="{8845C530-A4C9-4A6E-B8DA-E8EE6F4C0B3E}"/>
            </a:ext>
          </a:extLst>
        </xdr:cNvPr>
        <xdr:cNvSpPr/>
      </xdr:nvSpPr>
      <xdr:spPr>
        <a:xfrm>
          <a:off x="1466850" y="104775"/>
          <a:ext cx="4638676" cy="6477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 b="1">
              <a:solidFill>
                <a:schemeClr val="tx1"/>
              </a:solidFill>
              <a:latin typeface="Century" panose="02040604050505020304" pitchFamily="18" charset="0"/>
            </a:rPr>
            <a:t> INVENTARIO</a:t>
          </a:r>
          <a:r>
            <a:rPr lang="es-MX" sz="1400" b="1" baseline="0">
              <a:solidFill>
                <a:schemeClr val="tx1"/>
              </a:solidFill>
              <a:latin typeface="Century" panose="02040604050505020304" pitchFamily="18" charset="0"/>
            </a:rPr>
            <a:t> </a:t>
          </a:r>
          <a:r>
            <a:rPr lang="es-MX" sz="1400" b="1">
              <a:solidFill>
                <a:schemeClr val="tx1"/>
              </a:solidFill>
              <a:latin typeface="Century" panose="02040604050505020304" pitchFamily="18" charset="0"/>
            </a:rPr>
            <a:t>DESINGLASS</a:t>
          </a:r>
          <a:r>
            <a:rPr lang="es-MX" sz="1400" b="1" baseline="0">
              <a:solidFill>
                <a:schemeClr val="tx1"/>
              </a:solidFill>
              <a:latin typeface="Century" panose="02040604050505020304" pitchFamily="18" charset="0"/>
            </a:rPr>
            <a:t> SMART WINDOWS  </a:t>
          </a:r>
        </a:p>
      </xdr:txBody>
    </xdr:sp>
    <xdr:clientData/>
  </xdr:twoCellAnchor>
  <xdr:twoCellAnchor>
    <xdr:from>
      <xdr:col>13</xdr:col>
      <xdr:colOff>609600</xdr:colOff>
      <xdr:row>8</xdr:row>
      <xdr:rowOff>152400</xdr:rowOff>
    </xdr:from>
    <xdr:to>
      <xdr:col>14</xdr:col>
      <xdr:colOff>1352550</xdr:colOff>
      <xdr:row>10</xdr:row>
      <xdr:rowOff>161925</xdr:rowOff>
    </xdr:to>
    <xdr:sp macro="[0]!mostrarActualizacion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xmlns="" id="{17DC3F05-A163-4DAB-936E-589DF15932A1}"/>
            </a:ext>
          </a:extLst>
        </xdr:cNvPr>
        <xdr:cNvSpPr/>
      </xdr:nvSpPr>
      <xdr:spPr>
        <a:xfrm>
          <a:off x="10801350" y="1676400"/>
          <a:ext cx="1504950" cy="390525"/>
        </a:xfrm>
        <a:prstGeom prst="roundRect">
          <a:avLst>
            <a:gd name="adj" fmla="val 6911"/>
          </a:avLst>
        </a:prstGeom>
        <a:solidFill>
          <a:schemeClr val="accent5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/>
            <a:t>PRODUCTOS</a:t>
          </a:r>
        </a:p>
      </xdr:txBody>
    </xdr:sp>
    <xdr:clientData/>
  </xdr:twoCellAnchor>
  <xdr:twoCellAnchor>
    <xdr:from>
      <xdr:col>13</xdr:col>
      <xdr:colOff>609600</xdr:colOff>
      <xdr:row>12</xdr:row>
      <xdr:rowOff>19050</xdr:rowOff>
    </xdr:from>
    <xdr:to>
      <xdr:col>14</xdr:col>
      <xdr:colOff>1352550</xdr:colOff>
      <xdr:row>14</xdr:row>
      <xdr:rowOff>28575</xdr:rowOff>
    </xdr:to>
    <xdr:sp macro="[0]!mostrarMovimientoss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xmlns="" id="{8A42863A-B37A-4646-9ABA-60A52565970F}"/>
            </a:ext>
          </a:extLst>
        </xdr:cNvPr>
        <xdr:cNvSpPr/>
      </xdr:nvSpPr>
      <xdr:spPr>
        <a:xfrm>
          <a:off x="10801350" y="2305050"/>
          <a:ext cx="1504950" cy="390525"/>
        </a:xfrm>
        <a:prstGeom prst="roundRect">
          <a:avLst>
            <a:gd name="adj" fmla="val 6911"/>
          </a:avLst>
        </a:prstGeom>
        <a:solidFill>
          <a:schemeClr val="accent5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/>
            <a:t>MOVIMIENTOS</a:t>
          </a:r>
        </a:p>
      </xdr:txBody>
    </xdr:sp>
    <xdr:clientData/>
  </xdr:twoCellAnchor>
  <xdr:twoCellAnchor>
    <xdr:from>
      <xdr:col>13</xdr:col>
      <xdr:colOff>609600</xdr:colOff>
      <xdr:row>15</xdr:row>
      <xdr:rowOff>95250</xdr:rowOff>
    </xdr:from>
    <xdr:to>
      <xdr:col>14</xdr:col>
      <xdr:colOff>1352550</xdr:colOff>
      <xdr:row>17</xdr:row>
      <xdr:rowOff>104775</xdr:rowOff>
    </xdr:to>
    <xdr:sp macro="[0]!mostrarContrasena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xmlns="" id="{2D05C593-F586-4839-A32E-24A7DA062448}"/>
            </a:ext>
          </a:extLst>
        </xdr:cNvPr>
        <xdr:cNvSpPr/>
      </xdr:nvSpPr>
      <xdr:spPr>
        <a:xfrm>
          <a:off x="10801350" y="2952750"/>
          <a:ext cx="1504950" cy="390525"/>
        </a:xfrm>
        <a:prstGeom prst="roundRect">
          <a:avLst>
            <a:gd name="adj" fmla="val 6911"/>
          </a:avLst>
        </a:prstGeom>
        <a:solidFill>
          <a:schemeClr val="accent5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AJUSTE DE INVENARIO</a:t>
          </a:r>
        </a:p>
      </xdr:txBody>
    </xdr:sp>
    <xdr:clientData/>
  </xdr:twoCellAnchor>
  <xdr:twoCellAnchor>
    <xdr:from>
      <xdr:col>13</xdr:col>
      <xdr:colOff>619125</xdr:colOff>
      <xdr:row>18</xdr:row>
      <xdr:rowOff>152400</xdr:rowOff>
    </xdr:from>
    <xdr:to>
      <xdr:col>14</xdr:col>
      <xdr:colOff>1362075</xdr:colOff>
      <xdr:row>20</xdr:row>
      <xdr:rowOff>142875</xdr:rowOff>
    </xdr:to>
    <xdr:sp macro="[0]!mostrarProveedores" textlink="">
      <xdr:nvSpPr>
        <xdr:cNvPr id="12" name="Rectángulo: esquinas redondeadas 11">
          <a:extLst>
            <a:ext uri="{FF2B5EF4-FFF2-40B4-BE49-F238E27FC236}">
              <a16:creationId xmlns:a16="http://schemas.microsoft.com/office/drawing/2014/main" xmlns="" id="{57D4CBFF-F195-4751-A307-1E94C2B3F564}"/>
            </a:ext>
          </a:extLst>
        </xdr:cNvPr>
        <xdr:cNvSpPr/>
      </xdr:nvSpPr>
      <xdr:spPr>
        <a:xfrm>
          <a:off x="10810875" y="3581400"/>
          <a:ext cx="1504950" cy="390525"/>
        </a:xfrm>
        <a:prstGeom prst="roundRect">
          <a:avLst>
            <a:gd name="adj" fmla="val 6911"/>
          </a:avLst>
        </a:prstGeom>
        <a:solidFill>
          <a:schemeClr val="accent5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/>
            <a:t>PROVEEDORES</a:t>
          </a:r>
        </a:p>
      </xdr:txBody>
    </xdr:sp>
    <xdr:clientData/>
  </xdr:twoCellAnchor>
  <xdr:twoCellAnchor>
    <xdr:from>
      <xdr:col>1</xdr:col>
      <xdr:colOff>152400</xdr:colOff>
      <xdr:row>5</xdr:row>
      <xdr:rowOff>57150</xdr:rowOff>
    </xdr:from>
    <xdr:to>
      <xdr:col>5</xdr:col>
      <xdr:colOff>164400</xdr:colOff>
      <xdr:row>20</xdr:row>
      <xdr:rowOff>240600</xdr:rowOff>
    </xdr:to>
    <xdr:sp macro="" textlink="">
      <xdr:nvSpPr>
        <xdr:cNvPr id="16" name="foto">
          <a:extLst>
            <a:ext uri="{FF2B5EF4-FFF2-40B4-BE49-F238E27FC236}">
              <a16:creationId xmlns:a16="http://schemas.microsoft.com/office/drawing/2014/main" xmlns="" id="{28965BC4-8D6D-4B4C-AEFD-29F97F41E964}"/>
            </a:ext>
          </a:extLst>
        </xdr:cNvPr>
        <xdr:cNvSpPr/>
      </xdr:nvSpPr>
      <xdr:spPr>
        <a:xfrm>
          <a:off x="914400" y="1009650"/>
          <a:ext cx="3060000" cy="3060000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>
          <a:solidFill>
            <a:schemeClr val="bg1">
              <a:lumMod val="75000"/>
            </a:schemeClr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100"/>
            <a:t> </a:t>
          </a:r>
        </a:p>
      </xdr:txBody>
    </xdr:sp>
    <xdr:clientData/>
  </xdr:twoCellAnchor>
  <xdr:twoCellAnchor>
    <xdr:from>
      <xdr:col>8</xdr:col>
      <xdr:colOff>1190625</xdr:colOff>
      <xdr:row>1</xdr:row>
      <xdr:rowOff>9525</xdr:rowOff>
    </xdr:from>
    <xdr:to>
      <xdr:col>11</xdr:col>
      <xdr:colOff>619125</xdr:colOff>
      <xdr:row>2</xdr:row>
      <xdr:rowOff>20625</xdr:rowOff>
    </xdr:to>
    <xdr:sp macro="[0]!MostrarEntradas" textlink="">
      <xdr:nvSpPr>
        <xdr:cNvPr id="13" name="Rectángulo: esquinas redondeadas 12">
          <a:extLst>
            <a:ext uri="{FF2B5EF4-FFF2-40B4-BE49-F238E27FC236}">
              <a16:creationId xmlns:a16="http://schemas.microsoft.com/office/drawing/2014/main" xmlns="" id="{613A63B6-0675-4B1C-B868-F43B099955FE}"/>
            </a:ext>
          </a:extLst>
        </xdr:cNvPr>
        <xdr:cNvSpPr/>
      </xdr:nvSpPr>
      <xdr:spPr>
        <a:xfrm>
          <a:off x="7286625" y="200025"/>
          <a:ext cx="1504950" cy="201600"/>
        </a:xfrm>
        <a:prstGeom prst="roundRect">
          <a:avLst>
            <a:gd name="adj" fmla="val 6911"/>
          </a:avLst>
        </a:prstGeom>
        <a:solidFill>
          <a:schemeClr val="accent5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/>
            <a:t>ENTRADAS</a:t>
          </a:r>
        </a:p>
      </xdr:txBody>
    </xdr:sp>
    <xdr:clientData/>
  </xdr:twoCellAnchor>
  <xdr:twoCellAnchor>
    <xdr:from>
      <xdr:col>12</xdr:col>
      <xdr:colOff>85725</xdr:colOff>
      <xdr:row>1</xdr:row>
      <xdr:rowOff>57150</xdr:rowOff>
    </xdr:from>
    <xdr:to>
      <xdr:col>13</xdr:col>
      <xdr:colOff>333375</xdr:colOff>
      <xdr:row>3</xdr:row>
      <xdr:rowOff>66675</xdr:rowOff>
    </xdr:to>
    <xdr:sp macro="[0]!MosrtarContrasena2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xmlns="" id="{460B142B-222F-4A90-9E4E-97A749579E96}"/>
            </a:ext>
          </a:extLst>
        </xdr:cNvPr>
        <xdr:cNvSpPr/>
      </xdr:nvSpPr>
      <xdr:spPr>
        <a:xfrm>
          <a:off x="9020175" y="247650"/>
          <a:ext cx="1504950" cy="390525"/>
        </a:xfrm>
        <a:prstGeom prst="roundRect">
          <a:avLst>
            <a:gd name="adj" fmla="val 6911"/>
          </a:avLst>
        </a:prstGeom>
        <a:solidFill>
          <a:schemeClr val="accent5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/>
            <a:t>INGRESOS</a:t>
          </a:r>
        </a:p>
      </xdr:txBody>
    </xdr:sp>
    <xdr:clientData/>
  </xdr:twoCellAnchor>
  <xdr:twoCellAnchor>
    <xdr:from>
      <xdr:col>13</xdr:col>
      <xdr:colOff>600075</xdr:colOff>
      <xdr:row>1</xdr:row>
      <xdr:rowOff>66675</xdr:rowOff>
    </xdr:from>
    <xdr:to>
      <xdr:col>14</xdr:col>
      <xdr:colOff>1343025</xdr:colOff>
      <xdr:row>3</xdr:row>
      <xdr:rowOff>76200</xdr:rowOff>
    </xdr:to>
    <xdr:sp macro="[0]!LS.MostrarLS" textlink="">
      <xdr:nvSpPr>
        <xdr:cNvPr id="15" name="Rectángulo: esquinas redondeadas 14">
          <a:extLst>
            <a:ext uri="{FF2B5EF4-FFF2-40B4-BE49-F238E27FC236}">
              <a16:creationId xmlns:a16="http://schemas.microsoft.com/office/drawing/2014/main" xmlns="" id="{3747C274-2381-4E64-A0F3-44592157038C}"/>
            </a:ext>
          </a:extLst>
        </xdr:cNvPr>
        <xdr:cNvSpPr/>
      </xdr:nvSpPr>
      <xdr:spPr>
        <a:xfrm>
          <a:off x="10791825" y="257175"/>
          <a:ext cx="1504950" cy="390525"/>
        </a:xfrm>
        <a:prstGeom prst="roundRect">
          <a:avLst>
            <a:gd name="adj" fmla="val 6911"/>
          </a:avLst>
        </a:prstGeom>
        <a:solidFill>
          <a:schemeClr val="accent5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/>
            <a:t>LISTA DE SALIDA</a:t>
          </a:r>
        </a:p>
      </xdr:txBody>
    </xdr:sp>
    <xdr:clientData/>
  </xdr:twoCellAnchor>
  <xdr:twoCellAnchor>
    <xdr:from>
      <xdr:col>13</xdr:col>
      <xdr:colOff>628650</xdr:colOff>
      <xdr:row>4</xdr:row>
      <xdr:rowOff>161926</xdr:rowOff>
    </xdr:from>
    <xdr:to>
      <xdr:col>14</xdr:col>
      <xdr:colOff>1343025</xdr:colOff>
      <xdr:row>5</xdr:row>
      <xdr:rowOff>171450</xdr:rowOff>
    </xdr:to>
    <xdr:sp macro="[0]!ingresos.HojaInventario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xmlns="" id="{56B1BC68-E034-42F2-8223-0EA8B48595BE}"/>
            </a:ext>
          </a:extLst>
        </xdr:cNvPr>
        <xdr:cNvSpPr/>
      </xdr:nvSpPr>
      <xdr:spPr>
        <a:xfrm>
          <a:off x="10820400" y="923926"/>
          <a:ext cx="1476375" cy="200024"/>
        </a:xfrm>
        <a:prstGeom prst="roundRect">
          <a:avLst>
            <a:gd name="adj" fmla="val 6911"/>
          </a:avLst>
        </a:prstGeom>
        <a:solidFill>
          <a:schemeClr val="accent5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000"/>
            <a:t>HOJA</a:t>
          </a:r>
          <a:r>
            <a:rPr lang="es-MX" sz="1000" baseline="0"/>
            <a:t> P/INVENTARIO</a:t>
          </a:r>
          <a:endParaRPr lang="es-MX" sz="1000"/>
        </a:p>
      </xdr:txBody>
    </xdr:sp>
    <xdr:clientData/>
  </xdr:twoCellAnchor>
  <xdr:twoCellAnchor>
    <xdr:from>
      <xdr:col>13</xdr:col>
      <xdr:colOff>628650</xdr:colOff>
      <xdr:row>6</xdr:row>
      <xdr:rowOff>57151</xdr:rowOff>
    </xdr:from>
    <xdr:to>
      <xdr:col>14</xdr:col>
      <xdr:colOff>1343025</xdr:colOff>
      <xdr:row>7</xdr:row>
      <xdr:rowOff>66675</xdr:rowOff>
    </xdr:to>
    <xdr:sp macro="[0]!movimientos.crearreporte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xmlns="" id="{22501AE3-2E4E-4EA9-92D2-0E539184DF31}"/>
            </a:ext>
          </a:extLst>
        </xdr:cNvPr>
        <xdr:cNvSpPr/>
      </xdr:nvSpPr>
      <xdr:spPr>
        <a:xfrm>
          <a:off x="10820400" y="1200151"/>
          <a:ext cx="1476375" cy="200024"/>
        </a:xfrm>
        <a:prstGeom prst="roundRect">
          <a:avLst>
            <a:gd name="adj" fmla="val 6911"/>
          </a:avLst>
        </a:prstGeom>
        <a:solidFill>
          <a:schemeClr val="accent5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000"/>
            <a:t>REPORTE</a:t>
          </a:r>
        </a:p>
      </xdr:txBody>
    </xdr:sp>
    <xdr:clientData/>
  </xdr:twoCellAnchor>
  <xdr:twoCellAnchor>
    <xdr:from>
      <xdr:col>8</xdr:col>
      <xdr:colOff>1190625</xdr:colOff>
      <xdr:row>2</xdr:row>
      <xdr:rowOff>104775</xdr:rowOff>
    </xdr:from>
    <xdr:to>
      <xdr:col>11</xdr:col>
      <xdr:colOff>619125</xdr:colOff>
      <xdr:row>3</xdr:row>
      <xdr:rowOff>115875</xdr:rowOff>
    </xdr:to>
    <xdr:sp macro="[0]!MostrarSalidas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xmlns="" id="{CD2E5A94-EB4D-4288-B08E-BF9AC6A7C39C}"/>
            </a:ext>
          </a:extLst>
        </xdr:cNvPr>
        <xdr:cNvSpPr/>
      </xdr:nvSpPr>
      <xdr:spPr>
        <a:xfrm>
          <a:off x="7286625" y="485775"/>
          <a:ext cx="1504950" cy="201600"/>
        </a:xfrm>
        <a:prstGeom prst="roundRect">
          <a:avLst>
            <a:gd name="adj" fmla="val 6911"/>
          </a:avLst>
        </a:prstGeom>
        <a:solidFill>
          <a:schemeClr val="accent5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/>
            <a:t>SALIDAS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190500</xdr:colOff>
      <xdr:row>0</xdr:row>
      <xdr:rowOff>0</xdr:rowOff>
    </xdr:from>
    <xdr:to>
      <xdr:col>4</xdr:col>
      <xdr:colOff>495300</xdr:colOff>
      <xdr:row>5</xdr:row>
      <xdr:rowOff>64807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xmlns="" id="{2FE2354E-600C-B9DC-D12A-B1EA48F781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0800" y="0"/>
          <a:ext cx="1819275" cy="1017307"/>
        </a:xfrm>
        <a:prstGeom prst="rect">
          <a:avLst/>
        </a:prstGeom>
      </xdr:spPr>
    </xdr:pic>
    <xdr:clientData/>
  </xdr:twoCellAnchor>
  <xdr:twoCellAnchor>
    <xdr:from>
      <xdr:col>0</xdr:col>
      <xdr:colOff>381000</xdr:colOff>
      <xdr:row>44</xdr:row>
      <xdr:rowOff>0</xdr:rowOff>
    </xdr:from>
    <xdr:to>
      <xdr:col>7</xdr:col>
      <xdr:colOff>424818</xdr:colOff>
      <xdr:row>46</xdr:row>
      <xdr:rowOff>43180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xmlns="" id="{61A2E012-D742-2C84-3735-245C8C0544AA}"/>
            </a:ext>
          </a:extLst>
        </xdr:cNvPr>
        <xdr:cNvGrpSpPr/>
      </xdr:nvGrpSpPr>
      <xdr:grpSpPr>
        <a:xfrm>
          <a:off x="381000" y="8429625"/>
          <a:ext cx="6273168" cy="424180"/>
          <a:chOff x="0" y="0"/>
          <a:chExt cx="6273317" cy="424739"/>
        </a:xfrm>
      </xdr:grpSpPr>
      <xdr:sp macro="" textlink="">
        <xdr:nvSpPr>
          <xdr:cNvPr id="5" name="Cuadro de texto 2">
            <a:extLst>
              <a:ext uri="{FF2B5EF4-FFF2-40B4-BE49-F238E27FC236}">
                <a16:creationId xmlns:a16="http://schemas.microsoft.com/office/drawing/2014/main" xmlns="" id="{47944421-59B1-7E1A-7C74-069D865A0B5D}"/>
              </a:ext>
            </a:extLst>
          </xdr:cNvPr>
          <xdr:cNvSpPr txBox="1"/>
        </xdr:nvSpPr>
        <xdr:spPr>
          <a:xfrm>
            <a:off x="0" y="138989"/>
            <a:ext cx="1247775" cy="285750"/>
          </a:xfrm>
          <a:prstGeom prst="rect">
            <a:avLst/>
          </a:prstGeom>
          <a:noFill/>
          <a:ln w="6350">
            <a:noFill/>
          </a:ln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ctr">
              <a:lnSpc>
                <a:spcPct val="115000"/>
              </a:lnSpc>
              <a:spcAft>
                <a:spcPts val="800"/>
              </a:spcAft>
            </a:pPr>
            <a:r>
              <a:rPr lang="es-MX" sz="1200">
                <a:effectLst/>
                <a:latin typeface="Arial" panose="020B0604020202020204" pitchFamily="34" charset="0"/>
                <a:ea typeface="Calibri" panose="020F0502020204030204" pitchFamily="34" charset="0"/>
              </a:rPr>
              <a:t>ALMACEN</a:t>
            </a:r>
          </a:p>
        </xdr:txBody>
      </xdr:sp>
      <xdr:sp macro="" textlink="">
        <xdr:nvSpPr>
          <xdr:cNvPr id="6" name="Cuadro de texto 3">
            <a:extLst>
              <a:ext uri="{FF2B5EF4-FFF2-40B4-BE49-F238E27FC236}">
                <a16:creationId xmlns:a16="http://schemas.microsoft.com/office/drawing/2014/main" xmlns="" id="{0C1EDFC4-C283-32C1-0721-34578361F13A}"/>
              </a:ext>
            </a:extLst>
          </xdr:cNvPr>
          <xdr:cNvSpPr txBox="1"/>
        </xdr:nvSpPr>
        <xdr:spPr>
          <a:xfrm>
            <a:off x="1719072" y="138989"/>
            <a:ext cx="1247775" cy="285750"/>
          </a:xfrm>
          <a:prstGeom prst="rect">
            <a:avLst/>
          </a:prstGeom>
          <a:noFill/>
          <a:ln w="6350">
            <a:noFill/>
          </a:ln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ctr">
              <a:lnSpc>
                <a:spcPct val="115000"/>
              </a:lnSpc>
              <a:spcAft>
                <a:spcPts val="800"/>
              </a:spcAft>
            </a:pPr>
            <a:r>
              <a:rPr lang="es-MX" sz="1200">
                <a:effectLst/>
                <a:latin typeface="Arial" panose="020B0604020202020204" pitchFamily="34" charset="0"/>
                <a:ea typeface="Calibri" panose="020F0502020204030204" pitchFamily="34" charset="0"/>
              </a:rPr>
              <a:t>ENTREGA</a:t>
            </a:r>
          </a:p>
        </xdr:txBody>
      </xdr:sp>
      <xdr:sp macro="" textlink="">
        <xdr:nvSpPr>
          <xdr:cNvPr id="7" name="Cuadro de texto 4">
            <a:extLst>
              <a:ext uri="{FF2B5EF4-FFF2-40B4-BE49-F238E27FC236}">
                <a16:creationId xmlns:a16="http://schemas.microsoft.com/office/drawing/2014/main" xmlns="" id="{CBCD59CF-9DBB-48E9-B7DA-5162E413D115}"/>
              </a:ext>
            </a:extLst>
          </xdr:cNvPr>
          <xdr:cNvSpPr txBox="1"/>
        </xdr:nvSpPr>
        <xdr:spPr>
          <a:xfrm>
            <a:off x="3452774" y="138989"/>
            <a:ext cx="1247775" cy="285750"/>
          </a:xfrm>
          <a:prstGeom prst="rect">
            <a:avLst/>
          </a:prstGeom>
          <a:noFill/>
          <a:ln w="6350">
            <a:noFill/>
          </a:ln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ctr">
              <a:lnSpc>
                <a:spcPct val="115000"/>
              </a:lnSpc>
              <a:spcAft>
                <a:spcPts val="800"/>
              </a:spcAft>
            </a:pPr>
            <a:r>
              <a:rPr lang="es-MX" sz="1200">
                <a:effectLst/>
                <a:latin typeface="Arial" panose="020B0604020202020204" pitchFamily="34" charset="0"/>
                <a:ea typeface="Calibri" panose="020F0502020204030204" pitchFamily="34" charset="0"/>
              </a:rPr>
              <a:t>CHOFER</a:t>
            </a:r>
          </a:p>
        </xdr:txBody>
      </xdr:sp>
      <xdr:sp macro="" textlink="">
        <xdr:nvSpPr>
          <xdr:cNvPr id="8" name="Cuadro de texto 5">
            <a:extLst>
              <a:ext uri="{FF2B5EF4-FFF2-40B4-BE49-F238E27FC236}">
                <a16:creationId xmlns:a16="http://schemas.microsoft.com/office/drawing/2014/main" xmlns="" id="{449CF710-349F-88CB-B1D6-5EABB8B15C2D}"/>
              </a:ext>
            </a:extLst>
          </xdr:cNvPr>
          <xdr:cNvSpPr txBox="1"/>
        </xdr:nvSpPr>
        <xdr:spPr>
          <a:xfrm>
            <a:off x="5025542" y="138989"/>
            <a:ext cx="1247775" cy="285750"/>
          </a:xfrm>
          <a:prstGeom prst="rect">
            <a:avLst/>
          </a:prstGeom>
          <a:noFill/>
          <a:ln w="6350">
            <a:noFill/>
          </a:ln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ctr">
              <a:lnSpc>
                <a:spcPct val="115000"/>
              </a:lnSpc>
              <a:spcAft>
                <a:spcPts val="800"/>
              </a:spcAft>
            </a:pPr>
            <a:r>
              <a:rPr lang="es-MX" sz="1200">
                <a:effectLst/>
                <a:latin typeface="Arial" panose="020B0604020202020204" pitchFamily="34" charset="0"/>
                <a:ea typeface="Calibri" panose="020F0502020204030204" pitchFamily="34" charset="0"/>
              </a:rPr>
              <a:t>RECIBE</a:t>
            </a:r>
          </a:p>
        </xdr:txBody>
      </xdr:sp>
      <xdr:cxnSp macro="">
        <xdr:nvCxnSpPr>
          <xdr:cNvPr id="9" name="Conector recto 8">
            <a:extLst>
              <a:ext uri="{FF2B5EF4-FFF2-40B4-BE49-F238E27FC236}">
                <a16:creationId xmlns:a16="http://schemas.microsoft.com/office/drawing/2014/main" xmlns="" id="{12FF8A08-8BAD-BD4A-C872-BF1B2E9A2F9B}"/>
              </a:ext>
            </a:extLst>
          </xdr:cNvPr>
          <xdr:cNvCxnSpPr/>
        </xdr:nvCxnSpPr>
        <xdr:spPr>
          <a:xfrm>
            <a:off x="36576" y="0"/>
            <a:ext cx="1172210" cy="0"/>
          </a:xfrm>
          <a:prstGeom prst="line">
            <a:avLst/>
          </a:prstGeom>
          <a:ln w="127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" name="Conector recto 9">
            <a:extLst>
              <a:ext uri="{FF2B5EF4-FFF2-40B4-BE49-F238E27FC236}">
                <a16:creationId xmlns:a16="http://schemas.microsoft.com/office/drawing/2014/main" xmlns="" id="{57FB2DB0-7CB9-55BD-452D-090F0777B0E2}"/>
              </a:ext>
            </a:extLst>
          </xdr:cNvPr>
          <xdr:cNvCxnSpPr/>
        </xdr:nvCxnSpPr>
        <xdr:spPr>
          <a:xfrm>
            <a:off x="1755648" y="7316"/>
            <a:ext cx="1172210" cy="0"/>
          </a:xfrm>
          <a:prstGeom prst="line">
            <a:avLst/>
          </a:prstGeom>
          <a:ln w="127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" name="Conector recto 10">
            <a:extLst>
              <a:ext uri="{FF2B5EF4-FFF2-40B4-BE49-F238E27FC236}">
                <a16:creationId xmlns:a16="http://schemas.microsoft.com/office/drawing/2014/main" xmlns="" id="{50BBB1D4-A7D5-8C48-A451-D97EF8DB6F1B}"/>
              </a:ext>
            </a:extLst>
          </xdr:cNvPr>
          <xdr:cNvCxnSpPr/>
        </xdr:nvCxnSpPr>
        <xdr:spPr>
          <a:xfrm>
            <a:off x="3496666" y="14631"/>
            <a:ext cx="1172451" cy="0"/>
          </a:xfrm>
          <a:prstGeom prst="line">
            <a:avLst/>
          </a:prstGeom>
          <a:ln w="127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" name="Conector recto 11">
            <a:extLst>
              <a:ext uri="{FF2B5EF4-FFF2-40B4-BE49-F238E27FC236}">
                <a16:creationId xmlns:a16="http://schemas.microsoft.com/office/drawing/2014/main" xmlns="" id="{B9BB4F59-772F-5CA2-C452-3DE92C688573}"/>
              </a:ext>
            </a:extLst>
          </xdr:cNvPr>
          <xdr:cNvCxnSpPr/>
        </xdr:nvCxnSpPr>
        <xdr:spPr>
          <a:xfrm>
            <a:off x="5025542" y="21946"/>
            <a:ext cx="1172451" cy="0"/>
          </a:xfrm>
          <a:prstGeom prst="line">
            <a:avLst/>
          </a:prstGeom>
          <a:ln w="127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6</xdr:col>
      <xdr:colOff>228600</xdr:colOff>
      <xdr:row>48</xdr:row>
      <xdr:rowOff>9525</xdr:rowOff>
    </xdr:from>
    <xdr:to>
      <xdr:col>7</xdr:col>
      <xdr:colOff>728345</xdr:colOff>
      <xdr:row>49</xdr:row>
      <xdr:rowOff>147320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xmlns="" id="{E1EB5D78-A510-5952-0168-DC31E47FC5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34050" y="9201150"/>
          <a:ext cx="1223645" cy="32829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190500</xdr:colOff>
      <xdr:row>0</xdr:row>
      <xdr:rowOff>0</xdr:rowOff>
    </xdr:from>
    <xdr:to>
      <xdr:col>4</xdr:col>
      <xdr:colOff>495300</xdr:colOff>
      <xdr:row>5</xdr:row>
      <xdr:rowOff>64807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xmlns="" id="{72427F81-D873-4BEB-9EAF-49A6D978C7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62225" y="0"/>
          <a:ext cx="1828800" cy="1017307"/>
        </a:xfrm>
        <a:prstGeom prst="rect">
          <a:avLst/>
        </a:prstGeom>
      </xdr:spPr>
    </xdr:pic>
    <xdr:clientData/>
  </xdr:twoCellAnchor>
  <xdr:twoCellAnchor>
    <xdr:from>
      <xdr:col>0</xdr:col>
      <xdr:colOff>381000</xdr:colOff>
      <xdr:row>44</xdr:row>
      <xdr:rowOff>0</xdr:rowOff>
    </xdr:from>
    <xdr:to>
      <xdr:col>7</xdr:col>
      <xdr:colOff>424818</xdr:colOff>
      <xdr:row>46</xdr:row>
      <xdr:rowOff>43180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xmlns="" id="{310350E0-21CA-4A8A-B1C3-69A28DAA6223}"/>
            </a:ext>
          </a:extLst>
        </xdr:cNvPr>
        <xdr:cNvGrpSpPr/>
      </xdr:nvGrpSpPr>
      <xdr:grpSpPr>
        <a:xfrm>
          <a:off x="381000" y="8429625"/>
          <a:ext cx="6273168" cy="424180"/>
          <a:chOff x="0" y="0"/>
          <a:chExt cx="6273317" cy="424739"/>
        </a:xfrm>
      </xdr:grpSpPr>
      <xdr:sp macro="" textlink="">
        <xdr:nvSpPr>
          <xdr:cNvPr id="4" name="Cuadro de texto 2">
            <a:extLst>
              <a:ext uri="{FF2B5EF4-FFF2-40B4-BE49-F238E27FC236}">
                <a16:creationId xmlns:a16="http://schemas.microsoft.com/office/drawing/2014/main" xmlns="" id="{5829DA3C-C75F-CC8F-6BB3-57008C883553}"/>
              </a:ext>
            </a:extLst>
          </xdr:cNvPr>
          <xdr:cNvSpPr txBox="1"/>
        </xdr:nvSpPr>
        <xdr:spPr>
          <a:xfrm>
            <a:off x="0" y="138989"/>
            <a:ext cx="1247775" cy="285750"/>
          </a:xfrm>
          <a:prstGeom prst="rect">
            <a:avLst/>
          </a:prstGeom>
          <a:noFill/>
          <a:ln w="6350">
            <a:noFill/>
          </a:ln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ctr">
              <a:lnSpc>
                <a:spcPct val="115000"/>
              </a:lnSpc>
              <a:spcAft>
                <a:spcPts val="800"/>
              </a:spcAft>
            </a:pPr>
            <a:r>
              <a:rPr lang="es-MX" sz="1200">
                <a:effectLst/>
                <a:latin typeface="Arial" panose="020B0604020202020204" pitchFamily="34" charset="0"/>
                <a:ea typeface="Calibri" panose="020F0502020204030204" pitchFamily="34" charset="0"/>
              </a:rPr>
              <a:t>ALMACEN</a:t>
            </a:r>
          </a:p>
        </xdr:txBody>
      </xdr:sp>
      <xdr:sp macro="" textlink="">
        <xdr:nvSpPr>
          <xdr:cNvPr id="5" name="Cuadro de texto 3">
            <a:extLst>
              <a:ext uri="{FF2B5EF4-FFF2-40B4-BE49-F238E27FC236}">
                <a16:creationId xmlns:a16="http://schemas.microsoft.com/office/drawing/2014/main" xmlns="" id="{ACCDDE5F-8EA0-BBA0-214E-3BFA142297FC}"/>
              </a:ext>
            </a:extLst>
          </xdr:cNvPr>
          <xdr:cNvSpPr txBox="1"/>
        </xdr:nvSpPr>
        <xdr:spPr>
          <a:xfrm>
            <a:off x="1719072" y="138989"/>
            <a:ext cx="1247775" cy="285750"/>
          </a:xfrm>
          <a:prstGeom prst="rect">
            <a:avLst/>
          </a:prstGeom>
          <a:noFill/>
          <a:ln w="6350">
            <a:noFill/>
          </a:ln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ctr">
              <a:lnSpc>
                <a:spcPct val="115000"/>
              </a:lnSpc>
              <a:spcAft>
                <a:spcPts val="800"/>
              </a:spcAft>
            </a:pPr>
            <a:r>
              <a:rPr lang="es-MX" sz="1200">
                <a:effectLst/>
                <a:latin typeface="Arial" panose="020B0604020202020204" pitchFamily="34" charset="0"/>
                <a:ea typeface="Calibri" panose="020F0502020204030204" pitchFamily="34" charset="0"/>
              </a:rPr>
              <a:t>ENTREGA</a:t>
            </a:r>
          </a:p>
        </xdr:txBody>
      </xdr:sp>
      <xdr:sp macro="" textlink="">
        <xdr:nvSpPr>
          <xdr:cNvPr id="6" name="Cuadro de texto 4">
            <a:extLst>
              <a:ext uri="{FF2B5EF4-FFF2-40B4-BE49-F238E27FC236}">
                <a16:creationId xmlns:a16="http://schemas.microsoft.com/office/drawing/2014/main" xmlns="" id="{8A9CBE76-D0DB-2A0D-5A75-9600F96F45B0}"/>
              </a:ext>
            </a:extLst>
          </xdr:cNvPr>
          <xdr:cNvSpPr txBox="1"/>
        </xdr:nvSpPr>
        <xdr:spPr>
          <a:xfrm>
            <a:off x="3452774" y="138989"/>
            <a:ext cx="1247775" cy="285750"/>
          </a:xfrm>
          <a:prstGeom prst="rect">
            <a:avLst/>
          </a:prstGeom>
          <a:noFill/>
          <a:ln w="6350">
            <a:noFill/>
          </a:ln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ctr">
              <a:lnSpc>
                <a:spcPct val="115000"/>
              </a:lnSpc>
              <a:spcAft>
                <a:spcPts val="800"/>
              </a:spcAft>
            </a:pPr>
            <a:r>
              <a:rPr lang="es-MX" sz="1200">
                <a:effectLst/>
                <a:latin typeface="Arial" panose="020B0604020202020204" pitchFamily="34" charset="0"/>
                <a:ea typeface="Calibri" panose="020F0502020204030204" pitchFamily="34" charset="0"/>
              </a:rPr>
              <a:t>CHOFER</a:t>
            </a:r>
          </a:p>
        </xdr:txBody>
      </xdr:sp>
      <xdr:sp macro="" textlink="">
        <xdr:nvSpPr>
          <xdr:cNvPr id="7" name="Cuadro de texto 5">
            <a:extLst>
              <a:ext uri="{FF2B5EF4-FFF2-40B4-BE49-F238E27FC236}">
                <a16:creationId xmlns:a16="http://schemas.microsoft.com/office/drawing/2014/main" xmlns="" id="{90889C0B-6132-E72B-E4A4-CBF499723070}"/>
              </a:ext>
            </a:extLst>
          </xdr:cNvPr>
          <xdr:cNvSpPr txBox="1"/>
        </xdr:nvSpPr>
        <xdr:spPr>
          <a:xfrm>
            <a:off x="5025542" y="138989"/>
            <a:ext cx="1247775" cy="285750"/>
          </a:xfrm>
          <a:prstGeom prst="rect">
            <a:avLst/>
          </a:prstGeom>
          <a:noFill/>
          <a:ln w="6350">
            <a:noFill/>
          </a:ln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ctr">
              <a:lnSpc>
                <a:spcPct val="115000"/>
              </a:lnSpc>
              <a:spcAft>
                <a:spcPts val="800"/>
              </a:spcAft>
            </a:pPr>
            <a:r>
              <a:rPr lang="es-MX" sz="1200">
                <a:effectLst/>
                <a:latin typeface="Arial" panose="020B0604020202020204" pitchFamily="34" charset="0"/>
                <a:ea typeface="Calibri" panose="020F0502020204030204" pitchFamily="34" charset="0"/>
              </a:rPr>
              <a:t>RECIBE</a:t>
            </a:r>
          </a:p>
        </xdr:txBody>
      </xdr:sp>
      <xdr:cxnSp macro="">
        <xdr:nvCxnSpPr>
          <xdr:cNvPr id="8" name="Conector recto 7">
            <a:extLst>
              <a:ext uri="{FF2B5EF4-FFF2-40B4-BE49-F238E27FC236}">
                <a16:creationId xmlns:a16="http://schemas.microsoft.com/office/drawing/2014/main" xmlns="" id="{9DFB77D8-2D9F-DF18-C432-857EE4E83730}"/>
              </a:ext>
            </a:extLst>
          </xdr:cNvPr>
          <xdr:cNvCxnSpPr/>
        </xdr:nvCxnSpPr>
        <xdr:spPr>
          <a:xfrm>
            <a:off x="36576" y="0"/>
            <a:ext cx="1172210" cy="0"/>
          </a:xfrm>
          <a:prstGeom prst="line">
            <a:avLst/>
          </a:prstGeom>
          <a:ln w="127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ector recto 8">
            <a:extLst>
              <a:ext uri="{FF2B5EF4-FFF2-40B4-BE49-F238E27FC236}">
                <a16:creationId xmlns:a16="http://schemas.microsoft.com/office/drawing/2014/main" xmlns="" id="{8A2629B1-7536-855D-FC22-FF765CD6DB45}"/>
              </a:ext>
            </a:extLst>
          </xdr:cNvPr>
          <xdr:cNvCxnSpPr/>
        </xdr:nvCxnSpPr>
        <xdr:spPr>
          <a:xfrm>
            <a:off x="1755648" y="7316"/>
            <a:ext cx="1172210" cy="0"/>
          </a:xfrm>
          <a:prstGeom prst="line">
            <a:avLst/>
          </a:prstGeom>
          <a:ln w="127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" name="Conector recto 9">
            <a:extLst>
              <a:ext uri="{FF2B5EF4-FFF2-40B4-BE49-F238E27FC236}">
                <a16:creationId xmlns:a16="http://schemas.microsoft.com/office/drawing/2014/main" xmlns="" id="{4600773E-FD04-8FCA-F3C1-CA018F4C89BE}"/>
              </a:ext>
            </a:extLst>
          </xdr:cNvPr>
          <xdr:cNvCxnSpPr/>
        </xdr:nvCxnSpPr>
        <xdr:spPr>
          <a:xfrm>
            <a:off x="3496666" y="14631"/>
            <a:ext cx="1172451" cy="0"/>
          </a:xfrm>
          <a:prstGeom prst="line">
            <a:avLst/>
          </a:prstGeom>
          <a:ln w="127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" name="Conector recto 10">
            <a:extLst>
              <a:ext uri="{FF2B5EF4-FFF2-40B4-BE49-F238E27FC236}">
                <a16:creationId xmlns:a16="http://schemas.microsoft.com/office/drawing/2014/main" xmlns="" id="{A29DC913-001F-2585-8DD0-B4AEEEA7B042}"/>
              </a:ext>
            </a:extLst>
          </xdr:cNvPr>
          <xdr:cNvCxnSpPr/>
        </xdr:nvCxnSpPr>
        <xdr:spPr>
          <a:xfrm>
            <a:off x="5025542" y="21946"/>
            <a:ext cx="1172451" cy="0"/>
          </a:xfrm>
          <a:prstGeom prst="line">
            <a:avLst/>
          </a:prstGeom>
          <a:ln w="127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6</xdr:col>
      <xdr:colOff>228600</xdr:colOff>
      <xdr:row>48</xdr:row>
      <xdr:rowOff>9525</xdr:rowOff>
    </xdr:from>
    <xdr:to>
      <xdr:col>7</xdr:col>
      <xdr:colOff>728345</xdr:colOff>
      <xdr:row>49</xdr:row>
      <xdr:rowOff>147320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xmlns="" id="{7FD00BAB-5E86-4325-B836-DD3D674F0D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34050" y="9201150"/>
          <a:ext cx="1223645" cy="328295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2</xdr:col>
      <xdr:colOff>190500</xdr:colOff>
      <xdr:row>50</xdr:row>
      <xdr:rowOff>0</xdr:rowOff>
    </xdr:from>
    <xdr:ext cx="1828800" cy="1017307"/>
    <xdr:pic>
      <xdr:nvPicPr>
        <xdr:cNvPr id="13" name="Imagen 12">
          <a:extLst>
            <a:ext uri="{FF2B5EF4-FFF2-40B4-BE49-F238E27FC236}">
              <a16:creationId xmlns:a16="http://schemas.microsoft.com/office/drawing/2014/main" xmlns="" id="{33E13F49-0855-4AB7-809F-FD8C7DB7BC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62225" y="0"/>
          <a:ext cx="1828800" cy="1017307"/>
        </a:xfrm>
        <a:prstGeom prst="rect">
          <a:avLst/>
        </a:prstGeom>
      </xdr:spPr>
    </xdr:pic>
    <xdr:clientData/>
  </xdr:oneCellAnchor>
  <xdr:twoCellAnchor>
    <xdr:from>
      <xdr:col>0</xdr:col>
      <xdr:colOff>381000</xdr:colOff>
      <xdr:row>94</xdr:row>
      <xdr:rowOff>0</xdr:rowOff>
    </xdr:from>
    <xdr:to>
      <xdr:col>7</xdr:col>
      <xdr:colOff>424818</xdr:colOff>
      <xdr:row>96</xdr:row>
      <xdr:rowOff>43180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xmlns="" id="{DDB5CA88-0E3C-42D2-A8B7-F8E5AA57209A}"/>
            </a:ext>
          </a:extLst>
        </xdr:cNvPr>
        <xdr:cNvGrpSpPr/>
      </xdr:nvGrpSpPr>
      <xdr:grpSpPr>
        <a:xfrm>
          <a:off x="381000" y="17954625"/>
          <a:ext cx="6273168" cy="424180"/>
          <a:chOff x="0" y="0"/>
          <a:chExt cx="6273317" cy="424739"/>
        </a:xfrm>
      </xdr:grpSpPr>
      <xdr:sp macro="" textlink="">
        <xdr:nvSpPr>
          <xdr:cNvPr id="15" name="Cuadro de texto 2">
            <a:extLst>
              <a:ext uri="{FF2B5EF4-FFF2-40B4-BE49-F238E27FC236}">
                <a16:creationId xmlns:a16="http://schemas.microsoft.com/office/drawing/2014/main" xmlns="" id="{0729501A-3B88-947D-1663-CBDC3F1EBEE0}"/>
              </a:ext>
            </a:extLst>
          </xdr:cNvPr>
          <xdr:cNvSpPr txBox="1"/>
        </xdr:nvSpPr>
        <xdr:spPr>
          <a:xfrm>
            <a:off x="0" y="138989"/>
            <a:ext cx="1247775" cy="285750"/>
          </a:xfrm>
          <a:prstGeom prst="rect">
            <a:avLst/>
          </a:prstGeom>
          <a:noFill/>
          <a:ln w="6350">
            <a:noFill/>
          </a:ln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ctr">
              <a:lnSpc>
                <a:spcPct val="115000"/>
              </a:lnSpc>
              <a:spcAft>
                <a:spcPts val="800"/>
              </a:spcAft>
            </a:pPr>
            <a:r>
              <a:rPr lang="es-MX" sz="1200">
                <a:effectLst/>
                <a:latin typeface="Arial" panose="020B0604020202020204" pitchFamily="34" charset="0"/>
                <a:ea typeface="Calibri" panose="020F0502020204030204" pitchFamily="34" charset="0"/>
              </a:rPr>
              <a:t>ALMACEN</a:t>
            </a:r>
          </a:p>
        </xdr:txBody>
      </xdr:sp>
      <xdr:sp macro="" textlink="">
        <xdr:nvSpPr>
          <xdr:cNvPr id="16" name="Cuadro de texto 3">
            <a:extLst>
              <a:ext uri="{FF2B5EF4-FFF2-40B4-BE49-F238E27FC236}">
                <a16:creationId xmlns:a16="http://schemas.microsoft.com/office/drawing/2014/main" xmlns="" id="{39AC87A3-F3E2-566D-A435-C226350B9D9C}"/>
              </a:ext>
            </a:extLst>
          </xdr:cNvPr>
          <xdr:cNvSpPr txBox="1"/>
        </xdr:nvSpPr>
        <xdr:spPr>
          <a:xfrm>
            <a:off x="1719072" y="138989"/>
            <a:ext cx="1247775" cy="285750"/>
          </a:xfrm>
          <a:prstGeom prst="rect">
            <a:avLst/>
          </a:prstGeom>
          <a:noFill/>
          <a:ln w="6350">
            <a:noFill/>
          </a:ln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ctr">
              <a:lnSpc>
                <a:spcPct val="115000"/>
              </a:lnSpc>
              <a:spcAft>
                <a:spcPts val="800"/>
              </a:spcAft>
            </a:pPr>
            <a:r>
              <a:rPr lang="es-MX" sz="1200">
                <a:effectLst/>
                <a:latin typeface="Arial" panose="020B0604020202020204" pitchFamily="34" charset="0"/>
                <a:ea typeface="Calibri" panose="020F0502020204030204" pitchFamily="34" charset="0"/>
              </a:rPr>
              <a:t>ENTREGA</a:t>
            </a:r>
          </a:p>
        </xdr:txBody>
      </xdr:sp>
      <xdr:sp macro="" textlink="">
        <xdr:nvSpPr>
          <xdr:cNvPr id="17" name="Cuadro de texto 4">
            <a:extLst>
              <a:ext uri="{FF2B5EF4-FFF2-40B4-BE49-F238E27FC236}">
                <a16:creationId xmlns:a16="http://schemas.microsoft.com/office/drawing/2014/main" xmlns="" id="{8D847142-7312-821B-271F-5E4613246EC8}"/>
              </a:ext>
            </a:extLst>
          </xdr:cNvPr>
          <xdr:cNvSpPr txBox="1"/>
        </xdr:nvSpPr>
        <xdr:spPr>
          <a:xfrm>
            <a:off x="3452774" y="138989"/>
            <a:ext cx="1247775" cy="285750"/>
          </a:xfrm>
          <a:prstGeom prst="rect">
            <a:avLst/>
          </a:prstGeom>
          <a:noFill/>
          <a:ln w="6350">
            <a:noFill/>
          </a:ln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ctr">
              <a:lnSpc>
                <a:spcPct val="115000"/>
              </a:lnSpc>
              <a:spcAft>
                <a:spcPts val="800"/>
              </a:spcAft>
            </a:pPr>
            <a:r>
              <a:rPr lang="es-MX" sz="1200">
                <a:effectLst/>
                <a:latin typeface="Arial" panose="020B0604020202020204" pitchFamily="34" charset="0"/>
                <a:ea typeface="Calibri" panose="020F0502020204030204" pitchFamily="34" charset="0"/>
              </a:rPr>
              <a:t>CHOFER</a:t>
            </a:r>
          </a:p>
        </xdr:txBody>
      </xdr:sp>
      <xdr:sp macro="" textlink="">
        <xdr:nvSpPr>
          <xdr:cNvPr id="18" name="Cuadro de texto 5">
            <a:extLst>
              <a:ext uri="{FF2B5EF4-FFF2-40B4-BE49-F238E27FC236}">
                <a16:creationId xmlns:a16="http://schemas.microsoft.com/office/drawing/2014/main" xmlns="" id="{0EEAC5CD-A196-7126-14E5-E7F699DE768E}"/>
              </a:ext>
            </a:extLst>
          </xdr:cNvPr>
          <xdr:cNvSpPr txBox="1"/>
        </xdr:nvSpPr>
        <xdr:spPr>
          <a:xfrm>
            <a:off x="5025542" y="138989"/>
            <a:ext cx="1247775" cy="285750"/>
          </a:xfrm>
          <a:prstGeom prst="rect">
            <a:avLst/>
          </a:prstGeom>
          <a:noFill/>
          <a:ln w="6350">
            <a:noFill/>
          </a:ln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ctr">
              <a:lnSpc>
                <a:spcPct val="115000"/>
              </a:lnSpc>
              <a:spcAft>
                <a:spcPts val="800"/>
              </a:spcAft>
            </a:pPr>
            <a:r>
              <a:rPr lang="es-MX" sz="1200">
                <a:effectLst/>
                <a:latin typeface="Arial" panose="020B0604020202020204" pitchFamily="34" charset="0"/>
                <a:ea typeface="Calibri" panose="020F0502020204030204" pitchFamily="34" charset="0"/>
              </a:rPr>
              <a:t>RECIBE</a:t>
            </a:r>
          </a:p>
        </xdr:txBody>
      </xdr:sp>
      <xdr:cxnSp macro="">
        <xdr:nvCxnSpPr>
          <xdr:cNvPr id="19" name="Conector recto 18">
            <a:extLst>
              <a:ext uri="{FF2B5EF4-FFF2-40B4-BE49-F238E27FC236}">
                <a16:creationId xmlns:a16="http://schemas.microsoft.com/office/drawing/2014/main" xmlns="" id="{7E4B91A7-4EA3-C06C-968B-DC5DE401BFA6}"/>
              </a:ext>
            </a:extLst>
          </xdr:cNvPr>
          <xdr:cNvCxnSpPr/>
        </xdr:nvCxnSpPr>
        <xdr:spPr>
          <a:xfrm>
            <a:off x="36576" y="0"/>
            <a:ext cx="1172210" cy="0"/>
          </a:xfrm>
          <a:prstGeom prst="line">
            <a:avLst/>
          </a:prstGeom>
          <a:ln w="127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" name="Conector recto 19">
            <a:extLst>
              <a:ext uri="{FF2B5EF4-FFF2-40B4-BE49-F238E27FC236}">
                <a16:creationId xmlns:a16="http://schemas.microsoft.com/office/drawing/2014/main" xmlns="" id="{EC6343BD-5119-6EB0-3D47-5EFA253EA25E}"/>
              </a:ext>
            </a:extLst>
          </xdr:cNvPr>
          <xdr:cNvCxnSpPr/>
        </xdr:nvCxnSpPr>
        <xdr:spPr>
          <a:xfrm>
            <a:off x="1755648" y="7316"/>
            <a:ext cx="1172210" cy="0"/>
          </a:xfrm>
          <a:prstGeom prst="line">
            <a:avLst/>
          </a:prstGeom>
          <a:ln w="127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" name="Conector recto 20">
            <a:extLst>
              <a:ext uri="{FF2B5EF4-FFF2-40B4-BE49-F238E27FC236}">
                <a16:creationId xmlns:a16="http://schemas.microsoft.com/office/drawing/2014/main" xmlns="" id="{87512BBB-CA5C-A2DD-19D8-8B637B660300}"/>
              </a:ext>
            </a:extLst>
          </xdr:cNvPr>
          <xdr:cNvCxnSpPr/>
        </xdr:nvCxnSpPr>
        <xdr:spPr>
          <a:xfrm>
            <a:off x="3496666" y="14631"/>
            <a:ext cx="1172451" cy="0"/>
          </a:xfrm>
          <a:prstGeom prst="line">
            <a:avLst/>
          </a:prstGeom>
          <a:ln w="127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" name="Conector recto 21">
            <a:extLst>
              <a:ext uri="{FF2B5EF4-FFF2-40B4-BE49-F238E27FC236}">
                <a16:creationId xmlns:a16="http://schemas.microsoft.com/office/drawing/2014/main" xmlns="" id="{C6C64C36-DD87-CC49-D289-D93C570FC9F8}"/>
              </a:ext>
            </a:extLst>
          </xdr:cNvPr>
          <xdr:cNvCxnSpPr/>
        </xdr:nvCxnSpPr>
        <xdr:spPr>
          <a:xfrm>
            <a:off x="5025542" y="21946"/>
            <a:ext cx="1172451" cy="0"/>
          </a:xfrm>
          <a:prstGeom prst="line">
            <a:avLst/>
          </a:prstGeom>
          <a:ln w="127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6</xdr:col>
      <xdr:colOff>228600</xdr:colOff>
      <xdr:row>98</xdr:row>
      <xdr:rowOff>9525</xdr:rowOff>
    </xdr:from>
    <xdr:ext cx="1223645" cy="328295"/>
    <xdr:pic>
      <xdr:nvPicPr>
        <xdr:cNvPr id="23" name="Imagen 22">
          <a:extLst>
            <a:ext uri="{FF2B5EF4-FFF2-40B4-BE49-F238E27FC236}">
              <a16:creationId xmlns:a16="http://schemas.microsoft.com/office/drawing/2014/main" xmlns="" id="{749B687E-CFE1-4FAF-AD70-E5104B758B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34050" y="9201150"/>
          <a:ext cx="1223645" cy="328295"/>
        </a:xfrm>
        <a:prstGeom prst="rect">
          <a:avLst/>
        </a:prstGeom>
        <a:noFill/>
        <a:ln>
          <a:noFill/>
        </a:ln>
      </xdr:spPr>
    </xdr:pic>
    <xdr:clientData/>
  </xdr:oneCellAnchor>
  <xdr:twoCellAnchor>
    <xdr:from>
      <xdr:col>7</xdr:col>
      <xdr:colOff>287064</xdr:colOff>
      <xdr:row>64</xdr:row>
      <xdr:rowOff>656</xdr:rowOff>
    </xdr:from>
    <xdr:to>
      <xdr:col>7</xdr:col>
      <xdr:colOff>467064</xdr:colOff>
      <xdr:row>64</xdr:row>
      <xdr:rowOff>180656</xdr:rowOff>
    </xdr:to>
    <xdr:sp macro="" textlink="">
      <xdr:nvSpPr>
        <xdr:cNvPr id="25" name="Rectángulo 24">
          <a:extLst>
            <a:ext uri="{FF2B5EF4-FFF2-40B4-BE49-F238E27FC236}">
              <a16:creationId xmlns:a16="http://schemas.microsoft.com/office/drawing/2014/main" xmlns="" id="{C5C7C788-B00E-44DC-8E81-A63503BEB259}"/>
            </a:ext>
          </a:extLst>
        </xdr:cNvPr>
        <xdr:cNvSpPr/>
      </xdr:nvSpPr>
      <xdr:spPr>
        <a:xfrm>
          <a:off x="6521012" y="12238639"/>
          <a:ext cx="180000" cy="1800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7</xdr:col>
      <xdr:colOff>288377</xdr:colOff>
      <xdr:row>65</xdr:row>
      <xdr:rowOff>1969</xdr:rowOff>
    </xdr:from>
    <xdr:to>
      <xdr:col>7</xdr:col>
      <xdr:colOff>468377</xdr:colOff>
      <xdr:row>65</xdr:row>
      <xdr:rowOff>181969</xdr:rowOff>
    </xdr:to>
    <xdr:sp macro="" textlink="">
      <xdr:nvSpPr>
        <xdr:cNvPr id="26" name="Rectángulo 25">
          <a:extLst>
            <a:ext uri="{FF2B5EF4-FFF2-40B4-BE49-F238E27FC236}">
              <a16:creationId xmlns:a16="http://schemas.microsoft.com/office/drawing/2014/main" xmlns="" id="{FDD966F0-A580-495D-B337-65E2791B34D9}"/>
            </a:ext>
          </a:extLst>
        </xdr:cNvPr>
        <xdr:cNvSpPr/>
      </xdr:nvSpPr>
      <xdr:spPr>
        <a:xfrm>
          <a:off x="6522325" y="12430452"/>
          <a:ext cx="180000" cy="1800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7</xdr:col>
      <xdr:colOff>289691</xdr:colOff>
      <xdr:row>66</xdr:row>
      <xdr:rowOff>3282</xdr:rowOff>
    </xdr:from>
    <xdr:to>
      <xdr:col>7</xdr:col>
      <xdr:colOff>466397</xdr:colOff>
      <xdr:row>66</xdr:row>
      <xdr:rowOff>183282</xdr:rowOff>
    </xdr:to>
    <xdr:sp macro="" textlink="">
      <xdr:nvSpPr>
        <xdr:cNvPr id="27" name="Rectángulo 26">
          <a:extLst>
            <a:ext uri="{FF2B5EF4-FFF2-40B4-BE49-F238E27FC236}">
              <a16:creationId xmlns:a16="http://schemas.microsoft.com/office/drawing/2014/main" xmlns="" id="{05769496-FAAC-4298-9D04-26F935E43153}"/>
            </a:ext>
          </a:extLst>
        </xdr:cNvPr>
        <xdr:cNvSpPr/>
      </xdr:nvSpPr>
      <xdr:spPr>
        <a:xfrm>
          <a:off x="6523639" y="12622265"/>
          <a:ext cx="176706" cy="1800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7</xdr:col>
      <xdr:colOff>289035</xdr:colOff>
      <xdr:row>63</xdr:row>
      <xdr:rowOff>12477</xdr:rowOff>
    </xdr:from>
    <xdr:to>
      <xdr:col>7</xdr:col>
      <xdr:colOff>465749</xdr:colOff>
      <xdr:row>64</xdr:row>
      <xdr:rowOff>1977</xdr:rowOff>
    </xdr:to>
    <xdr:sp macro="" textlink="">
      <xdr:nvSpPr>
        <xdr:cNvPr id="29" name="Rectángulo 28">
          <a:extLst>
            <a:ext uri="{FF2B5EF4-FFF2-40B4-BE49-F238E27FC236}">
              <a16:creationId xmlns:a16="http://schemas.microsoft.com/office/drawing/2014/main" xmlns="" id="{20AF3590-FAB4-4B77-B0B7-7C9C4C48EE11}"/>
            </a:ext>
          </a:extLst>
        </xdr:cNvPr>
        <xdr:cNvSpPr/>
      </xdr:nvSpPr>
      <xdr:spPr>
        <a:xfrm>
          <a:off x="6522983" y="12059960"/>
          <a:ext cx="176714" cy="1800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7</xdr:col>
      <xdr:colOff>291005</xdr:colOff>
      <xdr:row>67</xdr:row>
      <xdr:rowOff>11165</xdr:rowOff>
    </xdr:from>
    <xdr:to>
      <xdr:col>7</xdr:col>
      <xdr:colOff>467711</xdr:colOff>
      <xdr:row>68</xdr:row>
      <xdr:rowOff>665</xdr:rowOff>
    </xdr:to>
    <xdr:sp macro="" textlink="">
      <xdr:nvSpPr>
        <xdr:cNvPr id="30" name="Rectángulo 29">
          <a:extLst>
            <a:ext uri="{FF2B5EF4-FFF2-40B4-BE49-F238E27FC236}">
              <a16:creationId xmlns:a16="http://schemas.microsoft.com/office/drawing/2014/main" xmlns="" id="{45D0774D-4D7E-40C9-8909-AF961000E8EA}"/>
            </a:ext>
          </a:extLst>
        </xdr:cNvPr>
        <xdr:cNvSpPr/>
      </xdr:nvSpPr>
      <xdr:spPr>
        <a:xfrm>
          <a:off x="6524953" y="12820648"/>
          <a:ext cx="176706" cy="1800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7</xdr:col>
      <xdr:colOff>292319</xdr:colOff>
      <xdr:row>68</xdr:row>
      <xdr:rowOff>5910</xdr:rowOff>
    </xdr:from>
    <xdr:to>
      <xdr:col>7</xdr:col>
      <xdr:colOff>469025</xdr:colOff>
      <xdr:row>68</xdr:row>
      <xdr:rowOff>185910</xdr:rowOff>
    </xdr:to>
    <xdr:sp macro="" textlink="">
      <xdr:nvSpPr>
        <xdr:cNvPr id="41" name="Rectángulo 40">
          <a:extLst>
            <a:ext uri="{FF2B5EF4-FFF2-40B4-BE49-F238E27FC236}">
              <a16:creationId xmlns:a16="http://schemas.microsoft.com/office/drawing/2014/main" xmlns="" id="{6029394C-E62D-44EE-B3C9-812B3E0971A3}"/>
            </a:ext>
          </a:extLst>
        </xdr:cNvPr>
        <xdr:cNvSpPr/>
      </xdr:nvSpPr>
      <xdr:spPr>
        <a:xfrm>
          <a:off x="6526267" y="13005893"/>
          <a:ext cx="176706" cy="1800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7</xdr:col>
      <xdr:colOff>287064</xdr:colOff>
      <xdr:row>69</xdr:row>
      <xdr:rowOff>655</xdr:rowOff>
    </xdr:from>
    <xdr:to>
      <xdr:col>7</xdr:col>
      <xdr:colOff>463770</xdr:colOff>
      <xdr:row>69</xdr:row>
      <xdr:rowOff>180655</xdr:rowOff>
    </xdr:to>
    <xdr:sp macro="" textlink="">
      <xdr:nvSpPr>
        <xdr:cNvPr id="42" name="Rectángulo 41">
          <a:extLst>
            <a:ext uri="{FF2B5EF4-FFF2-40B4-BE49-F238E27FC236}">
              <a16:creationId xmlns:a16="http://schemas.microsoft.com/office/drawing/2014/main" xmlns="" id="{91CC6F49-7AA5-4F90-B31D-623AC4E05B19}"/>
            </a:ext>
          </a:extLst>
        </xdr:cNvPr>
        <xdr:cNvSpPr/>
      </xdr:nvSpPr>
      <xdr:spPr>
        <a:xfrm>
          <a:off x="6521012" y="13191138"/>
          <a:ext cx="176706" cy="1800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100"/>
            <a:t>V</a:t>
          </a:r>
        </a:p>
      </xdr:txBody>
    </xdr:sp>
    <xdr:clientData/>
  </xdr:twoCellAnchor>
  <xdr:twoCellAnchor>
    <xdr:from>
      <xdr:col>7</xdr:col>
      <xdr:colOff>288378</xdr:colOff>
      <xdr:row>70</xdr:row>
      <xdr:rowOff>1969</xdr:rowOff>
    </xdr:from>
    <xdr:to>
      <xdr:col>7</xdr:col>
      <xdr:colOff>465084</xdr:colOff>
      <xdr:row>70</xdr:row>
      <xdr:rowOff>181969</xdr:rowOff>
    </xdr:to>
    <xdr:sp macro="" textlink="">
      <xdr:nvSpPr>
        <xdr:cNvPr id="43" name="Rectángulo 42">
          <a:extLst>
            <a:ext uri="{FF2B5EF4-FFF2-40B4-BE49-F238E27FC236}">
              <a16:creationId xmlns:a16="http://schemas.microsoft.com/office/drawing/2014/main" xmlns="" id="{D7064B10-ED31-464A-86A0-EF23C6EB79FB}"/>
            </a:ext>
          </a:extLst>
        </xdr:cNvPr>
        <xdr:cNvSpPr/>
      </xdr:nvSpPr>
      <xdr:spPr>
        <a:xfrm>
          <a:off x="6522326" y="13382952"/>
          <a:ext cx="176706" cy="1800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100"/>
            <a:t>V</a:t>
          </a:r>
        </a:p>
      </xdr:txBody>
    </xdr:sp>
    <xdr:clientData/>
  </xdr:twoCellAnchor>
  <xdr:twoCellAnchor>
    <xdr:from>
      <xdr:col>7</xdr:col>
      <xdr:colOff>289691</xdr:colOff>
      <xdr:row>71</xdr:row>
      <xdr:rowOff>3282</xdr:rowOff>
    </xdr:from>
    <xdr:to>
      <xdr:col>7</xdr:col>
      <xdr:colOff>466397</xdr:colOff>
      <xdr:row>71</xdr:row>
      <xdr:rowOff>183282</xdr:rowOff>
    </xdr:to>
    <xdr:sp macro="" textlink="">
      <xdr:nvSpPr>
        <xdr:cNvPr id="44" name="Rectángulo 43">
          <a:extLst>
            <a:ext uri="{FF2B5EF4-FFF2-40B4-BE49-F238E27FC236}">
              <a16:creationId xmlns:a16="http://schemas.microsoft.com/office/drawing/2014/main" xmlns="" id="{A4F323F8-21E7-458F-884D-DC689919C29C}"/>
            </a:ext>
          </a:extLst>
        </xdr:cNvPr>
        <xdr:cNvSpPr/>
      </xdr:nvSpPr>
      <xdr:spPr>
        <a:xfrm>
          <a:off x="6523639" y="13574765"/>
          <a:ext cx="176706" cy="1800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100"/>
            <a:t>V</a:t>
          </a:r>
        </a:p>
      </xdr:txBody>
    </xdr:sp>
    <xdr:clientData/>
  </xdr:twoCellAnchor>
  <xdr:twoCellAnchor>
    <xdr:from>
      <xdr:col>7</xdr:col>
      <xdr:colOff>291005</xdr:colOff>
      <xdr:row>72</xdr:row>
      <xdr:rowOff>4595</xdr:rowOff>
    </xdr:from>
    <xdr:to>
      <xdr:col>7</xdr:col>
      <xdr:colOff>467711</xdr:colOff>
      <xdr:row>72</xdr:row>
      <xdr:rowOff>184595</xdr:rowOff>
    </xdr:to>
    <xdr:sp macro="" textlink="">
      <xdr:nvSpPr>
        <xdr:cNvPr id="45" name="Rectángulo 44">
          <a:extLst>
            <a:ext uri="{FF2B5EF4-FFF2-40B4-BE49-F238E27FC236}">
              <a16:creationId xmlns:a16="http://schemas.microsoft.com/office/drawing/2014/main" xmlns="" id="{B2FE8A59-BE17-4A33-A327-24BE9CE61BF8}"/>
            </a:ext>
          </a:extLst>
        </xdr:cNvPr>
        <xdr:cNvSpPr/>
      </xdr:nvSpPr>
      <xdr:spPr>
        <a:xfrm>
          <a:off x="6524953" y="13766578"/>
          <a:ext cx="176706" cy="1800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100"/>
            <a:t>V</a:t>
          </a:r>
        </a:p>
      </xdr:txBody>
    </xdr:sp>
    <xdr:clientData/>
  </xdr:twoCellAnchor>
  <xdr:twoCellAnchor>
    <xdr:from>
      <xdr:col>7</xdr:col>
      <xdr:colOff>292319</xdr:colOff>
      <xdr:row>73</xdr:row>
      <xdr:rowOff>5909</xdr:rowOff>
    </xdr:from>
    <xdr:to>
      <xdr:col>7</xdr:col>
      <xdr:colOff>469025</xdr:colOff>
      <xdr:row>73</xdr:row>
      <xdr:rowOff>185909</xdr:rowOff>
    </xdr:to>
    <xdr:sp macro="" textlink="">
      <xdr:nvSpPr>
        <xdr:cNvPr id="46" name="Rectángulo 45">
          <a:extLst>
            <a:ext uri="{FF2B5EF4-FFF2-40B4-BE49-F238E27FC236}">
              <a16:creationId xmlns:a16="http://schemas.microsoft.com/office/drawing/2014/main" xmlns="" id="{F42DD315-6CDA-44A9-802B-5A778801D4C1}"/>
            </a:ext>
          </a:extLst>
        </xdr:cNvPr>
        <xdr:cNvSpPr/>
      </xdr:nvSpPr>
      <xdr:spPr>
        <a:xfrm>
          <a:off x="6526267" y="13958392"/>
          <a:ext cx="176706" cy="1800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100"/>
            <a:t>V</a:t>
          </a:r>
        </a:p>
      </xdr:txBody>
    </xdr:sp>
    <xdr:clientData/>
  </xdr:twoCellAnchor>
  <xdr:twoCellAnchor>
    <xdr:from>
      <xdr:col>7</xdr:col>
      <xdr:colOff>287064</xdr:colOff>
      <xdr:row>74</xdr:row>
      <xdr:rowOff>653</xdr:rowOff>
    </xdr:from>
    <xdr:to>
      <xdr:col>7</xdr:col>
      <xdr:colOff>463770</xdr:colOff>
      <xdr:row>74</xdr:row>
      <xdr:rowOff>180653</xdr:rowOff>
    </xdr:to>
    <xdr:sp macro="" textlink="">
      <xdr:nvSpPr>
        <xdr:cNvPr id="47" name="Rectángulo 46">
          <a:extLst>
            <a:ext uri="{FF2B5EF4-FFF2-40B4-BE49-F238E27FC236}">
              <a16:creationId xmlns:a16="http://schemas.microsoft.com/office/drawing/2014/main" xmlns="" id="{8D937A04-2D05-41A4-8E30-6A777BD7B8CB}"/>
            </a:ext>
          </a:extLst>
        </xdr:cNvPr>
        <xdr:cNvSpPr/>
      </xdr:nvSpPr>
      <xdr:spPr>
        <a:xfrm>
          <a:off x="6521012" y="14143636"/>
          <a:ext cx="176706" cy="1800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100"/>
            <a:t>V</a:t>
          </a:r>
        </a:p>
      </xdr:txBody>
    </xdr:sp>
    <xdr:clientData/>
  </xdr:twoCellAnchor>
  <xdr:twoCellAnchor>
    <xdr:from>
      <xdr:col>7</xdr:col>
      <xdr:colOff>288378</xdr:colOff>
      <xdr:row>75</xdr:row>
      <xdr:rowOff>8536</xdr:rowOff>
    </xdr:from>
    <xdr:to>
      <xdr:col>7</xdr:col>
      <xdr:colOff>465084</xdr:colOff>
      <xdr:row>75</xdr:row>
      <xdr:rowOff>188536</xdr:rowOff>
    </xdr:to>
    <xdr:sp macro="" textlink="">
      <xdr:nvSpPr>
        <xdr:cNvPr id="48" name="Rectángulo 47">
          <a:extLst>
            <a:ext uri="{FF2B5EF4-FFF2-40B4-BE49-F238E27FC236}">
              <a16:creationId xmlns:a16="http://schemas.microsoft.com/office/drawing/2014/main" xmlns="" id="{22493207-35A5-4888-A4E0-2F408DCCAFCD}"/>
            </a:ext>
          </a:extLst>
        </xdr:cNvPr>
        <xdr:cNvSpPr/>
      </xdr:nvSpPr>
      <xdr:spPr>
        <a:xfrm>
          <a:off x="6522326" y="14342019"/>
          <a:ext cx="176706" cy="1800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100"/>
            <a:t>V</a:t>
          </a:r>
        </a:p>
      </xdr:txBody>
    </xdr:sp>
    <xdr:clientData/>
  </xdr:twoCellAnchor>
  <xdr:twoCellAnchor>
    <xdr:from>
      <xdr:col>7</xdr:col>
      <xdr:colOff>289691</xdr:colOff>
      <xdr:row>76</xdr:row>
      <xdr:rowOff>16419</xdr:rowOff>
    </xdr:from>
    <xdr:to>
      <xdr:col>7</xdr:col>
      <xdr:colOff>466397</xdr:colOff>
      <xdr:row>77</xdr:row>
      <xdr:rowOff>5919</xdr:rowOff>
    </xdr:to>
    <xdr:sp macro="" textlink="">
      <xdr:nvSpPr>
        <xdr:cNvPr id="49" name="Rectángulo 48">
          <a:extLst>
            <a:ext uri="{FF2B5EF4-FFF2-40B4-BE49-F238E27FC236}">
              <a16:creationId xmlns:a16="http://schemas.microsoft.com/office/drawing/2014/main" xmlns="" id="{39A81BD6-7AAB-4EE8-B18A-B3FEE258B70E}"/>
            </a:ext>
          </a:extLst>
        </xdr:cNvPr>
        <xdr:cNvSpPr/>
      </xdr:nvSpPr>
      <xdr:spPr>
        <a:xfrm>
          <a:off x="6523639" y="14540402"/>
          <a:ext cx="176706" cy="1800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100"/>
            <a:t>V</a:t>
          </a:r>
        </a:p>
      </xdr:txBody>
    </xdr:sp>
    <xdr:clientData/>
  </xdr:twoCellAnchor>
  <xdr:twoCellAnchor>
    <xdr:from>
      <xdr:col>7</xdr:col>
      <xdr:colOff>291004</xdr:colOff>
      <xdr:row>77</xdr:row>
      <xdr:rowOff>11163</xdr:rowOff>
    </xdr:from>
    <xdr:to>
      <xdr:col>7</xdr:col>
      <xdr:colOff>467710</xdr:colOff>
      <xdr:row>78</xdr:row>
      <xdr:rowOff>663</xdr:rowOff>
    </xdr:to>
    <xdr:sp macro="" textlink="">
      <xdr:nvSpPr>
        <xdr:cNvPr id="50" name="Rectángulo 49">
          <a:extLst>
            <a:ext uri="{FF2B5EF4-FFF2-40B4-BE49-F238E27FC236}">
              <a16:creationId xmlns:a16="http://schemas.microsoft.com/office/drawing/2014/main" xmlns="" id="{E3E616BA-3E89-47FA-BBEE-67484B7CB914}"/>
            </a:ext>
          </a:extLst>
        </xdr:cNvPr>
        <xdr:cNvSpPr/>
      </xdr:nvSpPr>
      <xdr:spPr>
        <a:xfrm>
          <a:off x="6524952" y="14725646"/>
          <a:ext cx="176706" cy="1800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100"/>
            <a:t>V</a:t>
          </a:r>
        </a:p>
      </xdr:txBody>
    </xdr:sp>
    <xdr:clientData/>
  </xdr:twoCellAnchor>
  <xdr:twoCellAnchor>
    <xdr:from>
      <xdr:col>7</xdr:col>
      <xdr:colOff>292317</xdr:colOff>
      <xdr:row>78</xdr:row>
      <xdr:rowOff>5908</xdr:rowOff>
    </xdr:from>
    <xdr:to>
      <xdr:col>7</xdr:col>
      <xdr:colOff>469023</xdr:colOff>
      <xdr:row>78</xdr:row>
      <xdr:rowOff>185908</xdr:rowOff>
    </xdr:to>
    <xdr:sp macro="" textlink="">
      <xdr:nvSpPr>
        <xdr:cNvPr id="51" name="Rectángulo 50">
          <a:extLst>
            <a:ext uri="{FF2B5EF4-FFF2-40B4-BE49-F238E27FC236}">
              <a16:creationId xmlns:a16="http://schemas.microsoft.com/office/drawing/2014/main" xmlns="" id="{9864B90B-2DB8-4370-BC5A-2906D54AE109}"/>
            </a:ext>
          </a:extLst>
        </xdr:cNvPr>
        <xdr:cNvSpPr/>
      </xdr:nvSpPr>
      <xdr:spPr>
        <a:xfrm>
          <a:off x="6526265" y="14910891"/>
          <a:ext cx="176706" cy="1800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100"/>
            <a:t>V</a:t>
          </a:r>
        </a:p>
      </xdr:txBody>
    </xdr:sp>
    <xdr:clientData/>
  </xdr:twoCellAnchor>
  <xdr:twoCellAnchor>
    <xdr:from>
      <xdr:col>7</xdr:col>
      <xdr:colOff>287062</xdr:colOff>
      <xdr:row>79</xdr:row>
      <xdr:rowOff>7222</xdr:rowOff>
    </xdr:from>
    <xdr:to>
      <xdr:col>7</xdr:col>
      <xdr:colOff>463768</xdr:colOff>
      <xdr:row>79</xdr:row>
      <xdr:rowOff>187222</xdr:rowOff>
    </xdr:to>
    <xdr:sp macro="" textlink="">
      <xdr:nvSpPr>
        <xdr:cNvPr id="52" name="Rectángulo 51">
          <a:extLst>
            <a:ext uri="{FF2B5EF4-FFF2-40B4-BE49-F238E27FC236}">
              <a16:creationId xmlns:a16="http://schemas.microsoft.com/office/drawing/2014/main" xmlns="" id="{7A09860E-A2BD-404C-A531-91F4C42DE072}"/>
            </a:ext>
          </a:extLst>
        </xdr:cNvPr>
        <xdr:cNvSpPr/>
      </xdr:nvSpPr>
      <xdr:spPr>
        <a:xfrm>
          <a:off x="6521010" y="15102705"/>
          <a:ext cx="176706" cy="1800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100"/>
            <a:t>V</a:t>
          </a:r>
        </a:p>
      </xdr:txBody>
    </xdr:sp>
    <xdr:clientData/>
  </xdr:twoCellAnchor>
  <xdr:twoCellAnchor>
    <xdr:from>
      <xdr:col>7</xdr:col>
      <xdr:colOff>288375</xdr:colOff>
      <xdr:row>80</xdr:row>
      <xdr:rowOff>8535</xdr:rowOff>
    </xdr:from>
    <xdr:to>
      <xdr:col>7</xdr:col>
      <xdr:colOff>465081</xdr:colOff>
      <xdr:row>80</xdr:row>
      <xdr:rowOff>188535</xdr:rowOff>
    </xdr:to>
    <xdr:sp macro="" textlink="">
      <xdr:nvSpPr>
        <xdr:cNvPr id="53" name="Rectángulo 52">
          <a:extLst>
            <a:ext uri="{FF2B5EF4-FFF2-40B4-BE49-F238E27FC236}">
              <a16:creationId xmlns:a16="http://schemas.microsoft.com/office/drawing/2014/main" xmlns="" id="{1C8B42DD-4F83-4077-90FC-3760595EE147}"/>
            </a:ext>
          </a:extLst>
        </xdr:cNvPr>
        <xdr:cNvSpPr/>
      </xdr:nvSpPr>
      <xdr:spPr>
        <a:xfrm>
          <a:off x="6522323" y="15294518"/>
          <a:ext cx="176706" cy="1800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100"/>
            <a:t>V</a:t>
          </a:r>
        </a:p>
      </xdr:txBody>
    </xdr:sp>
    <xdr:clientData/>
  </xdr:twoCellAnchor>
  <xdr:twoCellAnchor>
    <xdr:from>
      <xdr:col>7</xdr:col>
      <xdr:colOff>289688</xdr:colOff>
      <xdr:row>81</xdr:row>
      <xdr:rowOff>9848</xdr:rowOff>
    </xdr:from>
    <xdr:to>
      <xdr:col>7</xdr:col>
      <xdr:colOff>466394</xdr:colOff>
      <xdr:row>81</xdr:row>
      <xdr:rowOff>189848</xdr:rowOff>
    </xdr:to>
    <xdr:sp macro="" textlink="">
      <xdr:nvSpPr>
        <xdr:cNvPr id="54" name="Rectángulo 53">
          <a:extLst>
            <a:ext uri="{FF2B5EF4-FFF2-40B4-BE49-F238E27FC236}">
              <a16:creationId xmlns:a16="http://schemas.microsoft.com/office/drawing/2014/main" xmlns="" id="{30D11DC5-8287-4D74-B053-A6898485C663}"/>
            </a:ext>
          </a:extLst>
        </xdr:cNvPr>
        <xdr:cNvSpPr/>
      </xdr:nvSpPr>
      <xdr:spPr>
        <a:xfrm>
          <a:off x="6523636" y="15486331"/>
          <a:ext cx="176706" cy="1800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100"/>
            <a:t>V</a:t>
          </a:r>
        </a:p>
      </xdr:txBody>
    </xdr:sp>
    <xdr:clientData/>
  </xdr:twoCellAnchor>
  <xdr:twoCellAnchor>
    <xdr:from>
      <xdr:col>7</xdr:col>
      <xdr:colOff>291001</xdr:colOff>
      <xdr:row>82</xdr:row>
      <xdr:rowOff>4593</xdr:rowOff>
    </xdr:from>
    <xdr:to>
      <xdr:col>7</xdr:col>
      <xdr:colOff>467707</xdr:colOff>
      <xdr:row>82</xdr:row>
      <xdr:rowOff>184593</xdr:rowOff>
    </xdr:to>
    <xdr:sp macro="" textlink="">
      <xdr:nvSpPr>
        <xdr:cNvPr id="55" name="Rectángulo 54">
          <a:extLst>
            <a:ext uri="{FF2B5EF4-FFF2-40B4-BE49-F238E27FC236}">
              <a16:creationId xmlns:a16="http://schemas.microsoft.com/office/drawing/2014/main" xmlns="" id="{A5B3CCFD-3482-4765-BA4A-575E09AEDB09}"/>
            </a:ext>
          </a:extLst>
        </xdr:cNvPr>
        <xdr:cNvSpPr/>
      </xdr:nvSpPr>
      <xdr:spPr>
        <a:xfrm>
          <a:off x="6524949" y="15671576"/>
          <a:ext cx="176706" cy="1800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100"/>
            <a:t>V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190500</xdr:colOff>
      <xdr:row>0</xdr:row>
      <xdr:rowOff>0</xdr:rowOff>
    </xdr:from>
    <xdr:to>
      <xdr:col>4</xdr:col>
      <xdr:colOff>495300</xdr:colOff>
      <xdr:row>5</xdr:row>
      <xdr:rowOff>64807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xmlns="" id="{C2DA8827-5B05-4371-ABB9-841511FC70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0800" y="0"/>
          <a:ext cx="1819275" cy="1017307"/>
        </a:xfrm>
        <a:prstGeom prst="rect">
          <a:avLst/>
        </a:prstGeom>
      </xdr:spPr>
    </xdr:pic>
    <xdr:clientData/>
  </xdr:twoCellAnchor>
  <xdr:twoCellAnchor>
    <xdr:from>
      <xdr:col>0</xdr:col>
      <xdr:colOff>381000</xdr:colOff>
      <xdr:row>44</xdr:row>
      <xdr:rowOff>0</xdr:rowOff>
    </xdr:from>
    <xdr:to>
      <xdr:col>7</xdr:col>
      <xdr:colOff>424818</xdr:colOff>
      <xdr:row>46</xdr:row>
      <xdr:rowOff>43180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xmlns="" id="{194B0E57-766C-4378-90DC-8B96090C43C3}"/>
            </a:ext>
          </a:extLst>
        </xdr:cNvPr>
        <xdr:cNvGrpSpPr/>
      </xdr:nvGrpSpPr>
      <xdr:grpSpPr>
        <a:xfrm>
          <a:off x="381000" y="8429625"/>
          <a:ext cx="6273168" cy="424180"/>
          <a:chOff x="0" y="0"/>
          <a:chExt cx="6273317" cy="424739"/>
        </a:xfrm>
      </xdr:grpSpPr>
      <xdr:sp macro="" textlink="">
        <xdr:nvSpPr>
          <xdr:cNvPr id="4" name="Cuadro de texto 2">
            <a:extLst>
              <a:ext uri="{FF2B5EF4-FFF2-40B4-BE49-F238E27FC236}">
                <a16:creationId xmlns:a16="http://schemas.microsoft.com/office/drawing/2014/main" xmlns="" id="{AD518684-5E1B-B840-4D8C-BFFF9BC41CEA}"/>
              </a:ext>
            </a:extLst>
          </xdr:cNvPr>
          <xdr:cNvSpPr txBox="1"/>
        </xdr:nvSpPr>
        <xdr:spPr>
          <a:xfrm>
            <a:off x="0" y="138989"/>
            <a:ext cx="1247775" cy="285750"/>
          </a:xfrm>
          <a:prstGeom prst="rect">
            <a:avLst/>
          </a:prstGeom>
          <a:noFill/>
          <a:ln w="6350">
            <a:noFill/>
          </a:ln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ctr">
              <a:lnSpc>
                <a:spcPct val="115000"/>
              </a:lnSpc>
              <a:spcAft>
                <a:spcPts val="800"/>
              </a:spcAft>
            </a:pPr>
            <a:r>
              <a:rPr lang="es-MX" sz="1200">
                <a:effectLst/>
                <a:latin typeface="Arial" panose="020B0604020202020204" pitchFamily="34" charset="0"/>
                <a:ea typeface="Calibri" panose="020F0502020204030204" pitchFamily="34" charset="0"/>
              </a:rPr>
              <a:t>ALMACEN</a:t>
            </a:r>
          </a:p>
        </xdr:txBody>
      </xdr:sp>
      <xdr:sp macro="" textlink="">
        <xdr:nvSpPr>
          <xdr:cNvPr id="5" name="Cuadro de texto 3">
            <a:extLst>
              <a:ext uri="{FF2B5EF4-FFF2-40B4-BE49-F238E27FC236}">
                <a16:creationId xmlns:a16="http://schemas.microsoft.com/office/drawing/2014/main" xmlns="" id="{AB21CD36-8CF7-A506-3F1E-3E9DFC9DF4F6}"/>
              </a:ext>
            </a:extLst>
          </xdr:cNvPr>
          <xdr:cNvSpPr txBox="1"/>
        </xdr:nvSpPr>
        <xdr:spPr>
          <a:xfrm>
            <a:off x="1719072" y="138989"/>
            <a:ext cx="1247775" cy="285750"/>
          </a:xfrm>
          <a:prstGeom prst="rect">
            <a:avLst/>
          </a:prstGeom>
          <a:noFill/>
          <a:ln w="6350">
            <a:noFill/>
          </a:ln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ctr">
              <a:lnSpc>
                <a:spcPct val="115000"/>
              </a:lnSpc>
              <a:spcAft>
                <a:spcPts val="800"/>
              </a:spcAft>
            </a:pPr>
            <a:r>
              <a:rPr lang="es-MX" sz="1200">
                <a:effectLst/>
                <a:latin typeface="Arial" panose="020B0604020202020204" pitchFamily="34" charset="0"/>
                <a:ea typeface="Calibri" panose="020F0502020204030204" pitchFamily="34" charset="0"/>
              </a:rPr>
              <a:t>ENTREGA</a:t>
            </a:r>
          </a:p>
        </xdr:txBody>
      </xdr:sp>
      <xdr:sp macro="" textlink="">
        <xdr:nvSpPr>
          <xdr:cNvPr id="6" name="Cuadro de texto 4">
            <a:extLst>
              <a:ext uri="{FF2B5EF4-FFF2-40B4-BE49-F238E27FC236}">
                <a16:creationId xmlns:a16="http://schemas.microsoft.com/office/drawing/2014/main" xmlns="" id="{5C07DAEA-4DA5-619A-3A1F-6782983907CD}"/>
              </a:ext>
            </a:extLst>
          </xdr:cNvPr>
          <xdr:cNvSpPr txBox="1"/>
        </xdr:nvSpPr>
        <xdr:spPr>
          <a:xfrm>
            <a:off x="3452774" y="138989"/>
            <a:ext cx="1247775" cy="285750"/>
          </a:xfrm>
          <a:prstGeom prst="rect">
            <a:avLst/>
          </a:prstGeom>
          <a:noFill/>
          <a:ln w="6350">
            <a:noFill/>
          </a:ln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ctr">
              <a:lnSpc>
                <a:spcPct val="115000"/>
              </a:lnSpc>
              <a:spcAft>
                <a:spcPts val="800"/>
              </a:spcAft>
            </a:pPr>
            <a:r>
              <a:rPr lang="es-MX" sz="1200">
                <a:effectLst/>
                <a:latin typeface="Arial" panose="020B0604020202020204" pitchFamily="34" charset="0"/>
                <a:ea typeface="Calibri" panose="020F0502020204030204" pitchFamily="34" charset="0"/>
              </a:rPr>
              <a:t>CHOFER</a:t>
            </a:r>
          </a:p>
        </xdr:txBody>
      </xdr:sp>
      <xdr:sp macro="" textlink="">
        <xdr:nvSpPr>
          <xdr:cNvPr id="7" name="Cuadro de texto 5">
            <a:extLst>
              <a:ext uri="{FF2B5EF4-FFF2-40B4-BE49-F238E27FC236}">
                <a16:creationId xmlns:a16="http://schemas.microsoft.com/office/drawing/2014/main" xmlns="" id="{6C84FE02-FF95-F5A3-F17D-F47ABE6E2E76}"/>
              </a:ext>
            </a:extLst>
          </xdr:cNvPr>
          <xdr:cNvSpPr txBox="1"/>
        </xdr:nvSpPr>
        <xdr:spPr>
          <a:xfrm>
            <a:off x="5025542" y="138989"/>
            <a:ext cx="1247775" cy="285750"/>
          </a:xfrm>
          <a:prstGeom prst="rect">
            <a:avLst/>
          </a:prstGeom>
          <a:noFill/>
          <a:ln w="6350">
            <a:noFill/>
          </a:ln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ctr">
              <a:lnSpc>
                <a:spcPct val="115000"/>
              </a:lnSpc>
              <a:spcAft>
                <a:spcPts val="800"/>
              </a:spcAft>
            </a:pPr>
            <a:r>
              <a:rPr lang="es-MX" sz="1200">
                <a:effectLst/>
                <a:latin typeface="Arial" panose="020B0604020202020204" pitchFamily="34" charset="0"/>
                <a:ea typeface="Calibri" panose="020F0502020204030204" pitchFamily="34" charset="0"/>
              </a:rPr>
              <a:t>RECIBE</a:t>
            </a:r>
          </a:p>
        </xdr:txBody>
      </xdr:sp>
      <xdr:cxnSp macro="">
        <xdr:nvCxnSpPr>
          <xdr:cNvPr id="8" name="Conector recto 7">
            <a:extLst>
              <a:ext uri="{FF2B5EF4-FFF2-40B4-BE49-F238E27FC236}">
                <a16:creationId xmlns:a16="http://schemas.microsoft.com/office/drawing/2014/main" xmlns="" id="{A4239083-7509-A447-037C-998C4BF8C4E8}"/>
              </a:ext>
            </a:extLst>
          </xdr:cNvPr>
          <xdr:cNvCxnSpPr/>
        </xdr:nvCxnSpPr>
        <xdr:spPr>
          <a:xfrm>
            <a:off x="36576" y="0"/>
            <a:ext cx="1172210" cy="0"/>
          </a:xfrm>
          <a:prstGeom prst="line">
            <a:avLst/>
          </a:prstGeom>
          <a:ln w="127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ector recto 8">
            <a:extLst>
              <a:ext uri="{FF2B5EF4-FFF2-40B4-BE49-F238E27FC236}">
                <a16:creationId xmlns:a16="http://schemas.microsoft.com/office/drawing/2014/main" xmlns="" id="{DD132F69-DADA-D4F7-9F8B-E8D585C7F861}"/>
              </a:ext>
            </a:extLst>
          </xdr:cNvPr>
          <xdr:cNvCxnSpPr/>
        </xdr:nvCxnSpPr>
        <xdr:spPr>
          <a:xfrm>
            <a:off x="1755648" y="7316"/>
            <a:ext cx="1172210" cy="0"/>
          </a:xfrm>
          <a:prstGeom prst="line">
            <a:avLst/>
          </a:prstGeom>
          <a:ln w="127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" name="Conector recto 9">
            <a:extLst>
              <a:ext uri="{FF2B5EF4-FFF2-40B4-BE49-F238E27FC236}">
                <a16:creationId xmlns:a16="http://schemas.microsoft.com/office/drawing/2014/main" xmlns="" id="{8EC5471C-009F-D4F3-54AC-81D4C41D6B7B}"/>
              </a:ext>
            </a:extLst>
          </xdr:cNvPr>
          <xdr:cNvCxnSpPr/>
        </xdr:nvCxnSpPr>
        <xdr:spPr>
          <a:xfrm>
            <a:off x="3496666" y="14631"/>
            <a:ext cx="1172451" cy="0"/>
          </a:xfrm>
          <a:prstGeom prst="line">
            <a:avLst/>
          </a:prstGeom>
          <a:ln w="127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" name="Conector recto 10">
            <a:extLst>
              <a:ext uri="{FF2B5EF4-FFF2-40B4-BE49-F238E27FC236}">
                <a16:creationId xmlns:a16="http://schemas.microsoft.com/office/drawing/2014/main" xmlns="" id="{A69E0391-8C98-FCE5-EC5F-5457B22D463F}"/>
              </a:ext>
            </a:extLst>
          </xdr:cNvPr>
          <xdr:cNvCxnSpPr/>
        </xdr:nvCxnSpPr>
        <xdr:spPr>
          <a:xfrm>
            <a:off x="5025542" y="21946"/>
            <a:ext cx="1172451" cy="0"/>
          </a:xfrm>
          <a:prstGeom prst="line">
            <a:avLst/>
          </a:prstGeom>
          <a:ln w="127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6</xdr:col>
      <xdr:colOff>228600</xdr:colOff>
      <xdr:row>48</xdr:row>
      <xdr:rowOff>9525</xdr:rowOff>
    </xdr:from>
    <xdr:to>
      <xdr:col>7</xdr:col>
      <xdr:colOff>728345</xdr:colOff>
      <xdr:row>49</xdr:row>
      <xdr:rowOff>147320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xmlns="" id="{F69D2A4A-7CDE-44A2-803C-1F88B95117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34050" y="9201150"/>
          <a:ext cx="1223645" cy="32829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tables/table1.xml><?xml version="1.0" encoding="utf-8"?>
<table xmlns="http://schemas.openxmlformats.org/spreadsheetml/2006/main" id="1" name="BD" displayName="BD" ref="A1:M409" totalsRowShown="0" headerRowDxfId="630" dataDxfId="628" headerRowBorderDxfId="629" tableBorderDxfId="627" totalsRowBorderDxfId="626">
  <autoFilter ref="A1:M409"/>
  <tableColumns count="13">
    <tableColumn id="14" name="NOMBRE DEL PRODUCTO" dataDxfId="625"/>
    <tableColumn id="2" name="ID" dataDxfId="624">
      <calculatedColumnFormula>ROW(B1)</calculatedColumnFormula>
    </tableColumn>
    <tableColumn id="3" name="CLAVE" dataDxfId="623"/>
    <tableColumn id="4" name="NUMERO" dataDxfId="622"/>
    <tableColumn id="5" name="MARCA" dataDxfId="621"/>
    <tableColumn id="6" name="COLOR" dataDxfId="620"/>
    <tableColumn id="7" name="UNIDAD" dataDxfId="619"/>
    <tableColumn id="8" name="STOCK" dataDxfId="618"/>
    <tableColumn id="9" name="PROVEEDOR " dataDxfId="617"/>
    <tableColumn id="10" name="LUGAR" dataDxfId="616"/>
    <tableColumn id="11" name="PRECIO DE COMPRA" dataDxfId="615"/>
    <tableColumn id="12" name="PRECIO DE VENTA " dataDxfId="614"/>
    <tableColumn id="13" name="Imagen" dataDxfId="61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MV" displayName="MV" ref="A1:L574" totalsRowShown="0" headerRowDxfId="612" dataDxfId="610" headerRowBorderDxfId="611" tableBorderDxfId="609" totalsRowBorderDxfId="608">
  <autoFilter ref="A1:L574"/>
  <tableColumns count="12">
    <tableColumn id="1" name="ID" dataDxfId="607">
      <calculatedColumnFormula>ROW(A1)</calculatedColumnFormula>
    </tableColumn>
    <tableColumn id="14" name="TIPO DE MOV." dataDxfId="606"/>
    <tableColumn id="2" name="NOMBRE DEL PRODUCTO" dataDxfId="605"/>
    <tableColumn id="3" name="CLAVE" dataDxfId="604"/>
    <tableColumn id="4" name="NUMERO" dataDxfId="603"/>
    <tableColumn id="5" name="MARCA" dataDxfId="602"/>
    <tableColumn id="6" name="COLOR" dataDxfId="601"/>
    <tableColumn id="7" name="UNIDAD" dataDxfId="600"/>
    <tableColumn id="8" name="CANTIDAD" dataDxfId="599"/>
    <tableColumn id="9" name="PROVEEDOR " dataDxfId="598"/>
    <tableColumn id="10" name="LUGAR" dataDxfId="597"/>
    <tableColumn id="15" name="FECHA" dataDxfId="59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PV" displayName="PV" ref="A1:D11" totalsRowShown="0" headerRowDxfId="595" dataDxfId="593" headerRowBorderDxfId="594" tableBorderDxfId="592" totalsRowBorderDxfId="591">
  <autoFilter ref="A1:D11"/>
  <tableColumns count="4">
    <tableColumn id="2" name="ID" dataDxfId="590"/>
    <tableColumn id="3" name="PROVEEDOR" dataDxfId="589"/>
    <tableColumn id="4" name="NUMERO" dataDxfId="588"/>
    <tableColumn id="5" name="CORREO" dataDxfId="58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RS" displayName="RS" ref="A1:FN64" totalsRowShown="0" headerRowDxfId="586" dataDxfId="584" headerRowBorderDxfId="585" tableBorderDxfId="583" totalsRowBorderDxfId="582">
  <autoFilter ref="A1:FN64"/>
  <tableColumns count="170">
    <tableColumn id="2" name="ID" dataDxfId="581">
      <calculatedColumnFormula>ROW(A1)</calculatedColumnFormula>
    </tableColumn>
    <tableColumn id="3" name="FOLIO" dataDxfId="580"/>
    <tableColumn id="4" name="OBRA" dataDxfId="579"/>
    <tableColumn id="5" name="FECHA" dataDxfId="578"/>
    <tableColumn id="1" name="SOLICITA" dataDxfId="577"/>
    <tableColumn id="6" name="AUTORIZA" dataDxfId="576"/>
    <tableColumn id="7" name="ALMACEN" dataDxfId="575"/>
    <tableColumn id="8" name="REFERENCIA" dataDxfId="574"/>
    <tableColumn id="9" name="DESCRIPCION" dataDxfId="573"/>
    <tableColumn id="10" name="UNIDAD" dataDxfId="572"/>
    <tableColumn id="11" name="CANTIDAD" dataDxfId="571"/>
    <tableColumn id="12" name="ANCHO" dataDxfId="570"/>
    <tableColumn id="13" name="LARGO" dataDxfId="569"/>
    <tableColumn id="14" name="LUGAR" dataDxfId="568"/>
    <tableColumn id="15" name="FOLIO REQ" dataDxfId="567"/>
    <tableColumn id="16" name="REFERENCIA2" dataDxfId="566"/>
    <tableColumn id="17" name="DESCRIPCION2" dataDxfId="565"/>
    <tableColumn id="18" name="UNIDAD2" dataDxfId="564"/>
    <tableColumn id="19" name="CANTIDAD2" dataDxfId="563"/>
    <tableColumn id="20" name="ANCHO2" dataDxfId="562"/>
    <tableColumn id="21" name="LARGO2" dataDxfId="561"/>
    <tableColumn id="22" name="LUGAR2" dataDxfId="560"/>
    <tableColumn id="23" name="FOLIO REQ2" dataDxfId="559"/>
    <tableColumn id="24" name="REFERENCIA3" dataDxfId="558"/>
    <tableColumn id="25" name="DESCRIPCION3" dataDxfId="557"/>
    <tableColumn id="26" name="UNIDAD3" dataDxfId="556"/>
    <tableColumn id="27" name="CANTIDAD3" dataDxfId="555"/>
    <tableColumn id="28" name="ANCHO3" dataDxfId="554"/>
    <tableColumn id="29" name="LARGO3" dataDxfId="553"/>
    <tableColumn id="30" name="LUGAR3" dataDxfId="552"/>
    <tableColumn id="31" name="FOLIO REQ3" dataDxfId="551"/>
    <tableColumn id="32" name="REFERENCIA4" dataDxfId="550"/>
    <tableColumn id="33" name="DESCRIPCION4" dataDxfId="549"/>
    <tableColumn id="34" name="UNIDAD4" dataDxfId="548"/>
    <tableColumn id="35" name="CANTIDAD4" dataDxfId="547"/>
    <tableColumn id="36" name="ANCHO4" dataDxfId="546"/>
    <tableColumn id="37" name="LARGO4" dataDxfId="545"/>
    <tableColumn id="38" name="LUGAR4" dataDxfId="544"/>
    <tableColumn id="39" name="FOLIO REQ4" dataDxfId="543"/>
    <tableColumn id="40" name="REFERENCIA5" dataDxfId="542"/>
    <tableColumn id="41" name="DESCRIPCION5" dataDxfId="541"/>
    <tableColumn id="42" name="UNIDAD5" dataDxfId="540"/>
    <tableColumn id="43" name="CANTIDAD5" dataDxfId="539"/>
    <tableColumn id="44" name="ANCHO5" dataDxfId="538"/>
    <tableColumn id="45" name="LARGO5" dataDxfId="537"/>
    <tableColumn id="46" name="LUGAR5" dataDxfId="536"/>
    <tableColumn id="47" name="FOLIO REQ5" dataDxfId="535"/>
    <tableColumn id="48" name="REFERENCIA6" dataDxfId="534"/>
    <tableColumn id="49" name="DESCRIPCION6" dataDxfId="533"/>
    <tableColumn id="50" name="UNIDAD6" dataDxfId="532"/>
    <tableColumn id="51" name="CANTIDAD6" dataDxfId="531"/>
    <tableColumn id="52" name="ANCHO6" dataDxfId="530"/>
    <tableColumn id="53" name="LARGO6" dataDxfId="529"/>
    <tableColumn id="54" name="LUGAR6" dataDxfId="528"/>
    <tableColumn id="55" name="FOLIO REQ6" dataDxfId="527"/>
    <tableColumn id="56" name="REFERENCIA7" dataDxfId="526"/>
    <tableColumn id="57" name="DESCRIPCION7" dataDxfId="525"/>
    <tableColumn id="58" name="UNIDAD7" dataDxfId="524"/>
    <tableColumn id="59" name="CANTIDAD7" dataDxfId="523"/>
    <tableColumn id="60" name="ANCHO7" dataDxfId="522"/>
    <tableColumn id="61" name="LARGO7" dataDxfId="521"/>
    <tableColumn id="62" name="LUGAR7" dataDxfId="520"/>
    <tableColumn id="63" name="FOLIO REQ7" dataDxfId="519"/>
    <tableColumn id="64" name="REFERENCIA8" dataDxfId="518"/>
    <tableColumn id="65" name="DESCRIPCION8" dataDxfId="517"/>
    <tableColumn id="66" name="UNIDAD8" dataDxfId="516"/>
    <tableColumn id="67" name="CANTIDAD8" dataDxfId="515"/>
    <tableColumn id="68" name="ANCHO8" dataDxfId="514"/>
    <tableColumn id="69" name="LARGO8" dataDxfId="513"/>
    <tableColumn id="70" name="LUGAR8" dataDxfId="512"/>
    <tableColumn id="71" name="FOLIO REQ8" dataDxfId="511"/>
    <tableColumn id="72" name="REFERENCIA9" dataDxfId="510"/>
    <tableColumn id="73" name="DESCRIPCION9" dataDxfId="509"/>
    <tableColumn id="74" name="UNIDAD9" dataDxfId="508"/>
    <tableColumn id="75" name="CANTIDAD9" dataDxfId="507"/>
    <tableColumn id="76" name="ANCHO9" dataDxfId="506"/>
    <tableColumn id="77" name="LARGO9" dataDxfId="505"/>
    <tableColumn id="78" name="LUGAR9" dataDxfId="504"/>
    <tableColumn id="79" name="FOLIO REQ9" dataDxfId="503"/>
    <tableColumn id="80" name="REFERENCIA10" dataDxfId="502"/>
    <tableColumn id="81" name="DESCRIPCION10" dataDxfId="501"/>
    <tableColumn id="82" name="UNIDAD10" dataDxfId="500"/>
    <tableColumn id="83" name="CANTIDAD10" dataDxfId="499"/>
    <tableColumn id="84" name="ANCHO10" dataDxfId="498"/>
    <tableColumn id="85" name="LARGO10" dataDxfId="497"/>
    <tableColumn id="86" name="LUGAR10" dataDxfId="496"/>
    <tableColumn id="87" name="FOLIO REQ10" dataDxfId="495"/>
    <tableColumn id="88" name="REFERENCIA11" dataDxfId="494"/>
    <tableColumn id="89" name="DESCRIPCION11" dataDxfId="493"/>
    <tableColumn id="90" name="UNIDAD11" dataDxfId="492"/>
    <tableColumn id="91" name="CANTIDAD11" dataDxfId="491"/>
    <tableColumn id="92" name="ANCHO11" dataDxfId="490"/>
    <tableColumn id="93" name="LARGO11" dataDxfId="489"/>
    <tableColumn id="94" name="LUGAR11" dataDxfId="488"/>
    <tableColumn id="95" name="FOLIO REQ11" dataDxfId="487"/>
    <tableColumn id="96" name="REFERENCIA12" dataDxfId="486"/>
    <tableColumn id="97" name="DESCRIPCION12" dataDxfId="485"/>
    <tableColumn id="98" name="UNIDAD12" dataDxfId="484"/>
    <tableColumn id="99" name="CANTIDAD12" dataDxfId="483"/>
    <tableColumn id="100" name="ANCHO12" dataDxfId="482"/>
    <tableColumn id="101" name="LARGO12" dataDxfId="481"/>
    <tableColumn id="102" name="LUGAR12" dataDxfId="480"/>
    <tableColumn id="103" name="FOLIO REQ12" dataDxfId="479"/>
    <tableColumn id="104" name="REFERENCIA13" dataDxfId="478"/>
    <tableColumn id="105" name="DESCRIPCION13" dataDxfId="477"/>
    <tableColumn id="106" name="UNIDAD13" dataDxfId="476"/>
    <tableColumn id="107" name="CANTIDAD13" dataDxfId="475"/>
    <tableColumn id="108" name="ANCHO13" dataDxfId="474"/>
    <tableColumn id="109" name="LARGO13" dataDxfId="473"/>
    <tableColumn id="110" name="LUGAR13" dataDxfId="472"/>
    <tableColumn id="111" name="FOLIO REQ13" dataDxfId="471"/>
    <tableColumn id="112" name="REFERENCIA14" dataDxfId="470"/>
    <tableColumn id="113" name="DESCRIPCION14" dataDxfId="469"/>
    <tableColumn id="114" name="UNIDAD14" dataDxfId="468"/>
    <tableColumn id="115" name="CANTIDAD14" dataDxfId="467"/>
    <tableColumn id="116" name="ANCHO14" dataDxfId="466"/>
    <tableColumn id="117" name="LARGO14" dataDxfId="465"/>
    <tableColumn id="118" name="LUGAR14" dataDxfId="464"/>
    <tableColumn id="119" name="FOLIO REQ14" dataDxfId="463"/>
    <tableColumn id="120" name="REFERENCIA15" dataDxfId="462"/>
    <tableColumn id="121" name="DESCRIPCION15" dataDxfId="461"/>
    <tableColumn id="122" name="UNIDAD15" dataDxfId="460"/>
    <tableColumn id="123" name="CANTIDAD15" dataDxfId="459"/>
    <tableColumn id="124" name="ANCHO15" dataDxfId="458"/>
    <tableColumn id="125" name="LARGO15" dataDxfId="457"/>
    <tableColumn id="126" name="LUGAR15" dataDxfId="456"/>
    <tableColumn id="127" name="FOLIO REQ15" dataDxfId="455"/>
    <tableColumn id="128" name="REFERENCIA16" dataDxfId="454"/>
    <tableColumn id="129" name="DESCRIPCION16" dataDxfId="453"/>
    <tableColumn id="130" name="UNIDAD16" dataDxfId="452"/>
    <tableColumn id="131" name="CANTIDAD16" dataDxfId="451"/>
    <tableColumn id="132" name="ANCHO16" dataDxfId="450"/>
    <tableColumn id="133" name="LARGO16" dataDxfId="449"/>
    <tableColumn id="134" name="LUGAR16" dataDxfId="448"/>
    <tableColumn id="135" name="FOLIO REQ16" dataDxfId="447"/>
    <tableColumn id="136" name="REFERENCIA17" dataDxfId="446"/>
    <tableColumn id="137" name="DESCRIPCION17" dataDxfId="445"/>
    <tableColumn id="138" name="UNIDAD17" dataDxfId="444"/>
    <tableColumn id="139" name="CANTIDAD17" dataDxfId="443"/>
    <tableColumn id="140" name="ANCHO17" dataDxfId="442"/>
    <tableColumn id="141" name="LARGO17" dataDxfId="441"/>
    <tableColumn id="142" name="LUGAR17" dataDxfId="440"/>
    <tableColumn id="143" name="FOLIO REQ17" dataDxfId="439"/>
    <tableColumn id="144" name="REFERENCIA18" dataDxfId="438"/>
    <tableColumn id="145" name="DESCRIPCION18" dataDxfId="437"/>
    <tableColumn id="146" name="UNIDAD18" dataDxfId="436"/>
    <tableColumn id="147" name="CANTIDAD18" dataDxfId="435"/>
    <tableColumn id="148" name="ANCHO18" dataDxfId="434"/>
    <tableColumn id="149" name="LARGO18" dataDxfId="433"/>
    <tableColumn id="150" name="LUGAR18" dataDxfId="432"/>
    <tableColumn id="151" name="FOLIO REQ18" dataDxfId="431"/>
    <tableColumn id="152" name="REFERENCIA19" dataDxfId="430"/>
    <tableColumn id="153" name="DESCRIPCION19" dataDxfId="429"/>
    <tableColumn id="154" name="UNIDAD19" dataDxfId="428"/>
    <tableColumn id="155" name="CANTIDAD19" dataDxfId="427"/>
    <tableColumn id="156" name="ANCHO19" dataDxfId="426"/>
    <tableColumn id="157" name="LARGO19" dataDxfId="425"/>
    <tableColumn id="158" name="LUGAR19" dataDxfId="424"/>
    <tableColumn id="159" name="FOLIO REQ19" dataDxfId="423"/>
    <tableColumn id="160" name="REFERENCIA20" dataDxfId="422"/>
    <tableColumn id="161" name="DESCRIPCION20" dataDxfId="421"/>
    <tableColumn id="162" name="UNIDAD20" dataDxfId="420"/>
    <tableColumn id="163" name="CANTIDAD20" dataDxfId="419"/>
    <tableColumn id="164" name="ANCHO20" dataDxfId="418"/>
    <tableColumn id="165" name="LARGO20" dataDxfId="417"/>
    <tableColumn id="166" name="LUGAR20" dataDxfId="416"/>
    <tableColumn id="167" name="FOLIO REQ20" dataDxfId="415"/>
    <tableColumn id="168" name="ORDEN DE COMPRA" dataDxfId="414"/>
    <tableColumn id="169" name="FOLIO FACTURA" dataDxfId="413"/>
    <tableColumn id="170" name="COMENTARIO" dataDxfId="41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RE" displayName="RE" ref="A1:FN66" totalsRowShown="0" headerRowDxfId="411" dataDxfId="409" headerRowBorderDxfId="410" tableBorderDxfId="408" totalsRowBorderDxfId="407">
  <autoFilter ref="A1:FN66"/>
  <tableColumns count="170">
    <tableColumn id="2" name="ID" dataDxfId="406">
      <calculatedColumnFormula>ROW(A1)</calculatedColumnFormula>
    </tableColumn>
    <tableColumn id="3" name="FOLIO" dataDxfId="405"/>
    <tableColumn id="4" name="PROCEDENCIA" dataDxfId="404"/>
    <tableColumn id="5" name="FECHA" dataDxfId="403"/>
    <tableColumn id="1" name="SOLICITA" dataDxfId="402"/>
    <tableColumn id="6" name="AUTORIZA" dataDxfId="401"/>
    <tableColumn id="7" name="ALMACEN" dataDxfId="400"/>
    <tableColumn id="8" name="REFERENCIA" dataDxfId="399"/>
    <tableColumn id="9" name="DESCRIPCION" dataDxfId="398"/>
    <tableColumn id="10" name="UNIDAD" dataDxfId="397"/>
    <tableColumn id="11" name="CANTIDAD" dataDxfId="396"/>
    <tableColumn id="12" name="ANCHO" dataDxfId="395"/>
    <tableColumn id="13" name="LARGO" dataDxfId="394"/>
    <tableColumn id="14" name="LUGAR" dataDxfId="393"/>
    <tableColumn id="15" name="FOLIO REQ" dataDxfId="392"/>
    <tableColumn id="16" name="REFERENCIA2" dataDxfId="391"/>
    <tableColumn id="17" name="DESCRIPCION2" dataDxfId="390"/>
    <tableColumn id="18" name="UNIDAD2" dataDxfId="389"/>
    <tableColumn id="19" name="CANTIDAD2" dataDxfId="388"/>
    <tableColumn id="20" name="ANCHO2" dataDxfId="387"/>
    <tableColumn id="21" name="LARGO2" dataDxfId="386"/>
    <tableColumn id="22" name="LUGAR2" dataDxfId="385"/>
    <tableColumn id="23" name="FOLIO REQ2" dataDxfId="384"/>
    <tableColumn id="24" name="REFERENCIA3" dataDxfId="383"/>
    <tableColumn id="25" name="DESCRIPCION3" dataDxfId="382"/>
    <tableColumn id="26" name="UNIDAD3" dataDxfId="381"/>
    <tableColumn id="27" name="CANTIDAD3" dataDxfId="380"/>
    <tableColumn id="28" name="ANCHO3" dataDxfId="379"/>
    <tableColumn id="29" name="LARGO3" dataDxfId="378"/>
    <tableColumn id="30" name="LUGAR3" dataDxfId="377"/>
    <tableColumn id="31" name="FOLIO REQ3" dataDxfId="376"/>
    <tableColumn id="32" name="REFERENCIA4" dataDxfId="375"/>
    <tableColumn id="33" name="DESCRIPCION4" dataDxfId="374"/>
    <tableColumn id="34" name="UNIDAD4" dataDxfId="373"/>
    <tableColumn id="35" name="CANTIDAD4" dataDxfId="372"/>
    <tableColumn id="36" name="ANCHO4" dataDxfId="371"/>
    <tableColumn id="37" name="LARGO4" dataDxfId="370"/>
    <tableColumn id="38" name="LUGAR4" dataDxfId="369"/>
    <tableColumn id="39" name="FOLIO REQ4" dataDxfId="368"/>
    <tableColumn id="40" name="REFERENCIA5" dataDxfId="367"/>
    <tableColumn id="41" name="DESCRIPCION5" dataDxfId="366"/>
    <tableColumn id="42" name="UNIDAD5" dataDxfId="365"/>
    <tableColumn id="43" name="CANTIDAD5" dataDxfId="364"/>
    <tableColumn id="44" name="ANCHO5" dataDxfId="363"/>
    <tableColumn id="45" name="LARGO5" dataDxfId="362"/>
    <tableColumn id="46" name="LUGAR5" dataDxfId="361"/>
    <tableColumn id="47" name="FOLIO REQ5" dataDxfId="360"/>
    <tableColumn id="48" name="REFERENCIA6" dataDxfId="359"/>
    <tableColumn id="49" name="DESCRIPCION6" dataDxfId="358"/>
    <tableColumn id="50" name="UNIDAD6" dataDxfId="357"/>
    <tableColumn id="51" name="CANTIDAD6" dataDxfId="356"/>
    <tableColumn id="52" name="ANCHO6" dataDxfId="355"/>
    <tableColumn id="53" name="LARGO6" dataDxfId="354"/>
    <tableColumn id="54" name="LUGAR6" dataDxfId="353"/>
    <tableColumn id="55" name="FOLIO REQ6" dataDxfId="352"/>
    <tableColumn id="56" name="REFERENCIA7" dataDxfId="351"/>
    <tableColumn id="57" name="DESCRIPCION7" dataDxfId="350"/>
    <tableColumn id="58" name="UNIDAD7" dataDxfId="349"/>
    <tableColumn id="59" name="CANTIDAD7" dataDxfId="348"/>
    <tableColumn id="60" name="ANCHO7" dataDxfId="347"/>
    <tableColumn id="61" name="LARGO7" dataDxfId="346"/>
    <tableColumn id="62" name="LUGAR7" dataDxfId="345"/>
    <tableColumn id="63" name="FOLIO REQ7" dataDxfId="344"/>
    <tableColumn id="64" name="REFERENCIA8" dataDxfId="343"/>
    <tableColumn id="65" name="DESCRIPCION8" dataDxfId="342"/>
    <tableColumn id="66" name="UNIDAD8" dataDxfId="341"/>
    <tableColumn id="67" name="CANTIDAD8" dataDxfId="340"/>
    <tableColumn id="68" name="ANCHO8" dataDxfId="339"/>
    <tableColumn id="69" name="LARGO8" dataDxfId="338"/>
    <tableColumn id="70" name="LUGAR8" dataDxfId="337"/>
    <tableColumn id="71" name="FOLIO REQ8" dataDxfId="336"/>
    <tableColumn id="72" name="REFERENCIA9" dataDxfId="335"/>
    <tableColumn id="73" name="DESCRIPCION9" dataDxfId="334"/>
    <tableColumn id="74" name="UNIDAD9" dataDxfId="333"/>
    <tableColumn id="75" name="CANTIDAD9" dataDxfId="332"/>
    <tableColumn id="76" name="ANCHO9" dataDxfId="331"/>
    <tableColumn id="77" name="LARGO9" dataDxfId="330"/>
    <tableColumn id="78" name="LUGAR9" dataDxfId="329"/>
    <tableColumn id="79" name="FOLIO REQ9" dataDxfId="328"/>
    <tableColumn id="80" name="REFERENCIA10" dataDxfId="327"/>
    <tableColumn id="81" name="DESCRIPCION10" dataDxfId="326"/>
    <tableColumn id="82" name="UNIDAD10" dataDxfId="325"/>
    <tableColumn id="83" name="CANTIDAD10" dataDxfId="324"/>
    <tableColumn id="84" name="ANCHO10" dataDxfId="323"/>
    <tableColumn id="85" name="LARGO10" dataDxfId="322"/>
    <tableColumn id="86" name="LUGAR10" dataDxfId="321"/>
    <tableColumn id="87" name="FOLIO REQ10" dataDxfId="320"/>
    <tableColumn id="88" name="REFERENCIA11" dataDxfId="319"/>
    <tableColumn id="89" name="DESCRIPCION11" dataDxfId="318"/>
    <tableColumn id="90" name="UNIDAD11" dataDxfId="317"/>
    <tableColumn id="91" name="CANTIDAD11" dataDxfId="316"/>
    <tableColumn id="92" name="ANCHO11" dataDxfId="315"/>
    <tableColumn id="93" name="LARGO11" dataDxfId="314"/>
    <tableColumn id="94" name="LUGAR11" dataDxfId="313"/>
    <tableColumn id="95" name="FOLIO REQ11" dataDxfId="312"/>
    <tableColumn id="96" name="REFERENCIA12" dataDxfId="311"/>
    <tableColumn id="97" name="DESCRIPCION12" dataDxfId="310"/>
    <tableColumn id="98" name="UNIDAD12" dataDxfId="309"/>
    <tableColumn id="99" name="CANTIDAD12" dataDxfId="308"/>
    <tableColumn id="100" name="ANCHO12" dataDxfId="307"/>
    <tableColumn id="101" name="LARGO12" dataDxfId="306"/>
    <tableColumn id="102" name="LUGAR12" dataDxfId="305"/>
    <tableColumn id="103" name="FOLIO REQ12" dataDxfId="304"/>
    <tableColumn id="104" name="REFERENCIA13" dataDxfId="303"/>
    <tableColumn id="105" name="DESCRIPCION13" dataDxfId="302"/>
    <tableColumn id="106" name="UNIDAD13" dataDxfId="301"/>
    <tableColumn id="107" name="CANTIDAD13" dataDxfId="300"/>
    <tableColumn id="108" name="ANCHO13" dataDxfId="299"/>
    <tableColumn id="109" name="LARGO13" dataDxfId="298"/>
    <tableColumn id="110" name="LUGAR13" dataDxfId="297"/>
    <tableColumn id="111" name="FOLIO REQ13" dataDxfId="296"/>
    <tableColumn id="112" name="REFERENCIA14" dataDxfId="295"/>
    <tableColumn id="113" name="DESCRIPCION14" dataDxfId="294"/>
    <tableColumn id="114" name="UNIDAD14" dataDxfId="293"/>
    <tableColumn id="115" name="CANTIDAD14" dataDxfId="292"/>
    <tableColumn id="116" name="ANCHO14" dataDxfId="291"/>
    <tableColumn id="117" name="LARGO14" dataDxfId="290"/>
    <tableColumn id="118" name="LUGAR14" dataDxfId="289"/>
    <tableColumn id="119" name="FOLIO REQ14" dataDxfId="288"/>
    <tableColumn id="120" name="REFERENCIA15" dataDxfId="287"/>
    <tableColumn id="121" name="DESCRIPCION15" dataDxfId="286"/>
    <tableColumn id="122" name="UNIDAD15" dataDxfId="285"/>
    <tableColumn id="123" name="CANTIDAD15" dataDxfId="284"/>
    <tableColumn id="124" name="ANCHO15" dataDxfId="283"/>
    <tableColumn id="125" name="LARGO15" dataDxfId="282"/>
    <tableColumn id="126" name="LUGAR15" dataDxfId="281"/>
    <tableColumn id="127" name="FOLIO REQ15" dataDxfId="280"/>
    <tableColumn id="128" name="REFERENCIA16" dataDxfId="279"/>
    <tableColumn id="129" name="DESCRIPCION16" dataDxfId="278"/>
    <tableColumn id="130" name="UNIDAD16" dataDxfId="277"/>
    <tableColumn id="131" name="CANTIDAD16" dataDxfId="276"/>
    <tableColumn id="132" name="ANCHO16" dataDxfId="275"/>
    <tableColumn id="133" name="LARGO16" dataDxfId="274"/>
    <tableColumn id="134" name="LUGAR16" dataDxfId="273"/>
    <tableColumn id="135" name="FOLIO REQ16" dataDxfId="272"/>
    <tableColumn id="136" name="REFERENCIA17" dataDxfId="271"/>
    <tableColumn id="137" name="DESCRIPCION17" dataDxfId="270"/>
    <tableColumn id="138" name="UNIDAD17" dataDxfId="269"/>
    <tableColumn id="139" name="CANTIDAD17" dataDxfId="268"/>
    <tableColumn id="140" name="ANCHO17" dataDxfId="267"/>
    <tableColumn id="141" name="LARGO17" dataDxfId="266"/>
    <tableColumn id="142" name="LUGAR17" dataDxfId="265"/>
    <tableColumn id="143" name="FOLIO REQ17" dataDxfId="264"/>
    <tableColumn id="144" name="REFERENCIA18" dataDxfId="263"/>
    <tableColumn id="145" name="DESCRIPCION18" dataDxfId="262"/>
    <tableColumn id="146" name="UNIDAD18" dataDxfId="261"/>
    <tableColumn id="147" name="CANTIDAD18" dataDxfId="260"/>
    <tableColumn id="148" name="ANCHO18" dataDxfId="259"/>
    <tableColumn id="149" name="LARGO18" dataDxfId="258"/>
    <tableColumn id="150" name="LUGAR18" dataDxfId="257"/>
    <tableColumn id="151" name="FOLIO REQ18" dataDxfId="256"/>
    <tableColumn id="152" name="REFERENCIA19" dataDxfId="255"/>
    <tableColumn id="153" name="DESCRIPCION19" dataDxfId="254"/>
    <tableColumn id="154" name="UNIDAD19" dataDxfId="253"/>
    <tableColumn id="155" name="CANTIDAD19" dataDxfId="252"/>
    <tableColumn id="156" name="ANCHO19" dataDxfId="251"/>
    <tableColumn id="157" name="LARGO19" dataDxfId="250"/>
    <tableColumn id="158" name="LUGAR19" dataDxfId="249"/>
    <tableColumn id="159" name="FOLIO REQ19" dataDxfId="248"/>
    <tableColumn id="160" name="REFERENCIA20" dataDxfId="247"/>
    <tableColumn id="161" name="DESCRIPCION20" dataDxfId="246"/>
    <tableColumn id="162" name="UNIDAD20" dataDxfId="245"/>
    <tableColumn id="163" name="CANTIDAD20" dataDxfId="244"/>
    <tableColumn id="164" name="ANCHO20" dataDxfId="243"/>
    <tableColumn id="165" name="LARGO20" dataDxfId="242"/>
    <tableColumn id="166" name="LUGAR20" dataDxfId="241"/>
    <tableColumn id="167" name="FOLIO REQ20" dataDxfId="240"/>
    <tableColumn id="168" name="ORDEN DE COMPRA" dataDxfId="239"/>
    <tableColumn id="169" name="FOLIO FACTURA" dataDxfId="238"/>
    <tableColumn id="170" name="COMENTARIO" dataDxfId="2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1" name="LS_LS" displayName="LS_LS" ref="A1:FN4" totalsRowShown="0" headerRowDxfId="236" dataDxfId="234" headerRowBorderDxfId="235" tableBorderDxfId="233" totalsRowBorderDxfId="232">
  <autoFilter ref="A1:FN4"/>
  <tableColumns count="170">
    <tableColumn id="2" name="ID" dataDxfId="231">
      <calculatedColumnFormula>ROW(A1)</calculatedColumnFormula>
    </tableColumn>
    <tableColumn id="3" name="FOLIO" dataDxfId="230"/>
    <tableColumn id="4" name="OBRA" dataDxfId="229"/>
    <tableColumn id="5" name="FECHA" dataDxfId="228"/>
    <tableColumn id="1" name="SOLICITA" dataDxfId="227"/>
    <tableColumn id="6" name="AUTORIZA" dataDxfId="226"/>
    <tableColumn id="7" name="ALMACEN" dataDxfId="225"/>
    <tableColumn id="8" name="REFERENCIA" dataDxfId="224"/>
    <tableColumn id="9" name="DESCRIPCION" dataDxfId="223"/>
    <tableColumn id="10" name="UNIDAD" dataDxfId="222"/>
    <tableColumn id="11" name="CANTIDAD" dataDxfId="221"/>
    <tableColumn id="12" name="ANCHO" dataDxfId="220"/>
    <tableColumn id="13" name="LARGO" dataDxfId="219"/>
    <tableColumn id="14" name="LUGAR" dataDxfId="218"/>
    <tableColumn id="15" name="FOLIO REQ" dataDxfId="217"/>
    <tableColumn id="16" name="REFERENCIA2" dataDxfId="216"/>
    <tableColumn id="17" name="DESCRIPCION2" dataDxfId="215"/>
    <tableColumn id="18" name="UNIDAD2" dataDxfId="214"/>
    <tableColumn id="19" name="CANTIDAD2" dataDxfId="213"/>
    <tableColumn id="20" name="ANCHO2" dataDxfId="212"/>
    <tableColumn id="21" name="LARGO2" dataDxfId="211"/>
    <tableColumn id="22" name="LUGAR2" dataDxfId="210"/>
    <tableColumn id="23" name="FOLIO REQ2" dataDxfId="209"/>
    <tableColumn id="24" name="REFERENCIA3" dataDxfId="208"/>
    <tableColumn id="25" name="DESCRIPCION3" dataDxfId="207"/>
    <tableColumn id="26" name="UNIDAD3" dataDxfId="206"/>
    <tableColumn id="27" name="CANTIDAD3" dataDxfId="205"/>
    <tableColumn id="28" name="ANCHO3" dataDxfId="204"/>
    <tableColumn id="29" name="LARGO3" dataDxfId="203"/>
    <tableColumn id="30" name="LUGAR3" dataDxfId="202"/>
    <tableColumn id="31" name="FOLIO REQ3" dataDxfId="201"/>
    <tableColumn id="32" name="REFERENCIA4" dataDxfId="200"/>
    <tableColumn id="33" name="DESCRIPCION4" dataDxfId="199"/>
    <tableColumn id="34" name="UNIDAD4" dataDxfId="198"/>
    <tableColumn id="35" name="CANTIDAD4" dataDxfId="197"/>
    <tableColumn id="36" name="ANCHO4" dataDxfId="196"/>
    <tableColumn id="37" name="LARGO4" dataDxfId="195"/>
    <tableColumn id="38" name="LUGAR4" dataDxfId="194"/>
    <tableColumn id="39" name="FOLIO REQ4" dataDxfId="193"/>
    <tableColumn id="40" name="REFERENCIA5" dataDxfId="192"/>
    <tableColumn id="41" name="DESCRIPCION5" dataDxfId="191"/>
    <tableColumn id="42" name="UNIDAD5" dataDxfId="190"/>
    <tableColumn id="43" name="CANTIDAD5" dataDxfId="189"/>
    <tableColumn id="44" name="ANCHO5" dataDxfId="188"/>
    <tableColumn id="45" name="LARGO5" dataDxfId="187"/>
    <tableColumn id="46" name="LUGAR5" dataDxfId="186"/>
    <tableColumn id="47" name="FOLIO REQ5" dataDxfId="185"/>
    <tableColumn id="48" name="REFERENCIA6" dataDxfId="184"/>
    <tableColumn id="49" name="DESCRIPCION6" dataDxfId="183"/>
    <tableColumn id="50" name="UNIDAD6" dataDxfId="182"/>
    <tableColumn id="51" name="CANTIDAD6" dataDxfId="181"/>
    <tableColumn id="52" name="ANCHO6" dataDxfId="180"/>
    <tableColumn id="53" name="LARGO6" dataDxfId="179"/>
    <tableColumn id="54" name="LUGAR6" dataDxfId="178"/>
    <tableColumn id="55" name="FOLIO REQ6" dataDxfId="177"/>
    <tableColumn id="56" name="REFERENCIA7" dataDxfId="176"/>
    <tableColumn id="57" name="DESCRIPCION7" dataDxfId="175"/>
    <tableColumn id="58" name="UNIDAD7" dataDxfId="174"/>
    <tableColumn id="59" name="CANTIDAD7" dataDxfId="173"/>
    <tableColumn id="60" name="ANCHO7" dataDxfId="172"/>
    <tableColumn id="61" name="LARGO7" dataDxfId="171"/>
    <tableColumn id="62" name="LUGAR7" dataDxfId="170"/>
    <tableColumn id="63" name="FOLIO REQ7" dataDxfId="169"/>
    <tableColumn id="64" name="REFERENCIA8" dataDxfId="168"/>
    <tableColumn id="65" name="DESCRIPCION8" dataDxfId="167"/>
    <tableColumn id="66" name="UNIDAD8" dataDxfId="166"/>
    <tableColumn id="67" name="CANTIDAD8" dataDxfId="165"/>
    <tableColumn id="68" name="ANCHO8" dataDxfId="164"/>
    <tableColumn id="69" name="LARGO8" dataDxfId="163"/>
    <tableColumn id="70" name="LUGAR8" dataDxfId="162"/>
    <tableColumn id="71" name="FOLIO REQ8" dataDxfId="161"/>
    <tableColumn id="72" name="REFERENCIA9" dataDxfId="160"/>
    <tableColumn id="73" name="DESCRIPCION9" dataDxfId="159"/>
    <tableColumn id="74" name="UNIDAD9" dataDxfId="158"/>
    <tableColumn id="75" name="CANTIDAD9" dataDxfId="157"/>
    <tableColumn id="76" name="ANCHO9" dataDxfId="156"/>
    <tableColumn id="77" name="LARGO9" dataDxfId="155"/>
    <tableColumn id="78" name="LUGAR9" dataDxfId="154"/>
    <tableColumn id="79" name="FOLIO REQ9" dataDxfId="153"/>
    <tableColumn id="80" name="REFERENCIA10" dataDxfId="152"/>
    <tableColumn id="81" name="DESCRIPCION10" dataDxfId="151"/>
    <tableColumn id="82" name="UNIDAD10" dataDxfId="150"/>
    <tableColumn id="83" name="CANTIDAD10" dataDxfId="149"/>
    <tableColumn id="84" name="ANCHO10" dataDxfId="148"/>
    <tableColumn id="85" name="LARGO10" dataDxfId="147"/>
    <tableColumn id="86" name="LUGAR10" dataDxfId="146"/>
    <tableColumn id="87" name="FOLIO REQ10" dataDxfId="145"/>
    <tableColumn id="88" name="REFERENCIA11" dataDxfId="144"/>
    <tableColumn id="89" name="DESCRIPCION11" dataDxfId="143"/>
    <tableColumn id="90" name="UNIDAD11" dataDxfId="142"/>
    <tableColumn id="91" name="CANTIDAD11" dataDxfId="141"/>
    <tableColumn id="92" name="ANCHO11" dataDxfId="140"/>
    <tableColumn id="93" name="LARGO11" dataDxfId="139"/>
    <tableColumn id="94" name="LUGAR11" dataDxfId="138"/>
    <tableColumn id="95" name="FOLIO REQ11" dataDxfId="137"/>
    <tableColumn id="96" name="REFERENCIA12" dataDxfId="136"/>
    <tableColumn id="97" name="DESCRIPCION12" dataDxfId="135"/>
    <tableColumn id="98" name="UNIDAD12" dataDxfId="134"/>
    <tableColumn id="99" name="CANTIDAD12" dataDxfId="133"/>
    <tableColumn id="100" name="ANCHO12" dataDxfId="132"/>
    <tableColumn id="101" name="LARGO12" dataDxfId="131"/>
    <tableColumn id="102" name="LUGAR12" dataDxfId="130"/>
    <tableColumn id="103" name="FOLIO REQ12" dataDxfId="129"/>
    <tableColumn id="104" name="REFERENCIA13" dataDxfId="128"/>
    <tableColumn id="105" name="DESCRIPCION13" dataDxfId="127"/>
    <tableColumn id="106" name="UNIDAD13" dataDxfId="126"/>
    <tableColumn id="107" name="CANTIDAD13" dataDxfId="125"/>
    <tableColumn id="108" name="ANCHO13" dataDxfId="124"/>
    <tableColumn id="109" name="LARGO13" dataDxfId="123"/>
    <tableColumn id="110" name="LUGAR13" dataDxfId="122"/>
    <tableColumn id="111" name="FOLIO REQ13" dataDxfId="121"/>
    <tableColumn id="112" name="REFERENCIA14" dataDxfId="120"/>
    <tableColumn id="113" name="DESCRIPCION14" dataDxfId="119"/>
    <tableColumn id="114" name="UNIDAD14" dataDxfId="118"/>
    <tableColumn id="115" name="CANTIDAD14" dataDxfId="117"/>
    <tableColumn id="116" name="ANCHO14" dataDxfId="116"/>
    <tableColumn id="117" name="LARGO14" dataDxfId="115"/>
    <tableColumn id="118" name="LUGAR14" dataDxfId="114"/>
    <tableColumn id="119" name="FOLIO REQ14" dataDxfId="113"/>
    <tableColumn id="120" name="REFERENCIA15" dataDxfId="112"/>
    <tableColumn id="121" name="DESCRIPCION15" dataDxfId="111"/>
    <tableColumn id="122" name="UNIDAD15" dataDxfId="110"/>
    <tableColumn id="123" name="CANTIDAD15" dataDxfId="109"/>
    <tableColumn id="124" name="ANCHO15" dataDxfId="108"/>
    <tableColumn id="125" name="LARGO15" dataDxfId="107"/>
    <tableColumn id="126" name="LUGAR15" dataDxfId="106"/>
    <tableColumn id="127" name="FOLIO REQ15" dataDxfId="105"/>
    <tableColumn id="128" name="REFERENCIA16" dataDxfId="104"/>
    <tableColumn id="129" name="DESCRIPCION16" dataDxfId="103"/>
    <tableColumn id="130" name="UNIDAD16" dataDxfId="102"/>
    <tableColumn id="131" name="CANTIDAD16" dataDxfId="101"/>
    <tableColumn id="132" name="ANCHO16" dataDxfId="100"/>
    <tableColumn id="133" name="LARGO16" dataDxfId="99"/>
    <tableColumn id="134" name="LUGAR16" dataDxfId="98"/>
    <tableColumn id="135" name="FOLIO REQ16" dataDxfId="97"/>
    <tableColumn id="136" name="REFERENCIA17" dataDxfId="96"/>
    <tableColumn id="137" name="DESCRIPCION17" dataDxfId="95"/>
    <tableColumn id="138" name="UNIDAD17" dataDxfId="94"/>
    <tableColumn id="139" name="CANTIDAD17" dataDxfId="93"/>
    <tableColumn id="140" name="ANCHO17" dataDxfId="92"/>
    <tableColumn id="141" name="LARGO17" dataDxfId="91"/>
    <tableColumn id="142" name="LUGAR17" dataDxfId="90"/>
    <tableColumn id="143" name="FOLIO REQ17" dataDxfId="89"/>
    <tableColumn id="144" name="REFERENCIA18" dataDxfId="88"/>
    <tableColumn id="145" name="DESCRIPCION18" dataDxfId="87"/>
    <tableColumn id="146" name="UNIDAD18" dataDxfId="86"/>
    <tableColumn id="147" name="CANTIDAD18" dataDxfId="85"/>
    <tableColumn id="148" name="ANCHO18" dataDxfId="84"/>
    <tableColumn id="149" name="LARGO18" dataDxfId="83"/>
    <tableColumn id="150" name="LUGAR18" dataDxfId="82"/>
    <tableColumn id="151" name="FOLIO REQ18" dataDxfId="81"/>
    <tableColumn id="152" name="REFERENCIA19" dataDxfId="80"/>
    <tableColumn id="153" name="DESCRIPCION19" dataDxfId="79"/>
    <tableColumn id="154" name="UNIDAD19" dataDxfId="78"/>
    <tableColumn id="155" name="CANTIDAD19" dataDxfId="77"/>
    <tableColumn id="156" name="ANCHO19" dataDxfId="76"/>
    <tableColumn id="157" name="LARGO19" dataDxfId="75"/>
    <tableColumn id="158" name="LUGAR19" dataDxfId="74"/>
    <tableColumn id="159" name="FOLIO REQ19" dataDxfId="73"/>
    <tableColumn id="160" name="REFERENCIA20" dataDxfId="72"/>
    <tableColumn id="161" name="DESCRIPCION20" dataDxfId="71"/>
    <tableColumn id="162" name="UNIDAD20" dataDxfId="70"/>
    <tableColumn id="163" name="CANTIDAD20" dataDxfId="69"/>
    <tableColumn id="164" name="ANCHO20" dataDxfId="68"/>
    <tableColumn id="165" name="LARGO20" dataDxfId="67"/>
    <tableColumn id="166" name="LUGAR20" dataDxfId="66"/>
    <tableColumn id="167" name="FOLIO REQ20" dataDxfId="65"/>
    <tableColumn id="168" name="ORDEN DE COMPRA" dataDxfId="64"/>
    <tableColumn id="169" name="FOLIO FACTURA" dataDxfId="63"/>
    <tableColumn id="170" name="COMENTARIO" dataDxfId="6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a7" displayName="Tabla7" ref="A1:H3" totalsRowShown="0" headerRowDxfId="61" headerRowBorderDxfId="60" tableBorderDxfId="59" totalsRowBorderDxfId="58">
  <autoFilter ref="A1:H3"/>
  <tableColumns count="8">
    <tableColumn id="1" name="FOLIO" dataDxfId="57"/>
    <tableColumn id="2" name="OBRA" dataDxfId="56"/>
    <tableColumn id="4" name="SOLICITA" dataDxfId="55"/>
    <tableColumn id="5" name="AUTORIZA" dataDxfId="54"/>
    <tableColumn id="6" name="ALMACEN" dataDxfId="53"/>
    <tableColumn id="7" name="ORDEN COMPRA" dataDxfId="52"/>
    <tableColumn id="8" name="FOLIO FACTURA" dataDxfId="51"/>
    <tableColumn id="3" name="OBSERVACIONES" dataDxfId="5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9" name="LISTA" displayName="LISTA" ref="A1:N3" totalsRowShown="0" headerRowDxfId="49" headerRowBorderDxfId="48" tableBorderDxfId="47" totalsRowBorderDxfId="46">
  <autoFilter ref="A1:N3"/>
  <tableColumns count="14">
    <tableColumn id="1" name="REFERENCIA" dataDxfId="45"/>
    <tableColumn id="2" name="DESCRIPCION" dataDxfId="44"/>
    <tableColumn id="3" name="UNIDAD" dataDxfId="43"/>
    <tableColumn id="4" name="CANTIDAD" dataDxfId="42"/>
    <tableColumn id="5" name="ANCHO" dataDxfId="41"/>
    <tableColumn id="6" name="LARGO" dataDxfId="40"/>
    <tableColumn id="7" name="LUGAR" dataDxfId="39"/>
    <tableColumn id="8" name="FOLIO REQ" dataDxfId="38"/>
    <tableColumn id="9" name="NUMERO" dataDxfId="37"/>
    <tableColumn id="13" name="MARCA" dataDxfId="36"/>
    <tableColumn id="12" name="COLOR" dataDxfId="35"/>
    <tableColumn id="10" name="PROVEEDOR" dataDxfId="34"/>
    <tableColumn id="14" name="STOCK" dataDxfId="33"/>
    <tableColumn id="15" name="TP.MOV" dataDxfId="3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8" name="HIN" displayName="HIN" ref="A1:D395" totalsRowShown="0" headerRowDxfId="31" headerRowBorderDxfId="30" tableBorderDxfId="29" totalsRowBorderDxfId="28">
  <autoFilter ref="A1:D395">
    <filterColumn colId="0" hiddenButton="1"/>
    <filterColumn colId="1" hiddenButton="1"/>
    <filterColumn colId="2" hiddenButton="1"/>
    <filterColumn colId="3" hiddenButton="1"/>
  </autoFilter>
  <tableColumns count="4">
    <tableColumn id="1" name="PRODUCTO" dataDxfId="27"/>
    <tableColumn id="2" name="ACTUAL" dataDxfId="26"/>
    <tableColumn id="3" name="EXISTENTE" dataDxfId="25"/>
    <tableColumn id="4" name="OBSERVACIONES" dataDxfId="24"/>
  </tableColumns>
  <tableStyleInfo name="TableStyleMedium1" showFirstColumn="0" showLastColumn="0" showRowStripes="1" showColumnStripes="0"/>
</table>
</file>

<file path=xl/tables/table10.xml><?xml version="1.0" encoding="utf-8"?>
<table xmlns="http://schemas.openxmlformats.org/spreadsheetml/2006/main" id="10" name="REPORTE" displayName="REPORTE" ref="A1:K51" totalsRowShown="0" headerRowDxfId="23" dataDxfId="21" headerRowBorderDxfId="22" tableBorderDxfId="20" totalsRowBorderDxfId="19">
  <autoFilter ref="A1:K51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4" name="TIPO DE MOV." dataDxfId="18"/>
    <tableColumn id="2" name="NOMBRE DEL PRODUCTO" dataDxfId="17"/>
    <tableColumn id="3" name="CLAVE" dataDxfId="16"/>
    <tableColumn id="4" name="NUMERO" dataDxfId="15"/>
    <tableColumn id="5" name="MARCA" dataDxfId="14"/>
    <tableColumn id="6" name="COLOR" dataDxfId="13"/>
    <tableColumn id="7" name="UNIDAD" dataDxfId="12"/>
    <tableColumn id="8" name="CANTIDAD" dataDxfId="11"/>
    <tableColumn id="9" name="PROVEEDOR " dataDxfId="10"/>
    <tableColumn id="10" name="LUGAR" dataDxfId="9"/>
    <tableColumn id="15" name="FECHA" dataDxfId="8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6" name="USSUARIOS" displayName="USSUARIOS" ref="A1:C7" totalsRowShown="0" headerRowDxfId="7" dataDxfId="5" headerRowBorderDxfId="6" tableBorderDxfId="4" totalsRowBorderDxfId="3">
  <autoFilter ref="A1:C7"/>
  <tableColumns count="3">
    <tableColumn id="2" name="ID" dataDxfId="2">
      <calculatedColumnFormula>ROW(A1)</calculatedColumnFormula>
    </tableColumn>
    <tableColumn id="3" name="PROVEEDOR" dataDxfId="1"/>
    <tableColumn id="4" name="NUMER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8" tint="-0.249977111117893"/>
  </sheetPr>
  <dimension ref="A1:M409"/>
  <sheetViews>
    <sheetView workbookViewId="0">
      <selection activeCell="C7" sqref="C7"/>
    </sheetView>
  </sheetViews>
  <sheetFormatPr baseColWidth="10" defaultRowHeight="15" x14ac:dyDescent="0.25"/>
  <cols>
    <col min="1" max="1" width="33.42578125" customWidth="1"/>
    <col min="2" max="2" width="9" style="14" customWidth="1"/>
    <col min="3" max="3" width="12.7109375" customWidth="1"/>
    <col min="9" max="9" width="14.42578125" customWidth="1"/>
    <col min="10" max="10" width="14.85546875" customWidth="1"/>
    <col min="13" max="13" width="57.28515625" customWidth="1"/>
  </cols>
  <sheetData>
    <row r="1" spans="1:13" ht="30" x14ac:dyDescent="0.25">
      <c r="A1" s="2" t="s">
        <v>21</v>
      </c>
      <c r="B1" s="3" t="s">
        <v>0</v>
      </c>
      <c r="C1" s="3" t="s">
        <v>198</v>
      </c>
      <c r="D1" s="3" t="s">
        <v>1</v>
      </c>
      <c r="E1" s="3" t="s">
        <v>2</v>
      </c>
      <c r="F1" s="3" t="s">
        <v>3</v>
      </c>
      <c r="G1" s="3" t="s">
        <v>4</v>
      </c>
      <c r="H1" s="3" t="s">
        <v>5</v>
      </c>
      <c r="I1" s="3" t="s">
        <v>6</v>
      </c>
      <c r="J1" s="3" t="s">
        <v>7</v>
      </c>
      <c r="K1" s="3" t="s">
        <v>8</v>
      </c>
      <c r="L1" s="4" t="s">
        <v>9</v>
      </c>
      <c r="M1" s="3" t="s">
        <v>22</v>
      </c>
    </row>
    <row r="2" spans="1:13" ht="15" customHeight="1" x14ac:dyDescent="0.25">
      <c r="A2" s="15"/>
      <c r="B2" s="32">
        <f t="shared" ref="B2:B65" si="0">ROW(B1)</f>
        <v>1</v>
      </c>
      <c r="C2" s="33"/>
      <c r="D2" s="33"/>
      <c r="E2" s="33"/>
      <c r="F2" s="33"/>
      <c r="G2" s="33"/>
      <c r="H2" s="33">
        <v>0</v>
      </c>
      <c r="I2" s="33"/>
      <c r="J2" s="33"/>
      <c r="K2" s="33"/>
      <c r="L2" s="34"/>
      <c r="M2" s="33"/>
    </row>
    <row r="3" spans="1:13" ht="30" x14ac:dyDescent="0.25">
      <c r="A3" s="84" t="s">
        <v>218</v>
      </c>
      <c r="B3" s="81">
        <f t="shared" si="0"/>
        <v>2</v>
      </c>
      <c r="C3" s="82" t="s">
        <v>219</v>
      </c>
      <c r="D3" s="82"/>
      <c r="E3" s="82"/>
      <c r="F3" s="82" t="s">
        <v>220</v>
      </c>
      <c r="G3" s="82" t="s">
        <v>221</v>
      </c>
      <c r="H3" s="82">
        <v>0</v>
      </c>
      <c r="I3" s="82" t="s">
        <v>222</v>
      </c>
      <c r="J3" s="82" t="s">
        <v>223</v>
      </c>
      <c r="K3" s="82"/>
      <c r="L3" s="83"/>
      <c r="M3" s="82"/>
    </row>
    <row r="4" spans="1:13" x14ac:dyDescent="0.25">
      <c r="A4" s="15" t="s">
        <v>224</v>
      </c>
      <c r="B4" s="32">
        <f t="shared" si="0"/>
        <v>3</v>
      </c>
      <c r="C4" s="33" t="s">
        <v>225</v>
      </c>
      <c r="D4" s="33"/>
      <c r="E4" s="33"/>
      <c r="F4" s="33" t="s">
        <v>226</v>
      </c>
      <c r="G4" s="33" t="s">
        <v>221</v>
      </c>
      <c r="H4" s="33">
        <v>0</v>
      </c>
      <c r="I4" s="33"/>
      <c r="J4" s="33" t="s">
        <v>223</v>
      </c>
      <c r="K4" s="33"/>
      <c r="L4" s="34"/>
      <c r="M4" s="33"/>
    </row>
    <row r="5" spans="1:13" ht="30" x14ac:dyDescent="0.25">
      <c r="A5" s="102" t="s">
        <v>227</v>
      </c>
      <c r="B5" s="32">
        <f t="shared" si="0"/>
        <v>4</v>
      </c>
      <c r="C5" s="33" t="s">
        <v>228</v>
      </c>
      <c r="D5" s="33" t="s">
        <v>229</v>
      </c>
      <c r="E5" s="33"/>
      <c r="F5" s="33" t="s">
        <v>230</v>
      </c>
      <c r="G5" s="33" t="s">
        <v>231</v>
      </c>
      <c r="H5" s="33">
        <v>0</v>
      </c>
      <c r="I5" s="33" t="s">
        <v>223</v>
      </c>
      <c r="J5" s="33" t="s">
        <v>223</v>
      </c>
      <c r="K5" s="33"/>
      <c r="L5" s="34"/>
      <c r="M5" s="33"/>
    </row>
    <row r="6" spans="1:13" x14ac:dyDescent="0.25">
      <c r="A6" s="102" t="s">
        <v>232</v>
      </c>
      <c r="B6" s="32">
        <f t="shared" si="0"/>
        <v>5</v>
      </c>
      <c r="C6" s="33">
        <v>1252</v>
      </c>
      <c r="D6" s="33"/>
      <c r="E6" s="33" t="s">
        <v>233</v>
      </c>
      <c r="F6" s="33" t="s">
        <v>234</v>
      </c>
      <c r="G6" s="33" t="s">
        <v>235</v>
      </c>
      <c r="H6" s="33">
        <v>3</v>
      </c>
      <c r="I6" s="33" t="s">
        <v>223</v>
      </c>
      <c r="J6" s="33" t="s">
        <v>223</v>
      </c>
      <c r="K6" s="33"/>
      <c r="L6" s="34"/>
      <c r="M6" s="33"/>
    </row>
    <row r="7" spans="1:13" x14ac:dyDescent="0.25">
      <c r="A7" s="102" t="s">
        <v>232</v>
      </c>
      <c r="B7" s="32">
        <f t="shared" si="0"/>
        <v>6</v>
      </c>
      <c r="C7" s="33">
        <v>1202002</v>
      </c>
      <c r="D7" s="33"/>
      <c r="E7" s="33" t="s">
        <v>233</v>
      </c>
      <c r="F7" s="33" t="s">
        <v>234</v>
      </c>
      <c r="G7" s="33" t="s">
        <v>235</v>
      </c>
      <c r="H7" s="33">
        <v>1</v>
      </c>
      <c r="I7" s="33" t="s">
        <v>223</v>
      </c>
      <c r="J7" s="33" t="s">
        <v>223</v>
      </c>
      <c r="K7" s="33"/>
      <c r="L7" s="34"/>
      <c r="M7" s="33"/>
    </row>
    <row r="8" spans="1:13" ht="30" x14ac:dyDescent="0.25">
      <c r="A8" s="102" t="s">
        <v>236</v>
      </c>
      <c r="B8" s="32">
        <f t="shared" si="0"/>
        <v>7</v>
      </c>
      <c r="C8" s="33">
        <v>1250</v>
      </c>
      <c r="D8" s="33"/>
      <c r="E8" s="33" t="s">
        <v>233</v>
      </c>
      <c r="F8" s="33" t="s">
        <v>234</v>
      </c>
      <c r="G8" s="33" t="s">
        <v>235</v>
      </c>
      <c r="H8" s="33">
        <v>2</v>
      </c>
      <c r="I8" s="33" t="s">
        <v>223</v>
      </c>
      <c r="J8" s="33" t="s">
        <v>223</v>
      </c>
      <c r="K8" s="33"/>
      <c r="L8" s="34"/>
      <c r="M8" s="33"/>
    </row>
    <row r="9" spans="1:13" x14ac:dyDescent="0.25">
      <c r="A9" s="102" t="s">
        <v>237</v>
      </c>
      <c r="B9" s="32">
        <f t="shared" si="0"/>
        <v>8</v>
      </c>
      <c r="C9" s="33" t="s">
        <v>238</v>
      </c>
      <c r="D9" s="33"/>
      <c r="E9" s="33"/>
      <c r="F9" s="33" t="s">
        <v>239</v>
      </c>
      <c r="G9" s="33" t="s">
        <v>240</v>
      </c>
      <c r="H9" s="33">
        <v>0</v>
      </c>
      <c r="I9" s="33" t="s">
        <v>223</v>
      </c>
      <c r="J9" s="33" t="s">
        <v>223</v>
      </c>
      <c r="K9" s="33"/>
      <c r="L9" s="34"/>
      <c r="M9" s="33"/>
    </row>
    <row r="10" spans="1:13" x14ac:dyDescent="0.25">
      <c r="A10" s="102" t="s">
        <v>241</v>
      </c>
      <c r="B10" s="32">
        <f t="shared" si="0"/>
        <v>9</v>
      </c>
      <c r="C10" s="33" t="s">
        <v>242</v>
      </c>
      <c r="D10" s="33"/>
      <c r="E10" s="33"/>
      <c r="F10" s="33"/>
      <c r="G10" s="33" t="s">
        <v>243</v>
      </c>
      <c r="H10" s="33">
        <v>280</v>
      </c>
      <c r="I10" s="33" t="s">
        <v>223</v>
      </c>
      <c r="J10" s="33" t="s">
        <v>223</v>
      </c>
      <c r="K10" s="33"/>
      <c r="L10" s="34"/>
      <c r="M10" s="33"/>
    </row>
    <row r="11" spans="1:13" x14ac:dyDescent="0.25">
      <c r="A11" s="102" t="s">
        <v>244</v>
      </c>
      <c r="B11" s="32">
        <f t="shared" si="0"/>
        <v>10</v>
      </c>
      <c r="C11" s="33" t="s">
        <v>245</v>
      </c>
      <c r="D11" s="33"/>
      <c r="E11" s="33"/>
      <c r="F11" s="33"/>
      <c r="G11" s="33" t="s">
        <v>243</v>
      </c>
      <c r="H11" s="33">
        <v>400</v>
      </c>
      <c r="I11" s="33" t="s">
        <v>223</v>
      </c>
      <c r="J11" s="33" t="s">
        <v>223</v>
      </c>
      <c r="K11" s="33"/>
      <c r="L11" s="34"/>
      <c r="M11" s="33"/>
    </row>
    <row r="12" spans="1:13" x14ac:dyDescent="0.25">
      <c r="A12" s="102" t="s">
        <v>246</v>
      </c>
      <c r="B12" s="32">
        <f t="shared" si="0"/>
        <v>11</v>
      </c>
      <c r="C12" s="33" t="s">
        <v>247</v>
      </c>
      <c r="D12" s="33"/>
      <c r="E12" s="33"/>
      <c r="F12" s="33"/>
      <c r="G12" s="33" t="s">
        <v>235</v>
      </c>
      <c r="H12" s="33">
        <v>2</v>
      </c>
      <c r="I12" s="33" t="s">
        <v>223</v>
      </c>
      <c r="J12" s="33" t="s">
        <v>223</v>
      </c>
      <c r="K12" s="33"/>
      <c r="L12" s="34"/>
      <c r="M12" s="33"/>
    </row>
    <row r="13" spans="1:13" x14ac:dyDescent="0.25">
      <c r="A13" s="102" t="s">
        <v>248</v>
      </c>
      <c r="B13" s="32">
        <f t="shared" si="0"/>
        <v>12</v>
      </c>
      <c r="C13" s="33">
        <v>1380002200</v>
      </c>
      <c r="D13" s="33"/>
      <c r="E13" s="33" t="s">
        <v>249</v>
      </c>
      <c r="F13" s="33"/>
      <c r="G13" s="33" t="s">
        <v>235</v>
      </c>
      <c r="H13" s="33">
        <v>1</v>
      </c>
      <c r="I13" s="33" t="s">
        <v>223</v>
      </c>
      <c r="J13" s="33" t="s">
        <v>223</v>
      </c>
      <c r="K13" s="33"/>
      <c r="L13" s="34"/>
      <c r="M13" s="33"/>
    </row>
    <row r="14" spans="1:13" x14ac:dyDescent="0.25">
      <c r="A14" s="102" t="s">
        <v>250</v>
      </c>
      <c r="B14" s="32">
        <f t="shared" si="0"/>
        <v>13</v>
      </c>
      <c r="C14" s="33" t="s">
        <v>251</v>
      </c>
      <c r="D14" s="33"/>
      <c r="E14" s="33"/>
      <c r="F14" s="33"/>
      <c r="G14" s="33" t="s">
        <v>252</v>
      </c>
      <c r="H14" s="33">
        <v>7</v>
      </c>
      <c r="I14" s="33" t="s">
        <v>223</v>
      </c>
      <c r="J14" s="33" t="s">
        <v>223</v>
      </c>
      <c r="K14" s="33"/>
      <c r="L14" s="34"/>
      <c r="M14" s="33"/>
    </row>
    <row r="15" spans="1:13" x14ac:dyDescent="0.25">
      <c r="A15" s="102" t="s">
        <v>253</v>
      </c>
      <c r="B15" s="32">
        <f t="shared" si="0"/>
        <v>14</v>
      </c>
      <c r="C15" s="33" t="s">
        <v>254</v>
      </c>
      <c r="D15" s="33"/>
      <c r="E15" s="33"/>
      <c r="F15" s="33" t="s">
        <v>255</v>
      </c>
      <c r="G15" s="33" t="s">
        <v>235</v>
      </c>
      <c r="H15" s="33">
        <v>5</v>
      </c>
      <c r="I15" s="33" t="s">
        <v>223</v>
      </c>
      <c r="J15" s="33" t="s">
        <v>223</v>
      </c>
      <c r="K15" s="33"/>
      <c r="L15" s="34"/>
      <c r="M15" s="33"/>
    </row>
    <row r="16" spans="1:13" x14ac:dyDescent="0.25">
      <c r="A16" s="102" t="s">
        <v>253</v>
      </c>
      <c r="B16" s="32">
        <f t="shared" si="0"/>
        <v>15</v>
      </c>
      <c r="C16" s="33" t="s">
        <v>256</v>
      </c>
      <c r="D16" s="33"/>
      <c r="E16" s="33"/>
      <c r="F16" s="33" t="s">
        <v>257</v>
      </c>
      <c r="G16" s="33" t="s">
        <v>235</v>
      </c>
      <c r="H16" s="33">
        <v>10</v>
      </c>
      <c r="I16" s="33" t="s">
        <v>223</v>
      </c>
      <c r="J16" s="33" t="s">
        <v>223</v>
      </c>
      <c r="K16" s="33"/>
      <c r="L16" s="34"/>
      <c r="M16" s="33"/>
    </row>
    <row r="17" spans="1:13" x14ac:dyDescent="0.25">
      <c r="A17" s="102" t="s">
        <v>253</v>
      </c>
      <c r="B17" s="32">
        <f t="shared" si="0"/>
        <v>16</v>
      </c>
      <c r="C17" s="33" t="s">
        <v>258</v>
      </c>
      <c r="D17" s="33"/>
      <c r="E17" s="33"/>
      <c r="F17" s="33" t="s">
        <v>257</v>
      </c>
      <c r="G17" s="33" t="s">
        <v>235</v>
      </c>
      <c r="H17" s="33">
        <v>10</v>
      </c>
      <c r="I17" s="33" t="s">
        <v>223</v>
      </c>
      <c r="J17" s="33" t="s">
        <v>223</v>
      </c>
      <c r="K17" s="33"/>
      <c r="L17" s="34"/>
      <c r="M17" s="33"/>
    </row>
    <row r="18" spans="1:13" x14ac:dyDescent="0.25">
      <c r="A18" s="102" t="s">
        <v>259</v>
      </c>
      <c r="B18" s="32">
        <f t="shared" si="0"/>
        <v>17</v>
      </c>
      <c r="C18" s="33" t="s">
        <v>260</v>
      </c>
      <c r="D18" s="33"/>
      <c r="E18" s="33"/>
      <c r="F18" s="33" t="s">
        <v>261</v>
      </c>
      <c r="G18" s="33" t="s">
        <v>235</v>
      </c>
      <c r="H18" s="33">
        <v>13</v>
      </c>
      <c r="I18" s="33" t="s">
        <v>223</v>
      </c>
      <c r="J18" s="33" t="s">
        <v>223</v>
      </c>
      <c r="K18" s="33"/>
      <c r="L18" s="34"/>
      <c r="M18" s="33"/>
    </row>
    <row r="19" spans="1:13" x14ac:dyDescent="0.25">
      <c r="A19" s="102" t="s">
        <v>259</v>
      </c>
      <c r="B19" s="32">
        <f t="shared" si="0"/>
        <v>18</v>
      </c>
      <c r="C19" s="33" t="s">
        <v>262</v>
      </c>
      <c r="D19" s="33"/>
      <c r="E19" s="33"/>
      <c r="F19" s="33" t="s">
        <v>257</v>
      </c>
      <c r="G19" s="33" t="s">
        <v>263</v>
      </c>
      <c r="H19" s="33">
        <v>3</v>
      </c>
      <c r="I19" s="33" t="s">
        <v>223</v>
      </c>
      <c r="J19" s="33" t="s">
        <v>223</v>
      </c>
      <c r="K19" s="33"/>
      <c r="L19" s="34"/>
      <c r="M19" s="33"/>
    </row>
    <row r="20" spans="1:13" x14ac:dyDescent="0.25">
      <c r="A20" s="102" t="s">
        <v>264</v>
      </c>
      <c r="B20" s="32">
        <f t="shared" si="0"/>
        <v>19</v>
      </c>
      <c r="C20" s="33" t="s">
        <v>265</v>
      </c>
      <c r="D20" s="33"/>
      <c r="E20" s="33"/>
      <c r="F20" s="33" t="s">
        <v>261</v>
      </c>
      <c r="G20" s="33" t="s">
        <v>235</v>
      </c>
      <c r="H20" s="33">
        <v>4</v>
      </c>
      <c r="I20" s="33" t="s">
        <v>223</v>
      </c>
      <c r="J20" s="33" t="s">
        <v>223</v>
      </c>
      <c r="K20" s="33"/>
      <c r="L20" s="34"/>
      <c r="M20" s="33"/>
    </row>
    <row r="21" spans="1:13" x14ac:dyDescent="0.25">
      <c r="A21" s="102" t="s">
        <v>264</v>
      </c>
      <c r="B21" s="32">
        <f t="shared" si="0"/>
        <v>20</v>
      </c>
      <c r="C21" s="33" t="s">
        <v>266</v>
      </c>
      <c r="D21" s="33"/>
      <c r="E21" s="33"/>
      <c r="F21" s="33" t="s">
        <v>255</v>
      </c>
      <c r="G21" s="33" t="s">
        <v>235</v>
      </c>
      <c r="H21" s="33">
        <v>1</v>
      </c>
      <c r="I21" s="33" t="s">
        <v>223</v>
      </c>
      <c r="J21" s="33" t="s">
        <v>223</v>
      </c>
      <c r="K21" s="33"/>
      <c r="L21" s="34"/>
      <c r="M21" s="33"/>
    </row>
    <row r="22" spans="1:13" x14ac:dyDescent="0.25">
      <c r="A22" s="102" t="s">
        <v>267</v>
      </c>
      <c r="B22" s="32">
        <f t="shared" si="0"/>
        <v>21</v>
      </c>
      <c r="C22" s="33" t="s">
        <v>268</v>
      </c>
      <c r="D22" s="33"/>
      <c r="E22" s="33"/>
      <c r="F22" s="33" t="s">
        <v>269</v>
      </c>
      <c r="G22" s="33" t="s">
        <v>240</v>
      </c>
      <c r="H22" s="33">
        <v>0</v>
      </c>
      <c r="I22" s="33" t="s">
        <v>223</v>
      </c>
      <c r="J22" s="33" t="s">
        <v>223</v>
      </c>
      <c r="K22" s="33"/>
      <c r="L22" s="34"/>
      <c r="M22" s="33"/>
    </row>
    <row r="23" spans="1:13" x14ac:dyDescent="0.25">
      <c r="A23" s="102" t="s">
        <v>270</v>
      </c>
      <c r="B23" s="32">
        <f t="shared" si="0"/>
        <v>22</v>
      </c>
      <c r="C23" s="33">
        <v>1416</v>
      </c>
      <c r="D23" s="33"/>
      <c r="E23" s="33"/>
      <c r="F23" s="33" t="s">
        <v>234</v>
      </c>
      <c r="G23" s="33" t="s">
        <v>235</v>
      </c>
      <c r="H23" s="33">
        <v>1</v>
      </c>
      <c r="I23" s="33" t="s">
        <v>223</v>
      </c>
      <c r="J23" s="33" t="s">
        <v>223</v>
      </c>
      <c r="K23" s="33"/>
      <c r="L23" s="34"/>
      <c r="M23" s="33"/>
    </row>
    <row r="24" spans="1:13" ht="30" x14ac:dyDescent="0.25">
      <c r="A24" s="102" t="s">
        <v>271</v>
      </c>
      <c r="B24" s="32">
        <f t="shared" si="0"/>
        <v>23</v>
      </c>
      <c r="C24" s="33" t="s">
        <v>272</v>
      </c>
      <c r="D24" s="33"/>
      <c r="E24" s="33"/>
      <c r="F24" s="33" t="s">
        <v>269</v>
      </c>
      <c r="G24" s="33" t="s">
        <v>221</v>
      </c>
      <c r="H24" s="33">
        <v>0</v>
      </c>
      <c r="I24" s="33" t="s">
        <v>273</v>
      </c>
      <c r="J24" s="33" t="s">
        <v>223</v>
      </c>
      <c r="K24" s="33"/>
      <c r="L24" s="34"/>
      <c r="M24" s="33"/>
    </row>
    <row r="25" spans="1:13" x14ac:dyDescent="0.25">
      <c r="A25" s="102" t="s">
        <v>274</v>
      </c>
      <c r="B25" s="32">
        <f t="shared" si="0"/>
        <v>24</v>
      </c>
      <c r="C25" s="33" t="s">
        <v>275</v>
      </c>
      <c r="D25" s="33"/>
      <c r="E25" s="33"/>
      <c r="F25" s="33" t="s">
        <v>234</v>
      </c>
      <c r="G25" s="33" t="s">
        <v>235</v>
      </c>
      <c r="H25" s="33">
        <v>9</v>
      </c>
      <c r="I25" s="33" t="s">
        <v>223</v>
      </c>
      <c r="J25" s="33" t="s">
        <v>223</v>
      </c>
      <c r="K25" s="33"/>
      <c r="L25" s="34"/>
      <c r="M25" s="33"/>
    </row>
    <row r="26" spans="1:13" ht="30" x14ac:dyDescent="0.25">
      <c r="A26" s="102" t="s">
        <v>276</v>
      </c>
      <c r="B26" s="32">
        <f t="shared" si="0"/>
        <v>25</v>
      </c>
      <c r="C26" s="33" t="s">
        <v>277</v>
      </c>
      <c r="D26" s="33"/>
      <c r="E26" s="33" t="s">
        <v>277</v>
      </c>
      <c r="F26" s="33" t="s">
        <v>234</v>
      </c>
      <c r="G26" s="33" t="s">
        <v>235</v>
      </c>
      <c r="H26" s="33">
        <v>8</v>
      </c>
      <c r="I26" s="33" t="s">
        <v>223</v>
      </c>
      <c r="J26" s="33" t="s">
        <v>223</v>
      </c>
      <c r="K26" s="33"/>
      <c r="L26" s="34"/>
      <c r="M26" s="33"/>
    </row>
    <row r="27" spans="1:13" ht="30" x14ac:dyDescent="0.25">
      <c r="A27" s="102" t="s">
        <v>278</v>
      </c>
      <c r="B27" s="32">
        <f t="shared" si="0"/>
        <v>26</v>
      </c>
      <c r="C27" s="33" t="s">
        <v>279</v>
      </c>
      <c r="D27" s="33"/>
      <c r="E27" s="33" t="s">
        <v>233</v>
      </c>
      <c r="F27" s="33" t="s">
        <v>257</v>
      </c>
      <c r="G27" s="33" t="s">
        <v>280</v>
      </c>
      <c r="H27" s="33">
        <v>2</v>
      </c>
      <c r="I27" s="33" t="s">
        <v>281</v>
      </c>
      <c r="J27" s="33" t="s">
        <v>223</v>
      </c>
      <c r="K27" s="33"/>
      <c r="L27" s="34"/>
      <c r="M27" s="33"/>
    </row>
    <row r="28" spans="1:13" x14ac:dyDescent="0.25">
      <c r="A28" s="102" t="s">
        <v>282</v>
      </c>
      <c r="B28" s="32">
        <f t="shared" si="0"/>
        <v>27</v>
      </c>
      <c r="C28" s="33" t="s">
        <v>283</v>
      </c>
      <c r="D28" s="33"/>
      <c r="E28" s="33"/>
      <c r="F28" s="33" t="s">
        <v>261</v>
      </c>
      <c r="G28" s="33" t="s">
        <v>235</v>
      </c>
      <c r="H28" s="33">
        <v>6</v>
      </c>
      <c r="I28" s="33" t="s">
        <v>223</v>
      </c>
      <c r="J28" s="33" t="s">
        <v>223</v>
      </c>
      <c r="K28" s="33"/>
      <c r="L28" s="34"/>
      <c r="M28" s="33"/>
    </row>
    <row r="29" spans="1:13" x14ac:dyDescent="0.25">
      <c r="A29" s="102" t="s">
        <v>282</v>
      </c>
      <c r="B29" s="32">
        <f t="shared" si="0"/>
        <v>28</v>
      </c>
      <c r="C29" s="33" t="s">
        <v>284</v>
      </c>
      <c r="D29" s="33"/>
      <c r="E29" s="33"/>
      <c r="F29" s="33" t="s">
        <v>255</v>
      </c>
      <c r="G29" s="33" t="s">
        <v>235</v>
      </c>
      <c r="H29" s="33">
        <v>2</v>
      </c>
      <c r="I29" s="33" t="s">
        <v>223</v>
      </c>
      <c r="J29" s="33" t="s">
        <v>223</v>
      </c>
      <c r="K29" s="33"/>
      <c r="L29" s="34"/>
      <c r="M29" s="33"/>
    </row>
    <row r="30" spans="1:13" ht="45" x14ac:dyDescent="0.25">
      <c r="A30" s="102" t="s">
        <v>285</v>
      </c>
      <c r="B30" s="32">
        <f t="shared" si="0"/>
        <v>29</v>
      </c>
      <c r="C30" s="33">
        <v>7401</v>
      </c>
      <c r="D30" s="33"/>
      <c r="E30" s="33" t="s">
        <v>286</v>
      </c>
      <c r="F30" s="33" t="s">
        <v>257</v>
      </c>
      <c r="G30" s="33" t="s">
        <v>235</v>
      </c>
      <c r="H30" s="33">
        <v>8</v>
      </c>
      <c r="I30" s="33" t="s">
        <v>223</v>
      </c>
      <c r="J30" s="33" t="s">
        <v>223</v>
      </c>
      <c r="K30" s="33"/>
      <c r="L30" s="34"/>
      <c r="M30" s="33"/>
    </row>
    <row r="31" spans="1:13" x14ac:dyDescent="0.25">
      <c r="A31" s="102" t="s">
        <v>285</v>
      </c>
      <c r="B31" s="32">
        <f t="shared" si="0"/>
        <v>30</v>
      </c>
      <c r="C31" s="33">
        <v>1471</v>
      </c>
      <c r="D31" s="33"/>
      <c r="E31" s="33"/>
      <c r="F31" s="33" t="s">
        <v>261</v>
      </c>
      <c r="G31" s="33" t="s">
        <v>235</v>
      </c>
      <c r="H31" s="33">
        <v>1</v>
      </c>
      <c r="I31" s="33" t="s">
        <v>223</v>
      </c>
      <c r="J31" s="33" t="s">
        <v>223</v>
      </c>
      <c r="K31" s="33"/>
      <c r="L31" s="34"/>
      <c r="M31" s="33"/>
    </row>
    <row r="32" spans="1:13" ht="30" x14ac:dyDescent="0.25">
      <c r="A32" s="102" t="s">
        <v>287</v>
      </c>
      <c r="B32" s="32">
        <f t="shared" si="0"/>
        <v>31</v>
      </c>
      <c r="C32" s="33">
        <v>1032090</v>
      </c>
      <c r="D32" s="33"/>
      <c r="E32" s="33" t="s">
        <v>233</v>
      </c>
      <c r="F32" s="33" t="s">
        <v>288</v>
      </c>
      <c r="G32" s="33" t="s">
        <v>235</v>
      </c>
      <c r="H32" s="33">
        <v>1</v>
      </c>
      <c r="I32" s="33" t="s">
        <v>223</v>
      </c>
      <c r="J32" s="33" t="s">
        <v>223</v>
      </c>
      <c r="K32" s="33"/>
      <c r="L32" s="34"/>
      <c r="M32" s="33"/>
    </row>
    <row r="33" spans="1:13" x14ac:dyDescent="0.25">
      <c r="A33" s="102" t="s">
        <v>289</v>
      </c>
      <c r="B33" s="32">
        <f t="shared" si="0"/>
        <v>32</v>
      </c>
      <c r="C33" s="33">
        <v>1032135</v>
      </c>
      <c r="D33" s="33"/>
      <c r="E33" s="33" t="s">
        <v>233</v>
      </c>
      <c r="F33" s="33" t="s">
        <v>234</v>
      </c>
      <c r="G33" s="33" t="s">
        <v>235</v>
      </c>
      <c r="H33" s="33">
        <v>1</v>
      </c>
      <c r="I33" s="33" t="s">
        <v>223</v>
      </c>
      <c r="J33" s="33" t="s">
        <v>223</v>
      </c>
      <c r="K33" s="33"/>
      <c r="L33" s="34"/>
      <c r="M33" s="33"/>
    </row>
    <row r="34" spans="1:13" x14ac:dyDescent="0.25">
      <c r="A34" s="102" t="s">
        <v>290</v>
      </c>
      <c r="B34" s="32">
        <f t="shared" si="0"/>
        <v>33</v>
      </c>
      <c r="C34" s="33">
        <v>1032180</v>
      </c>
      <c r="D34" s="33"/>
      <c r="E34" s="33" t="s">
        <v>233</v>
      </c>
      <c r="F34" s="33" t="s">
        <v>234</v>
      </c>
      <c r="G34" s="33" t="s">
        <v>235</v>
      </c>
      <c r="H34" s="33">
        <v>1</v>
      </c>
      <c r="I34" s="33" t="s">
        <v>223</v>
      </c>
      <c r="J34" s="33" t="s">
        <v>223</v>
      </c>
      <c r="K34" s="33"/>
      <c r="L34" s="34"/>
      <c r="M34" s="33"/>
    </row>
    <row r="35" spans="1:13" ht="30" x14ac:dyDescent="0.25">
      <c r="A35" s="102" t="s">
        <v>291</v>
      </c>
      <c r="B35" s="32">
        <f t="shared" si="0"/>
        <v>34</v>
      </c>
      <c r="C35" s="33">
        <v>1341</v>
      </c>
      <c r="D35" s="33"/>
      <c r="E35" s="33" t="s">
        <v>233</v>
      </c>
      <c r="F35" s="33" t="s">
        <v>234</v>
      </c>
      <c r="G35" s="33" t="s">
        <v>235</v>
      </c>
      <c r="H35" s="33">
        <v>1</v>
      </c>
      <c r="I35" s="33" t="s">
        <v>223</v>
      </c>
      <c r="J35" s="33" t="s">
        <v>223</v>
      </c>
      <c r="K35" s="33"/>
      <c r="L35" s="34"/>
      <c r="M35" s="33"/>
    </row>
    <row r="36" spans="1:13" x14ac:dyDescent="0.25">
      <c r="A36" s="102" t="s">
        <v>292</v>
      </c>
      <c r="B36" s="32">
        <f t="shared" si="0"/>
        <v>35</v>
      </c>
      <c r="C36" s="33">
        <v>2232</v>
      </c>
      <c r="D36" s="33"/>
      <c r="E36" s="33" t="s">
        <v>233</v>
      </c>
      <c r="F36" s="33" t="s">
        <v>234</v>
      </c>
      <c r="G36" s="33" t="s">
        <v>235</v>
      </c>
      <c r="H36" s="33">
        <v>14</v>
      </c>
      <c r="I36" s="33" t="s">
        <v>223</v>
      </c>
      <c r="J36" s="33" t="s">
        <v>223</v>
      </c>
      <c r="K36" s="33"/>
      <c r="L36" s="34"/>
      <c r="M36" s="33"/>
    </row>
    <row r="37" spans="1:13" x14ac:dyDescent="0.25">
      <c r="A37" s="102" t="s">
        <v>293</v>
      </c>
      <c r="B37" s="32">
        <f t="shared" si="0"/>
        <v>36</v>
      </c>
      <c r="C37" s="33" t="s">
        <v>294</v>
      </c>
      <c r="D37" s="33"/>
      <c r="E37" s="33"/>
      <c r="F37" s="33"/>
      <c r="G37" s="33" t="s">
        <v>263</v>
      </c>
      <c r="H37" s="33">
        <v>11</v>
      </c>
      <c r="I37" s="33" t="s">
        <v>223</v>
      </c>
      <c r="J37" s="33" t="s">
        <v>223</v>
      </c>
      <c r="K37" s="33"/>
      <c r="L37" s="34"/>
      <c r="M37" s="33"/>
    </row>
    <row r="38" spans="1:13" x14ac:dyDescent="0.25">
      <c r="A38" s="102" t="s">
        <v>295</v>
      </c>
      <c r="B38" s="32">
        <f t="shared" si="0"/>
        <v>37</v>
      </c>
      <c r="C38" s="33" t="s">
        <v>296</v>
      </c>
      <c r="D38" s="33"/>
      <c r="E38" s="33"/>
      <c r="F38" s="33"/>
      <c r="G38" s="33" t="s">
        <v>263</v>
      </c>
      <c r="H38" s="33">
        <v>2</v>
      </c>
      <c r="I38" s="33" t="s">
        <v>223</v>
      </c>
      <c r="J38" s="33" t="s">
        <v>223</v>
      </c>
      <c r="K38" s="33"/>
      <c r="L38" s="34"/>
      <c r="M38" s="33"/>
    </row>
    <row r="39" spans="1:13" x14ac:dyDescent="0.25">
      <c r="A39" s="102" t="s">
        <v>297</v>
      </c>
      <c r="B39" s="32">
        <f t="shared" si="0"/>
        <v>38</v>
      </c>
      <c r="C39" s="33" t="s">
        <v>298</v>
      </c>
      <c r="D39" s="33"/>
      <c r="E39" s="33"/>
      <c r="F39" s="33"/>
      <c r="G39" s="33" t="s">
        <v>263</v>
      </c>
      <c r="H39" s="33">
        <v>1</v>
      </c>
      <c r="I39" s="33" t="s">
        <v>223</v>
      </c>
      <c r="J39" s="33" t="s">
        <v>223</v>
      </c>
      <c r="K39" s="33"/>
      <c r="L39" s="34"/>
      <c r="M39" s="33"/>
    </row>
    <row r="40" spans="1:13" x14ac:dyDescent="0.25">
      <c r="A40" s="102" t="s">
        <v>299</v>
      </c>
      <c r="B40" s="32">
        <f t="shared" si="0"/>
        <v>39</v>
      </c>
      <c r="C40" s="33">
        <v>1305</v>
      </c>
      <c r="D40" s="33"/>
      <c r="E40" s="33" t="s">
        <v>233</v>
      </c>
      <c r="F40" s="33" t="s">
        <v>234</v>
      </c>
      <c r="G40" s="33" t="s">
        <v>252</v>
      </c>
      <c r="H40" s="33">
        <v>2</v>
      </c>
      <c r="I40" s="33" t="s">
        <v>223</v>
      </c>
      <c r="J40" s="33" t="s">
        <v>223</v>
      </c>
      <c r="K40" s="33"/>
      <c r="L40" s="34"/>
      <c r="M40" s="33"/>
    </row>
    <row r="41" spans="1:13" x14ac:dyDescent="0.25">
      <c r="A41" s="102" t="s">
        <v>300</v>
      </c>
      <c r="B41" s="32">
        <f t="shared" si="0"/>
        <v>40</v>
      </c>
      <c r="C41" s="33">
        <v>2066</v>
      </c>
      <c r="D41" s="33"/>
      <c r="E41" s="33"/>
      <c r="F41" s="33"/>
      <c r="G41" s="33" t="s">
        <v>235</v>
      </c>
      <c r="H41" s="33">
        <v>4</v>
      </c>
      <c r="I41" s="33" t="s">
        <v>223</v>
      </c>
      <c r="J41" s="33" t="s">
        <v>223</v>
      </c>
      <c r="K41" s="33"/>
      <c r="L41" s="34"/>
      <c r="M41" s="33"/>
    </row>
    <row r="42" spans="1:13" x14ac:dyDescent="0.25">
      <c r="A42" s="102" t="s">
        <v>301</v>
      </c>
      <c r="B42" s="32">
        <f t="shared" si="0"/>
        <v>41</v>
      </c>
      <c r="C42" s="33" t="s">
        <v>302</v>
      </c>
      <c r="D42" s="33"/>
      <c r="E42" s="33"/>
      <c r="F42" s="33"/>
      <c r="G42" s="33" t="s">
        <v>235</v>
      </c>
      <c r="H42" s="33">
        <v>4</v>
      </c>
      <c r="I42" s="33" t="s">
        <v>223</v>
      </c>
      <c r="J42" s="33" t="s">
        <v>223</v>
      </c>
      <c r="K42" s="33"/>
      <c r="L42" s="34"/>
      <c r="M42" s="33"/>
    </row>
    <row r="43" spans="1:13" x14ac:dyDescent="0.25">
      <c r="A43" s="102" t="s">
        <v>303</v>
      </c>
      <c r="B43" s="32">
        <f t="shared" si="0"/>
        <v>42</v>
      </c>
      <c r="C43" s="33">
        <v>1287</v>
      </c>
      <c r="D43" s="33"/>
      <c r="E43" s="33"/>
      <c r="F43" s="33"/>
      <c r="G43" s="33" t="s">
        <v>235</v>
      </c>
      <c r="H43" s="33">
        <v>6</v>
      </c>
      <c r="I43" s="33" t="s">
        <v>223</v>
      </c>
      <c r="J43" s="33" t="s">
        <v>223</v>
      </c>
      <c r="K43" s="33"/>
      <c r="L43" s="34"/>
      <c r="M43" s="33"/>
    </row>
    <row r="44" spans="1:13" x14ac:dyDescent="0.25">
      <c r="A44" s="102" t="s">
        <v>304</v>
      </c>
      <c r="B44" s="32">
        <f t="shared" si="0"/>
        <v>43</v>
      </c>
      <c r="C44" s="33" t="s">
        <v>305</v>
      </c>
      <c r="D44" s="33"/>
      <c r="E44" s="33"/>
      <c r="F44" s="33"/>
      <c r="G44" s="33" t="s">
        <v>221</v>
      </c>
      <c r="H44" s="33">
        <v>2</v>
      </c>
      <c r="I44" s="33" t="s">
        <v>281</v>
      </c>
      <c r="J44" s="33" t="s">
        <v>223</v>
      </c>
      <c r="K44" s="33"/>
      <c r="L44" s="34"/>
      <c r="M44" s="33"/>
    </row>
    <row r="45" spans="1:13" x14ac:dyDescent="0.25">
      <c r="A45" s="102" t="s">
        <v>306</v>
      </c>
      <c r="B45" s="32">
        <f t="shared" si="0"/>
        <v>44</v>
      </c>
      <c r="C45" s="33" t="s">
        <v>307</v>
      </c>
      <c r="D45" s="33"/>
      <c r="E45" s="33"/>
      <c r="F45" s="33"/>
      <c r="G45" s="33" t="s">
        <v>235</v>
      </c>
      <c r="H45" s="33">
        <v>26</v>
      </c>
      <c r="I45" s="33" t="s">
        <v>223</v>
      </c>
      <c r="J45" s="33" t="s">
        <v>223</v>
      </c>
      <c r="K45" s="33"/>
      <c r="L45" s="34"/>
      <c r="M45" s="33"/>
    </row>
    <row r="46" spans="1:13" ht="30" x14ac:dyDescent="0.25">
      <c r="A46" s="102" t="s">
        <v>308</v>
      </c>
      <c r="B46" s="32">
        <f t="shared" si="0"/>
        <v>45</v>
      </c>
      <c r="C46" s="33" t="s">
        <v>309</v>
      </c>
      <c r="D46" s="33"/>
      <c r="E46" s="33"/>
      <c r="F46" s="33"/>
      <c r="G46" s="33" t="s">
        <v>235</v>
      </c>
      <c r="H46" s="33">
        <v>3</v>
      </c>
      <c r="I46" s="33" t="s">
        <v>223</v>
      </c>
      <c r="J46" s="33" t="s">
        <v>223</v>
      </c>
      <c r="K46" s="33"/>
      <c r="L46" s="34"/>
      <c r="M46" s="33"/>
    </row>
    <row r="47" spans="1:13" x14ac:dyDescent="0.25">
      <c r="A47" s="102" t="s">
        <v>310</v>
      </c>
      <c r="B47" s="32">
        <f t="shared" si="0"/>
        <v>46</v>
      </c>
      <c r="C47" s="33" t="s">
        <v>311</v>
      </c>
      <c r="D47" s="33"/>
      <c r="E47" s="33"/>
      <c r="F47" s="33"/>
      <c r="G47" s="33" t="s">
        <v>235</v>
      </c>
      <c r="H47" s="33">
        <v>16</v>
      </c>
      <c r="I47" s="33" t="s">
        <v>223</v>
      </c>
      <c r="J47" s="33" t="s">
        <v>223</v>
      </c>
      <c r="K47" s="33"/>
      <c r="L47" s="34"/>
      <c r="M47" s="33"/>
    </row>
    <row r="48" spans="1:13" x14ac:dyDescent="0.25">
      <c r="A48" s="102" t="s">
        <v>312</v>
      </c>
      <c r="B48" s="32">
        <f t="shared" si="0"/>
        <v>47</v>
      </c>
      <c r="C48" s="33" t="s">
        <v>313</v>
      </c>
      <c r="D48" s="33"/>
      <c r="E48" s="33"/>
      <c r="F48" s="33"/>
      <c r="G48" s="33" t="s">
        <v>235</v>
      </c>
      <c r="H48" s="33">
        <v>8</v>
      </c>
      <c r="I48" s="33" t="s">
        <v>223</v>
      </c>
      <c r="J48" s="33" t="s">
        <v>223</v>
      </c>
      <c r="K48" s="33"/>
      <c r="L48" s="34"/>
      <c r="M48" s="33"/>
    </row>
    <row r="49" spans="1:13" x14ac:dyDescent="0.25">
      <c r="A49" s="102" t="s">
        <v>314</v>
      </c>
      <c r="B49" s="32">
        <f t="shared" si="0"/>
        <v>48</v>
      </c>
      <c r="C49" s="33" t="s">
        <v>315</v>
      </c>
      <c r="D49" s="33"/>
      <c r="E49" s="33"/>
      <c r="F49" s="33"/>
      <c r="G49" s="33" t="s">
        <v>235</v>
      </c>
      <c r="H49" s="33">
        <v>8</v>
      </c>
      <c r="I49" s="33" t="s">
        <v>223</v>
      </c>
      <c r="J49" s="33" t="s">
        <v>223</v>
      </c>
      <c r="K49" s="33"/>
      <c r="L49" s="34"/>
      <c r="M49" s="33"/>
    </row>
    <row r="50" spans="1:13" ht="30" x14ac:dyDescent="0.25">
      <c r="A50" s="102" t="s">
        <v>316</v>
      </c>
      <c r="B50" s="32">
        <f t="shared" si="0"/>
        <v>49</v>
      </c>
      <c r="C50" s="33">
        <v>10140100</v>
      </c>
      <c r="D50" s="33"/>
      <c r="E50" s="33"/>
      <c r="F50" s="33"/>
      <c r="G50" s="33" t="s">
        <v>235</v>
      </c>
      <c r="H50" s="33">
        <v>0</v>
      </c>
      <c r="I50" s="33" t="s">
        <v>223</v>
      </c>
      <c r="J50" s="33" t="s">
        <v>223</v>
      </c>
      <c r="K50" s="33"/>
      <c r="L50" s="34"/>
      <c r="M50" s="33"/>
    </row>
    <row r="51" spans="1:13" x14ac:dyDescent="0.25">
      <c r="A51" s="102" t="s">
        <v>317</v>
      </c>
      <c r="B51" s="32">
        <f t="shared" si="0"/>
        <v>50</v>
      </c>
      <c r="C51" s="33">
        <v>130100100</v>
      </c>
      <c r="D51" s="33"/>
      <c r="E51" s="33"/>
      <c r="F51" s="33"/>
      <c r="G51" s="33" t="s">
        <v>235</v>
      </c>
      <c r="H51" s="33">
        <v>12</v>
      </c>
      <c r="I51" s="33" t="s">
        <v>223</v>
      </c>
      <c r="J51" s="33" t="s">
        <v>223</v>
      </c>
      <c r="K51" s="33"/>
      <c r="L51" s="34"/>
      <c r="M51" s="33"/>
    </row>
    <row r="52" spans="1:13" x14ac:dyDescent="0.25">
      <c r="A52" s="102" t="s">
        <v>318</v>
      </c>
      <c r="B52" s="32">
        <f t="shared" si="0"/>
        <v>51</v>
      </c>
      <c r="C52" s="33" t="s">
        <v>319</v>
      </c>
      <c r="D52" s="33"/>
      <c r="E52" s="33"/>
      <c r="F52" s="33"/>
      <c r="G52" s="33" t="s">
        <v>235</v>
      </c>
      <c r="H52" s="33">
        <v>67</v>
      </c>
      <c r="I52" s="33" t="s">
        <v>223</v>
      </c>
      <c r="J52" s="33" t="s">
        <v>223</v>
      </c>
      <c r="K52" s="33"/>
      <c r="L52" s="34"/>
      <c r="M52" s="33"/>
    </row>
    <row r="53" spans="1:13" x14ac:dyDescent="0.25">
      <c r="A53" s="102" t="s">
        <v>320</v>
      </c>
      <c r="B53" s="32">
        <f t="shared" si="0"/>
        <v>52</v>
      </c>
      <c r="C53" s="33" t="s">
        <v>321</v>
      </c>
      <c r="D53" s="33"/>
      <c r="E53" s="33"/>
      <c r="F53" s="33"/>
      <c r="G53" s="33" t="s">
        <v>235</v>
      </c>
      <c r="H53" s="33">
        <v>13</v>
      </c>
      <c r="I53" s="33" t="s">
        <v>223</v>
      </c>
      <c r="J53" s="33" t="s">
        <v>223</v>
      </c>
      <c r="K53" s="33"/>
      <c r="L53" s="34"/>
      <c r="M53" s="33"/>
    </row>
    <row r="54" spans="1:13" x14ac:dyDescent="0.25">
      <c r="A54" s="102" t="s">
        <v>322</v>
      </c>
      <c r="B54" s="32">
        <f t="shared" si="0"/>
        <v>53</v>
      </c>
      <c r="C54" s="33" t="s">
        <v>323</v>
      </c>
      <c r="D54" s="33"/>
      <c r="E54" s="33"/>
      <c r="F54" s="33"/>
      <c r="G54" s="33" t="s">
        <v>235</v>
      </c>
      <c r="H54" s="33">
        <v>5</v>
      </c>
      <c r="I54" s="33" t="s">
        <v>223</v>
      </c>
      <c r="J54" s="33" t="s">
        <v>223</v>
      </c>
      <c r="K54" s="33"/>
      <c r="L54" s="34"/>
      <c r="M54" s="33"/>
    </row>
    <row r="55" spans="1:13" ht="30" x14ac:dyDescent="0.25">
      <c r="A55" s="102" t="s">
        <v>324</v>
      </c>
      <c r="B55" s="32">
        <f t="shared" si="0"/>
        <v>54</v>
      </c>
      <c r="C55" s="33" t="s">
        <v>325</v>
      </c>
      <c r="D55" s="33"/>
      <c r="E55" s="33"/>
      <c r="F55" s="33"/>
      <c r="G55" s="33" t="s">
        <v>235</v>
      </c>
      <c r="H55" s="33">
        <v>1</v>
      </c>
      <c r="I55" s="33" t="s">
        <v>223</v>
      </c>
      <c r="J55" s="33" t="s">
        <v>223</v>
      </c>
      <c r="K55" s="33"/>
      <c r="L55" s="34"/>
      <c r="M55" s="33"/>
    </row>
    <row r="56" spans="1:13" x14ac:dyDescent="0.25">
      <c r="A56" s="102" t="s">
        <v>326</v>
      </c>
      <c r="B56" s="32">
        <f t="shared" si="0"/>
        <v>55</v>
      </c>
      <c r="C56" s="33" t="s">
        <v>327</v>
      </c>
      <c r="D56" s="33"/>
      <c r="E56" s="33"/>
      <c r="F56" s="33" t="s">
        <v>234</v>
      </c>
      <c r="G56" s="33" t="s">
        <v>252</v>
      </c>
      <c r="H56" s="33">
        <v>2</v>
      </c>
      <c r="I56" s="33" t="s">
        <v>223</v>
      </c>
      <c r="J56" s="33" t="s">
        <v>223</v>
      </c>
      <c r="K56" s="33"/>
      <c r="L56" s="34"/>
      <c r="M56" s="33"/>
    </row>
    <row r="57" spans="1:13" x14ac:dyDescent="0.25">
      <c r="A57" s="102" t="s">
        <v>328</v>
      </c>
      <c r="B57" s="32">
        <f t="shared" si="0"/>
        <v>56</v>
      </c>
      <c r="C57" s="33">
        <v>1402</v>
      </c>
      <c r="D57" s="33"/>
      <c r="E57" s="33"/>
      <c r="F57" s="33" t="s">
        <v>230</v>
      </c>
      <c r="G57" s="33" t="s">
        <v>240</v>
      </c>
      <c r="H57" s="33">
        <v>1</v>
      </c>
      <c r="I57" s="33" t="s">
        <v>223</v>
      </c>
      <c r="J57" s="33" t="s">
        <v>223</v>
      </c>
      <c r="K57" s="33"/>
      <c r="L57" s="34"/>
      <c r="M57" s="33"/>
    </row>
    <row r="58" spans="1:13" x14ac:dyDescent="0.25">
      <c r="A58" s="102" t="s">
        <v>329</v>
      </c>
      <c r="B58" s="32">
        <f t="shared" si="0"/>
        <v>57</v>
      </c>
      <c r="C58" s="33">
        <v>4601</v>
      </c>
      <c r="D58" s="33"/>
      <c r="E58" s="33"/>
      <c r="F58" s="33" t="s">
        <v>230</v>
      </c>
      <c r="G58" s="33" t="s">
        <v>240</v>
      </c>
      <c r="H58" s="33">
        <v>0</v>
      </c>
      <c r="I58" s="33" t="s">
        <v>223</v>
      </c>
      <c r="J58" s="33" t="s">
        <v>223</v>
      </c>
      <c r="K58" s="33"/>
      <c r="L58" s="34"/>
      <c r="M58" s="33"/>
    </row>
    <row r="59" spans="1:13" x14ac:dyDescent="0.25">
      <c r="A59" s="102" t="s">
        <v>330</v>
      </c>
      <c r="B59" s="32">
        <f t="shared" si="0"/>
        <v>58</v>
      </c>
      <c r="C59" s="33" t="s">
        <v>331</v>
      </c>
      <c r="D59" s="33"/>
      <c r="E59" s="33"/>
      <c r="F59" s="33"/>
      <c r="G59" s="33" t="s">
        <v>252</v>
      </c>
      <c r="H59" s="33">
        <v>1</v>
      </c>
      <c r="I59" s="33"/>
      <c r="J59" s="33" t="s">
        <v>223</v>
      </c>
      <c r="K59" s="33"/>
      <c r="L59" s="34"/>
      <c r="M59" s="33"/>
    </row>
    <row r="60" spans="1:13" ht="30" x14ac:dyDescent="0.25">
      <c r="A60" s="102" t="s">
        <v>332</v>
      </c>
      <c r="B60" s="32">
        <f t="shared" si="0"/>
        <v>59</v>
      </c>
      <c r="C60" s="33" t="s">
        <v>333</v>
      </c>
      <c r="D60" s="33"/>
      <c r="E60" s="33"/>
      <c r="F60" s="33" t="s">
        <v>269</v>
      </c>
      <c r="G60" s="33" t="s">
        <v>240</v>
      </c>
      <c r="H60" s="33">
        <v>0</v>
      </c>
      <c r="I60" s="33" t="s">
        <v>281</v>
      </c>
      <c r="J60" s="33" t="s">
        <v>32</v>
      </c>
      <c r="K60" s="33"/>
      <c r="L60" s="34"/>
      <c r="M60" s="33"/>
    </row>
    <row r="61" spans="1:13" x14ac:dyDescent="0.25">
      <c r="A61" s="102" t="s">
        <v>334</v>
      </c>
      <c r="B61" s="32">
        <f t="shared" si="0"/>
        <v>60</v>
      </c>
      <c r="C61" s="33" t="s">
        <v>335</v>
      </c>
      <c r="D61" s="33"/>
      <c r="E61" s="33"/>
      <c r="F61" s="33" t="s">
        <v>261</v>
      </c>
      <c r="G61" s="33" t="s">
        <v>243</v>
      </c>
      <c r="H61" s="33">
        <v>0</v>
      </c>
      <c r="I61" s="33" t="s">
        <v>223</v>
      </c>
      <c r="J61" s="33" t="s">
        <v>223</v>
      </c>
      <c r="K61" s="33"/>
      <c r="L61" s="34"/>
      <c r="M61" s="33"/>
    </row>
    <row r="62" spans="1:13" x14ac:dyDescent="0.25">
      <c r="A62" s="102" t="s">
        <v>336</v>
      </c>
      <c r="B62" s="32">
        <f t="shared" si="0"/>
        <v>61</v>
      </c>
      <c r="C62" s="33" t="s">
        <v>337</v>
      </c>
      <c r="D62" s="33"/>
      <c r="E62" s="33" t="s">
        <v>233</v>
      </c>
      <c r="F62" s="33" t="s">
        <v>255</v>
      </c>
      <c r="G62" s="33" t="s">
        <v>235</v>
      </c>
      <c r="H62" s="33">
        <v>1</v>
      </c>
      <c r="I62" s="33" t="s">
        <v>223</v>
      </c>
      <c r="J62" s="33" t="s">
        <v>223</v>
      </c>
      <c r="K62" s="33"/>
      <c r="L62" s="34"/>
      <c r="M62" s="33"/>
    </row>
    <row r="63" spans="1:13" x14ac:dyDescent="0.25">
      <c r="A63" s="102" t="s">
        <v>338</v>
      </c>
      <c r="B63" s="32">
        <f t="shared" si="0"/>
        <v>62</v>
      </c>
      <c r="C63" s="33" t="s">
        <v>339</v>
      </c>
      <c r="D63" s="33"/>
      <c r="E63" s="33"/>
      <c r="F63" s="33" t="s">
        <v>257</v>
      </c>
      <c r="G63" s="33" t="s">
        <v>235</v>
      </c>
      <c r="H63" s="33">
        <v>1</v>
      </c>
      <c r="I63" s="33" t="s">
        <v>223</v>
      </c>
      <c r="J63" s="33" t="s">
        <v>223</v>
      </c>
      <c r="K63" s="33"/>
      <c r="L63" s="34"/>
      <c r="M63" s="33"/>
    </row>
    <row r="64" spans="1:13" x14ac:dyDescent="0.25">
      <c r="A64" s="102" t="s">
        <v>340</v>
      </c>
      <c r="B64" s="32">
        <f t="shared" si="0"/>
        <v>63</v>
      </c>
      <c r="C64" s="33">
        <v>1152</v>
      </c>
      <c r="D64" s="33"/>
      <c r="E64" s="33" t="s">
        <v>233</v>
      </c>
      <c r="F64" s="33" t="s">
        <v>234</v>
      </c>
      <c r="G64" s="33" t="s">
        <v>235</v>
      </c>
      <c r="H64" s="33">
        <v>4</v>
      </c>
      <c r="I64" s="33" t="s">
        <v>223</v>
      </c>
      <c r="J64" s="33" t="s">
        <v>223</v>
      </c>
      <c r="K64" s="33"/>
      <c r="L64" s="34"/>
      <c r="M64" s="33"/>
    </row>
    <row r="65" spans="1:13" x14ac:dyDescent="0.25">
      <c r="A65" s="102" t="s">
        <v>341</v>
      </c>
      <c r="B65" s="32">
        <f t="shared" si="0"/>
        <v>64</v>
      </c>
      <c r="C65" s="33">
        <v>1618</v>
      </c>
      <c r="D65" s="33"/>
      <c r="E65" s="33"/>
      <c r="F65" s="33" t="s">
        <v>234</v>
      </c>
      <c r="G65" s="33" t="s">
        <v>235</v>
      </c>
      <c r="H65" s="33">
        <v>2</v>
      </c>
      <c r="I65" s="33" t="s">
        <v>223</v>
      </c>
      <c r="J65" s="33" t="s">
        <v>223</v>
      </c>
      <c r="K65" s="33"/>
      <c r="L65" s="34"/>
      <c r="M65" s="33"/>
    </row>
    <row r="66" spans="1:13" x14ac:dyDescent="0.25">
      <c r="A66" s="102" t="s">
        <v>342</v>
      </c>
      <c r="B66" s="32">
        <f t="shared" ref="B66:B129" si="1">ROW(B65)</f>
        <v>65</v>
      </c>
      <c r="C66" s="33">
        <v>1179</v>
      </c>
      <c r="D66" s="33"/>
      <c r="E66" s="33" t="s">
        <v>233</v>
      </c>
      <c r="F66" s="33" t="s">
        <v>234</v>
      </c>
      <c r="G66" s="33" t="s">
        <v>235</v>
      </c>
      <c r="H66" s="33">
        <v>3</v>
      </c>
      <c r="I66" s="33" t="s">
        <v>223</v>
      </c>
      <c r="J66" s="33" t="s">
        <v>223</v>
      </c>
      <c r="K66" s="33"/>
      <c r="L66" s="34"/>
      <c r="M66" s="33"/>
    </row>
    <row r="67" spans="1:13" x14ac:dyDescent="0.25">
      <c r="A67" s="102" t="s">
        <v>343</v>
      </c>
      <c r="B67" s="32">
        <f t="shared" si="1"/>
        <v>66</v>
      </c>
      <c r="C67" s="33" t="s">
        <v>344</v>
      </c>
      <c r="D67" s="33"/>
      <c r="E67" s="33" t="s">
        <v>233</v>
      </c>
      <c r="F67" s="33" t="s">
        <v>261</v>
      </c>
      <c r="G67" s="33" t="s">
        <v>235</v>
      </c>
      <c r="H67" s="33">
        <v>3</v>
      </c>
      <c r="I67" s="33" t="s">
        <v>223</v>
      </c>
      <c r="J67" s="33" t="s">
        <v>223</v>
      </c>
      <c r="K67" s="33"/>
      <c r="L67" s="34"/>
      <c r="M67" s="33"/>
    </row>
    <row r="68" spans="1:13" x14ac:dyDescent="0.25">
      <c r="A68" s="102" t="s">
        <v>343</v>
      </c>
      <c r="B68" s="32">
        <f t="shared" si="1"/>
        <v>67</v>
      </c>
      <c r="C68" s="33" t="s">
        <v>345</v>
      </c>
      <c r="D68" s="33"/>
      <c r="E68" s="33" t="s">
        <v>233</v>
      </c>
      <c r="F68" s="33" t="s">
        <v>346</v>
      </c>
      <c r="G68" s="33" t="s">
        <v>235</v>
      </c>
      <c r="H68" s="33">
        <v>2</v>
      </c>
      <c r="I68" s="33" t="s">
        <v>223</v>
      </c>
      <c r="J68" s="33" t="s">
        <v>223</v>
      </c>
      <c r="K68" s="33"/>
      <c r="L68" s="34"/>
      <c r="M68" s="33"/>
    </row>
    <row r="69" spans="1:13" x14ac:dyDescent="0.25">
      <c r="A69" s="102" t="s">
        <v>347</v>
      </c>
      <c r="B69" s="32">
        <f t="shared" si="1"/>
        <v>68</v>
      </c>
      <c r="C69" s="33" t="s">
        <v>348</v>
      </c>
      <c r="D69" s="33"/>
      <c r="E69" s="33"/>
      <c r="F69" s="33" t="s">
        <v>234</v>
      </c>
      <c r="G69" s="33" t="s">
        <v>235</v>
      </c>
      <c r="H69" s="33">
        <v>11</v>
      </c>
      <c r="I69" s="33" t="s">
        <v>223</v>
      </c>
      <c r="J69" s="33" t="s">
        <v>223</v>
      </c>
      <c r="K69" s="33"/>
      <c r="L69" s="34"/>
      <c r="M69" s="33"/>
    </row>
    <row r="70" spans="1:13" x14ac:dyDescent="0.25">
      <c r="A70" s="102" t="s">
        <v>349</v>
      </c>
      <c r="B70" s="32">
        <f t="shared" si="1"/>
        <v>69</v>
      </c>
      <c r="C70" s="33" t="s">
        <v>350</v>
      </c>
      <c r="D70" s="33"/>
      <c r="E70" s="33"/>
      <c r="F70" s="33"/>
      <c r="G70" s="33" t="s">
        <v>235</v>
      </c>
      <c r="H70" s="33">
        <v>6</v>
      </c>
      <c r="I70" s="33" t="s">
        <v>223</v>
      </c>
      <c r="J70" s="33" t="s">
        <v>223</v>
      </c>
      <c r="K70" s="33"/>
      <c r="L70" s="34"/>
      <c r="M70" s="33"/>
    </row>
    <row r="71" spans="1:13" x14ac:dyDescent="0.25">
      <c r="A71" s="102" t="s">
        <v>351</v>
      </c>
      <c r="B71" s="32">
        <f t="shared" si="1"/>
        <v>70</v>
      </c>
      <c r="C71" s="33" t="s">
        <v>352</v>
      </c>
      <c r="D71" s="33"/>
      <c r="E71" s="33"/>
      <c r="F71" s="33" t="s">
        <v>255</v>
      </c>
      <c r="G71" s="33" t="s">
        <v>235</v>
      </c>
      <c r="H71" s="33">
        <v>29</v>
      </c>
      <c r="I71" s="33" t="s">
        <v>223</v>
      </c>
      <c r="J71" s="33" t="s">
        <v>223</v>
      </c>
      <c r="K71" s="33"/>
      <c r="L71" s="34"/>
      <c r="M71" s="33"/>
    </row>
    <row r="72" spans="1:13" x14ac:dyDescent="0.25">
      <c r="A72" s="102" t="s">
        <v>353</v>
      </c>
      <c r="B72" s="32">
        <f t="shared" si="1"/>
        <v>71</v>
      </c>
      <c r="C72" s="33" t="s">
        <v>354</v>
      </c>
      <c r="D72" s="33"/>
      <c r="E72" s="33"/>
      <c r="F72" s="33" t="s">
        <v>255</v>
      </c>
      <c r="G72" s="33" t="s">
        <v>235</v>
      </c>
      <c r="H72" s="33">
        <v>17</v>
      </c>
      <c r="I72" s="33" t="s">
        <v>223</v>
      </c>
      <c r="J72" s="33" t="s">
        <v>223</v>
      </c>
      <c r="K72" s="33"/>
      <c r="L72" s="34"/>
      <c r="M72" s="33"/>
    </row>
    <row r="73" spans="1:13" x14ac:dyDescent="0.25">
      <c r="A73" s="102" t="s">
        <v>355</v>
      </c>
      <c r="B73" s="32">
        <f t="shared" si="1"/>
        <v>72</v>
      </c>
      <c r="C73" s="33" t="s">
        <v>356</v>
      </c>
      <c r="D73" s="33"/>
      <c r="E73" s="33"/>
      <c r="F73" s="33"/>
      <c r="G73" s="33" t="s">
        <v>235</v>
      </c>
      <c r="H73" s="33">
        <v>3</v>
      </c>
      <c r="I73" s="33" t="s">
        <v>223</v>
      </c>
      <c r="J73" s="33" t="s">
        <v>223</v>
      </c>
      <c r="K73" s="33"/>
      <c r="L73" s="34"/>
      <c r="M73" s="33"/>
    </row>
    <row r="74" spans="1:13" x14ac:dyDescent="0.25">
      <c r="A74" s="102" t="s">
        <v>355</v>
      </c>
      <c r="B74" s="32">
        <f t="shared" si="1"/>
        <v>73</v>
      </c>
      <c r="C74" s="33" t="s">
        <v>357</v>
      </c>
      <c r="D74" s="33"/>
      <c r="E74" s="33"/>
      <c r="F74" s="33" t="s">
        <v>257</v>
      </c>
      <c r="G74" s="33" t="s">
        <v>235</v>
      </c>
      <c r="H74" s="33">
        <v>4</v>
      </c>
      <c r="I74" s="33" t="s">
        <v>223</v>
      </c>
      <c r="J74" s="33" t="s">
        <v>223</v>
      </c>
      <c r="K74" s="33"/>
      <c r="L74" s="34"/>
      <c r="M74" s="33"/>
    </row>
    <row r="75" spans="1:13" x14ac:dyDescent="0.25">
      <c r="A75" s="102" t="s">
        <v>358</v>
      </c>
      <c r="B75" s="32">
        <f t="shared" si="1"/>
        <v>74</v>
      </c>
      <c r="C75" s="33" t="s">
        <v>359</v>
      </c>
      <c r="D75" s="33"/>
      <c r="E75" s="33"/>
      <c r="F75" s="33" t="s">
        <v>257</v>
      </c>
      <c r="G75" s="33" t="s">
        <v>235</v>
      </c>
      <c r="H75" s="33">
        <v>38</v>
      </c>
      <c r="I75" s="33" t="s">
        <v>223</v>
      </c>
      <c r="J75" s="33" t="s">
        <v>223</v>
      </c>
      <c r="K75" s="33"/>
      <c r="L75" s="34"/>
      <c r="M75" s="33"/>
    </row>
    <row r="76" spans="1:13" x14ac:dyDescent="0.25">
      <c r="A76" s="102" t="s">
        <v>360</v>
      </c>
      <c r="B76" s="32">
        <f t="shared" si="1"/>
        <v>75</v>
      </c>
      <c r="C76" s="33" t="s">
        <v>361</v>
      </c>
      <c r="D76" s="33"/>
      <c r="E76" s="33"/>
      <c r="F76" s="33" t="s">
        <v>257</v>
      </c>
      <c r="G76" s="33" t="s">
        <v>235</v>
      </c>
      <c r="H76" s="33">
        <v>7</v>
      </c>
      <c r="I76" s="33" t="s">
        <v>223</v>
      </c>
      <c r="J76" s="33" t="s">
        <v>223</v>
      </c>
      <c r="K76" s="33"/>
      <c r="L76" s="34"/>
      <c r="M76" s="33"/>
    </row>
    <row r="77" spans="1:13" x14ac:dyDescent="0.25">
      <c r="A77" s="102" t="s">
        <v>362</v>
      </c>
      <c r="B77" s="32">
        <f t="shared" si="1"/>
        <v>76</v>
      </c>
      <c r="C77" s="33">
        <v>4600</v>
      </c>
      <c r="D77" s="33"/>
      <c r="E77" s="33"/>
      <c r="F77" s="33"/>
      <c r="G77" s="33" t="s">
        <v>235</v>
      </c>
      <c r="H77" s="33">
        <v>18</v>
      </c>
      <c r="I77" s="33" t="s">
        <v>223</v>
      </c>
      <c r="J77" s="33" t="s">
        <v>223</v>
      </c>
      <c r="K77" s="33"/>
      <c r="L77" s="34"/>
      <c r="M77" s="33"/>
    </row>
    <row r="78" spans="1:13" x14ac:dyDescent="0.25">
      <c r="A78" s="102" t="s">
        <v>362</v>
      </c>
      <c r="B78" s="32">
        <f t="shared" si="1"/>
        <v>77</v>
      </c>
      <c r="C78" s="33" t="s">
        <v>363</v>
      </c>
      <c r="D78" s="33"/>
      <c r="E78" s="33"/>
      <c r="F78" s="33" t="s">
        <v>257</v>
      </c>
      <c r="G78" s="33" t="s">
        <v>235</v>
      </c>
      <c r="H78" s="33">
        <v>27</v>
      </c>
      <c r="I78" s="33" t="s">
        <v>223</v>
      </c>
      <c r="J78" s="33" t="s">
        <v>223</v>
      </c>
      <c r="K78" s="33"/>
      <c r="L78" s="34"/>
      <c r="M78" s="33"/>
    </row>
    <row r="79" spans="1:13" x14ac:dyDescent="0.25">
      <c r="A79" s="102" t="s">
        <v>364</v>
      </c>
      <c r="B79" s="32">
        <f t="shared" si="1"/>
        <v>78</v>
      </c>
      <c r="C79" s="33" t="s">
        <v>365</v>
      </c>
      <c r="D79" s="33"/>
      <c r="E79" s="33"/>
      <c r="F79" s="33" t="s">
        <v>257</v>
      </c>
      <c r="G79" s="33" t="s">
        <v>221</v>
      </c>
      <c r="H79" s="33">
        <v>1</v>
      </c>
      <c r="I79" s="33" t="s">
        <v>281</v>
      </c>
      <c r="J79" s="33" t="s">
        <v>223</v>
      </c>
      <c r="K79" s="33"/>
      <c r="L79" s="34"/>
      <c r="M79" s="33"/>
    </row>
    <row r="80" spans="1:13" x14ac:dyDescent="0.25">
      <c r="A80" s="102" t="s">
        <v>366</v>
      </c>
      <c r="B80" s="32">
        <f t="shared" si="1"/>
        <v>79</v>
      </c>
      <c r="C80" s="33" t="s">
        <v>367</v>
      </c>
      <c r="D80" s="33"/>
      <c r="E80" s="33"/>
      <c r="F80" s="33" t="s">
        <v>257</v>
      </c>
      <c r="G80" s="33" t="s">
        <v>235</v>
      </c>
      <c r="H80" s="33">
        <v>62</v>
      </c>
      <c r="I80" s="33" t="s">
        <v>223</v>
      </c>
      <c r="J80" s="33" t="s">
        <v>223</v>
      </c>
      <c r="K80" s="33"/>
      <c r="L80" s="34"/>
      <c r="M80" s="33"/>
    </row>
    <row r="81" spans="1:13" x14ac:dyDescent="0.25">
      <c r="A81" s="102" t="s">
        <v>368</v>
      </c>
      <c r="B81" s="32">
        <f t="shared" si="1"/>
        <v>80</v>
      </c>
      <c r="C81" s="33">
        <v>1410</v>
      </c>
      <c r="D81" s="33"/>
      <c r="E81" s="33"/>
      <c r="F81" s="33" t="s">
        <v>261</v>
      </c>
      <c r="G81" s="33" t="s">
        <v>235</v>
      </c>
      <c r="H81" s="33">
        <v>3</v>
      </c>
      <c r="I81" s="33" t="s">
        <v>223</v>
      </c>
      <c r="J81" s="33" t="s">
        <v>223</v>
      </c>
      <c r="K81" s="33"/>
      <c r="L81" s="34"/>
      <c r="M81" s="33"/>
    </row>
    <row r="82" spans="1:13" x14ac:dyDescent="0.25">
      <c r="A82" s="102" t="s">
        <v>369</v>
      </c>
      <c r="B82" s="32">
        <f t="shared" si="1"/>
        <v>81</v>
      </c>
      <c r="C82" s="33">
        <v>1410</v>
      </c>
      <c r="D82" s="33"/>
      <c r="E82" s="33"/>
      <c r="F82" s="33" t="s">
        <v>261</v>
      </c>
      <c r="G82" s="33" t="s">
        <v>235</v>
      </c>
      <c r="H82" s="33">
        <v>3</v>
      </c>
      <c r="I82" s="33" t="s">
        <v>223</v>
      </c>
      <c r="J82" s="33" t="s">
        <v>223</v>
      </c>
      <c r="K82" s="33"/>
      <c r="L82" s="34"/>
      <c r="M82" s="33"/>
    </row>
    <row r="83" spans="1:13" x14ac:dyDescent="0.25">
      <c r="A83" s="102" t="s">
        <v>370</v>
      </c>
      <c r="B83" s="32">
        <f t="shared" si="1"/>
        <v>82</v>
      </c>
      <c r="C83" s="33" t="s">
        <v>371</v>
      </c>
      <c r="D83" s="33"/>
      <c r="E83" s="33"/>
      <c r="F83" s="33" t="s">
        <v>257</v>
      </c>
      <c r="G83" s="33" t="s">
        <v>240</v>
      </c>
      <c r="H83" s="33">
        <v>0</v>
      </c>
      <c r="I83" s="33" t="s">
        <v>223</v>
      </c>
      <c r="J83" s="33" t="s">
        <v>223</v>
      </c>
      <c r="K83" s="33"/>
      <c r="L83" s="34"/>
      <c r="M83" s="33"/>
    </row>
    <row r="84" spans="1:13" x14ac:dyDescent="0.25">
      <c r="A84" s="102" t="s">
        <v>372</v>
      </c>
      <c r="B84" s="32">
        <f t="shared" si="1"/>
        <v>83</v>
      </c>
      <c r="C84" s="33">
        <v>7250</v>
      </c>
      <c r="D84" s="33"/>
      <c r="E84" s="33"/>
      <c r="F84" s="33" t="s">
        <v>269</v>
      </c>
      <c r="G84" s="33" t="s">
        <v>240</v>
      </c>
      <c r="H84" s="33">
        <v>0</v>
      </c>
      <c r="I84" s="33" t="s">
        <v>223</v>
      </c>
      <c r="J84" s="33" t="s">
        <v>223</v>
      </c>
      <c r="K84" s="33"/>
      <c r="L84" s="34"/>
      <c r="M84" s="33"/>
    </row>
    <row r="85" spans="1:13" x14ac:dyDescent="0.25">
      <c r="A85" s="102" t="s">
        <v>373</v>
      </c>
      <c r="B85" s="32">
        <f t="shared" si="1"/>
        <v>84</v>
      </c>
      <c r="C85" s="33" t="s">
        <v>374</v>
      </c>
      <c r="D85" s="33"/>
      <c r="E85" s="33" t="s">
        <v>374</v>
      </c>
      <c r="F85" s="33" t="s">
        <v>234</v>
      </c>
      <c r="G85" s="33" t="s">
        <v>235</v>
      </c>
      <c r="H85" s="33">
        <v>3</v>
      </c>
      <c r="I85" s="33" t="s">
        <v>223</v>
      </c>
      <c r="J85" s="33" t="s">
        <v>223</v>
      </c>
      <c r="K85" s="33"/>
      <c r="L85" s="34"/>
      <c r="M85" s="33"/>
    </row>
    <row r="86" spans="1:13" x14ac:dyDescent="0.25">
      <c r="A86" s="102" t="s">
        <v>375</v>
      </c>
      <c r="B86" s="32">
        <f t="shared" si="1"/>
        <v>85</v>
      </c>
      <c r="C86" s="33" t="s">
        <v>376</v>
      </c>
      <c r="D86" s="33"/>
      <c r="E86" s="33"/>
      <c r="F86" s="33" t="s">
        <v>234</v>
      </c>
      <c r="G86" s="33" t="s">
        <v>235</v>
      </c>
      <c r="H86" s="33">
        <v>6</v>
      </c>
      <c r="I86" s="33" t="s">
        <v>223</v>
      </c>
      <c r="J86" s="33" t="s">
        <v>223</v>
      </c>
      <c r="K86" s="33"/>
      <c r="L86" s="34"/>
      <c r="M86" s="33"/>
    </row>
    <row r="87" spans="1:13" x14ac:dyDescent="0.25">
      <c r="A87" s="102" t="s">
        <v>377</v>
      </c>
      <c r="B87" s="32">
        <f t="shared" si="1"/>
        <v>86</v>
      </c>
      <c r="C87" s="33">
        <v>1285</v>
      </c>
      <c r="D87" s="33"/>
      <c r="E87" s="33"/>
      <c r="F87" s="33" t="s">
        <v>234</v>
      </c>
      <c r="G87" s="33" t="s">
        <v>235</v>
      </c>
      <c r="H87" s="33">
        <v>1</v>
      </c>
      <c r="I87" s="33" t="s">
        <v>223</v>
      </c>
      <c r="J87" s="33" t="s">
        <v>223</v>
      </c>
      <c r="K87" s="33"/>
      <c r="L87" s="34"/>
      <c r="M87" s="33"/>
    </row>
    <row r="88" spans="1:13" x14ac:dyDescent="0.25">
      <c r="A88" s="102" t="s">
        <v>378</v>
      </c>
      <c r="B88" s="32">
        <f t="shared" si="1"/>
        <v>87</v>
      </c>
      <c r="C88" s="33" t="s">
        <v>379</v>
      </c>
      <c r="D88" s="33"/>
      <c r="E88" s="33"/>
      <c r="F88" s="33"/>
      <c r="G88" s="33" t="s">
        <v>221</v>
      </c>
      <c r="H88" s="33">
        <v>0</v>
      </c>
      <c r="I88" s="33"/>
      <c r="J88" s="33" t="s">
        <v>223</v>
      </c>
      <c r="K88" s="33"/>
      <c r="L88" s="34"/>
      <c r="M88" s="33"/>
    </row>
    <row r="89" spans="1:13" ht="30" x14ac:dyDescent="0.25">
      <c r="A89" s="102" t="s">
        <v>380</v>
      </c>
      <c r="B89" s="32">
        <f t="shared" si="1"/>
        <v>88</v>
      </c>
      <c r="C89" s="33" t="s">
        <v>381</v>
      </c>
      <c r="D89" s="33"/>
      <c r="E89" s="33"/>
      <c r="F89" s="33" t="s">
        <v>257</v>
      </c>
      <c r="G89" s="33" t="s">
        <v>382</v>
      </c>
      <c r="H89" s="33">
        <v>6</v>
      </c>
      <c r="I89" s="33" t="s">
        <v>223</v>
      </c>
      <c r="J89" s="33" t="s">
        <v>223</v>
      </c>
      <c r="K89" s="33"/>
      <c r="L89" s="34"/>
      <c r="M89" s="33"/>
    </row>
    <row r="90" spans="1:13" x14ac:dyDescent="0.25">
      <c r="A90" s="102" t="s">
        <v>380</v>
      </c>
      <c r="B90" s="32">
        <f t="shared" si="1"/>
        <v>89</v>
      </c>
      <c r="C90" s="33" t="s">
        <v>383</v>
      </c>
      <c r="D90" s="33"/>
      <c r="E90" s="33"/>
      <c r="F90" s="33" t="s">
        <v>261</v>
      </c>
      <c r="G90" s="33" t="s">
        <v>382</v>
      </c>
      <c r="H90" s="33">
        <v>31</v>
      </c>
      <c r="I90" s="33" t="s">
        <v>223</v>
      </c>
      <c r="J90" s="33" t="s">
        <v>223</v>
      </c>
      <c r="K90" s="33"/>
      <c r="L90" s="34"/>
      <c r="M90" s="33"/>
    </row>
    <row r="91" spans="1:13" ht="30" x14ac:dyDescent="0.25">
      <c r="A91" s="102" t="s">
        <v>384</v>
      </c>
      <c r="B91" s="32">
        <f t="shared" si="1"/>
        <v>90</v>
      </c>
      <c r="C91" s="33" t="s">
        <v>277</v>
      </c>
      <c r="D91" s="33"/>
      <c r="E91" s="33" t="s">
        <v>277</v>
      </c>
      <c r="F91" s="33" t="s">
        <v>234</v>
      </c>
      <c r="G91" s="33" t="s">
        <v>235</v>
      </c>
      <c r="H91" s="33">
        <v>2</v>
      </c>
      <c r="I91" s="33" t="s">
        <v>223</v>
      </c>
      <c r="J91" s="33" t="s">
        <v>223</v>
      </c>
      <c r="K91" s="33"/>
      <c r="L91" s="34"/>
      <c r="M91" s="33"/>
    </row>
    <row r="92" spans="1:13" x14ac:dyDescent="0.25">
      <c r="A92" s="102" t="s">
        <v>385</v>
      </c>
      <c r="B92" s="32">
        <f t="shared" si="1"/>
        <v>91</v>
      </c>
      <c r="C92" s="33">
        <v>1254</v>
      </c>
      <c r="D92" s="33"/>
      <c r="E92" s="33"/>
      <c r="F92" s="33" t="s">
        <v>234</v>
      </c>
      <c r="G92" s="33" t="s">
        <v>235</v>
      </c>
      <c r="H92" s="33">
        <v>6</v>
      </c>
      <c r="I92" s="33" t="s">
        <v>223</v>
      </c>
      <c r="J92" s="33" t="s">
        <v>223</v>
      </c>
      <c r="K92" s="33"/>
      <c r="L92" s="34"/>
      <c r="M92" s="33"/>
    </row>
    <row r="93" spans="1:13" ht="30" x14ac:dyDescent="0.25">
      <c r="A93" s="102" t="s">
        <v>386</v>
      </c>
      <c r="B93" s="32">
        <f t="shared" si="1"/>
        <v>92</v>
      </c>
      <c r="C93" s="33" t="s">
        <v>387</v>
      </c>
      <c r="D93" s="33"/>
      <c r="E93" s="33" t="s">
        <v>249</v>
      </c>
      <c r="F93" s="33"/>
      <c r="G93" s="33" t="s">
        <v>235</v>
      </c>
      <c r="H93" s="33">
        <v>1</v>
      </c>
      <c r="I93" s="33" t="s">
        <v>223</v>
      </c>
      <c r="J93" s="33" t="s">
        <v>223</v>
      </c>
      <c r="K93" s="33"/>
      <c r="L93" s="34"/>
      <c r="M93" s="33"/>
    </row>
    <row r="94" spans="1:13" x14ac:dyDescent="0.25">
      <c r="A94" s="102" t="s">
        <v>388</v>
      </c>
      <c r="B94" s="32">
        <f t="shared" si="1"/>
        <v>93</v>
      </c>
      <c r="C94" s="33">
        <v>1380003112</v>
      </c>
      <c r="D94" s="33"/>
      <c r="E94" s="33"/>
      <c r="F94" s="33" t="s">
        <v>234</v>
      </c>
      <c r="G94" s="33" t="s">
        <v>235</v>
      </c>
      <c r="H94" s="33">
        <v>2</v>
      </c>
      <c r="I94" s="33" t="s">
        <v>223</v>
      </c>
      <c r="J94" s="33" t="s">
        <v>223</v>
      </c>
      <c r="K94" s="33"/>
      <c r="L94" s="34"/>
      <c r="M94" s="33"/>
    </row>
    <row r="95" spans="1:13" x14ac:dyDescent="0.25">
      <c r="A95" s="102" t="s">
        <v>389</v>
      </c>
      <c r="B95" s="32">
        <f t="shared" si="1"/>
        <v>94</v>
      </c>
      <c r="C95" s="33">
        <v>1061</v>
      </c>
      <c r="D95" s="33"/>
      <c r="E95" s="33" t="s">
        <v>233</v>
      </c>
      <c r="F95" s="33" t="s">
        <v>234</v>
      </c>
      <c r="G95" s="33" t="s">
        <v>235</v>
      </c>
      <c r="H95" s="33">
        <v>3</v>
      </c>
      <c r="I95" s="33" t="s">
        <v>223</v>
      </c>
      <c r="J95" s="33" t="s">
        <v>223</v>
      </c>
      <c r="K95" s="33"/>
      <c r="L95" s="34"/>
      <c r="M95" s="33"/>
    </row>
    <row r="96" spans="1:13" x14ac:dyDescent="0.25">
      <c r="A96" s="102" t="s">
        <v>390</v>
      </c>
      <c r="B96" s="32">
        <f t="shared" si="1"/>
        <v>95</v>
      </c>
      <c r="C96" s="33">
        <v>1061</v>
      </c>
      <c r="D96" s="33"/>
      <c r="E96" s="33" t="s">
        <v>233</v>
      </c>
      <c r="F96" s="33" t="s">
        <v>234</v>
      </c>
      <c r="G96" s="33" t="s">
        <v>235</v>
      </c>
      <c r="H96" s="33">
        <v>5</v>
      </c>
      <c r="I96" s="33" t="s">
        <v>223</v>
      </c>
      <c r="J96" s="33" t="s">
        <v>223</v>
      </c>
      <c r="K96" s="33"/>
      <c r="L96" s="34"/>
      <c r="M96" s="33"/>
    </row>
    <row r="97" spans="1:13" ht="30" x14ac:dyDescent="0.25">
      <c r="A97" s="102" t="s">
        <v>391</v>
      </c>
      <c r="B97" s="32">
        <f t="shared" si="1"/>
        <v>96</v>
      </c>
      <c r="C97" s="33">
        <v>1296002</v>
      </c>
      <c r="D97" s="33"/>
      <c r="E97" s="33" t="s">
        <v>233</v>
      </c>
      <c r="F97" s="33" t="s">
        <v>234</v>
      </c>
      <c r="G97" s="33" t="s">
        <v>235</v>
      </c>
      <c r="H97" s="33">
        <v>2</v>
      </c>
      <c r="I97" s="33" t="s">
        <v>223</v>
      </c>
      <c r="J97" s="33" t="s">
        <v>223</v>
      </c>
      <c r="K97" s="33"/>
      <c r="L97" s="34"/>
      <c r="M97" s="33"/>
    </row>
    <row r="98" spans="1:13" ht="30" x14ac:dyDescent="0.25">
      <c r="A98" s="102" t="s">
        <v>392</v>
      </c>
      <c r="B98" s="32">
        <f t="shared" si="1"/>
        <v>97</v>
      </c>
      <c r="C98" s="33">
        <v>1242</v>
      </c>
      <c r="D98" s="33"/>
      <c r="E98" s="33" t="s">
        <v>233</v>
      </c>
      <c r="F98" s="33" t="s">
        <v>234</v>
      </c>
      <c r="G98" s="33" t="s">
        <v>235</v>
      </c>
      <c r="H98" s="33">
        <v>1</v>
      </c>
      <c r="I98" s="33" t="s">
        <v>223</v>
      </c>
      <c r="J98" s="33" t="s">
        <v>223</v>
      </c>
      <c r="K98" s="33"/>
      <c r="L98" s="34"/>
      <c r="M98" s="33"/>
    </row>
    <row r="99" spans="1:13" x14ac:dyDescent="0.25">
      <c r="A99" s="102" t="s">
        <v>393</v>
      </c>
      <c r="B99" s="32">
        <f t="shared" si="1"/>
        <v>98</v>
      </c>
      <c r="C99" s="33">
        <v>1245</v>
      </c>
      <c r="D99" s="33"/>
      <c r="E99" s="33"/>
      <c r="F99" s="33" t="s">
        <v>234</v>
      </c>
      <c r="G99" s="33" t="s">
        <v>235</v>
      </c>
      <c r="H99" s="33">
        <v>2</v>
      </c>
      <c r="I99" s="33" t="s">
        <v>223</v>
      </c>
      <c r="J99" s="33" t="s">
        <v>223</v>
      </c>
      <c r="K99" s="33"/>
      <c r="L99" s="34"/>
      <c r="M99" s="33"/>
    </row>
    <row r="100" spans="1:13" x14ac:dyDescent="0.25">
      <c r="A100" s="102" t="s">
        <v>394</v>
      </c>
      <c r="B100" s="32">
        <f t="shared" si="1"/>
        <v>99</v>
      </c>
      <c r="C100" s="33" t="s">
        <v>395</v>
      </c>
      <c r="D100" s="33"/>
      <c r="E100" s="33" t="s">
        <v>249</v>
      </c>
      <c r="F100" s="33" t="s">
        <v>234</v>
      </c>
      <c r="G100" s="33" t="s">
        <v>235</v>
      </c>
      <c r="H100" s="33">
        <v>2</v>
      </c>
      <c r="I100" s="33" t="s">
        <v>223</v>
      </c>
      <c r="J100" s="33" t="s">
        <v>223</v>
      </c>
      <c r="K100" s="33"/>
      <c r="L100" s="34"/>
      <c r="M100" s="33"/>
    </row>
    <row r="101" spans="1:13" x14ac:dyDescent="0.25">
      <c r="A101" s="102" t="s">
        <v>396</v>
      </c>
      <c r="B101" s="32">
        <f t="shared" si="1"/>
        <v>100</v>
      </c>
      <c r="C101" s="33">
        <v>1162</v>
      </c>
      <c r="D101" s="33"/>
      <c r="E101" s="33" t="s">
        <v>233</v>
      </c>
      <c r="F101" s="33" t="s">
        <v>288</v>
      </c>
      <c r="G101" s="33" t="s">
        <v>235</v>
      </c>
      <c r="H101" s="33">
        <v>1</v>
      </c>
      <c r="I101" s="33" t="s">
        <v>223</v>
      </c>
      <c r="J101" s="33" t="s">
        <v>223</v>
      </c>
      <c r="K101" s="33"/>
      <c r="L101" s="34"/>
      <c r="M101" s="33"/>
    </row>
    <row r="102" spans="1:13" x14ac:dyDescent="0.25">
      <c r="A102" s="102" t="s">
        <v>397</v>
      </c>
      <c r="B102" s="32">
        <f t="shared" si="1"/>
        <v>101</v>
      </c>
      <c r="C102" s="33">
        <v>1243</v>
      </c>
      <c r="D102" s="33"/>
      <c r="E102" s="33" t="s">
        <v>233</v>
      </c>
      <c r="F102" s="33" t="s">
        <v>234</v>
      </c>
      <c r="G102" s="33" t="s">
        <v>235</v>
      </c>
      <c r="H102" s="33">
        <v>5</v>
      </c>
      <c r="I102" s="33" t="s">
        <v>223</v>
      </c>
      <c r="J102" s="33" t="s">
        <v>223</v>
      </c>
      <c r="K102" s="33"/>
      <c r="L102" s="34"/>
      <c r="M102" s="33"/>
    </row>
    <row r="103" spans="1:13" x14ac:dyDescent="0.25">
      <c r="A103" s="102" t="s">
        <v>398</v>
      </c>
      <c r="B103" s="32">
        <f t="shared" si="1"/>
        <v>102</v>
      </c>
      <c r="C103" s="33">
        <v>1187</v>
      </c>
      <c r="D103" s="33"/>
      <c r="E103" s="33"/>
      <c r="F103" s="33" t="s">
        <v>234</v>
      </c>
      <c r="G103" s="33" t="s">
        <v>235</v>
      </c>
      <c r="H103" s="33">
        <v>1</v>
      </c>
      <c r="I103" s="33" t="s">
        <v>223</v>
      </c>
      <c r="J103" s="33" t="s">
        <v>223</v>
      </c>
      <c r="K103" s="33"/>
      <c r="L103" s="34"/>
      <c r="M103" s="33"/>
    </row>
    <row r="104" spans="1:13" ht="30" x14ac:dyDescent="0.25">
      <c r="A104" s="102" t="s">
        <v>399</v>
      </c>
      <c r="B104" s="32">
        <f t="shared" si="1"/>
        <v>103</v>
      </c>
      <c r="C104" s="33" t="s">
        <v>400</v>
      </c>
      <c r="D104" s="33"/>
      <c r="E104" s="33"/>
      <c r="F104" s="33" t="s">
        <v>257</v>
      </c>
      <c r="G104" s="33" t="s">
        <v>221</v>
      </c>
      <c r="H104" s="33">
        <v>0</v>
      </c>
      <c r="I104" s="33" t="s">
        <v>273</v>
      </c>
      <c r="J104" s="33" t="s">
        <v>223</v>
      </c>
      <c r="K104" s="33"/>
      <c r="L104" s="34"/>
      <c r="M104" s="33"/>
    </row>
    <row r="105" spans="1:13" x14ac:dyDescent="0.25">
      <c r="A105" s="102" t="s">
        <v>401</v>
      </c>
      <c r="B105" s="32">
        <f t="shared" si="1"/>
        <v>104</v>
      </c>
      <c r="C105" s="33">
        <v>1480</v>
      </c>
      <c r="D105" s="33"/>
      <c r="E105" s="33" t="s">
        <v>233</v>
      </c>
      <c r="F105" s="33" t="s">
        <v>234</v>
      </c>
      <c r="G105" s="33" t="s">
        <v>235</v>
      </c>
      <c r="H105" s="33">
        <v>6</v>
      </c>
      <c r="I105" s="33" t="s">
        <v>223</v>
      </c>
      <c r="J105" s="33" t="s">
        <v>223</v>
      </c>
      <c r="K105" s="33"/>
      <c r="L105" s="34"/>
      <c r="M105" s="33"/>
    </row>
    <row r="106" spans="1:13" x14ac:dyDescent="0.25">
      <c r="A106" s="102" t="s">
        <v>402</v>
      </c>
      <c r="B106" s="32">
        <f t="shared" si="1"/>
        <v>105</v>
      </c>
      <c r="C106" s="33" t="s">
        <v>403</v>
      </c>
      <c r="D106" s="33"/>
      <c r="E106" s="33" t="s">
        <v>249</v>
      </c>
      <c r="F106" s="33" t="s">
        <v>234</v>
      </c>
      <c r="G106" s="33" t="s">
        <v>235</v>
      </c>
      <c r="H106" s="33">
        <v>16</v>
      </c>
      <c r="I106" s="33" t="s">
        <v>223</v>
      </c>
      <c r="J106" s="33" t="s">
        <v>223</v>
      </c>
      <c r="K106" s="33"/>
      <c r="L106" s="34"/>
      <c r="M106" s="33"/>
    </row>
    <row r="107" spans="1:13" ht="30" x14ac:dyDescent="0.25">
      <c r="A107" s="102" t="s">
        <v>404</v>
      </c>
      <c r="B107" s="32">
        <f t="shared" si="1"/>
        <v>106</v>
      </c>
      <c r="C107" s="33">
        <v>1458016</v>
      </c>
      <c r="D107" s="33"/>
      <c r="E107" s="33" t="s">
        <v>233</v>
      </c>
      <c r="F107" s="33" t="s">
        <v>234</v>
      </c>
      <c r="G107" s="33" t="s">
        <v>235</v>
      </c>
      <c r="H107" s="33">
        <v>4</v>
      </c>
      <c r="I107" s="33" t="s">
        <v>223</v>
      </c>
      <c r="J107" s="33" t="s">
        <v>223</v>
      </c>
      <c r="K107" s="33"/>
      <c r="L107" s="34"/>
      <c r="M107" s="33"/>
    </row>
    <row r="108" spans="1:13" x14ac:dyDescent="0.25">
      <c r="A108" s="102" t="s">
        <v>405</v>
      </c>
      <c r="B108" s="32">
        <f t="shared" si="1"/>
        <v>107</v>
      </c>
      <c r="C108" s="33">
        <v>2220</v>
      </c>
      <c r="D108" s="33"/>
      <c r="E108" s="33" t="s">
        <v>233</v>
      </c>
      <c r="F108" s="33" t="s">
        <v>234</v>
      </c>
      <c r="G108" s="33" t="s">
        <v>235</v>
      </c>
      <c r="H108" s="33">
        <v>5</v>
      </c>
      <c r="I108" s="33" t="s">
        <v>223</v>
      </c>
      <c r="J108" s="33" t="s">
        <v>223</v>
      </c>
      <c r="K108" s="33"/>
      <c r="L108" s="34"/>
      <c r="M108" s="33"/>
    </row>
    <row r="109" spans="1:13" x14ac:dyDescent="0.25">
      <c r="A109" s="102" t="s">
        <v>406</v>
      </c>
      <c r="B109" s="32">
        <f t="shared" si="1"/>
        <v>108</v>
      </c>
      <c r="C109" s="33">
        <v>1247</v>
      </c>
      <c r="D109" s="33"/>
      <c r="E109" s="33" t="s">
        <v>233</v>
      </c>
      <c r="F109" s="33" t="s">
        <v>234</v>
      </c>
      <c r="G109" s="33" t="s">
        <v>235</v>
      </c>
      <c r="H109" s="33">
        <v>1</v>
      </c>
      <c r="I109" s="33" t="s">
        <v>223</v>
      </c>
      <c r="J109" s="33" t="s">
        <v>223</v>
      </c>
      <c r="K109" s="33"/>
      <c r="L109" s="34"/>
      <c r="M109" s="33"/>
    </row>
    <row r="110" spans="1:13" x14ac:dyDescent="0.25">
      <c r="A110" s="102" t="s">
        <v>407</v>
      </c>
      <c r="B110" s="32">
        <f t="shared" si="1"/>
        <v>109</v>
      </c>
      <c r="C110" s="33">
        <v>1161090</v>
      </c>
      <c r="D110" s="33"/>
      <c r="E110" s="33" t="s">
        <v>233</v>
      </c>
      <c r="F110" s="33" t="s">
        <v>234</v>
      </c>
      <c r="G110" s="33" t="s">
        <v>235</v>
      </c>
      <c r="H110" s="33">
        <v>13</v>
      </c>
      <c r="I110" s="33" t="s">
        <v>223</v>
      </c>
      <c r="J110" s="33" t="s">
        <v>223</v>
      </c>
      <c r="K110" s="33"/>
      <c r="L110" s="34"/>
      <c r="M110" s="33"/>
    </row>
    <row r="111" spans="1:13" x14ac:dyDescent="0.25">
      <c r="A111" s="102" t="s">
        <v>408</v>
      </c>
      <c r="B111" s="32">
        <f t="shared" si="1"/>
        <v>110</v>
      </c>
      <c r="C111" s="33">
        <v>7402</v>
      </c>
      <c r="D111" s="33"/>
      <c r="E111" s="33"/>
      <c r="F111" s="33" t="s">
        <v>257</v>
      </c>
      <c r="G111" s="33" t="s">
        <v>235</v>
      </c>
      <c r="H111" s="33">
        <v>2</v>
      </c>
      <c r="I111" s="33" t="s">
        <v>223</v>
      </c>
      <c r="J111" s="33" t="s">
        <v>223</v>
      </c>
      <c r="K111" s="33"/>
      <c r="L111" s="34"/>
      <c r="M111" s="33"/>
    </row>
    <row r="112" spans="1:13" x14ac:dyDescent="0.25">
      <c r="A112" s="102" t="s">
        <v>409</v>
      </c>
      <c r="B112" s="32">
        <f t="shared" si="1"/>
        <v>111</v>
      </c>
      <c r="C112" s="33">
        <v>1174</v>
      </c>
      <c r="D112" s="33"/>
      <c r="E112" s="33" t="s">
        <v>233</v>
      </c>
      <c r="F112" s="33" t="s">
        <v>234</v>
      </c>
      <c r="G112" s="33" t="s">
        <v>235</v>
      </c>
      <c r="H112" s="33">
        <v>1</v>
      </c>
      <c r="I112" s="33" t="s">
        <v>223</v>
      </c>
      <c r="J112" s="33" t="s">
        <v>223</v>
      </c>
      <c r="K112" s="33"/>
      <c r="L112" s="34"/>
      <c r="M112" s="33"/>
    </row>
    <row r="113" spans="1:13" x14ac:dyDescent="0.25">
      <c r="A113" s="102" t="s">
        <v>410</v>
      </c>
      <c r="B113" s="32">
        <f t="shared" si="1"/>
        <v>112</v>
      </c>
      <c r="C113" s="33">
        <v>1153</v>
      </c>
      <c r="D113" s="33"/>
      <c r="E113" s="33" t="s">
        <v>233</v>
      </c>
      <c r="F113" s="33" t="s">
        <v>234</v>
      </c>
      <c r="G113" s="33" t="s">
        <v>235</v>
      </c>
      <c r="H113" s="33">
        <v>4</v>
      </c>
      <c r="I113" s="33" t="s">
        <v>223</v>
      </c>
      <c r="J113" s="33" t="s">
        <v>223</v>
      </c>
      <c r="K113" s="33"/>
      <c r="L113" s="34"/>
      <c r="M113" s="33"/>
    </row>
    <row r="114" spans="1:13" x14ac:dyDescent="0.25">
      <c r="A114" s="102" t="s">
        <v>411</v>
      </c>
      <c r="B114" s="32">
        <f t="shared" si="1"/>
        <v>113</v>
      </c>
      <c r="C114" s="33">
        <v>1179016</v>
      </c>
      <c r="D114" s="33"/>
      <c r="E114" s="33" t="s">
        <v>233</v>
      </c>
      <c r="F114" s="33" t="s">
        <v>234</v>
      </c>
      <c r="G114" s="33" t="s">
        <v>235</v>
      </c>
      <c r="H114" s="33">
        <v>3</v>
      </c>
      <c r="I114" s="33" t="s">
        <v>223</v>
      </c>
      <c r="J114" s="33" t="s">
        <v>223</v>
      </c>
      <c r="K114" s="33"/>
      <c r="L114" s="34"/>
      <c r="M114" s="33"/>
    </row>
    <row r="115" spans="1:13" ht="30" x14ac:dyDescent="0.25">
      <c r="A115" s="102" t="s">
        <v>412</v>
      </c>
      <c r="B115" s="32">
        <f t="shared" si="1"/>
        <v>114</v>
      </c>
      <c r="C115" s="33" t="s">
        <v>413</v>
      </c>
      <c r="D115" s="33"/>
      <c r="E115" s="33"/>
      <c r="F115" s="33"/>
      <c r="G115" s="33" t="s">
        <v>235</v>
      </c>
      <c r="H115" s="33">
        <v>206</v>
      </c>
      <c r="I115" s="33" t="s">
        <v>223</v>
      </c>
      <c r="J115" s="33" t="s">
        <v>223</v>
      </c>
      <c r="K115" s="33"/>
      <c r="L115" s="34"/>
      <c r="M115" s="33"/>
    </row>
    <row r="116" spans="1:13" x14ac:dyDescent="0.25">
      <c r="A116" s="102" t="s">
        <v>414</v>
      </c>
      <c r="B116" s="32">
        <f t="shared" si="1"/>
        <v>115</v>
      </c>
      <c r="C116" s="33" t="s">
        <v>413</v>
      </c>
      <c r="D116" s="33"/>
      <c r="E116" s="33"/>
      <c r="F116" s="33" t="s">
        <v>257</v>
      </c>
      <c r="G116" s="33" t="s">
        <v>235</v>
      </c>
      <c r="H116" s="33">
        <v>19</v>
      </c>
      <c r="I116" s="33" t="s">
        <v>223</v>
      </c>
      <c r="J116" s="33" t="s">
        <v>223</v>
      </c>
      <c r="K116" s="33"/>
      <c r="L116" s="34"/>
      <c r="M116" s="33"/>
    </row>
    <row r="117" spans="1:13" ht="30" x14ac:dyDescent="0.25">
      <c r="A117" s="102" t="s">
        <v>415</v>
      </c>
      <c r="B117" s="32">
        <f t="shared" si="1"/>
        <v>116</v>
      </c>
      <c r="C117" s="33" t="s">
        <v>416</v>
      </c>
      <c r="D117" s="33"/>
      <c r="E117" s="33"/>
      <c r="F117" s="33"/>
      <c r="G117" s="33" t="s">
        <v>221</v>
      </c>
      <c r="H117" s="33">
        <v>0</v>
      </c>
      <c r="I117" s="33" t="s">
        <v>223</v>
      </c>
      <c r="J117" s="33" t="s">
        <v>223</v>
      </c>
      <c r="K117" s="33"/>
      <c r="L117" s="34"/>
      <c r="M117" s="33"/>
    </row>
    <row r="118" spans="1:13" ht="30" x14ac:dyDescent="0.25">
      <c r="A118" s="102" t="s">
        <v>417</v>
      </c>
      <c r="B118" s="32">
        <f t="shared" si="1"/>
        <v>117</v>
      </c>
      <c r="C118" s="33" t="s">
        <v>418</v>
      </c>
      <c r="D118" s="33"/>
      <c r="E118" s="33"/>
      <c r="F118" s="33" t="s">
        <v>419</v>
      </c>
      <c r="G118" s="33" t="s">
        <v>420</v>
      </c>
      <c r="H118" s="33">
        <v>20</v>
      </c>
      <c r="I118" s="33" t="s">
        <v>281</v>
      </c>
      <c r="J118" s="33" t="s">
        <v>223</v>
      </c>
      <c r="K118" s="33"/>
      <c r="L118" s="34"/>
      <c r="M118" s="33"/>
    </row>
    <row r="119" spans="1:13" x14ac:dyDescent="0.25">
      <c r="A119" s="102" t="s">
        <v>421</v>
      </c>
      <c r="B119" s="32">
        <f t="shared" si="1"/>
        <v>118</v>
      </c>
      <c r="C119" s="33" t="s">
        <v>422</v>
      </c>
      <c r="D119" s="33"/>
      <c r="E119" s="33"/>
      <c r="F119" s="33" t="s">
        <v>255</v>
      </c>
      <c r="G119" s="33" t="s">
        <v>221</v>
      </c>
      <c r="H119" s="33">
        <v>4</v>
      </c>
      <c r="I119" s="33"/>
      <c r="J119" s="33" t="s">
        <v>223</v>
      </c>
      <c r="K119" s="33"/>
      <c r="L119" s="34"/>
      <c r="M119" s="33"/>
    </row>
    <row r="120" spans="1:13" x14ac:dyDescent="0.25">
      <c r="A120" s="102" t="s">
        <v>423</v>
      </c>
      <c r="B120" s="32">
        <f t="shared" si="1"/>
        <v>119</v>
      </c>
      <c r="C120" s="33" t="s">
        <v>424</v>
      </c>
      <c r="D120" s="33"/>
      <c r="E120" s="33"/>
      <c r="F120" s="33" t="s">
        <v>261</v>
      </c>
      <c r="G120" s="33" t="s">
        <v>221</v>
      </c>
      <c r="H120" s="33">
        <v>3</v>
      </c>
      <c r="I120" s="33"/>
      <c r="J120" s="33" t="s">
        <v>223</v>
      </c>
      <c r="K120" s="33"/>
      <c r="L120" s="34"/>
      <c r="M120" s="33"/>
    </row>
    <row r="121" spans="1:13" x14ac:dyDescent="0.25">
      <c r="A121" s="102" t="s">
        <v>425</v>
      </c>
      <c r="B121" s="32">
        <f t="shared" si="1"/>
        <v>120</v>
      </c>
      <c r="C121" s="33" t="s">
        <v>426</v>
      </c>
      <c r="D121" s="33"/>
      <c r="E121" s="33"/>
      <c r="F121" s="33" t="s">
        <v>257</v>
      </c>
      <c r="G121" s="33" t="s">
        <v>221</v>
      </c>
      <c r="H121" s="33">
        <v>4</v>
      </c>
      <c r="I121" s="33" t="s">
        <v>223</v>
      </c>
      <c r="J121" s="33" t="s">
        <v>223</v>
      </c>
      <c r="K121" s="33"/>
      <c r="L121" s="34"/>
      <c r="M121" s="33"/>
    </row>
    <row r="122" spans="1:13" x14ac:dyDescent="0.25">
      <c r="A122" s="102" t="s">
        <v>427</v>
      </c>
      <c r="B122" s="32">
        <f t="shared" si="1"/>
        <v>121</v>
      </c>
      <c r="C122" s="33" t="s">
        <v>428</v>
      </c>
      <c r="D122" s="33"/>
      <c r="E122" s="33"/>
      <c r="F122" s="33"/>
      <c r="G122" s="33" t="s">
        <v>235</v>
      </c>
      <c r="H122" s="33">
        <v>3</v>
      </c>
      <c r="I122" s="33" t="s">
        <v>223</v>
      </c>
      <c r="J122" s="33" t="s">
        <v>223</v>
      </c>
      <c r="K122" s="33"/>
      <c r="L122" s="34"/>
      <c r="M122" s="33"/>
    </row>
    <row r="123" spans="1:13" x14ac:dyDescent="0.25">
      <c r="A123" s="102" t="s">
        <v>429</v>
      </c>
      <c r="B123" s="32">
        <f t="shared" si="1"/>
        <v>122</v>
      </c>
      <c r="C123" s="33">
        <v>1327</v>
      </c>
      <c r="D123" s="33"/>
      <c r="E123" s="33"/>
      <c r="F123" s="33"/>
      <c r="G123" s="33" t="s">
        <v>235</v>
      </c>
      <c r="H123" s="33">
        <v>115</v>
      </c>
      <c r="I123" s="33" t="s">
        <v>223</v>
      </c>
      <c r="J123" s="33" t="s">
        <v>223</v>
      </c>
      <c r="K123" s="33"/>
      <c r="L123" s="34"/>
      <c r="M123" s="33"/>
    </row>
    <row r="124" spans="1:13" x14ac:dyDescent="0.25">
      <c r="A124" s="102" t="s">
        <v>430</v>
      </c>
      <c r="B124" s="32">
        <f t="shared" si="1"/>
        <v>123</v>
      </c>
      <c r="C124" s="33">
        <v>1328</v>
      </c>
      <c r="D124" s="33"/>
      <c r="E124" s="33"/>
      <c r="F124" s="33"/>
      <c r="G124" s="33" t="s">
        <v>235</v>
      </c>
      <c r="H124" s="33">
        <v>48</v>
      </c>
      <c r="I124" s="33" t="s">
        <v>223</v>
      </c>
      <c r="J124" s="33" t="s">
        <v>223</v>
      </c>
      <c r="K124" s="33"/>
      <c r="L124" s="34"/>
      <c r="M124" s="33"/>
    </row>
    <row r="125" spans="1:13" x14ac:dyDescent="0.25">
      <c r="A125" s="102" t="s">
        <v>431</v>
      </c>
      <c r="B125" s="32">
        <f t="shared" si="1"/>
        <v>124</v>
      </c>
      <c r="C125" s="33" t="s">
        <v>432</v>
      </c>
      <c r="D125" s="33"/>
      <c r="E125" s="33"/>
      <c r="F125" s="33"/>
      <c r="G125" s="33" t="s">
        <v>235</v>
      </c>
      <c r="H125" s="33">
        <v>23</v>
      </c>
      <c r="I125" s="33" t="s">
        <v>223</v>
      </c>
      <c r="J125" s="33" t="s">
        <v>223</v>
      </c>
      <c r="K125" s="33"/>
      <c r="L125" s="34"/>
      <c r="M125" s="33"/>
    </row>
    <row r="126" spans="1:13" x14ac:dyDescent="0.25">
      <c r="A126" s="102" t="s">
        <v>433</v>
      </c>
      <c r="B126" s="32">
        <f t="shared" si="1"/>
        <v>125</v>
      </c>
      <c r="C126" s="33" t="s">
        <v>434</v>
      </c>
      <c r="D126" s="33"/>
      <c r="E126" s="33"/>
      <c r="F126" s="33" t="s">
        <v>419</v>
      </c>
      <c r="G126" s="33" t="s">
        <v>240</v>
      </c>
      <c r="H126" s="33">
        <v>10</v>
      </c>
      <c r="I126" s="33" t="s">
        <v>223</v>
      </c>
      <c r="J126" s="33" t="s">
        <v>223</v>
      </c>
      <c r="K126" s="33"/>
      <c r="L126" s="34"/>
      <c r="M126" s="33"/>
    </row>
    <row r="127" spans="1:13" x14ac:dyDescent="0.25">
      <c r="A127" s="102" t="s">
        <v>435</v>
      </c>
      <c r="B127" s="32">
        <f t="shared" si="1"/>
        <v>126</v>
      </c>
      <c r="C127" s="33" t="s">
        <v>436</v>
      </c>
      <c r="D127" s="33"/>
      <c r="E127" s="33"/>
      <c r="F127" s="33"/>
      <c r="G127" s="33" t="s">
        <v>235</v>
      </c>
      <c r="H127" s="33">
        <v>440</v>
      </c>
      <c r="I127" s="33" t="s">
        <v>223</v>
      </c>
      <c r="J127" s="33" t="s">
        <v>223</v>
      </c>
      <c r="K127" s="33"/>
      <c r="L127" s="34"/>
      <c r="M127" s="33"/>
    </row>
    <row r="128" spans="1:13" x14ac:dyDescent="0.25">
      <c r="A128" s="102" t="s">
        <v>437</v>
      </c>
      <c r="B128" s="32">
        <f t="shared" si="1"/>
        <v>127</v>
      </c>
      <c r="C128" s="33" t="s">
        <v>438</v>
      </c>
      <c r="D128" s="33"/>
      <c r="E128" s="33"/>
      <c r="F128" s="33"/>
      <c r="G128" s="33" t="s">
        <v>235</v>
      </c>
      <c r="H128" s="33">
        <v>68</v>
      </c>
      <c r="I128" s="33" t="s">
        <v>223</v>
      </c>
      <c r="J128" s="33" t="s">
        <v>223</v>
      </c>
      <c r="K128" s="33"/>
      <c r="L128" s="34"/>
      <c r="M128" s="33"/>
    </row>
    <row r="129" spans="1:13" x14ac:dyDescent="0.25">
      <c r="A129" s="102" t="s">
        <v>439</v>
      </c>
      <c r="B129" s="32">
        <f t="shared" si="1"/>
        <v>128</v>
      </c>
      <c r="C129" s="33" t="s">
        <v>440</v>
      </c>
      <c r="D129" s="33"/>
      <c r="E129" s="33"/>
      <c r="F129" s="33"/>
      <c r="G129" s="33" t="s">
        <v>235</v>
      </c>
      <c r="H129" s="33">
        <v>32</v>
      </c>
      <c r="I129" s="33" t="s">
        <v>223</v>
      </c>
      <c r="J129" s="33" t="s">
        <v>223</v>
      </c>
      <c r="K129" s="33"/>
      <c r="L129" s="34"/>
      <c r="M129" s="33"/>
    </row>
    <row r="130" spans="1:13" x14ac:dyDescent="0.25">
      <c r="A130" s="102" t="s">
        <v>441</v>
      </c>
      <c r="B130" s="32">
        <f t="shared" ref="B130:B193" si="2">ROW(B129)</f>
        <v>129</v>
      </c>
      <c r="C130" s="33" t="s">
        <v>442</v>
      </c>
      <c r="D130" s="33"/>
      <c r="E130" s="33"/>
      <c r="F130" s="33" t="s">
        <v>419</v>
      </c>
      <c r="G130" s="33" t="s">
        <v>240</v>
      </c>
      <c r="H130" s="33">
        <v>0</v>
      </c>
      <c r="I130" s="33" t="s">
        <v>223</v>
      </c>
      <c r="J130" s="33" t="s">
        <v>223</v>
      </c>
      <c r="K130" s="33"/>
      <c r="L130" s="34"/>
      <c r="M130" s="33"/>
    </row>
    <row r="131" spans="1:13" x14ac:dyDescent="0.25">
      <c r="A131" s="102" t="s">
        <v>443</v>
      </c>
      <c r="B131" s="32">
        <f t="shared" si="2"/>
        <v>130</v>
      </c>
      <c r="C131" s="33">
        <v>204803600</v>
      </c>
      <c r="D131" s="33"/>
      <c r="E131" s="33"/>
      <c r="F131" s="33"/>
      <c r="G131" s="33" t="s">
        <v>235</v>
      </c>
      <c r="H131" s="33">
        <v>23</v>
      </c>
      <c r="I131" s="33" t="s">
        <v>223</v>
      </c>
      <c r="J131" s="33" t="s">
        <v>223</v>
      </c>
      <c r="K131" s="33"/>
      <c r="L131" s="34"/>
      <c r="M131" s="33"/>
    </row>
    <row r="132" spans="1:13" x14ac:dyDescent="0.25">
      <c r="A132" s="102" t="s">
        <v>444</v>
      </c>
      <c r="B132" s="32">
        <f t="shared" si="2"/>
        <v>131</v>
      </c>
      <c r="C132" s="33" t="s">
        <v>445</v>
      </c>
      <c r="D132" s="33"/>
      <c r="E132" s="33"/>
      <c r="F132" s="33"/>
      <c r="G132" s="33" t="s">
        <v>235</v>
      </c>
      <c r="H132" s="33">
        <v>3</v>
      </c>
      <c r="I132" s="33" t="s">
        <v>223</v>
      </c>
      <c r="J132" s="33" t="s">
        <v>223</v>
      </c>
      <c r="K132" s="33"/>
      <c r="L132" s="34"/>
      <c r="M132" s="33"/>
    </row>
    <row r="133" spans="1:13" x14ac:dyDescent="0.25">
      <c r="A133" s="102" t="s">
        <v>446</v>
      </c>
      <c r="B133" s="32">
        <f t="shared" si="2"/>
        <v>132</v>
      </c>
      <c r="C133" s="33" t="s">
        <v>447</v>
      </c>
      <c r="D133" s="33"/>
      <c r="E133" s="33"/>
      <c r="F133" s="33"/>
      <c r="G133" s="33" t="s">
        <v>448</v>
      </c>
      <c r="H133" s="33">
        <v>0</v>
      </c>
      <c r="I133" s="33"/>
      <c r="J133" s="33" t="s">
        <v>223</v>
      </c>
      <c r="K133" s="33"/>
      <c r="L133" s="34"/>
      <c r="M133" s="33"/>
    </row>
    <row r="134" spans="1:13" x14ac:dyDescent="0.25">
      <c r="A134" s="102" t="s">
        <v>449</v>
      </c>
      <c r="B134" s="32">
        <f t="shared" si="2"/>
        <v>133</v>
      </c>
      <c r="C134" s="33" t="s">
        <v>450</v>
      </c>
      <c r="D134" s="33"/>
      <c r="E134" s="33"/>
      <c r="F134" s="33" t="s">
        <v>255</v>
      </c>
      <c r="G134" s="33" t="s">
        <v>243</v>
      </c>
      <c r="H134" s="33">
        <v>213</v>
      </c>
      <c r="I134" s="33" t="s">
        <v>223</v>
      </c>
      <c r="J134" s="33" t="s">
        <v>223</v>
      </c>
      <c r="K134" s="33"/>
      <c r="L134" s="34"/>
      <c r="M134" s="33"/>
    </row>
    <row r="135" spans="1:13" x14ac:dyDescent="0.25">
      <c r="A135" s="102" t="s">
        <v>449</v>
      </c>
      <c r="B135" s="32">
        <f t="shared" si="2"/>
        <v>134</v>
      </c>
      <c r="C135" s="33" t="s">
        <v>451</v>
      </c>
      <c r="D135" s="33"/>
      <c r="E135" s="33"/>
      <c r="F135" s="33" t="s">
        <v>257</v>
      </c>
      <c r="G135" s="33" t="s">
        <v>243</v>
      </c>
      <c r="H135" s="33">
        <v>1250</v>
      </c>
      <c r="I135" s="33" t="s">
        <v>223</v>
      </c>
      <c r="J135" s="33" t="s">
        <v>223</v>
      </c>
      <c r="K135" s="33"/>
      <c r="L135" s="34"/>
      <c r="M135" s="33"/>
    </row>
    <row r="136" spans="1:13" x14ac:dyDescent="0.25">
      <c r="A136" s="102" t="s">
        <v>449</v>
      </c>
      <c r="B136" s="32">
        <f t="shared" si="2"/>
        <v>135</v>
      </c>
      <c r="C136" s="33" t="s">
        <v>451</v>
      </c>
      <c r="D136" s="33"/>
      <c r="E136" s="33"/>
      <c r="F136" s="33" t="s">
        <v>257</v>
      </c>
      <c r="G136" s="33" t="s">
        <v>448</v>
      </c>
      <c r="H136" s="33">
        <v>796</v>
      </c>
      <c r="I136" s="33" t="s">
        <v>223</v>
      </c>
      <c r="J136" s="33" t="s">
        <v>223</v>
      </c>
      <c r="K136" s="33"/>
      <c r="L136" s="34"/>
      <c r="M136" s="33"/>
    </row>
    <row r="137" spans="1:13" x14ac:dyDescent="0.25">
      <c r="A137" s="102" t="s">
        <v>449</v>
      </c>
      <c r="B137" s="32">
        <f t="shared" si="2"/>
        <v>136</v>
      </c>
      <c r="C137" s="33" t="s">
        <v>452</v>
      </c>
      <c r="D137" s="33"/>
      <c r="E137" s="33"/>
      <c r="F137" s="33"/>
      <c r="G137" s="33" t="s">
        <v>243</v>
      </c>
      <c r="H137" s="33">
        <v>1050</v>
      </c>
      <c r="I137" s="33" t="s">
        <v>223</v>
      </c>
      <c r="J137" s="33" t="s">
        <v>223</v>
      </c>
      <c r="K137" s="33"/>
      <c r="L137" s="34"/>
      <c r="M137" s="33"/>
    </row>
    <row r="138" spans="1:13" x14ac:dyDescent="0.25">
      <c r="A138" s="102" t="s">
        <v>453</v>
      </c>
      <c r="B138" s="32">
        <f t="shared" si="2"/>
        <v>137</v>
      </c>
      <c r="C138" s="33" t="s">
        <v>454</v>
      </c>
      <c r="D138" s="33"/>
      <c r="E138" s="33"/>
      <c r="F138" s="33" t="s">
        <v>455</v>
      </c>
      <c r="G138" s="33" t="s">
        <v>231</v>
      </c>
      <c r="H138" s="33">
        <v>660</v>
      </c>
      <c r="I138" s="33" t="s">
        <v>223</v>
      </c>
      <c r="J138" s="33" t="s">
        <v>223</v>
      </c>
      <c r="K138" s="33"/>
      <c r="L138" s="34"/>
      <c r="M138" s="33"/>
    </row>
    <row r="139" spans="1:13" x14ac:dyDescent="0.25">
      <c r="A139" s="102" t="s">
        <v>456</v>
      </c>
      <c r="B139" s="32">
        <f t="shared" si="2"/>
        <v>138</v>
      </c>
      <c r="C139" s="33" t="s">
        <v>457</v>
      </c>
      <c r="D139" s="33"/>
      <c r="E139" s="33"/>
      <c r="F139" s="33" t="s">
        <v>257</v>
      </c>
      <c r="G139" s="33" t="s">
        <v>448</v>
      </c>
      <c r="H139" s="33">
        <v>0.57699999999999996</v>
      </c>
      <c r="I139" s="33" t="s">
        <v>223</v>
      </c>
      <c r="J139" s="33" t="s">
        <v>223</v>
      </c>
      <c r="K139" s="33"/>
      <c r="L139" s="34"/>
      <c r="M139" s="33"/>
    </row>
    <row r="140" spans="1:13" x14ac:dyDescent="0.25">
      <c r="A140" s="102" t="s">
        <v>456</v>
      </c>
      <c r="B140" s="32">
        <f t="shared" si="2"/>
        <v>139</v>
      </c>
      <c r="C140" s="33" t="s">
        <v>458</v>
      </c>
      <c r="D140" s="33"/>
      <c r="E140" s="33"/>
      <c r="F140" s="33" t="s">
        <v>255</v>
      </c>
      <c r="G140" s="33" t="s">
        <v>448</v>
      </c>
      <c r="H140" s="33">
        <v>0.51900000000000002</v>
      </c>
      <c r="I140" s="33" t="s">
        <v>223</v>
      </c>
      <c r="J140" s="33" t="s">
        <v>223</v>
      </c>
      <c r="K140" s="33"/>
      <c r="L140" s="34"/>
      <c r="M140" s="33"/>
    </row>
    <row r="141" spans="1:13" x14ac:dyDescent="0.25">
      <c r="A141" s="102" t="s">
        <v>456</v>
      </c>
      <c r="B141" s="32">
        <f t="shared" si="2"/>
        <v>140</v>
      </c>
      <c r="C141" s="33" t="s">
        <v>457</v>
      </c>
      <c r="D141" s="33"/>
      <c r="E141" s="33"/>
      <c r="F141" s="33" t="s">
        <v>257</v>
      </c>
      <c r="G141" s="33" t="s">
        <v>243</v>
      </c>
      <c r="H141" s="33">
        <v>200</v>
      </c>
      <c r="I141" s="33" t="s">
        <v>223</v>
      </c>
      <c r="J141" s="33" t="s">
        <v>223</v>
      </c>
      <c r="K141" s="33"/>
      <c r="L141" s="34"/>
      <c r="M141" s="33"/>
    </row>
    <row r="142" spans="1:13" x14ac:dyDescent="0.25">
      <c r="A142" s="102" t="s">
        <v>459</v>
      </c>
      <c r="B142" s="32">
        <f t="shared" si="2"/>
        <v>141</v>
      </c>
      <c r="C142" s="33" t="s">
        <v>460</v>
      </c>
      <c r="D142" s="33"/>
      <c r="E142" s="33"/>
      <c r="F142" s="33" t="s">
        <v>255</v>
      </c>
      <c r="G142" s="33" t="s">
        <v>243</v>
      </c>
      <c r="H142" s="33">
        <v>5</v>
      </c>
      <c r="I142" s="33" t="s">
        <v>281</v>
      </c>
      <c r="J142" s="33" t="s">
        <v>223</v>
      </c>
      <c r="K142" s="33"/>
      <c r="L142" s="34"/>
      <c r="M142" s="33"/>
    </row>
    <row r="143" spans="1:13" x14ac:dyDescent="0.25">
      <c r="A143" s="102" t="s">
        <v>461</v>
      </c>
      <c r="B143" s="32">
        <f t="shared" si="2"/>
        <v>142</v>
      </c>
      <c r="C143" s="33" t="s">
        <v>462</v>
      </c>
      <c r="D143" s="33"/>
      <c r="E143" s="33"/>
      <c r="F143" s="33" t="s">
        <v>269</v>
      </c>
      <c r="G143" s="33" t="s">
        <v>243</v>
      </c>
      <c r="H143" s="33">
        <v>11</v>
      </c>
      <c r="I143" s="33" t="s">
        <v>281</v>
      </c>
      <c r="J143" s="33" t="s">
        <v>223</v>
      </c>
      <c r="K143" s="33"/>
      <c r="L143" s="34"/>
      <c r="M143" s="33"/>
    </row>
    <row r="144" spans="1:13" x14ac:dyDescent="0.25">
      <c r="A144" s="102" t="s">
        <v>463</v>
      </c>
      <c r="B144" s="32">
        <f t="shared" si="2"/>
        <v>143</v>
      </c>
      <c r="C144" s="33" t="s">
        <v>464</v>
      </c>
      <c r="D144" s="33"/>
      <c r="E144" s="33"/>
      <c r="F144" s="33" t="s">
        <v>257</v>
      </c>
      <c r="G144" s="33" t="s">
        <v>448</v>
      </c>
      <c r="H144" s="33">
        <v>1.345</v>
      </c>
      <c r="I144" s="33" t="s">
        <v>223</v>
      </c>
      <c r="J144" s="33" t="s">
        <v>223</v>
      </c>
      <c r="K144" s="33"/>
      <c r="L144" s="34"/>
      <c r="M144" s="33"/>
    </row>
    <row r="145" spans="1:13" x14ac:dyDescent="0.25">
      <c r="A145" s="102" t="s">
        <v>465</v>
      </c>
      <c r="B145" s="32">
        <f t="shared" si="2"/>
        <v>144</v>
      </c>
      <c r="C145" s="33" t="s">
        <v>466</v>
      </c>
      <c r="D145" s="33"/>
      <c r="E145" s="33"/>
      <c r="F145" s="33" t="s">
        <v>261</v>
      </c>
      <c r="G145" s="33" t="s">
        <v>235</v>
      </c>
      <c r="H145" s="33">
        <v>1</v>
      </c>
      <c r="I145" s="33" t="s">
        <v>223</v>
      </c>
      <c r="J145" s="33" t="s">
        <v>223</v>
      </c>
      <c r="K145" s="33"/>
      <c r="L145" s="34"/>
      <c r="M145" s="33"/>
    </row>
    <row r="146" spans="1:13" x14ac:dyDescent="0.25">
      <c r="A146" s="102" t="s">
        <v>467</v>
      </c>
      <c r="B146" s="32">
        <f t="shared" si="2"/>
        <v>145</v>
      </c>
      <c r="C146" s="33" t="s">
        <v>468</v>
      </c>
      <c r="D146" s="33"/>
      <c r="E146" s="33"/>
      <c r="F146" s="33"/>
      <c r="G146" s="33" t="s">
        <v>243</v>
      </c>
      <c r="H146" s="33">
        <v>253.99099999999999</v>
      </c>
      <c r="I146" s="33" t="s">
        <v>223</v>
      </c>
      <c r="J146" s="33" t="s">
        <v>223</v>
      </c>
      <c r="K146" s="33"/>
      <c r="L146" s="34"/>
      <c r="M146" s="33"/>
    </row>
    <row r="147" spans="1:13" x14ac:dyDescent="0.25">
      <c r="A147" s="102" t="s">
        <v>467</v>
      </c>
      <c r="B147" s="32">
        <f t="shared" si="2"/>
        <v>146</v>
      </c>
      <c r="C147" s="33" t="s">
        <v>468</v>
      </c>
      <c r="D147" s="33"/>
      <c r="E147" s="33"/>
      <c r="F147" s="33"/>
      <c r="G147" s="33" t="s">
        <v>448</v>
      </c>
      <c r="H147" s="33">
        <v>0.377</v>
      </c>
      <c r="I147" s="33" t="s">
        <v>223</v>
      </c>
      <c r="J147" s="33" t="s">
        <v>223</v>
      </c>
      <c r="K147" s="33"/>
      <c r="L147" s="34"/>
      <c r="M147" s="33"/>
    </row>
    <row r="148" spans="1:13" x14ac:dyDescent="0.25">
      <c r="A148" s="102" t="s">
        <v>469</v>
      </c>
      <c r="B148" s="32">
        <f t="shared" si="2"/>
        <v>147</v>
      </c>
      <c r="C148" s="33" t="s">
        <v>470</v>
      </c>
      <c r="D148" s="33"/>
      <c r="E148" s="33"/>
      <c r="F148" s="33"/>
      <c r="G148" s="33" t="s">
        <v>243</v>
      </c>
      <c r="H148" s="33">
        <v>159</v>
      </c>
      <c r="I148" s="33" t="s">
        <v>223</v>
      </c>
      <c r="J148" s="33" t="s">
        <v>223</v>
      </c>
      <c r="K148" s="33"/>
      <c r="L148" s="34"/>
      <c r="M148" s="33"/>
    </row>
    <row r="149" spans="1:13" x14ac:dyDescent="0.25">
      <c r="A149" s="102" t="s">
        <v>471</v>
      </c>
      <c r="B149" s="32">
        <f t="shared" si="2"/>
        <v>148</v>
      </c>
      <c r="C149" s="33" t="s">
        <v>472</v>
      </c>
      <c r="D149" s="33"/>
      <c r="E149" s="33" t="s">
        <v>249</v>
      </c>
      <c r="F149" s="33" t="s">
        <v>234</v>
      </c>
      <c r="G149" s="33" t="s">
        <v>235</v>
      </c>
      <c r="H149" s="33">
        <v>2</v>
      </c>
      <c r="I149" s="33" t="s">
        <v>223</v>
      </c>
      <c r="J149" s="33" t="s">
        <v>223</v>
      </c>
      <c r="K149" s="33"/>
      <c r="L149" s="34"/>
      <c r="M149" s="33"/>
    </row>
    <row r="150" spans="1:13" x14ac:dyDescent="0.25">
      <c r="A150" s="102" t="s">
        <v>473</v>
      </c>
      <c r="B150" s="32">
        <f t="shared" si="2"/>
        <v>149</v>
      </c>
      <c r="C150" s="33">
        <v>1007</v>
      </c>
      <c r="D150" s="33"/>
      <c r="E150" s="33" t="s">
        <v>233</v>
      </c>
      <c r="F150" s="33" t="s">
        <v>234</v>
      </c>
      <c r="G150" s="33" t="s">
        <v>235</v>
      </c>
      <c r="H150" s="33">
        <v>5</v>
      </c>
      <c r="I150" s="33" t="s">
        <v>223</v>
      </c>
      <c r="J150" s="33" t="s">
        <v>223</v>
      </c>
      <c r="K150" s="33"/>
      <c r="L150" s="34"/>
      <c r="M150" s="33"/>
    </row>
    <row r="151" spans="1:13" ht="30" x14ac:dyDescent="0.25">
      <c r="A151" s="102" t="s">
        <v>474</v>
      </c>
      <c r="B151" s="32">
        <f t="shared" si="2"/>
        <v>150</v>
      </c>
      <c r="C151" s="33">
        <v>1261</v>
      </c>
      <c r="D151" s="33"/>
      <c r="E151" s="33"/>
      <c r="F151" s="33" t="s">
        <v>234</v>
      </c>
      <c r="G151" s="33" t="s">
        <v>235</v>
      </c>
      <c r="H151" s="33">
        <v>5</v>
      </c>
      <c r="I151" s="33" t="s">
        <v>223</v>
      </c>
      <c r="J151" s="33" t="s">
        <v>223</v>
      </c>
      <c r="K151" s="33"/>
      <c r="L151" s="34"/>
      <c r="M151" s="33"/>
    </row>
    <row r="152" spans="1:13" x14ac:dyDescent="0.25">
      <c r="A152" s="102" t="s">
        <v>475</v>
      </c>
      <c r="B152" s="32">
        <f t="shared" si="2"/>
        <v>151</v>
      </c>
      <c r="C152" s="33">
        <v>1008</v>
      </c>
      <c r="D152" s="33"/>
      <c r="E152" s="33" t="s">
        <v>233</v>
      </c>
      <c r="F152" s="33" t="s">
        <v>234</v>
      </c>
      <c r="G152" s="33" t="s">
        <v>235</v>
      </c>
      <c r="H152" s="33">
        <v>9</v>
      </c>
      <c r="I152" s="33" t="s">
        <v>223</v>
      </c>
      <c r="J152" s="33" t="s">
        <v>223</v>
      </c>
      <c r="K152" s="33"/>
      <c r="L152" s="34"/>
      <c r="M152" s="33"/>
    </row>
    <row r="153" spans="1:13" x14ac:dyDescent="0.25">
      <c r="A153" s="102" t="s">
        <v>476</v>
      </c>
      <c r="B153" s="32">
        <f t="shared" si="2"/>
        <v>152</v>
      </c>
      <c r="C153" s="33">
        <v>1034</v>
      </c>
      <c r="D153" s="33"/>
      <c r="E153" s="33" t="s">
        <v>233</v>
      </c>
      <c r="F153" s="33" t="s">
        <v>234</v>
      </c>
      <c r="G153" s="33" t="s">
        <v>235</v>
      </c>
      <c r="H153" s="33">
        <v>3</v>
      </c>
      <c r="I153" s="33" t="s">
        <v>223</v>
      </c>
      <c r="J153" s="33" t="s">
        <v>223</v>
      </c>
      <c r="K153" s="33"/>
      <c r="L153" s="34"/>
      <c r="M153" s="33"/>
    </row>
    <row r="154" spans="1:13" x14ac:dyDescent="0.25">
      <c r="A154" s="102" t="s">
        <v>477</v>
      </c>
      <c r="B154" s="32">
        <f t="shared" si="2"/>
        <v>153</v>
      </c>
      <c r="C154" s="33">
        <v>1401</v>
      </c>
      <c r="D154" s="33"/>
      <c r="E154" s="33"/>
      <c r="F154" s="33" t="s">
        <v>230</v>
      </c>
      <c r="G154" s="33" t="s">
        <v>240</v>
      </c>
      <c r="H154" s="33">
        <v>0</v>
      </c>
      <c r="I154" s="33" t="s">
        <v>223</v>
      </c>
      <c r="J154" s="33" t="s">
        <v>223</v>
      </c>
      <c r="K154" s="33"/>
      <c r="L154" s="34"/>
      <c r="M154" s="33"/>
    </row>
    <row r="155" spans="1:13" x14ac:dyDescent="0.25">
      <c r="A155" s="102" t="s">
        <v>478</v>
      </c>
      <c r="B155" s="32">
        <f t="shared" si="2"/>
        <v>154</v>
      </c>
      <c r="C155" s="33">
        <v>4605</v>
      </c>
      <c r="D155" s="33"/>
      <c r="E155" s="33"/>
      <c r="F155" s="33" t="s">
        <v>230</v>
      </c>
      <c r="G155" s="33" t="s">
        <v>240</v>
      </c>
      <c r="H155" s="33">
        <v>0</v>
      </c>
      <c r="I155" s="33" t="s">
        <v>223</v>
      </c>
      <c r="J155" s="33" t="s">
        <v>223</v>
      </c>
      <c r="K155" s="33"/>
      <c r="L155" s="34"/>
      <c r="M155" s="33"/>
    </row>
    <row r="156" spans="1:13" x14ac:dyDescent="0.25">
      <c r="A156" s="102" t="s">
        <v>479</v>
      </c>
      <c r="B156" s="32">
        <f t="shared" si="2"/>
        <v>155</v>
      </c>
      <c r="C156" s="33" t="s">
        <v>480</v>
      </c>
      <c r="D156" s="33"/>
      <c r="E156" s="33"/>
      <c r="F156" s="33" t="s">
        <v>255</v>
      </c>
      <c r="G156" s="33" t="s">
        <v>235</v>
      </c>
      <c r="H156" s="33">
        <v>1</v>
      </c>
      <c r="I156" s="33" t="s">
        <v>223</v>
      </c>
      <c r="J156" s="33" t="s">
        <v>223</v>
      </c>
      <c r="K156" s="33"/>
      <c r="L156" s="34"/>
      <c r="M156" s="33"/>
    </row>
    <row r="157" spans="1:13" x14ac:dyDescent="0.25">
      <c r="A157" s="102" t="s">
        <v>481</v>
      </c>
      <c r="B157" s="32">
        <f t="shared" si="2"/>
        <v>156</v>
      </c>
      <c r="C157" s="33" t="s">
        <v>482</v>
      </c>
      <c r="D157" s="33"/>
      <c r="E157" s="33"/>
      <c r="F157" s="33" t="s">
        <v>255</v>
      </c>
      <c r="G157" s="33" t="s">
        <v>235</v>
      </c>
      <c r="H157" s="33">
        <v>1</v>
      </c>
      <c r="I157" s="33" t="s">
        <v>223</v>
      </c>
      <c r="J157" s="33" t="s">
        <v>223</v>
      </c>
      <c r="K157" s="33"/>
      <c r="L157" s="34"/>
      <c r="M157" s="33"/>
    </row>
    <row r="158" spans="1:13" x14ac:dyDescent="0.25">
      <c r="A158" s="102" t="s">
        <v>483</v>
      </c>
      <c r="B158" s="32">
        <f t="shared" si="2"/>
        <v>157</v>
      </c>
      <c r="C158" s="33" t="s">
        <v>484</v>
      </c>
      <c r="D158" s="33"/>
      <c r="E158" s="33"/>
      <c r="F158" s="33"/>
      <c r="G158" s="33" t="s">
        <v>235</v>
      </c>
      <c r="H158" s="33">
        <v>46</v>
      </c>
      <c r="I158" s="33" t="s">
        <v>223</v>
      </c>
      <c r="J158" s="33" t="s">
        <v>223</v>
      </c>
      <c r="K158" s="33"/>
      <c r="L158" s="34"/>
      <c r="M158" s="33"/>
    </row>
    <row r="159" spans="1:13" ht="30" x14ac:dyDescent="0.25">
      <c r="A159" s="102" t="s">
        <v>485</v>
      </c>
      <c r="B159" s="32">
        <f t="shared" si="2"/>
        <v>158</v>
      </c>
      <c r="C159" s="33" t="s">
        <v>486</v>
      </c>
      <c r="D159" s="33"/>
      <c r="E159" s="33" t="s">
        <v>233</v>
      </c>
      <c r="F159" s="33" t="s">
        <v>346</v>
      </c>
      <c r="G159" s="33" t="s">
        <v>487</v>
      </c>
      <c r="H159" s="33">
        <v>1</v>
      </c>
      <c r="I159" s="33" t="s">
        <v>281</v>
      </c>
      <c r="J159" s="33" t="s">
        <v>223</v>
      </c>
      <c r="K159" s="33"/>
      <c r="L159" s="34"/>
      <c r="M159" s="33"/>
    </row>
    <row r="160" spans="1:13" x14ac:dyDescent="0.25">
      <c r="A160" s="102" t="s">
        <v>488</v>
      </c>
      <c r="B160" s="32">
        <f t="shared" si="2"/>
        <v>159</v>
      </c>
      <c r="C160" s="33">
        <v>1311</v>
      </c>
      <c r="D160" s="33"/>
      <c r="E160" s="33"/>
      <c r="F160" s="33" t="s">
        <v>234</v>
      </c>
      <c r="G160" s="33" t="s">
        <v>235</v>
      </c>
      <c r="H160" s="33">
        <v>7</v>
      </c>
      <c r="I160" s="33" t="s">
        <v>223</v>
      </c>
      <c r="J160" s="33" t="s">
        <v>223</v>
      </c>
      <c r="K160" s="33"/>
      <c r="L160" s="34"/>
      <c r="M160" s="33"/>
    </row>
    <row r="161" spans="1:13" ht="30" x14ac:dyDescent="0.25">
      <c r="A161" s="102" t="s">
        <v>489</v>
      </c>
      <c r="B161" s="32">
        <f t="shared" si="2"/>
        <v>160</v>
      </c>
      <c r="C161" s="33" t="s">
        <v>490</v>
      </c>
      <c r="D161" s="33"/>
      <c r="E161" s="33"/>
      <c r="F161" s="33" t="s">
        <v>257</v>
      </c>
      <c r="G161" s="33" t="s">
        <v>221</v>
      </c>
      <c r="H161" s="33">
        <v>0</v>
      </c>
      <c r="I161" s="33" t="s">
        <v>273</v>
      </c>
      <c r="J161" s="33" t="s">
        <v>223</v>
      </c>
      <c r="K161" s="33"/>
      <c r="L161" s="34"/>
      <c r="M161" s="33"/>
    </row>
    <row r="162" spans="1:13" ht="30" x14ac:dyDescent="0.25">
      <c r="A162" s="102" t="s">
        <v>491</v>
      </c>
      <c r="B162" s="32">
        <f t="shared" si="2"/>
        <v>161</v>
      </c>
      <c r="C162" s="33" t="s">
        <v>492</v>
      </c>
      <c r="D162" s="33"/>
      <c r="E162" s="33"/>
      <c r="F162" s="33" t="s">
        <v>261</v>
      </c>
      <c r="G162" s="33" t="s">
        <v>235</v>
      </c>
      <c r="H162" s="33">
        <v>2</v>
      </c>
      <c r="I162" s="33" t="s">
        <v>223</v>
      </c>
      <c r="J162" s="33" t="s">
        <v>223</v>
      </c>
      <c r="K162" s="33"/>
      <c r="L162" s="34"/>
      <c r="M162" s="33"/>
    </row>
    <row r="163" spans="1:13" ht="30" x14ac:dyDescent="0.25">
      <c r="A163" s="102" t="s">
        <v>491</v>
      </c>
      <c r="B163" s="32">
        <f t="shared" si="2"/>
        <v>162</v>
      </c>
      <c r="C163" s="33" t="s">
        <v>493</v>
      </c>
      <c r="D163" s="33"/>
      <c r="E163" s="33"/>
      <c r="F163" s="33" t="s">
        <v>255</v>
      </c>
      <c r="G163" s="33" t="s">
        <v>235</v>
      </c>
      <c r="H163" s="33">
        <v>2</v>
      </c>
      <c r="I163" s="33" t="s">
        <v>223</v>
      </c>
      <c r="J163" s="33" t="s">
        <v>223</v>
      </c>
      <c r="K163" s="33"/>
      <c r="L163" s="34"/>
      <c r="M163" s="33"/>
    </row>
    <row r="164" spans="1:13" ht="30" x14ac:dyDescent="0.25">
      <c r="A164" s="102" t="s">
        <v>491</v>
      </c>
      <c r="B164" s="32">
        <f t="shared" si="2"/>
        <v>163</v>
      </c>
      <c r="C164" s="33" t="s">
        <v>494</v>
      </c>
      <c r="D164" s="33"/>
      <c r="E164" s="33"/>
      <c r="F164" s="33" t="s">
        <v>257</v>
      </c>
      <c r="G164" s="33" t="s">
        <v>235</v>
      </c>
      <c r="H164" s="33">
        <v>2</v>
      </c>
      <c r="I164" s="33" t="s">
        <v>223</v>
      </c>
      <c r="J164" s="33" t="s">
        <v>223</v>
      </c>
      <c r="K164" s="33"/>
      <c r="L164" s="34"/>
      <c r="M164" s="33"/>
    </row>
    <row r="165" spans="1:13" ht="30" x14ac:dyDescent="0.25">
      <c r="A165" s="102" t="s">
        <v>495</v>
      </c>
      <c r="B165" s="32">
        <f t="shared" si="2"/>
        <v>164</v>
      </c>
      <c r="C165" s="33">
        <v>220300</v>
      </c>
      <c r="D165" s="33"/>
      <c r="E165" s="33" t="s">
        <v>233</v>
      </c>
      <c r="F165" s="33" t="s">
        <v>234</v>
      </c>
      <c r="G165" s="33" t="s">
        <v>235</v>
      </c>
      <c r="H165" s="33">
        <v>1</v>
      </c>
      <c r="I165" s="33" t="s">
        <v>223</v>
      </c>
      <c r="J165" s="33" t="s">
        <v>223</v>
      </c>
      <c r="K165" s="33"/>
      <c r="L165" s="34"/>
      <c r="M165" s="33"/>
    </row>
    <row r="166" spans="1:13" x14ac:dyDescent="0.25">
      <c r="A166" s="102" t="s">
        <v>496</v>
      </c>
      <c r="B166" s="32">
        <f t="shared" si="2"/>
        <v>165</v>
      </c>
      <c r="C166" s="33" t="s">
        <v>480</v>
      </c>
      <c r="D166" s="33"/>
      <c r="E166" s="33"/>
      <c r="F166" s="33"/>
      <c r="G166" s="33" t="s">
        <v>235</v>
      </c>
      <c r="H166" s="33">
        <v>3</v>
      </c>
      <c r="I166" s="33" t="s">
        <v>223</v>
      </c>
      <c r="J166" s="33" t="s">
        <v>223</v>
      </c>
      <c r="K166" s="33"/>
      <c r="L166" s="34"/>
      <c r="M166" s="33"/>
    </row>
    <row r="167" spans="1:13" x14ac:dyDescent="0.25">
      <c r="A167" s="102" t="s">
        <v>497</v>
      </c>
      <c r="B167" s="32">
        <f t="shared" si="2"/>
        <v>166</v>
      </c>
      <c r="C167" s="33">
        <v>3095</v>
      </c>
      <c r="D167" s="33"/>
      <c r="E167" s="33"/>
      <c r="F167" s="33"/>
      <c r="G167" s="33" t="s">
        <v>235</v>
      </c>
      <c r="H167" s="33">
        <v>2</v>
      </c>
      <c r="I167" s="33" t="s">
        <v>223</v>
      </c>
      <c r="J167" s="33" t="s">
        <v>223</v>
      </c>
      <c r="K167" s="33"/>
      <c r="L167" s="34"/>
      <c r="M167" s="33"/>
    </row>
    <row r="168" spans="1:13" x14ac:dyDescent="0.25">
      <c r="A168" s="102" t="s">
        <v>498</v>
      </c>
      <c r="B168" s="32">
        <f t="shared" si="2"/>
        <v>167</v>
      </c>
      <c r="C168" s="33">
        <v>2145</v>
      </c>
      <c r="D168" s="33"/>
      <c r="E168" s="33"/>
      <c r="F168" s="33"/>
      <c r="G168" s="33" t="s">
        <v>235</v>
      </c>
      <c r="H168" s="33">
        <v>1</v>
      </c>
      <c r="I168" s="33" t="s">
        <v>223</v>
      </c>
      <c r="J168" s="33" t="s">
        <v>223</v>
      </c>
      <c r="K168" s="33"/>
      <c r="L168" s="34"/>
      <c r="M168" s="33"/>
    </row>
    <row r="169" spans="1:13" x14ac:dyDescent="0.25">
      <c r="A169" s="102" t="s">
        <v>498</v>
      </c>
      <c r="B169" s="32">
        <f t="shared" si="2"/>
        <v>168</v>
      </c>
      <c r="C169" s="33" t="s">
        <v>499</v>
      </c>
      <c r="D169" s="33"/>
      <c r="E169" s="33"/>
      <c r="F169" s="33" t="s">
        <v>257</v>
      </c>
      <c r="G169" s="33" t="s">
        <v>235</v>
      </c>
      <c r="H169" s="33">
        <v>1</v>
      </c>
      <c r="I169" s="33" t="s">
        <v>223</v>
      </c>
      <c r="J169" s="33" t="s">
        <v>223</v>
      </c>
      <c r="K169" s="33"/>
      <c r="L169" s="34"/>
      <c r="M169" s="33"/>
    </row>
    <row r="170" spans="1:13" ht="30" x14ac:dyDescent="0.25">
      <c r="A170" s="102" t="s">
        <v>500</v>
      </c>
      <c r="B170" s="32">
        <f t="shared" si="2"/>
        <v>169</v>
      </c>
      <c r="C170" s="33" t="s">
        <v>501</v>
      </c>
      <c r="D170" s="33"/>
      <c r="E170" s="33"/>
      <c r="F170" s="33" t="s">
        <v>234</v>
      </c>
      <c r="G170" s="33" t="s">
        <v>235</v>
      </c>
      <c r="H170" s="33">
        <v>5</v>
      </c>
      <c r="I170" s="33" t="s">
        <v>223</v>
      </c>
      <c r="J170" s="33" t="s">
        <v>223</v>
      </c>
      <c r="K170" s="33"/>
      <c r="L170" s="34"/>
      <c r="M170" s="33"/>
    </row>
    <row r="171" spans="1:13" x14ac:dyDescent="0.25">
      <c r="A171" s="102" t="s">
        <v>502</v>
      </c>
      <c r="B171" s="32">
        <f t="shared" si="2"/>
        <v>170</v>
      </c>
      <c r="C171" s="33" t="s">
        <v>503</v>
      </c>
      <c r="D171" s="33"/>
      <c r="E171" s="33"/>
      <c r="F171" s="33" t="s">
        <v>234</v>
      </c>
      <c r="G171" s="33" t="s">
        <v>235</v>
      </c>
      <c r="H171" s="33">
        <v>2</v>
      </c>
      <c r="I171" s="33" t="s">
        <v>223</v>
      </c>
      <c r="J171" s="33" t="s">
        <v>223</v>
      </c>
      <c r="K171" s="33"/>
      <c r="L171" s="34"/>
      <c r="M171" s="33"/>
    </row>
    <row r="172" spans="1:13" x14ac:dyDescent="0.25">
      <c r="A172" s="102" t="s">
        <v>504</v>
      </c>
      <c r="B172" s="32">
        <f t="shared" si="2"/>
        <v>171</v>
      </c>
      <c r="C172" s="33" t="s">
        <v>505</v>
      </c>
      <c r="D172" s="33"/>
      <c r="E172" s="33"/>
      <c r="F172" s="33" t="s">
        <v>255</v>
      </c>
      <c r="G172" s="33" t="s">
        <v>235</v>
      </c>
      <c r="H172" s="33">
        <v>37</v>
      </c>
      <c r="I172" s="33" t="s">
        <v>223</v>
      </c>
      <c r="J172" s="33" t="s">
        <v>223</v>
      </c>
      <c r="K172" s="33"/>
      <c r="L172" s="34"/>
      <c r="M172" s="33"/>
    </row>
    <row r="173" spans="1:13" ht="30" x14ac:dyDescent="0.25">
      <c r="A173" s="102" t="s">
        <v>506</v>
      </c>
      <c r="B173" s="32">
        <f t="shared" si="2"/>
        <v>172</v>
      </c>
      <c r="C173" s="33" t="s">
        <v>480</v>
      </c>
      <c r="D173" s="33"/>
      <c r="E173" s="33"/>
      <c r="F173" s="33"/>
      <c r="G173" s="33" t="s">
        <v>235</v>
      </c>
      <c r="H173" s="33">
        <v>45</v>
      </c>
      <c r="I173" s="33" t="s">
        <v>223</v>
      </c>
      <c r="J173" s="33" t="s">
        <v>223</v>
      </c>
      <c r="K173" s="33"/>
      <c r="L173" s="34"/>
      <c r="M173" s="33"/>
    </row>
    <row r="174" spans="1:13" x14ac:dyDescent="0.25">
      <c r="A174" s="102" t="s">
        <v>507</v>
      </c>
      <c r="B174" s="32">
        <f t="shared" si="2"/>
        <v>173</v>
      </c>
      <c r="C174" s="33" t="s">
        <v>508</v>
      </c>
      <c r="D174" s="33"/>
      <c r="E174" s="33"/>
      <c r="F174" s="33" t="s">
        <v>419</v>
      </c>
      <c r="G174" s="33" t="s">
        <v>240</v>
      </c>
      <c r="H174" s="33">
        <v>0</v>
      </c>
      <c r="I174" s="33" t="s">
        <v>223</v>
      </c>
      <c r="J174" s="33" t="s">
        <v>223</v>
      </c>
      <c r="K174" s="33"/>
      <c r="L174" s="34"/>
      <c r="M174" s="33"/>
    </row>
    <row r="175" spans="1:13" x14ac:dyDescent="0.25">
      <c r="A175" s="102" t="s">
        <v>509</v>
      </c>
      <c r="B175" s="32">
        <f t="shared" si="2"/>
        <v>174</v>
      </c>
      <c r="C175" s="33" t="s">
        <v>480</v>
      </c>
      <c r="D175" s="33"/>
      <c r="E175" s="33"/>
      <c r="F175" s="33"/>
      <c r="G175" s="33" t="s">
        <v>235</v>
      </c>
      <c r="H175" s="33">
        <v>3</v>
      </c>
      <c r="I175" s="33" t="s">
        <v>223</v>
      </c>
      <c r="J175" s="33" t="s">
        <v>223</v>
      </c>
      <c r="K175" s="33"/>
      <c r="L175" s="34"/>
      <c r="M175" s="33"/>
    </row>
    <row r="176" spans="1:13" x14ac:dyDescent="0.25">
      <c r="A176" s="102" t="s">
        <v>510</v>
      </c>
      <c r="B176" s="32">
        <f t="shared" si="2"/>
        <v>175</v>
      </c>
      <c r="C176" s="33">
        <v>14117</v>
      </c>
      <c r="D176" s="33"/>
      <c r="E176" s="33"/>
      <c r="F176" s="33" t="s">
        <v>257</v>
      </c>
      <c r="G176" s="33" t="s">
        <v>280</v>
      </c>
      <c r="H176" s="33">
        <v>1</v>
      </c>
      <c r="I176" s="33" t="s">
        <v>223</v>
      </c>
      <c r="J176" s="33" t="s">
        <v>223</v>
      </c>
      <c r="K176" s="33"/>
      <c r="L176" s="34"/>
      <c r="M176" s="33"/>
    </row>
    <row r="177" spans="1:13" x14ac:dyDescent="0.25">
      <c r="A177" s="102" t="s">
        <v>511</v>
      </c>
      <c r="B177" s="32">
        <f t="shared" si="2"/>
        <v>176</v>
      </c>
      <c r="C177" s="33">
        <v>1430</v>
      </c>
      <c r="D177" s="33"/>
      <c r="E177" s="33"/>
      <c r="F177" s="33" t="s">
        <v>230</v>
      </c>
      <c r="G177" s="33" t="s">
        <v>240</v>
      </c>
      <c r="H177" s="33">
        <v>0</v>
      </c>
      <c r="I177" s="33" t="s">
        <v>223</v>
      </c>
      <c r="J177" s="33" t="s">
        <v>223</v>
      </c>
      <c r="K177" s="33"/>
      <c r="L177" s="34"/>
      <c r="M177" s="33"/>
    </row>
    <row r="178" spans="1:13" x14ac:dyDescent="0.25">
      <c r="A178" s="102" t="s">
        <v>512</v>
      </c>
      <c r="B178" s="32">
        <f t="shared" si="2"/>
        <v>177</v>
      </c>
      <c r="C178" s="33" t="s">
        <v>513</v>
      </c>
      <c r="D178" s="33"/>
      <c r="E178" s="33"/>
      <c r="F178" s="33" t="s">
        <v>269</v>
      </c>
      <c r="G178" s="33" t="s">
        <v>514</v>
      </c>
      <c r="H178" s="33">
        <v>0</v>
      </c>
      <c r="I178" s="33" t="s">
        <v>223</v>
      </c>
      <c r="J178" s="33" t="s">
        <v>223</v>
      </c>
      <c r="K178" s="33"/>
      <c r="L178" s="34"/>
      <c r="M178" s="33"/>
    </row>
    <row r="179" spans="1:13" x14ac:dyDescent="0.25">
      <c r="A179" s="102" t="s">
        <v>515</v>
      </c>
      <c r="B179" s="32">
        <f t="shared" si="2"/>
        <v>178</v>
      </c>
      <c r="C179" s="33" t="s">
        <v>516</v>
      </c>
      <c r="D179" s="33"/>
      <c r="E179" s="33"/>
      <c r="F179" s="33" t="s">
        <v>517</v>
      </c>
      <c r="G179" s="33" t="s">
        <v>518</v>
      </c>
      <c r="H179" s="33">
        <v>0</v>
      </c>
      <c r="I179" s="33" t="s">
        <v>519</v>
      </c>
      <c r="J179" s="33" t="s">
        <v>520</v>
      </c>
      <c r="K179" s="33"/>
      <c r="L179" s="34"/>
      <c r="M179" s="33"/>
    </row>
    <row r="180" spans="1:13" ht="30" x14ac:dyDescent="0.25">
      <c r="A180" s="102" t="s">
        <v>521</v>
      </c>
      <c r="B180" s="32">
        <f t="shared" si="2"/>
        <v>179</v>
      </c>
      <c r="C180" s="33" t="s">
        <v>522</v>
      </c>
      <c r="D180" s="33"/>
      <c r="E180" s="33"/>
      <c r="F180" s="33" t="s">
        <v>261</v>
      </c>
      <c r="G180" s="33" t="s">
        <v>263</v>
      </c>
      <c r="H180" s="33">
        <v>1</v>
      </c>
      <c r="I180" s="33" t="s">
        <v>223</v>
      </c>
      <c r="J180" s="33" t="s">
        <v>223</v>
      </c>
      <c r="K180" s="33"/>
      <c r="L180" s="34"/>
      <c r="M180" s="33"/>
    </row>
    <row r="181" spans="1:13" ht="30" x14ac:dyDescent="0.25">
      <c r="A181" s="102" t="s">
        <v>523</v>
      </c>
      <c r="B181" s="32">
        <f t="shared" si="2"/>
        <v>180</v>
      </c>
      <c r="C181" s="33" t="s">
        <v>524</v>
      </c>
      <c r="D181" s="33"/>
      <c r="E181" s="33"/>
      <c r="F181" s="33" t="s">
        <v>257</v>
      </c>
      <c r="G181" s="33" t="s">
        <v>263</v>
      </c>
      <c r="H181" s="33">
        <v>5</v>
      </c>
      <c r="I181" s="33" t="s">
        <v>223</v>
      </c>
      <c r="J181" s="33" t="s">
        <v>223</v>
      </c>
      <c r="K181" s="33"/>
      <c r="L181" s="34"/>
      <c r="M181" s="33"/>
    </row>
    <row r="182" spans="1:13" x14ac:dyDescent="0.25">
      <c r="A182" s="102" t="s">
        <v>525</v>
      </c>
      <c r="B182" s="32">
        <f t="shared" si="2"/>
        <v>181</v>
      </c>
      <c r="C182" s="33" t="s">
        <v>526</v>
      </c>
      <c r="D182" s="33"/>
      <c r="E182" s="33"/>
      <c r="F182" s="33" t="s">
        <v>261</v>
      </c>
      <c r="G182" s="33" t="s">
        <v>263</v>
      </c>
      <c r="H182" s="33">
        <v>11</v>
      </c>
      <c r="I182" s="33" t="s">
        <v>223</v>
      </c>
      <c r="J182" s="33" t="s">
        <v>223</v>
      </c>
      <c r="K182" s="33"/>
      <c r="L182" s="34"/>
      <c r="M182" s="33"/>
    </row>
    <row r="183" spans="1:13" x14ac:dyDescent="0.25">
      <c r="A183" s="102" t="s">
        <v>527</v>
      </c>
      <c r="B183" s="32">
        <f t="shared" si="2"/>
        <v>182</v>
      </c>
      <c r="C183" s="33" t="s">
        <v>528</v>
      </c>
      <c r="D183" s="33"/>
      <c r="E183" s="33"/>
      <c r="F183" s="33" t="s">
        <v>257</v>
      </c>
      <c r="G183" s="33" t="s">
        <v>263</v>
      </c>
      <c r="H183" s="33">
        <v>12</v>
      </c>
      <c r="I183" s="33" t="s">
        <v>223</v>
      </c>
      <c r="J183" s="33" t="s">
        <v>223</v>
      </c>
      <c r="K183" s="33"/>
      <c r="L183" s="34"/>
      <c r="M183" s="33"/>
    </row>
    <row r="184" spans="1:13" x14ac:dyDescent="0.25">
      <c r="A184" s="102" t="s">
        <v>529</v>
      </c>
      <c r="B184" s="32">
        <f t="shared" si="2"/>
        <v>183</v>
      </c>
      <c r="C184" s="33" t="s">
        <v>530</v>
      </c>
      <c r="D184" s="33"/>
      <c r="E184" s="33"/>
      <c r="F184" s="33" t="s">
        <v>531</v>
      </c>
      <c r="G184" s="33" t="s">
        <v>221</v>
      </c>
      <c r="H184" s="33">
        <v>0</v>
      </c>
      <c r="I184" s="33" t="s">
        <v>532</v>
      </c>
      <c r="J184" s="33" t="s">
        <v>223</v>
      </c>
      <c r="K184" s="33"/>
      <c r="L184" s="34"/>
      <c r="M184" s="33"/>
    </row>
    <row r="185" spans="1:13" x14ac:dyDescent="0.25">
      <c r="A185" s="102" t="s">
        <v>533</v>
      </c>
      <c r="B185" s="32">
        <f t="shared" si="2"/>
        <v>184</v>
      </c>
      <c r="C185" s="33" t="s">
        <v>534</v>
      </c>
      <c r="D185" s="33"/>
      <c r="E185" s="33"/>
      <c r="F185" s="33" t="s">
        <v>419</v>
      </c>
      <c r="G185" s="33" t="s">
        <v>240</v>
      </c>
      <c r="H185" s="33">
        <v>0</v>
      </c>
      <c r="I185" s="33" t="s">
        <v>223</v>
      </c>
      <c r="J185" s="33" t="s">
        <v>32</v>
      </c>
      <c r="K185" s="33"/>
      <c r="L185" s="34"/>
      <c r="M185" s="33"/>
    </row>
    <row r="186" spans="1:13" x14ac:dyDescent="0.25">
      <c r="A186" s="102" t="s">
        <v>535</v>
      </c>
      <c r="B186" s="32">
        <f t="shared" si="2"/>
        <v>185</v>
      </c>
      <c r="C186" s="33">
        <v>1275</v>
      </c>
      <c r="D186" s="33"/>
      <c r="E186" s="33" t="s">
        <v>233</v>
      </c>
      <c r="F186" s="33" t="s">
        <v>234</v>
      </c>
      <c r="G186" s="33" t="s">
        <v>235</v>
      </c>
      <c r="H186" s="33">
        <v>2</v>
      </c>
      <c r="I186" s="33" t="s">
        <v>223</v>
      </c>
      <c r="J186" s="33" t="s">
        <v>223</v>
      </c>
      <c r="K186" s="33"/>
      <c r="L186" s="34"/>
      <c r="M186" s="33"/>
    </row>
    <row r="187" spans="1:13" x14ac:dyDescent="0.25">
      <c r="A187" s="102" t="s">
        <v>536</v>
      </c>
      <c r="B187" s="32">
        <f t="shared" si="2"/>
        <v>186</v>
      </c>
      <c r="C187" s="33">
        <v>1276</v>
      </c>
      <c r="D187" s="33"/>
      <c r="E187" s="33" t="s">
        <v>233</v>
      </c>
      <c r="F187" s="33" t="s">
        <v>234</v>
      </c>
      <c r="G187" s="33" t="s">
        <v>235</v>
      </c>
      <c r="H187" s="33">
        <v>12</v>
      </c>
      <c r="I187" s="33" t="s">
        <v>223</v>
      </c>
      <c r="J187" s="33" t="s">
        <v>223</v>
      </c>
      <c r="K187" s="33"/>
      <c r="L187" s="34"/>
      <c r="M187" s="33"/>
    </row>
    <row r="188" spans="1:13" x14ac:dyDescent="0.25">
      <c r="A188" s="102" t="s">
        <v>537</v>
      </c>
      <c r="B188" s="32">
        <f t="shared" si="2"/>
        <v>187</v>
      </c>
      <c r="C188" s="33" t="s">
        <v>538</v>
      </c>
      <c r="D188" s="33"/>
      <c r="E188" s="33"/>
      <c r="F188" s="33"/>
      <c r="G188" s="33" t="s">
        <v>382</v>
      </c>
      <c r="H188" s="33">
        <v>0.5</v>
      </c>
      <c r="I188" s="33" t="s">
        <v>223</v>
      </c>
      <c r="J188" s="33" t="s">
        <v>223</v>
      </c>
      <c r="K188" s="33"/>
      <c r="L188" s="34"/>
      <c r="M188" s="33"/>
    </row>
    <row r="189" spans="1:13" x14ac:dyDescent="0.25">
      <c r="A189" s="102" t="s">
        <v>539</v>
      </c>
      <c r="B189" s="32">
        <f t="shared" si="2"/>
        <v>188</v>
      </c>
      <c r="C189" s="33" t="s">
        <v>540</v>
      </c>
      <c r="D189" s="33"/>
      <c r="E189" s="33"/>
      <c r="F189" s="33" t="s">
        <v>261</v>
      </c>
      <c r="G189" s="33" t="s">
        <v>235</v>
      </c>
      <c r="H189" s="33">
        <v>42</v>
      </c>
      <c r="I189" s="33" t="s">
        <v>223</v>
      </c>
      <c r="J189" s="33" t="s">
        <v>223</v>
      </c>
      <c r="K189" s="33"/>
      <c r="L189" s="34"/>
      <c r="M189" s="33"/>
    </row>
    <row r="190" spans="1:13" x14ac:dyDescent="0.25">
      <c r="A190" s="102" t="s">
        <v>541</v>
      </c>
      <c r="B190" s="32">
        <f t="shared" si="2"/>
        <v>189</v>
      </c>
      <c r="C190" s="33" t="s">
        <v>542</v>
      </c>
      <c r="D190" s="33"/>
      <c r="E190" s="33"/>
      <c r="F190" s="33" t="s">
        <v>255</v>
      </c>
      <c r="G190" s="33" t="s">
        <v>235</v>
      </c>
      <c r="H190" s="33">
        <v>8</v>
      </c>
      <c r="I190" s="33" t="s">
        <v>223</v>
      </c>
      <c r="J190" s="33" t="s">
        <v>223</v>
      </c>
      <c r="K190" s="33"/>
      <c r="L190" s="34"/>
      <c r="M190" s="33"/>
    </row>
    <row r="191" spans="1:13" x14ac:dyDescent="0.25">
      <c r="A191" s="102" t="s">
        <v>543</v>
      </c>
      <c r="B191" s="32">
        <f t="shared" si="2"/>
        <v>190</v>
      </c>
      <c r="C191" s="33" t="s">
        <v>544</v>
      </c>
      <c r="D191" s="33"/>
      <c r="E191" s="33"/>
      <c r="F191" s="33" t="s">
        <v>257</v>
      </c>
      <c r="G191" s="33" t="s">
        <v>235</v>
      </c>
      <c r="H191" s="33">
        <v>2</v>
      </c>
      <c r="I191" s="33" t="s">
        <v>223</v>
      </c>
      <c r="J191" s="33" t="s">
        <v>223</v>
      </c>
      <c r="K191" s="33"/>
      <c r="L191" s="34"/>
      <c r="M191" s="33"/>
    </row>
    <row r="192" spans="1:13" x14ac:dyDescent="0.25">
      <c r="A192" s="102" t="s">
        <v>545</v>
      </c>
      <c r="B192" s="32">
        <f t="shared" si="2"/>
        <v>191</v>
      </c>
      <c r="C192" s="33" t="s">
        <v>546</v>
      </c>
      <c r="D192" s="33"/>
      <c r="E192" s="33"/>
      <c r="F192" s="33"/>
      <c r="G192" s="33" t="s">
        <v>382</v>
      </c>
      <c r="H192" s="33">
        <v>1</v>
      </c>
      <c r="I192" s="33" t="s">
        <v>223</v>
      </c>
      <c r="J192" s="33" t="s">
        <v>223</v>
      </c>
      <c r="K192" s="33"/>
      <c r="L192" s="34"/>
      <c r="M192" s="33"/>
    </row>
    <row r="193" spans="1:13" x14ac:dyDescent="0.25">
      <c r="A193" s="102" t="s">
        <v>547</v>
      </c>
      <c r="B193" s="32">
        <f t="shared" si="2"/>
        <v>192</v>
      </c>
      <c r="C193" s="33" t="s">
        <v>548</v>
      </c>
      <c r="D193" s="33"/>
      <c r="E193" s="33"/>
      <c r="F193" s="33"/>
      <c r="G193" s="33" t="s">
        <v>243</v>
      </c>
      <c r="H193" s="33">
        <v>0</v>
      </c>
      <c r="I193" s="33" t="s">
        <v>223</v>
      </c>
      <c r="J193" s="33" t="s">
        <v>223</v>
      </c>
      <c r="K193" s="33"/>
      <c r="L193" s="34"/>
      <c r="M193" s="33"/>
    </row>
    <row r="194" spans="1:13" x14ac:dyDescent="0.25">
      <c r="A194" s="102" t="s">
        <v>549</v>
      </c>
      <c r="B194" s="32">
        <f t="shared" ref="B194:B257" si="3">ROW(B193)</f>
        <v>193</v>
      </c>
      <c r="C194" s="33" t="s">
        <v>550</v>
      </c>
      <c r="D194" s="33"/>
      <c r="E194" s="33"/>
      <c r="F194" s="33"/>
      <c r="G194" s="33" t="s">
        <v>382</v>
      </c>
      <c r="H194" s="33">
        <v>1</v>
      </c>
      <c r="I194" s="33" t="s">
        <v>223</v>
      </c>
      <c r="J194" s="33" t="s">
        <v>223</v>
      </c>
      <c r="K194" s="33"/>
      <c r="L194" s="34"/>
      <c r="M194" s="33"/>
    </row>
    <row r="195" spans="1:13" x14ac:dyDescent="0.25">
      <c r="A195" s="102" t="s">
        <v>551</v>
      </c>
      <c r="B195" s="32">
        <f t="shared" si="3"/>
        <v>194</v>
      </c>
      <c r="C195" s="33" t="s">
        <v>552</v>
      </c>
      <c r="D195" s="33"/>
      <c r="E195" s="33"/>
      <c r="F195" s="33"/>
      <c r="G195" s="33" t="s">
        <v>221</v>
      </c>
      <c r="H195" s="33">
        <v>40</v>
      </c>
      <c r="I195" s="33"/>
      <c r="J195" s="33" t="s">
        <v>223</v>
      </c>
      <c r="K195" s="33"/>
      <c r="L195" s="34"/>
      <c r="M195" s="33"/>
    </row>
    <row r="196" spans="1:13" ht="30" x14ac:dyDescent="0.25">
      <c r="A196" s="102" t="s">
        <v>553</v>
      </c>
      <c r="B196" s="32">
        <f t="shared" si="3"/>
        <v>195</v>
      </c>
      <c r="C196" s="33" t="s">
        <v>554</v>
      </c>
      <c r="D196" s="33"/>
      <c r="E196" s="33"/>
      <c r="F196" s="33"/>
      <c r="G196" s="33" t="s">
        <v>221</v>
      </c>
      <c r="H196" s="33">
        <v>0</v>
      </c>
      <c r="I196" s="33"/>
      <c r="J196" s="33" t="s">
        <v>223</v>
      </c>
      <c r="K196" s="33"/>
      <c r="L196" s="34"/>
      <c r="M196" s="33"/>
    </row>
    <row r="197" spans="1:13" ht="30" x14ac:dyDescent="0.25">
      <c r="A197" s="102" t="s">
        <v>555</v>
      </c>
      <c r="B197" s="32">
        <f t="shared" si="3"/>
        <v>196</v>
      </c>
      <c r="C197" s="33" t="s">
        <v>556</v>
      </c>
      <c r="D197" s="33"/>
      <c r="E197" s="33"/>
      <c r="F197" s="33" t="s">
        <v>419</v>
      </c>
      <c r="G197" s="33" t="s">
        <v>557</v>
      </c>
      <c r="H197" s="33">
        <v>0</v>
      </c>
      <c r="I197" s="33" t="s">
        <v>223</v>
      </c>
      <c r="J197" s="33" t="s">
        <v>223</v>
      </c>
      <c r="K197" s="33"/>
      <c r="L197" s="34"/>
      <c r="M197" s="33"/>
    </row>
    <row r="198" spans="1:13" x14ac:dyDescent="0.25">
      <c r="A198" s="102" t="s">
        <v>558</v>
      </c>
      <c r="B198" s="32">
        <f t="shared" si="3"/>
        <v>197</v>
      </c>
      <c r="C198" s="33" t="s">
        <v>559</v>
      </c>
      <c r="D198" s="33"/>
      <c r="E198" s="33"/>
      <c r="F198" s="33" t="s">
        <v>419</v>
      </c>
      <c r="G198" s="33" t="s">
        <v>560</v>
      </c>
      <c r="H198" s="33">
        <v>2</v>
      </c>
      <c r="I198" s="33" t="s">
        <v>561</v>
      </c>
      <c r="J198" s="33" t="s">
        <v>223</v>
      </c>
      <c r="K198" s="33"/>
      <c r="L198" s="34"/>
      <c r="M198" s="33"/>
    </row>
    <row r="199" spans="1:13" x14ac:dyDescent="0.25">
      <c r="A199" s="102" t="s">
        <v>562</v>
      </c>
      <c r="B199" s="32">
        <f t="shared" si="3"/>
        <v>198</v>
      </c>
      <c r="C199" s="33" t="s">
        <v>563</v>
      </c>
      <c r="D199" s="33"/>
      <c r="E199" s="33"/>
      <c r="F199" s="33"/>
      <c r="G199" s="33" t="s">
        <v>221</v>
      </c>
      <c r="H199" s="33">
        <v>20</v>
      </c>
      <c r="I199" s="33"/>
      <c r="J199" s="33" t="s">
        <v>223</v>
      </c>
      <c r="K199" s="33"/>
      <c r="L199" s="34"/>
      <c r="M199" s="33"/>
    </row>
    <row r="200" spans="1:13" x14ac:dyDescent="0.25">
      <c r="A200" s="102" t="s">
        <v>564</v>
      </c>
      <c r="B200" s="32">
        <f t="shared" si="3"/>
        <v>199</v>
      </c>
      <c r="C200" s="33" t="s">
        <v>565</v>
      </c>
      <c r="D200" s="33"/>
      <c r="E200" s="33"/>
      <c r="F200" s="33"/>
      <c r="G200" s="33" t="s">
        <v>221</v>
      </c>
      <c r="H200" s="33">
        <v>25</v>
      </c>
      <c r="I200" s="33"/>
      <c r="J200" s="33" t="s">
        <v>223</v>
      </c>
      <c r="K200" s="33"/>
      <c r="L200" s="34"/>
      <c r="M200" s="33"/>
    </row>
    <row r="201" spans="1:13" x14ac:dyDescent="0.25">
      <c r="A201" s="102" t="s">
        <v>566</v>
      </c>
      <c r="B201" s="32">
        <f t="shared" si="3"/>
        <v>200</v>
      </c>
      <c r="C201" s="33">
        <v>1400</v>
      </c>
      <c r="D201" s="33"/>
      <c r="E201" s="33"/>
      <c r="F201" s="33" t="s">
        <v>230</v>
      </c>
      <c r="G201" s="33" t="s">
        <v>243</v>
      </c>
      <c r="H201" s="33">
        <v>0</v>
      </c>
      <c r="I201" s="33" t="s">
        <v>223</v>
      </c>
      <c r="J201" s="33" t="s">
        <v>223</v>
      </c>
      <c r="K201" s="33"/>
      <c r="L201" s="34"/>
      <c r="M201" s="33"/>
    </row>
    <row r="202" spans="1:13" x14ac:dyDescent="0.25">
      <c r="A202" s="102" t="s">
        <v>567</v>
      </c>
      <c r="B202" s="32">
        <f t="shared" si="3"/>
        <v>201</v>
      </c>
      <c r="C202" s="33" t="s">
        <v>568</v>
      </c>
      <c r="D202" s="33"/>
      <c r="E202" s="33"/>
      <c r="F202" s="33" t="s">
        <v>569</v>
      </c>
      <c r="G202" s="33" t="s">
        <v>570</v>
      </c>
      <c r="H202" s="33">
        <v>0</v>
      </c>
      <c r="I202" s="33"/>
      <c r="J202" s="33" t="s">
        <v>223</v>
      </c>
      <c r="K202" s="33"/>
      <c r="L202" s="34"/>
      <c r="M202" s="33"/>
    </row>
    <row r="203" spans="1:13" ht="30" x14ac:dyDescent="0.25">
      <c r="A203" s="102" t="s">
        <v>571</v>
      </c>
      <c r="B203" s="32">
        <f t="shared" si="3"/>
        <v>202</v>
      </c>
      <c r="C203" s="33" t="s">
        <v>572</v>
      </c>
      <c r="D203" s="33"/>
      <c r="E203" s="33"/>
      <c r="F203" s="33" t="s">
        <v>573</v>
      </c>
      <c r="G203" s="33" t="s">
        <v>221</v>
      </c>
      <c r="H203" s="33">
        <v>0</v>
      </c>
      <c r="I203" s="33" t="s">
        <v>532</v>
      </c>
      <c r="J203" s="33" t="s">
        <v>223</v>
      </c>
      <c r="K203" s="33"/>
      <c r="L203" s="34"/>
      <c r="M203" s="33"/>
    </row>
    <row r="204" spans="1:13" x14ac:dyDescent="0.25">
      <c r="A204" s="102" t="s">
        <v>574</v>
      </c>
      <c r="B204" s="32">
        <f t="shared" si="3"/>
        <v>203</v>
      </c>
      <c r="C204" s="33" t="s">
        <v>575</v>
      </c>
      <c r="D204" s="33"/>
      <c r="E204" s="33"/>
      <c r="F204" s="33" t="s">
        <v>234</v>
      </c>
      <c r="G204" s="33" t="s">
        <v>235</v>
      </c>
      <c r="H204" s="33">
        <v>4</v>
      </c>
      <c r="I204" s="33" t="s">
        <v>223</v>
      </c>
      <c r="J204" s="33" t="s">
        <v>223</v>
      </c>
      <c r="K204" s="33"/>
      <c r="L204" s="34"/>
      <c r="M204" s="33"/>
    </row>
    <row r="205" spans="1:13" x14ac:dyDescent="0.25">
      <c r="A205" s="102" t="s">
        <v>576</v>
      </c>
      <c r="B205" s="32">
        <f t="shared" si="3"/>
        <v>204</v>
      </c>
      <c r="C205" s="33" t="s">
        <v>577</v>
      </c>
      <c r="D205" s="33"/>
      <c r="E205" s="33"/>
      <c r="F205" s="33"/>
      <c r="G205" s="33" t="s">
        <v>235</v>
      </c>
      <c r="H205" s="33">
        <v>7</v>
      </c>
      <c r="I205" s="33" t="s">
        <v>223</v>
      </c>
      <c r="J205" s="33" t="s">
        <v>223</v>
      </c>
      <c r="K205" s="33"/>
      <c r="L205" s="34"/>
      <c r="M205" s="33"/>
    </row>
    <row r="206" spans="1:13" x14ac:dyDescent="0.25">
      <c r="A206" s="102" t="s">
        <v>578</v>
      </c>
      <c r="B206" s="32">
        <f t="shared" si="3"/>
        <v>205</v>
      </c>
      <c r="C206" s="33">
        <v>2174</v>
      </c>
      <c r="D206" s="33"/>
      <c r="E206" s="33"/>
      <c r="F206" s="33"/>
      <c r="G206" s="33" t="s">
        <v>235</v>
      </c>
      <c r="H206" s="33">
        <v>8</v>
      </c>
      <c r="I206" s="33" t="s">
        <v>223</v>
      </c>
      <c r="J206" s="33" t="s">
        <v>223</v>
      </c>
      <c r="K206" s="33"/>
      <c r="L206" s="34"/>
      <c r="M206" s="33"/>
    </row>
    <row r="207" spans="1:13" ht="30" x14ac:dyDescent="0.25">
      <c r="A207" s="102" t="s">
        <v>579</v>
      </c>
      <c r="B207" s="32">
        <f t="shared" si="3"/>
        <v>206</v>
      </c>
      <c r="C207" s="33">
        <v>2032</v>
      </c>
      <c r="D207" s="33"/>
      <c r="E207" s="33" t="s">
        <v>233</v>
      </c>
      <c r="F207" s="33" t="s">
        <v>257</v>
      </c>
      <c r="G207" s="33" t="s">
        <v>280</v>
      </c>
      <c r="H207" s="33">
        <v>1</v>
      </c>
      <c r="I207" s="33" t="s">
        <v>281</v>
      </c>
      <c r="J207" s="33" t="s">
        <v>223</v>
      </c>
      <c r="K207" s="33"/>
      <c r="L207" s="34"/>
      <c r="M207" s="33"/>
    </row>
    <row r="208" spans="1:13" x14ac:dyDescent="0.25">
      <c r="A208" s="102" t="s">
        <v>580</v>
      </c>
      <c r="B208" s="32">
        <f t="shared" si="3"/>
        <v>207</v>
      </c>
      <c r="C208" s="33" t="s">
        <v>581</v>
      </c>
      <c r="D208" s="33"/>
      <c r="E208" s="33"/>
      <c r="F208" s="33" t="s">
        <v>419</v>
      </c>
      <c r="G208" s="33" t="s">
        <v>221</v>
      </c>
      <c r="H208" s="33">
        <v>0</v>
      </c>
      <c r="I208" s="33" t="s">
        <v>223</v>
      </c>
      <c r="J208" s="33" t="s">
        <v>223</v>
      </c>
      <c r="K208" s="33"/>
      <c r="L208" s="34"/>
      <c r="M208" s="33"/>
    </row>
    <row r="209" spans="1:13" ht="30" x14ac:dyDescent="0.25">
      <c r="A209" s="102" t="s">
        <v>582</v>
      </c>
      <c r="B209" s="32">
        <f t="shared" si="3"/>
        <v>208</v>
      </c>
      <c r="C209" s="33" t="s">
        <v>583</v>
      </c>
      <c r="D209" s="33"/>
      <c r="E209" s="33"/>
      <c r="F209" s="33" t="s">
        <v>234</v>
      </c>
      <c r="G209" s="33" t="s">
        <v>235</v>
      </c>
      <c r="H209" s="33">
        <v>4</v>
      </c>
      <c r="I209" s="33" t="s">
        <v>223</v>
      </c>
      <c r="J209" s="33" t="s">
        <v>223</v>
      </c>
      <c r="K209" s="33"/>
      <c r="L209" s="34"/>
      <c r="M209" s="33"/>
    </row>
    <row r="210" spans="1:13" x14ac:dyDescent="0.25">
      <c r="A210" s="102" t="s">
        <v>584</v>
      </c>
      <c r="B210" s="32">
        <f t="shared" si="3"/>
        <v>209</v>
      </c>
      <c r="C210" s="33">
        <v>2304025</v>
      </c>
      <c r="D210" s="33"/>
      <c r="E210" s="33" t="s">
        <v>233</v>
      </c>
      <c r="F210" s="33" t="s">
        <v>234</v>
      </c>
      <c r="G210" s="33" t="s">
        <v>235</v>
      </c>
      <c r="H210" s="33">
        <v>1</v>
      </c>
      <c r="I210" s="33" t="s">
        <v>223</v>
      </c>
      <c r="J210" s="33" t="s">
        <v>223</v>
      </c>
      <c r="K210" s="33"/>
      <c r="L210" s="34"/>
      <c r="M210" s="33"/>
    </row>
    <row r="211" spans="1:13" x14ac:dyDescent="0.25">
      <c r="A211" s="102" t="s">
        <v>585</v>
      </c>
      <c r="B211" s="32">
        <f t="shared" si="3"/>
        <v>210</v>
      </c>
      <c r="C211" s="33">
        <v>2304050</v>
      </c>
      <c r="D211" s="33"/>
      <c r="E211" s="33"/>
      <c r="F211" s="33" t="s">
        <v>234</v>
      </c>
      <c r="G211" s="33" t="s">
        <v>235</v>
      </c>
      <c r="H211" s="33">
        <v>4</v>
      </c>
      <c r="I211" s="33" t="s">
        <v>223</v>
      </c>
      <c r="J211" s="33" t="s">
        <v>223</v>
      </c>
      <c r="K211" s="33"/>
      <c r="L211" s="34"/>
      <c r="M211" s="33"/>
    </row>
    <row r="212" spans="1:13" ht="30" x14ac:dyDescent="0.25">
      <c r="A212" s="102" t="s">
        <v>586</v>
      </c>
      <c r="B212" s="32">
        <f t="shared" si="3"/>
        <v>211</v>
      </c>
      <c r="C212" s="33" t="s">
        <v>587</v>
      </c>
      <c r="D212" s="33"/>
      <c r="E212" s="33"/>
      <c r="F212" s="33"/>
      <c r="G212" s="33" t="s">
        <v>221</v>
      </c>
      <c r="H212" s="33">
        <v>0</v>
      </c>
      <c r="I212" s="33"/>
      <c r="J212" s="33" t="s">
        <v>588</v>
      </c>
      <c r="K212" s="33"/>
      <c r="L212" s="34"/>
      <c r="M212" s="33"/>
    </row>
    <row r="213" spans="1:13" x14ac:dyDescent="0.25">
      <c r="A213" s="102" t="s">
        <v>589</v>
      </c>
      <c r="B213" s="32">
        <f t="shared" si="3"/>
        <v>212</v>
      </c>
      <c r="C213" s="33" t="s">
        <v>590</v>
      </c>
      <c r="D213" s="33"/>
      <c r="E213" s="33" t="s">
        <v>233</v>
      </c>
      <c r="F213" s="33" t="s">
        <v>234</v>
      </c>
      <c r="G213" s="33" t="s">
        <v>235</v>
      </c>
      <c r="H213" s="33">
        <v>27</v>
      </c>
      <c r="I213" s="33" t="s">
        <v>223</v>
      </c>
      <c r="J213" s="33" t="s">
        <v>223</v>
      </c>
      <c r="K213" s="33"/>
      <c r="L213" s="34"/>
      <c r="M213" s="33"/>
    </row>
    <row r="214" spans="1:13" x14ac:dyDescent="0.25">
      <c r="A214" s="102" t="s">
        <v>591</v>
      </c>
      <c r="B214" s="32">
        <f t="shared" si="3"/>
        <v>213</v>
      </c>
      <c r="C214" s="33" t="s">
        <v>592</v>
      </c>
      <c r="D214" s="33"/>
      <c r="E214" s="33"/>
      <c r="F214" s="33" t="s">
        <v>269</v>
      </c>
      <c r="G214" s="33" t="s">
        <v>560</v>
      </c>
      <c r="H214" s="33">
        <v>0</v>
      </c>
      <c r="I214" s="33" t="s">
        <v>223</v>
      </c>
      <c r="J214" s="33" t="s">
        <v>223</v>
      </c>
      <c r="K214" s="33"/>
      <c r="L214" s="34"/>
      <c r="M214" s="33"/>
    </row>
    <row r="215" spans="1:13" x14ac:dyDescent="0.25">
      <c r="A215" s="102" t="s">
        <v>591</v>
      </c>
      <c r="B215" s="32">
        <f t="shared" si="3"/>
        <v>214</v>
      </c>
      <c r="C215" s="33" t="s">
        <v>593</v>
      </c>
      <c r="D215" s="33"/>
      <c r="E215" s="33"/>
      <c r="F215" s="33" t="s">
        <v>257</v>
      </c>
      <c r="G215" s="33" t="s">
        <v>221</v>
      </c>
      <c r="H215" s="33">
        <v>30</v>
      </c>
      <c r="I215" s="33"/>
      <c r="J215" s="33" t="s">
        <v>223</v>
      </c>
      <c r="K215" s="33"/>
      <c r="L215" s="34"/>
      <c r="M215" s="33"/>
    </row>
    <row r="216" spans="1:13" x14ac:dyDescent="0.25">
      <c r="A216" s="102" t="s">
        <v>594</v>
      </c>
      <c r="B216" s="32">
        <f t="shared" si="3"/>
        <v>215</v>
      </c>
      <c r="C216" s="33" t="s">
        <v>595</v>
      </c>
      <c r="D216" s="33"/>
      <c r="E216" s="33"/>
      <c r="F216" s="33" t="s">
        <v>261</v>
      </c>
      <c r="G216" s="33" t="s">
        <v>231</v>
      </c>
      <c r="H216" s="33">
        <v>0</v>
      </c>
      <c r="I216" s="33" t="s">
        <v>223</v>
      </c>
      <c r="J216" s="33" t="s">
        <v>223</v>
      </c>
      <c r="K216" s="33"/>
      <c r="L216" s="34"/>
      <c r="M216" s="33"/>
    </row>
    <row r="217" spans="1:13" x14ac:dyDescent="0.25">
      <c r="A217" s="102" t="s">
        <v>596</v>
      </c>
      <c r="B217" s="32">
        <f t="shared" si="3"/>
        <v>216</v>
      </c>
      <c r="C217" s="33" t="s">
        <v>597</v>
      </c>
      <c r="D217" s="33"/>
      <c r="E217" s="33"/>
      <c r="F217" s="33"/>
      <c r="G217" s="33" t="s">
        <v>235</v>
      </c>
      <c r="H217" s="33">
        <v>55</v>
      </c>
      <c r="I217" s="33" t="s">
        <v>223</v>
      </c>
      <c r="J217" s="33" t="s">
        <v>223</v>
      </c>
      <c r="K217" s="33"/>
      <c r="L217" s="34"/>
      <c r="M217" s="33"/>
    </row>
    <row r="218" spans="1:13" x14ac:dyDescent="0.25">
      <c r="A218" s="102" t="s">
        <v>598</v>
      </c>
      <c r="B218" s="32">
        <f t="shared" si="3"/>
        <v>217</v>
      </c>
      <c r="C218" s="33" t="s">
        <v>599</v>
      </c>
      <c r="D218" s="33"/>
      <c r="E218" s="33"/>
      <c r="F218" s="33" t="s">
        <v>419</v>
      </c>
      <c r="G218" s="33" t="s">
        <v>240</v>
      </c>
      <c r="H218" s="33">
        <v>0</v>
      </c>
      <c r="I218" s="33" t="s">
        <v>223</v>
      </c>
      <c r="J218" s="33" t="s">
        <v>223</v>
      </c>
      <c r="K218" s="33"/>
      <c r="L218" s="34"/>
      <c r="M218" s="33"/>
    </row>
    <row r="219" spans="1:13" x14ac:dyDescent="0.25">
      <c r="A219" s="102" t="s">
        <v>600</v>
      </c>
      <c r="B219" s="32">
        <f t="shared" si="3"/>
        <v>218</v>
      </c>
      <c r="C219" s="33" t="s">
        <v>601</v>
      </c>
      <c r="D219" s="33"/>
      <c r="E219" s="33"/>
      <c r="F219" s="33" t="s">
        <v>257</v>
      </c>
      <c r="G219" s="33" t="s">
        <v>235</v>
      </c>
      <c r="H219" s="33">
        <v>0</v>
      </c>
      <c r="I219" s="33" t="s">
        <v>223</v>
      </c>
      <c r="J219" s="33" t="s">
        <v>223</v>
      </c>
      <c r="K219" s="33"/>
      <c r="L219" s="34"/>
      <c r="M219" s="33"/>
    </row>
    <row r="220" spans="1:13" x14ac:dyDescent="0.25">
      <c r="A220" s="102" t="s">
        <v>602</v>
      </c>
      <c r="B220" s="32">
        <f t="shared" si="3"/>
        <v>219</v>
      </c>
      <c r="C220" s="33" t="s">
        <v>603</v>
      </c>
      <c r="D220" s="33"/>
      <c r="E220" s="33"/>
      <c r="F220" s="33" t="s">
        <v>604</v>
      </c>
      <c r="G220" s="33" t="s">
        <v>235</v>
      </c>
      <c r="H220" s="33">
        <v>5</v>
      </c>
      <c r="I220" s="33" t="s">
        <v>223</v>
      </c>
      <c r="J220" s="33" t="s">
        <v>223</v>
      </c>
      <c r="K220" s="33"/>
      <c r="L220" s="34"/>
      <c r="M220" s="33"/>
    </row>
    <row r="221" spans="1:13" x14ac:dyDescent="0.25">
      <c r="A221" s="102" t="s">
        <v>605</v>
      </c>
      <c r="B221" s="32">
        <f t="shared" si="3"/>
        <v>220</v>
      </c>
      <c r="C221" s="33" t="s">
        <v>606</v>
      </c>
      <c r="D221" s="33"/>
      <c r="E221" s="33"/>
      <c r="F221" s="33" t="s">
        <v>261</v>
      </c>
      <c r="G221" s="33" t="s">
        <v>235</v>
      </c>
      <c r="H221" s="33">
        <v>16</v>
      </c>
      <c r="I221" s="33" t="s">
        <v>223</v>
      </c>
      <c r="J221" s="33" t="s">
        <v>223</v>
      </c>
      <c r="K221" s="33"/>
      <c r="L221" s="34"/>
      <c r="M221" s="33"/>
    </row>
    <row r="222" spans="1:13" x14ac:dyDescent="0.25">
      <c r="A222" s="102" t="s">
        <v>607</v>
      </c>
      <c r="B222" s="32">
        <f t="shared" si="3"/>
        <v>221</v>
      </c>
      <c r="C222" s="33" t="s">
        <v>601</v>
      </c>
      <c r="D222" s="33"/>
      <c r="E222" s="33"/>
      <c r="F222" s="33" t="s">
        <v>257</v>
      </c>
      <c r="G222" s="33" t="s">
        <v>221</v>
      </c>
      <c r="H222" s="33">
        <v>42</v>
      </c>
      <c r="I222" s="33" t="s">
        <v>223</v>
      </c>
      <c r="J222" s="33" t="s">
        <v>223</v>
      </c>
      <c r="K222" s="33"/>
      <c r="L222" s="34"/>
      <c r="M222" s="33"/>
    </row>
    <row r="223" spans="1:13" x14ac:dyDescent="0.25">
      <c r="A223" s="102" t="s">
        <v>608</v>
      </c>
      <c r="B223" s="32">
        <f t="shared" si="3"/>
        <v>222</v>
      </c>
      <c r="C223" s="33" t="s">
        <v>609</v>
      </c>
      <c r="D223" s="33"/>
      <c r="E223" s="33" t="s">
        <v>610</v>
      </c>
      <c r="F223" s="33" t="s">
        <v>611</v>
      </c>
      <c r="G223" s="33" t="s">
        <v>612</v>
      </c>
      <c r="H223" s="33">
        <v>2</v>
      </c>
      <c r="I223" s="33"/>
      <c r="J223" s="33" t="s">
        <v>613</v>
      </c>
      <c r="K223" s="33"/>
      <c r="L223" s="34"/>
      <c r="M223" s="33"/>
    </row>
    <row r="224" spans="1:13" x14ac:dyDescent="0.25">
      <c r="A224" s="102" t="s">
        <v>614</v>
      </c>
      <c r="B224" s="32">
        <f t="shared" si="3"/>
        <v>223</v>
      </c>
      <c r="C224" s="33" t="s">
        <v>615</v>
      </c>
      <c r="D224" s="33"/>
      <c r="E224" s="33"/>
      <c r="F224" s="33" t="s">
        <v>234</v>
      </c>
      <c r="G224" s="33" t="s">
        <v>235</v>
      </c>
      <c r="H224" s="33">
        <v>2</v>
      </c>
      <c r="I224" s="33" t="s">
        <v>223</v>
      </c>
      <c r="J224" s="33" t="s">
        <v>223</v>
      </c>
      <c r="K224" s="33"/>
      <c r="L224" s="34"/>
      <c r="M224" s="33"/>
    </row>
    <row r="225" spans="1:13" x14ac:dyDescent="0.25">
      <c r="A225" s="102" t="s">
        <v>616</v>
      </c>
      <c r="B225" s="32">
        <f t="shared" si="3"/>
        <v>224</v>
      </c>
      <c r="C225" s="33" t="s">
        <v>617</v>
      </c>
      <c r="D225" s="33"/>
      <c r="E225" s="33"/>
      <c r="F225" s="33" t="s">
        <v>234</v>
      </c>
      <c r="G225" s="33" t="s">
        <v>235</v>
      </c>
      <c r="H225" s="33">
        <v>1</v>
      </c>
      <c r="I225" s="33" t="s">
        <v>223</v>
      </c>
      <c r="J225" s="33" t="s">
        <v>223</v>
      </c>
      <c r="K225" s="33"/>
      <c r="L225" s="34"/>
      <c r="M225" s="33"/>
    </row>
    <row r="226" spans="1:13" x14ac:dyDescent="0.25">
      <c r="A226" s="102" t="s">
        <v>618</v>
      </c>
      <c r="B226" s="32">
        <f t="shared" si="3"/>
        <v>225</v>
      </c>
      <c r="C226" s="33" t="s">
        <v>619</v>
      </c>
      <c r="D226" s="33"/>
      <c r="E226" s="33"/>
      <c r="F226" s="33" t="s">
        <v>419</v>
      </c>
      <c r="G226" s="33" t="s">
        <v>620</v>
      </c>
      <c r="H226" s="33">
        <v>0</v>
      </c>
      <c r="I226" s="33" t="s">
        <v>223</v>
      </c>
      <c r="J226" s="33" t="s">
        <v>223</v>
      </c>
      <c r="K226" s="33"/>
      <c r="L226" s="34"/>
      <c r="M226" s="33"/>
    </row>
    <row r="227" spans="1:13" ht="30" x14ac:dyDescent="0.25">
      <c r="A227" s="102" t="s">
        <v>621</v>
      </c>
      <c r="B227" s="32">
        <f t="shared" si="3"/>
        <v>226</v>
      </c>
      <c r="C227" s="33" t="s">
        <v>622</v>
      </c>
      <c r="D227" s="33"/>
      <c r="E227" s="33"/>
      <c r="F227" s="33" t="s">
        <v>220</v>
      </c>
      <c r="G227" s="33" t="s">
        <v>235</v>
      </c>
      <c r="H227" s="33">
        <v>14</v>
      </c>
      <c r="I227" s="33" t="s">
        <v>223</v>
      </c>
      <c r="J227" s="33" t="s">
        <v>223</v>
      </c>
      <c r="K227" s="33"/>
      <c r="L227" s="34"/>
      <c r="M227" s="33"/>
    </row>
    <row r="228" spans="1:13" ht="30" x14ac:dyDescent="0.25">
      <c r="A228" s="102" t="s">
        <v>623</v>
      </c>
      <c r="B228" s="32">
        <f t="shared" si="3"/>
        <v>227</v>
      </c>
      <c r="C228" s="33" t="s">
        <v>624</v>
      </c>
      <c r="D228" s="33"/>
      <c r="E228" s="33" t="s">
        <v>625</v>
      </c>
      <c r="F228" s="33" t="s">
        <v>257</v>
      </c>
      <c r="G228" s="33" t="s">
        <v>626</v>
      </c>
      <c r="H228" s="33">
        <v>1</v>
      </c>
      <c r="I228" s="33"/>
      <c r="J228" s="33" t="s">
        <v>32</v>
      </c>
      <c r="K228" s="33"/>
      <c r="L228" s="34"/>
      <c r="M228" s="33"/>
    </row>
    <row r="229" spans="1:13" ht="30" x14ac:dyDescent="0.25">
      <c r="A229" s="102" t="s">
        <v>627</v>
      </c>
      <c r="B229" s="32">
        <f t="shared" si="3"/>
        <v>228</v>
      </c>
      <c r="C229" s="33" t="s">
        <v>628</v>
      </c>
      <c r="D229" s="33"/>
      <c r="E229" s="33"/>
      <c r="F229" s="33" t="s">
        <v>220</v>
      </c>
      <c r="G229" s="33" t="s">
        <v>240</v>
      </c>
      <c r="H229" s="33">
        <v>0</v>
      </c>
      <c r="I229" s="33" t="s">
        <v>281</v>
      </c>
      <c r="J229" s="33" t="s">
        <v>629</v>
      </c>
      <c r="K229" s="33"/>
      <c r="L229" s="34"/>
      <c r="M229" s="33"/>
    </row>
    <row r="230" spans="1:13" x14ac:dyDescent="0.25">
      <c r="A230" s="102" t="s">
        <v>630</v>
      </c>
      <c r="B230" s="32">
        <f t="shared" si="3"/>
        <v>229</v>
      </c>
      <c r="C230" s="33" t="s">
        <v>631</v>
      </c>
      <c r="D230" s="33"/>
      <c r="E230" s="33"/>
      <c r="F230" s="33" t="s">
        <v>257</v>
      </c>
      <c r="G230" s="33" t="s">
        <v>235</v>
      </c>
      <c r="H230" s="33">
        <v>5</v>
      </c>
      <c r="I230" s="33" t="s">
        <v>223</v>
      </c>
      <c r="J230" s="33" t="s">
        <v>223</v>
      </c>
      <c r="K230" s="33"/>
      <c r="L230" s="34"/>
      <c r="M230" s="33"/>
    </row>
    <row r="231" spans="1:13" x14ac:dyDescent="0.25">
      <c r="A231" s="102" t="s">
        <v>632</v>
      </c>
      <c r="B231" s="32">
        <f t="shared" si="3"/>
        <v>230</v>
      </c>
      <c r="C231" s="33" t="s">
        <v>633</v>
      </c>
      <c r="D231" s="33"/>
      <c r="E231" s="33"/>
      <c r="F231" s="33" t="s">
        <v>257</v>
      </c>
      <c r="G231" s="33" t="s">
        <v>235</v>
      </c>
      <c r="H231" s="33">
        <v>2</v>
      </c>
      <c r="I231" s="33" t="s">
        <v>223</v>
      </c>
      <c r="J231" s="33" t="s">
        <v>223</v>
      </c>
      <c r="K231" s="33"/>
      <c r="L231" s="34"/>
      <c r="M231" s="33"/>
    </row>
    <row r="232" spans="1:13" ht="30" x14ac:dyDescent="0.25">
      <c r="A232" s="102" t="s">
        <v>634</v>
      </c>
      <c r="B232" s="32">
        <f t="shared" si="3"/>
        <v>231</v>
      </c>
      <c r="C232" s="33" t="s">
        <v>635</v>
      </c>
      <c r="D232" s="33"/>
      <c r="E232" s="33" t="s">
        <v>636</v>
      </c>
      <c r="F232" s="33" t="s">
        <v>637</v>
      </c>
      <c r="G232" s="33" t="s">
        <v>638</v>
      </c>
      <c r="H232" s="33">
        <v>1</v>
      </c>
      <c r="I232" s="33" t="s">
        <v>613</v>
      </c>
      <c r="J232" s="33" t="s">
        <v>639</v>
      </c>
      <c r="K232" s="33"/>
      <c r="L232" s="34"/>
      <c r="M232" s="33"/>
    </row>
    <row r="233" spans="1:13" x14ac:dyDescent="0.25">
      <c r="A233" s="102" t="s">
        <v>640</v>
      </c>
      <c r="B233" s="32">
        <f t="shared" si="3"/>
        <v>232</v>
      </c>
      <c r="C233" s="33" t="s">
        <v>641</v>
      </c>
      <c r="D233" s="33"/>
      <c r="E233" s="33"/>
      <c r="F233" s="33" t="s">
        <v>261</v>
      </c>
      <c r="G233" s="33" t="s">
        <v>235</v>
      </c>
      <c r="H233" s="33">
        <v>85</v>
      </c>
      <c r="I233" s="33" t="s">
        <v>223</v>
      </c>
      <c r="J233" s="33" t="s">
        <v>223</v>
      </c>
      <c r="K233" s="33"/>
      <c r="L233" s="34"/>
      <c r="M233" s="33"/>
    </row>
    <row r="234" spans="1:13" ht="30" x14ac:dyDescent="0.25">
      <c r="A234" s="102" t="s">
        <v>642</v>
      </c>
      <c r="B234" s="32">
        <f t="shared" si="3"/>
        <v>233</v>
      </c>
      <c r="C234" s="33" t="s">
        <v>643</v>
      </c>
      <c r="D234" s="33"/>
      <c r="E234" s="33"/>
      <c r="F234" s="33" t="s">
        <v>220</v>
      </c>
      <c r="G234" s="33" t="s">
        <v>221</v>
      </c>
      <c r="H234" s="33">
        <v>5</v>
      </c>
      <c r="I234" s="33" t="s">
        <v>223</v>
      </c>
      <c r="J234" s="33" t="s">
        <v>223</v>
      </c>
      <c r="K234" s="33"/>
      <c r="L234" s="34"/>
      <c r="M234" s="33"/>
    </row>
    <row r="235" spans="1:13" ht="45" x14ac:dyDescent="0.25">
      <c r="A235" s="102" t="s">
        <v>642</v>
      </c>
      <c r="B235" s="32">
        <f t="shared" si="3"/>
        <v>234</v>
      </c>
      <c r="C235" s="33" t="s">
        <v>644</v>
      </c>
      <c r="D235" s="33"/>
      <c r="E235" s="33"/>
      <c r="F235" s="33" t="s">
        <v>220</v>
      </c>
      <c r="G235" s="33"/>
      <c r="H235" s="33">
        <v>0</v>
      </c>
      <c r="I235" s="33"/>
      <c r="J235" s="33" t="s">
        <v>645</v>
      </c>
      <c r="K235" s="33"/>
      <c r="L235" s="34"/>
      <c r="M235" s="33"/>
    </row>
    <row r="236" spans="1:13" x14ac:dyDescent="0.25">
      <c r="A236" s="102" t="s">
        <v>646</v>
      </c>
      <c r="B236" s="32">
        <f t="shared" si="3"/>
        <v>235</v>
      </c>
      <c r="C236" s="33">
        <v>1332</v>
      </c>
      <c r="D236" s="33"/>
      <c r="E236" s="33" t="s">
        <v>233</v>
      </c>
      <c r="F236" s="33" t="s">
        <v>234</v>
      </c>
      <c r="G236" s="33" t="s">
        <v>252</v>
      </c>
      <c r="H236" s="33">
        <v>44</v>
      </c>
      <c r="I236" s="33" t="s">
        <v>223</v>
      </c>
      <c r="J236" s="33" t="s">
        <v>223</v>
      </c>
      <c r="K236" s="33"/>
      <c r="L236" s="34"/>
      <c r="M236" s="33"/>
    </row>
    <row r="237" spans="1:13" x14ac:dyDescent="0.25">
      <c r="A237" s="102" t="s">
        <v>647</v>
      </c>
      <c r="B237" s="32">
        <f t="shared" si="3"/>
        <v>236</v>
      </c>
      <c r="C237" s="33" t="s">
        <v>648</v>
      </c>
      <c r="D237" s="33"/>
      <c r="E237" s="33"/>
      <c r="F237" s="33"/>
      <c r="G237" s="33" t="s">
        <v>235</v>
      </c>
      <c r="H237" s="33">
        <v>1</v>
      </c>
      <c r="I237" s="33" t="s">
        <v>223</v>
      </c>
      <c r="J237" s="33" t="s">
        <v>223</v>
      </c>
      <c r="K237" s="33"/>
      <c r="L237" s="34"/>
      <c r="M237" s="33"/>
    </row>
    <row r="238" spans="1:13" ht="30" x14ac:dyDescent="0.25">
      <c r="A238" s="102" t="s">
        <v>649</v>
      </c>
      <c r="B238" s="32">
        <f t="shared" si="3"/>
        <v>237</v>
      </c>
      <c r="C238" s="33" t="s">
        <v>650</v>
      </c>
      <c r="D238" s="33"/>
      <c r="E238" s="33" t="s">
        <v>233</v>
      </c>
      <c r="F238" s="33" t="s">
        <v>234</v>
      </c>
      <c r="G238" s="33" t="s">
        <v>235</v>
      </c>
      <c r="H238" s="33">
        <v>4</v>
      </c>
      <c r="I238" s="33" t="s">
        <v>223</v>
      </c>
      <c r="J238" s="33" t="s">
        <v>223</v>
      </c>
      <c r="K238" s="33"/>
      <c r="L238" s="34"/>
      <c r="M238" s="33"/>
    </row>
    <row r="239" spans="1:13" x14ac:dyDescent="0.25">
      <c r="A239" s="102" t="s">
        <v>651</v>
      </c>
      <c r="B239" s="32">
        <f t="shared" si="3"/>
        <v>238</v>
      </c>
      <c r="C239" s="33">
        <v>1082</v>
      </c>
      <c r="D239" s="33"/>
      <c r="E239" s="33"/>
      <c r="F239" s="33"/>
      <c r="G239" s="33" t="s">
        <v>235</v>
      </c>
      <c r="H239" s="33">
        <v>8</v>
      </c>
      <c r="I239" s="33" t="s">
        <v>223</v>
      </c>
      <c r="J239" s="33" t="s">
        <v>223</v>
      </c>
      <c r="K239" s="33"/>
      <c r="L239" s="34"/>
      <c r="M239" s="33"/>
    </row>
    <row r="240" spans="1:13" ht="30" x14ac:dyDescent="0.25">
      <c r="A240" s="102" t="s">
        <v>652</v>
      </c>
      <c r="B240" s="32">
        <f t="shared" si="3"/>
        <v>239</v>
      </c>
      <c r="C240" s="33" t="s">
        <v>653</v>
      </c>
      <c r="D240" s="33"/>
      <c r="E240" s="33" t="s">
        <v>233</v>
      </c>
      <c r="F240" s="33" t="s">
        <v>234</v>
      </c>
      <c r="G240" s="33" t="s">
        <v>235</v>
      </c>
      <c r="H240" s="33">
        <v>5</v>
      </c>
      <c r="I240" s="33" t="s">
        <v>223</v>
      </c>
      <c r="J240" s="33" t="s">
        <v>223</v>
      </c>
      <c r="K240" s="33"/>
      <c r="L240" s="34"/>
      <c r="M240" s="33"/>
    </row>
    <row r="241" spans="1:13" ht="30" x14ac:dyDescent="0.25">
      <c r="A241" s="102" t="s">
        <v>654</v>
      </c>
      <c r="B241" s="32">
        <f t="shared" si="3"/>
        <v>240</v>
      </c>
      <c r="C241" s="33">
        <v>2299</v>
      </c>
      <c r="D241" s="33"/>
      <c r="E241" s="33" t="s">
        <v>233</v>
      </c>
      <c r="F241" s="33" t="s">
        <v>234</v>
      </c>
      <c r="G241" s="33" t="s">
        <v>235</v>
      </c>
      <c r="H241" s="33">
        <v>8</v>
      </c>
      <c r="I241" s="33" t="s">
        <v>223</v>
      </c>
      <c r="J241" s="33" t="s">
        <v>223</v>
      </c>
      <c r="K241" s="33"/>
      <c r="L241" s="34"/>
      <c r="M241" s="33"/>
    </row>
    <row r="242" spans="1:13" x14ac:dyDescent="0.25">
      <c r="A242" s="102" t="s">
        <v>655</v>
      </c>
      <c r="B242" s="32">
        <f t="shared" si="3"/>
        <v>241</v>
      </c>
      <c r="C242" s="33">
        <v>4604</v>
      </c>
      <c r="D242" s="33"/>
      <c r="E242" s="33"/>
      <c r="F242" s="33" t="s">
        <v>230</v>
      </c>
      <c r="G242" s="33" t="s">
        <v>240</v>
      </c>
      <c r="H242" s="33">
        <v>0</v>
      </c>
      <c r="I242" s="33" t="s">
        <v>223</v>
      </c>
      <c r="J242" s="33" t="s">
        <v>223</v>
      </c>
      <c r="K242" s="33"/>
      <c r="L242" s="34"/>
      <c r="M242" s="33"/>
    </row>
    <row r="243" spans="1:13" x14ac:dyDescent="0.25">
      <c r="A243" s="102" t="s">
        <v>656</v>
      </c>
      <c r="B243" s="32">
        <f t="shared" si="3"/>
        <v>242</v>
      </c>
      <c r="C243" s="33" t="s">
        <v>657</v>
      </c>
      <c r="D243" s="33"/>
      <c r="E243" s="33"/>
      <c r="F243" s="33" t="s">
        <v>257</v>
      </c>
      <c r="G243" s="33" t="s">
        <v>221</v>
      </c>
      <c r="H243" s="33">
        <v>10</v>
      </c>
      <c r="I243" s="33" t="s">
        <v>281</v>
      </c>
      <c r="J243" s="33" t="s">
        <v>223</v>
      </c>
      <c r="K243" s="33"/>
      <c r="L243" s="34"/>
      <c r="M243" s="33"/>
    </row>
    <row r="244" spans="1:13" x14ac:dyDescent="0.25">
      <c r="A244" s="102" t="s">
        <v>658</v>
      </c>
      <c r="B244" s="32">
        <f t="shared" si="3"/>
        <v>243</v>
      </c>
      <c r="C244" s="33" t="s">
        <v>659</v>
      </c>
      <c r="D244" s="33"/>
      <c r="E244" s="33"/>
      <c r="F244" s="33"/>
      <c r="G244" s="33" t="s">
        <v>235</v>
      </c>
      <c r="H244" s="33">
        <v>100</v>
      </c>
      <c r="I244" s="33" t="s">
        <v>223</v>
      </c>
      <c r="J244" s="33" t="s">
        <v>223</v>
      </c>
      <c r="K244" s="33"/>
      <c r="L244" s="34"/>
      <c r="M244" s="33"/>
    </row>
    <row r="245" spans="1:13" x14ac:dyDescent="0.25">
      <c r="A245" s="102" t="s">
        <v>660</v>
      </c>
      <c r="B245" s="32">
        <f t="shared" si="3"/>
        <v>244</v>
      </c>
      <c r="C245" s="33" t="s">
        <v>661</v>
      </c>
      <c r="D245" s="33"/>
      <c r="E245" s="33"/>
      <c r="F245" s="33" t="s">
        <v>419</v>
      </c>
      <c r="G245" s="33" t="s">
        <v>221</v>
      </c>
      <c r="H245" s="33">
        <v>100</v>
      </c>
      <c r="I245" s="33" t="s">
        <v>223</v>
      </c>
      <c r="J245" s="33" t="s">
        <v>223</v>
      </c>
      <c r="K245" s="33"/>
      <c r="L245" s="34"/>
      <c r="M245" s="33"/>
    </row>
    <row r="246" spans="1:13" x14ac:dyDescent="0.25">
      <c r="A246" s="102" t="s">
        <v>662</v>
      </c>
      <c r="B246" s="32">
        <f t="shared" si="3"/>
        <v>245</v>
      </c>
      <c r="C246" s="33" t="s">
        <v>663</v>
      </c>
      <c r="D246" s="33"/>
      <c r="E246" s="33"/>
      <c r="F246" s="33"/>
      <c r="G246" s="33" t="s">
        <v>570</v>
      </c>
      <c r="H246" s="33">
        <v>0</v>
      </c>
      <c r="I246" s="33"/>
      <c r="J246" s="33" t="s">
        <v>223</v>
      </c>
      <c r="K246" s="33"/>
      <c r="L246" s="34"/>
      <c r="M246" s="33"/>
    </row>
    <row r="247" spans="1:13" x14ac:dyDescent="0.25">
      <c r="A247" s="102" t="s">
        <v>664</v>
      </c>
      <c r="B247" s="32">
        <f t="shared" si="3"/>
        <v>246</v>
      </c>
      <c r="C247" s="33" t="s">
        <v>665</v>
      </c>
      <c r="D247" s="33"/>
      <c r="E247" s="33"/>
      <c r="F247" s="33"/>
      <c r="G247" s="33" t="s">
        <v>570</v>
      </c>
      <c r="H247" s="33">
        <v>0</v>
      </c>
      <c r="I247" s="33"/>
      <c r="J247" s="33" t="s">
        <v>223</v>
      </c>
      <c r="K247" s="33"/>
      <c r="L247" s="34"/>
      <c r="M247" s="33"/>
    </row>
    <row r="248" spans="1:13" x14ac:dyDescent="0.25">
      <c r="A248" s="102" t="s">
        <v>666</v>
      </c>
      <c r="B248" s="32">
        <f t="shared" si="3"/>
        <v>247</v>
      </c>
      <c r="C248" s="33" t="s">
        <v>667</v>
      </c>
      <c r="D248" s="33"/>
      <c r="E248" s="33"/>
      <c r="F248" s="33"/>
      <c r="G248" s="33" t="s">
        <v>382</v>
      </c>
      <c r="H248" s="33">
        <v>3</v>
      </c>
      <c r="I248" s="33" t="s">
        <v>223</v>
      </c>
      <c r="J248" s="33" t="s">
        <v>223</v>
      </c>
      <c r="K248" s="33"/>
      <c r="L248" s="34"/>
      <c r="M248" s="33"/>
    </row>
    <row r="249" spans="1:13" x14ac:dyDescent="0.25">
      <c r="A249" s="102" t="s">
        <v>668</v>
      </c>
      <c r="B249" s="32">
        <f t="shared" si="3"/>
        <v>248</v>
      </c>
      <c r="C249" s="33">
        <v>2258114</v>
      </c>
      <c r="D249" s="33"/>
      <c r="E249" s="33" t="s">
        <v>233</v>
      </c>
      <c r="F249" s="33" t="s">
        <v>234</v>
      </c>
      <c r="G249" s="33" t="s">
        <v>235</v>
      </c>
      <c r="H249" s="33">
        <v>10</v>
      </c>
      <c r="I249" s="33" t="s">
        <v>223</v>
      </c>
      <c r="J249" s="33" t="s">
        <v>223</v>
      </c>
      <c r="K249" s="33"/>
      <c r="L249" s="34"/>
      <c r="M249" s="33"/>
    </row>
    <row r="250" spans="1:13" x14ac:dyDescent="0.25">
      <c r="A250" s="102" t="s">
        <v>669</v>
      </c>
      <c r="B250" s="32">
        <f t="shared" si="3"/>
        <v>249</v>
      </c>
      <c r="C250" s="33">
        <v>1025</v>
      </c>
      <c r="D250" s="33"/>
      <c r="E250" s="33" t="s">
        <v>233</v>
      </c>
      <c r="F250" s="33" t="s">
        <v>234</v>
      </c>
      <c r="G250" s="33" t="s">
        <v>235</v>
      </c>
      <c r="H250" s="33">
        <v>3</v>
      </c>
      <c r="I250" s="33" t="s">
        <v>223</v>
      </c>
      <c r="J250" s="33" t="s">
        <v>223</v>
      </c>
      <c r="K250" s="33"/>
      <c r="L250" s="34"/>
      <c r="M250" s="33"/>
    </row>
    <row r="251" spans="1:13" x14ac:dyDescent="0.25">
      <c r="A251" s="102" t="s">
        <v>670</v>
      </c>
      <c r="B251" s="32">
        <f t="shared" si="3"/>
        <v>250</v>
      </c>
      <c r="C251" s="33">
        <v>2258112</v>
      </c>
      <c r="D251" s="33"/>
      <c r="E251" s="33" t="s">
        <v>233</v>
      </c>
      <c r="F251" s="33" t="s">
        <v>234</v>
      </c>
      <c r="G251" s="33" t="s">
        <v>235</v>
      </c>
      <c r="H251" s="33">
        <v>3</v>
      </c>
      <c r="I251" s="33" t="s">
        <v>223</v>
      </c>
      <c r="J251" s="33" t="s">
        <v>223</v>
      </c>
      <c r="K251" s="33"/>
      <c r="L251" s="34"/>
      <c r="M251" s="33"/>
    </row>
    <row r="252" spans="1:13" ht="30" x14ac:dyDescent="0.25">
      <c r="A252" s="102" t="s">
        <v>671</v>
      </c>
      <c r="B252" s="32">
        <f t="shared" si="3"/>
        <v>251</v>
      </c>
      <c r="C252" s="33">
        <v>130100300</v>
      </c>
      <c r="D252" s="33"/>
      <c r="E252" s="33" t="s">
        <v>233</v>
      </c>
      <c r="F252" s="33"/>
      <c r="G252" s="33" t="s">
        <v>235</v>
      </c>
      <c r="H252" s="33">
        <v>20</v>
      </c>
      <c r="I252" s="33" t="s">
        <v>223</v>
      </c>
      <c r="J252" s="33" t="s">
        <v>223</v>
      </c>
      <c r="K252" s="33"/>
      <c r="L252" s="34"/>
      <c r="M252" s="33"/>
    </row>
    <row r="253" spans="1:13" x14ac:dyDescent="0.25">
      <c r="A253" s="102" t="s">
        <v>672</v>
      </c>
      <c r="B253" s="32">
        <f t="shared" si="3"/>
        <v>252</v>
      </c>
      <c r="C253" s="33">
        <v>1159</v>
      </c>
      <c r="D253" s="33"/>
      <c r="E253" s="33" t="s">
        <v>233</v>
      </c>
      <c r="F253" s="33"/>
      <c r="G253" s="33" t="s">
        <v>235</v>
      </c>
      <c r="H253" s="33">
        <v>32</v>
      </c>
      <c r="I253" s="33" t="s">
        <v>223</v>
      </c>
      <c r="J253" s="33" t="s">
        <v>223</v>
      </c>
      <c r="K253" s="33"/>
      <c r="L253" s="34"/>
      <c r="M253" s="33"/>
    </row>
    <row r="254" spans="1:13" ht="30" x14ac:dyDescent="0.25">
      <c r="A254" s="102" t="s">
        <v>673</v>
      </c>
      <c r="B254" s="32">
        <f t="shared" si="3"/>
        <v>253</v>
      </c>
      <c r="C254" s="33" t="s">
        <v>674</v>
      </c>
      <c r="D254" s="33"/>
      <c r="E254" s="33"/>
      <c r="F254" s="33" t="s">
        <v>220</v>
      </c>
      <c r="G254" s="33" t="s">
        <v>235</v>
      </c>
      <c r="H254" s="33">
        <v>377</v>
      </c>
      <c r="I254" s="33" t="s">
        <v>223</v>
      </c>
      <c r="J254" s="33" t="s">
        <v>223</v>
      </c>
      <c r="K254" s="33"/>
      <c r="L254" s="34"/>
      <c r="M254" s="33"/>
    </row>
    <row r="255" spans="1:13" x14ac:dyDescent="0.25">
      <c r="A255" s="102" t="s">
        <v>675</v>
      </c>
      <c r="B255" s="32">
        <f t="shared" si="3"/>
        <v>254</v>
      </c>
      <c r="C255" s="33" t="s">
        <v>676</v>
      </c>
      <c r="D255" s="33"/>
      <c r="E255" s="33" t="s">
        <v>233</v>
      </c>
      <c r="F255" s="33" t="s">
        <v>257</v>
      </c>
      <c r="G255" s="33" t="s">
        <v>235</v>
      </c>
      <c r="H255" s="33">
        <v>25</v>
      </c>
      <c r="I255" s="33" t="s">
        <v>223</v>
      </c>
      <c r="J255" s="33" t="s">
        <v>223</v>
      </c>
      <c r="K255" s="33"/>
      <c r="L255" s="34"/>
      <c r="M255" s="33"/>
    </row>
    <row r="256" spans="1:13" ht="45" x14ac:dyDescent="0.25">
      <c r="A256" s="102" t="s">
        <v>677</v>
      </c>
      <c r="B256" s="32">
        <f t="shared" si="3"/>
        <v>255</v>
      </c>
      <c r="C256" s="33" t="s">
        <v>678</v>
      </c>
      <c r="D256" s="33"/>
      <c r="E256" s="33"/>
      <c r="F256" s="33" t="s">
        <v>679</v>
      </c>
      <c r="G256" s="33" t="s">
        <v>235</v>
      </c>
      <c r="H256" s="33">
        <v>100</v>
      </c>
      <c r="I256" s="33" t="s">
        <v>223</v>
      </c>
      <c r="J256" s="33" t="s">
        <v>223</v>
      </c>
      <c r="K256" s="33"/>
      <c r="L256" s="34"/>
      <c r="M256" s="33"/>
    </row>
    <row r="257" spans="1:13" x14ac:dyDescent="0.25">
      <c r="A257" s="102" t="s">
        <v>680</v>
      </c>
      <c r="B257" s="32">
        <f t="shared" si="3"/>
        <v>256</v>
      </c>
      <c r="C257" s="33" t="s">
        <v>681</v>
      </c>
      <c r="D257" s="33"/>
      <c r="E257" s="33"/>
      <c r="F257" s="33"/>
      <c r="G257" s="33" t="s">
        <v>235</v>
      </c>
      <c r="H257" s="33">
        <v>10</v>
      </c>
      <c r="I257" s="33" t="s">
        <v>223</v>
      </c>
      <c r="J257" s="33" t="s">
        <v>223</v>
      </c>
      <c r="K257" s="33"/>
      <c r="L257" s="34"/>
      <c r="M257" s="33"/>
    </row>
    <row r="258" spans="1:13" x14ac:dyDescent="0.25">
      <c r="A258" s="102" t="s">
        <v>682</v>
      </c>
      <c r="B258" s="32">
        <f t="shared" ref="B258:B317" si="4">ROW(B257)</f>
        <v>257</v>
      </c>
      <c r="C258" s="33" t="s">
        <v>683</v>
      </c>
      <c r="D258" s="33"/>
      <c r="E258" s="33"/>
      <c r="F258" s="33"/>
      <c r="G258" s="33" t="s">
        <v>221</v>
      </c>
      <c r="H258" s="33">
        <v>0</v>
      </c>
      <c r="I258" s="33"/>
      <c r="J258" s="33" t="s">
        <v>223</v>
      </c>
      <c r="K258" s="33"/>
      <c r="L258" s="34"/>
      <c r="M258" s="33"/>
    </row>
    <row r="259" spans="1:13" x14ac:dyDescent="0.25">
      <c r="A259" s="102" t="s">
        <v>684</v>
      </c>
      <c r="B259" s="32">
        <f t="shared" si="4"/>
        <v>258</v>
      </c>
      <c r="C259" s="33" t="s">
        <v>685</v>
      </c>
      <c r="D259" s="33"/>
      <c r="E259" s="33"/>
      <c r="F259" s="33"/>
      <c r="G259" s="33" t="s">
        <v>221</v>
      </c>
      <c r="H259" s="33">
        <v>0</v>
      </c>
      <c r="I259" s="33"/>
      <c r="J259" s="33" t="s">
        <v>223</v>
      </c>
      <c r="K259" s="33"/>
      <c r="L259" s="34"/>
      <c r="M259" s="33"/>
    </row>
    <row r="260" spans="1:13" ht="30" x14ac:dyDescent="0.25">
      <c r="A260" s="102" t="s">
        <v>686</v>
      </c>
      <c r="B260" s="32">
        <f t="shared" si="4"/>
        <v>259</v>
      </c>
      <c r="C260" s="33" t="s">
        <v>687</v>
      </c>
      <c r="D260" s="33"/>
      <c r="E260" s="33" t="s">
        <v>249</v>
      </c>
      <c r="F260" s="33"/>
      <c r="G260" s="33" t="s">
        <v>235</v>
      </c>
      <c r="H260" s="33">
        <v>2</v>
      </c>
      <c r="I260" s="33" t="s">
        <v>223</v>
      </c>
      <c r="J260" s="33" t="s">
        <v>223</v>
      </c>
      <c r="K260" s="33"/>
      <c r="L260" s="34"/>
      <c r="M260" s="33"/>
    </row>
    <row r="261" spans="1:13" x14ac:dyDescent="0.25">
      <c r="A261" s="102" t="s">
        <v>688</v>
      </c>
      <c r="B261" s="32">
        <f t="shared" si="4"/>
        <v>260</v>
      </c>
      <c r="C261" s="33" t="s">
        <v>689</v>
      </c>
      <c r="D261" s="33"/>
      <c r="E261" s="33"/>
      <c r="F261" s="33"/>
      <c r="G261" s="33" t="s">
        <v>235</v>
      </c>
      <c r="H261" s="33">
        <v>2</v>
      </c>
      <c r="I261" s="33" t="s">
        <v>223</v>
      </c>
      <c r="J261" s="33" t="s">
        <v>223</v>
      </c>
      <c r="K261" s="33"/>
      <c r="L261" s="34"/>
      <c r="M261" s="33"/>
    </row>
    <row r="262" spans="1:13" x14ac:dyDescent="0.25">
      <c r="A262" s="102" t="s">
        <v>690</v>
      </c>
      <c r="B262" s="32">
        <f t="shared" si="4"/>
        <v>261</v>
      </c>
      <c r="C262" s="33" t="s">
        <v>691</v>
      </c>
      <c r="D262" s="33"/>
      <c r="E262" s="33"/>
      <c r="F262" s="33"/>
      <c r="G262" s="33" t="s">
        <v>235</v>
      </c>
      <c r="H262" s="33">
        <v>1</v>
      </c>
      <c r="I262" s="33" t="s">
        <v>223</v>
      </c>
      <c r="J262" s="33" t="s">
        <v>223</v>
      </c>
      <c r="K262" s="33"/>
      <c r="L262" s="34"/>
      <c r="M262" s="33"/>
    </row>
    <row r="263" spans="1:13" x14ac:dyDescent="0.25">
      <c r="A263" s="102" t="s">
        <v>692</v>
      </c>
      <c r="B263" s="32">
        <f t="shared" si="4"/>
        <v>262</v>
      </c>
      <c r="C263" s="33" t="s">
        <v>693</v>
      </c>
      <c r="D263" s="33"/>
      <c r="E263" s="33"/>
      <c r="F263" s="33" t="s">
        <v>694</v>
      </c>
      <c r="G263" s="33" t="s">
        <v>235</v>
      </c>
      <c r="H263" s="33">
        <v>0</v>
      </c>
      <c r="I263" s="33"/>
      <c r="J263" s="33" t="s">
        <v>32</v>
      </c>
      <c r="K263" s="33"/>
      <c r="L263" s="34"/>
      <c r="M263" s="33"/>
    </row>
    <row r="264" spans="1:13" x14ac:dyDescent="0.25">
      <c r="A264" s="102" t="s">
        <v>695</v>
      </c>
      <c r="B264" s="32">
        <f t="shared" si="4"/>
        <v>263</v>
      </c>
      <c r="C264" s="33" t="s">
        <v>696</v>
      </c>
      <c r="D264" s="33"/>
      <c r="E264" s="33"/>
      <c r="F264" s="33" t="s">
        <v>257</v>
      </c>
      <c r="G264" s="33" t="s">
        <v>448</v>
      </c>
      <c r="H264" s="33">
        <v>3</v>
      </c>
      <c r="I264" s="33" t="s">
        <v>223</v>
      </c>
      <c r="J264" s="33" t="s">
        <v>223</v>
      </c>
      <c r="K264" s="33"/>
      <c r="L264" s="34"/>
      <c r="M264" s="33"/>
    </row>
    <row r="265" spans="1:13" x14ac:dyDescent="0.25">
      <c r="A265" s="102" t="s">
        <v>697</v>
      </c>
      <c r="B265" s="32">
        <f t="shared" si="4"/>
        <v>264</v>
      </c>
      <c r="C265" s="33" t="s">
        <v>698</v>
      </c>
      <c r="D265" s="33"/>
      <c r="E265" s="33"/>
      <c r="F265" s="33"/>
      <c r="G265" s="33" t="s">
        <v>448</v>
      </c>
      <c r="H265" s="33">
        <v>1</v>
      </c>
      <c r="I265" s="33" t="s">
        <v>223</v>
      </c>
      <c r="J265" s="33" t="s">
        <v>223</v>
      </c>
      <c r="K265" s="33"/>
      <c r="L265" s="34"/>
      <c r="M265" s="33"/>
    </row>
    <row r="266" spans="1:13" ht="30" x14ac:dyDescent="0.25">
      <c r="A266" s="102" t="s">
        <v>699</v>
      </c>
      <c r="B266" s="32">
        <f t="shared" si="4"/>
        <v>265</v>
      </c>
      <c r="C266" s="33" t="s">
        <v>700</v>
      </c>
      <c r="D266" s="33"/>
      <c r="E266" s="33"/>
      <c r="F266" s="33" t="s">
        <v>220</v>
      </c>
      <c r="G266" s="33" t="s">
        <v>448</v>
      </c>
      <c r="H266" s="33">
        <v>6</v>
      </c>
      <c r="I266" s="33" t="s">
        <v>223</v>
      </c>
      <c r="J266" s="33" t="s">
        <v>223</v>
      </c>
      <c r="K266" s="33"/>
      <c r="L266" s="34"/>
      <c r="M266" s="33"/>
    </row>
    <row r="267" spans="1:13" ht="30" x14ac:dyDescent="0.25">
      <c r="A267" s="102" t="s">
        <v>701</v>
      </c>
      <c r="B267" s="32">
        <f t="shared" si="4"/>
        <v>266</v>
      </c>
      <c r="C267" s="33" t="s">
        <v>702</v>
      </c>
      <c r="D267" s="33"/>
      <c r="E267" s="33"/>
      <c r="F267" s="33" t="s">
        <v>220</v>
      </c>
      <c r="G267" s="33" t="s">
        <v>448</v>
      </c>
      <c r="H267" s="33">
        <v>10</v>
      </c>
      <c r="I267" s="33" t="s">
        <v>223</v>
      </c>
      <c r="J267" s="33" t="s">
        <v>223</v>
      </c>
      <c r="K267" s="33"/>
      <c r="L267" s="34"/>
      <c r="M267" s="33"/>
    </row>
    <row r="268" spans="1:13" x14ac:dyDescent="0.25">
      <c r="A268" s="102" t="s">
        <v>703</v>
      </c>
      <c r="B268" s="32">
        <f t="shared" si="4"/>
        <v>267</v>
      </c>
      <c r="C268" s="33" t="s">
        <v>704</v>
      </c>
      <c r="D268" s="33"/>
      <c r="E268" s="33"/>
      <c r="F268" s="33" t="s">
        <v>261</v>
      </c>
      <c r="G268" s="33" t="s">
        <v>448</v>
      </c>
      <c r="H268" s="33">
        <v>10</v>
      </c>
      <c r="I268" s="33" t="s">
        <v>223</v>
      </c>
      <c r="J268" s="33" t="s">
        <v>223</v>
      </c>
      <c r="K268" s="33"/>
      <c r="L268" s="34"/>
      <c r="M268" s="33"/>
    </row>
    <row r="269" spans="1:13" ht="30" x14ac:dyDescent="0.25">
      <c r="A269" s="102" t="s">
        <v>703</v>
      </c>
      <c r="B269" s="32">
        <f t="shared" si="4"/>
        <v>268</v>
      </c>
      <c r="C269" s="33" t="s">
        <v>705</v>
      </c>
      <c r="D269" s="33"/>
      <c r="E269" s="33"/>
      <c r="F269" s="33" t="s">
        <v>220</v>
      </c>
      <c r="G269" s="33" t="s">
        <v>448</v>
      </c>
      <c r="H269" s="33">
        <v>7</v>
      </c>
      <c r="I269" s="33" t="s">
        <v>223</v>
      </c>
      <c r="J269" s="33" t="s">
        <v>223</v>
      </c>
      <c r="K269" s="33"/>
      <c r="L269" s="34"/>
      <c r="M269" s="33"/>
    </row>
    <row r="270" spans="1:13" x14ac:dyDescent="0.25">
      <c r="A270" s="102" t="s">
        <v>706</v>
      </c>
      <c r="B270" s="32">
        <f t="shared" si="4"/>
        <v>269</v>
      </c>
      <c r="C270" s="33" t="s">
        <v>707</v>
      </c>
      <c r="D270" s="33"/>
      <c r="E270" s="33"/>
      <c r="F270" s="33" t="s">
        <v>261</v>
      </c>
      <c r="G270" s="33" t="s">
        <v>448</v>
      </c>
      <c r="H270" s="33">
        <v>7</v>
      </c>
      <c r="I270" s="33" t="s">
        <v>223</v>
      </c>
      <c r="J270" s="33" t="s">
        <v>223</v>
      </c>
      <c r="K270" s="33"/>
      <c r="L270" s="34"/>
      <c r="M270" s="33"/>
    </row>
    <row r="271" spans="1:13" x14ac:dyDescent="0.25">
      <c r="A271" s="102" t="s">
        <v>708</v>
      </c>
      <c r="B271" s="32">
        <f t="shared" si="4"/>
        <v>270</v>
      </c>
      <c r="C271" s="33" t="s">
        <v>698</v>
      </c>
      <c r="D271" s="33"/>
      <c r="E271" s="33"/>
      <c r="F271" s="33"/>
      <c r="G271" s="33" t="s">
        <v>448</v>
      </c>
      <c r="H271" s="33">
        <v>3.29</v>
      </c>
      <c r="I271" s="33" t="s">
        <v>223</v>
      </c>
      <c r="J271" s="33" t="s">
        <v>223</v>
      </c>
      <c r="K271" s="33"/>
      <c r="L271" s="34"/>
      <c r="M271" s="33"/>
    </row>
    <row r="272" spans="1:13" x14ac:dyDescent="0.25">
      <c r="A272" s="102" t="s">
        <v>708</v>
      </c>
      <c r="B272" s="32">
        <f t="shared" si="4"/>
        <v>271</v>
      </c>
      <c r="C272" s="33" t="s">
        <v>709</v>
      </c>
      <c r="D272" s="33"/>
      <c r="E272" s="33"/>
      <c r="F272" s="33" t="s">
        <v>261</v>
      </c>
      <c r="G272" s="33" t="s">
        <v>448</v>
      </c>
      <c r="H272" s="33">
        <v>0.5</v>
      </c>
      <c r="I272" s="33" t="s">
        <v>223</v>
      </c>
      <c r="J272" s="33" t="s">
        <v>223</v>
      </c>
      <c r="K272" s="33"/>
      <c r="L272" s="34"/>
      <c r="M272" s="33"/>
    </row>
    <row r="273" spans="1:13" x14ac:dyDescent="0.25">
      <c r="A273" s="102" t="s">
        <v>710</v>
      </c>
      <c r="B273" s="32">
        <f t="shared" si="4"/>
        <v>272</v>
      </c>
      <c r="C273" s="33" t="s">
        <v>711</v>
      </c>
      <c r="D273" s="33"/>
      <c r="E273" s="33"/>
      <c r="F273" s="33" t="s">
        <v>257</v>
      </c>
      <c r="G273" s="33" t="s">
        <v>448</v>
      </c>
      <c r="H273" s="33">
        <v>2.4400000000000004</v>
      </c>
      <c r="I273" s="33" t="s">
        <v>223</v>
      </c>
      <c r="J273" s="33" t="s">
        <v>223</v>
      </c>
      <c r="K273" s="33"/>
      <c r="L273" s="34"/>
      <c r="M273" s="33"/>
    </row>
    <row r="274" spans="1:13" x14ac:dyDescent="0.25">
      <c r="A274" s="102" t="s">
        <v>712</v>
      </c>
      <c r="B274" s="32">
        <f t="shared" si="4"/>
        <v>273</v>
      </c>
      <c r="C274" s="33" t="s">
        <v>713</v>
      </c>
      <c r="D274" s="33"/>
      <c r="E274" s="33"/>
      <c r="F274" s="33" t="s">
        <v>261</v>
      </c>
      <c r="G274" s="33" t="s">
        <v>448</v>
      </c>
      <c r="H274" s="33">
        <v>0.7</v>
      </c>
      <c r="I274" s="33" t="s">
        <v>223</v>
      </c>
      <c r="J274" s="33" t="s">
        <v>223</v>
      </c>
      <c r="K274" s="33"/>
      <c r="L274" s="34"/>
      <c r="M274" s="33"/>
    </row>
    <row r="275" spans="1:13" x14ac:dyDescent="0.25">
      <c r="A275" s="102" t="s">
        <v>714</v>
      </c>
      <c r="B275" s="32">
        <f t="shared" si="4"/>
        <v>274</v>
      </c>
      <c r="C275" s="33" t="s">
        <v>715</v>
      </c>
      <c r="D275" s="33"/>
      <c r="E275" s="33"/>
      <c r="F275" s="33" t="s">
        <v>269</v>
      </c>
      <c r="G275" s="33" t="s">
        <v>448</v>
      </c>
      <c r="H275" s="33">
        <v>2</v>
      </c>
      <c r="I275" s="33" t="s">
        <v>281</v>
      </c>
      <c r="J275" s="33" t="s">
        <v>223</v>
      </c>
      <c r="K275" s="33"/>
      <c r="L275" s="34"/>
      <c r="M275" s="33"/>
    </row>
    <row r="276" spans="1:13" x14ac:dyDescent="0.25">
      <c r="A276" s="102" t="s">
        <v>716</v>
      </c>
      <c r="B276" s="32">
        <f t="shared" si="4"/>
        <v>275</v>
      </c>
      <c r="C276" s="33" t="s">
        <v>717</v>
      </c>
      <c r="D276" s="33"/>
      <c r="E276" s="33"/>
      <c r="F276" s="33" t="s">
        <v>257</v>
      </c>
      <c r="G276" s="33" t="s">
        <v>448</v>
      </c>
      <c r="H276" s="33">
        <v>4.4000000000000004</v>
      </c>
      <c r="I276" s="33" t="s">
        <v>223</v>
      </c>
      <c r="J276" s="33" t="s">
        <v>223</v>
      </c>
      <c r="K276" s="33"/>
      <c r="L276" s="34"/>
      <c r="M276" s="33"/>
    </row>
    <row r="277" spans="1:13" ht="30" x14ac:dyDescent="0.25">
      <c r="A277" s="102" t="s">
        <v>716</v>
      </c>
      <c r="B277" s="32">
        <f t="shared" si="4"/>
        <v>276</v>
      </c>
      <c r="C277" s="33" t="s">
        <v>700</v>
      </c>
      <c r="D277" s="33"/>
      <c r="E277" s="33"/>
      <c r="F277" s="33" t="s">
        <v>220</v>
      </c>
      <c r="G277" s="33" t="s">
        <v>448</v>
      </c>
      <c r="H277" s="33">
        <v>10</v>
      </c>
      <c r="I277" s="33" t="s">
        <v>223</v>
      </c>
      <c r="J277" s="33" t="s">
        <v>223</v>
      </c>
      <c r="K277" s="33"/>
      <c r="L277" s="34"/>
      <c r="M277" s="33"/>
    </row>
    <row r="278" spans="1:13" ht="30" x14ac:dyDescent="0.25">
      <c r="A278" s="102" t="s">
        <v>718</v>
      </c>
      <c r="B278" s="32">
        <f t="shared" si="4"/>
        <v>277</v>
      </c>
      <c r="C278" s="33" t="s">
        <v>719</v>
      </c>
      <c r="D278" s="33"/>
      <c r="E278" s="33"/>
      <c r="F278" s="33" t="s">
        <v>220</v>
      </c>
      <c r="G278" s="33" t="s">
        <v>448</v>
      </c>
      <c r="H278" s="33">
        <v>0.82</v>
      </c>
      <c r="I278" s="33" t="s">
        <v>223</v>
      </c>
      <c r="J278" s="33" t="s">
        <v>223</v>
      </c>
      <c r="K278" s="33"/>
      <c r="L278" s="34"/>
      <c r="M278" s="33"/>
    </row>
    <row r="279" spans="1:13" x14ac:dyDescent="0.25">
      <c r="A279" s="102" t="s">
        <v>718</v>
      </c>
      <c r="B279" s="32">
        <f t="shared" si="4"/>
        <v>278</v>
      </c>
      <c r="C279" s="33" t="s">
        <v>720</v>
      </c>
      <c r="D279" s="33"/>
      <c r="E279" s="33"/>
      <c r="F279" s="33" t="s">
        <v>255</v>
      </c>
      <c r="G279" s="33" t="s">
        <v>448</v>
      </c>
      <c r="H279" s="33">
        <v>1.9530000000000001</v>
      </c>
      <c r="I279" s="33" t="s">
        <v>223</v>
      </c>
      <c r="J279" s="33" t="s">
        <v>223</v>
      </c>
      <c r="K279" s="33"/>
      <c r="L279" s="34"/>
      <c r="M279" s="33"/>
    </row>
    <row r="280" spans="1:13" x14ac:dyDescent="0.25">
      <c r="A280" s="102" t="s">
        <v>718</v>
      </c>
      <c r="B280" s="32">
        <f t="shared" si="4"/>
        <v>279</v>
      </c>
      <c r="C280" s="33" t="s">
        <v>721</v>
      </c>
      <c r="D280" s="33"/>
      <c r="E280" s="33"/>
      <c r="F280" s="33" t="s">
        <v>257</v>
      </c>
      <c r="G280" s="33" t="s">
        <v>448</v>
      </c>
      <c r="H280" s="33">
        <v>2.2000000000000002</v>
      </c>
      <c r="I280" s="33" t="s">
        <v>223</v>
      </c>
      <c r="J280" s="33" t="s">
        <v>223</v>
      </c>
      <c r="K280" s="33"/>
      <c r="L280" s="34"/>
      <c r="M280" s="33"/>
    </row>
    <row r="281" spans="1:13" x14ac:dyDescent="0.25">
      <c r="A281" s="102" t="s">
        <v>718</v>
      </c>
      <c r="B281" s="32">
        <f t="shared" si="4"/>
        <v>280</v>
      </c>
      <c r="C281" s="33" t="s">
        <v>722</v>
      </c>
      <c r="D281" s="33"/>
      <c r="E281" s="33"/>
      <c r="F281" s="33" t="s">
        <v>261</v>
      </c>
      <c r="G281" s="33" t="s">
        <v>448</v>
      </c>
      <c r="H281" s="33">
        <v>9</v>
      </c>
      <c r="I281" s="33" t="s">
        <v>223</v>
      </c>
      <c r="J281" s="33" t="s">
        <v>223</v>
      </c>
      <c r="K281" s="33"/>
      <c r="L281" s="34"/>
      <c r="M281" s="33"/>
    </row>
    <row r="282" spans="1:13" x14ac:dyDescent="0.25">
      <c r="A282" s="102" t="s">
        <v>723</v>
      </c>
      <c r="B282" s="32">
        <f t="shared" si="4"/>
        <v>281</v>
      </c>
      <c r="C282" s="33" t="s">
        <v>720</v>
      </c>
      <c r="D282" s="33"/>
      <c r="E282" s="33"/>
      <c r="F282" s="33" t="s">
        <v>255</v>
      </c>
      <c r="G282" s="33" t="s">
        <v>448</v>
      </c>
      <c r="H282" s="33">
        <v>8</v>
      </c>
      <c r="I282" s="33" t="s">
        <v>223</v>
      </c>
      <c r="J282" s="33" t="s">
        <v>223</v>
      </c>
      <c r="K282" s="33"/>
      <c r="L282" s="34"/>
      <c r="M282" s="33"/>
    </row>
    <row r="283" spans="1:13" ht="30" x14ac:dyDescent="0.25">
      <c r="A283" s="102" t="s">
        <v>724</v>
      </c>
      <c r="B283" s="32">
        <f t="shared" si="4"/>
        <v>282</v>
      </c>
      <c r="C283" s="33" t="s">
        <v>725</v>
      </c>
      <c r="D283" s="33"/>
      <c r="E283" s="33"/>
      <c r="F283" s="33" t="s">
        <v>220</v>
      </c>
      <c r="G283" s="33" t="s">
        <v>448</v>
      </c>
      <c r="H283" s="33">
        <v>3.06</v>
      </c>
      <c r="I283" s="33" t="s">
        <v>223</v>
      </c>
      <c r="J283" s="33" t="s">
        <v>223</v>
      </c>
      <c r="K283" s="33"/>
      <c r="L283" s="34"/>
      <c r="M283" s="33"/>
    </row>
    <row r="284" spans="1:13" x14ac:dyDescent="0.25">
      <c r="A284" s="102" t="s">
        <v>724</v>
      </c>
      <c r="B284" s="32">
        <f t="shared" si="4"/>
        <v>283</v>
      </c>
      <c r="C284" s="33" t="s">
        <v>726</v>
      </c>
      <c r="D284" s="33"/>
      <c r="E284" s="33"/>
      <c r="F284" s="33" t="s">
        <v>257</v>
      </c>
      <c r="G284" s="33" t="s">
        <v>448</v>
      </c>
      <c r="H284" s="33">
        <v>4.673</v>
      </c>
      <c r="I284" s="33" t="s">
        <v>223</v>
      </c>
      <c r="J284" s="33" t="s">
        <v>223</v>
      </c>
      <c r="K284" s="33"/>
      <c r="L284" s="34"/>
      <c r="M284" s="33"/>
    </row>
    <row r="285" spans="1:13" ht="30" x14ac:dyDescent="0.25">
      <c r="A285" s="102" t="s">
        <v>724</v>
      </c>
      <c r="B285" s="32">
        <f t="shared" si="4"/>
        <v>284</v>
      </c>
      <c r="C285" s="33" t="s">
        <v>725</v>
      </c>
      <c r="D285" s="33"/>
      <c r="E285" s="33"/>
      <c r="F285" s="33" t="s">
        <v>220</v>
      </c>
      <c r="G285" s="33" t="s">
        <v>448</v>
      </c>
      <c r="H285" s="33">
        <v>10</v>
      </c>
      <c r="I285" s="33" t="s">
        <v>223</v>
      </c>
      <c r="J285" s="33" t="s">
        <v>223</v>
      </c>
      <c r="K285" s="33"/>
      <c r="L285" s="34"/>
      <c r="M285" s="33"/>
    </row>
    <row r="286" spans="1:13" ht="30" x14ac:dyDescent="0.25">
      <c r="A286" s="102" t="s">
        <v>724</v>
      </c>
      <c r="B286" s="32">
        <f t="shared" si="4"/>
        <v>285</v>
      </c>
      <c r="C286" s="33" t="s">
        <v>725</v>
      </c>
      <c r="D286" s="33"/>
      <c r="E286" s="33"/>
      <c r="F286" s="33" t="s">
        <v>220</v>
      </c>
      <c r="G286" s="33" t="s">
        <v>448</v>
      </c>
      <c r="H286" s="33">
        <v>7</v>
      </c>
      <c r="I286" s="33" t="s">
        <v>223</v>
      </c>
      <c r="J286" s="33" t="s">
        <v>223</v>
      </c>
      <c r="K286" s="33"/>
      <c r="L286" s="34"/>
      <c r="M286" s="33"/>
    </row>
    <row r="287" spans="1:13" x14ac:dyDescent="0.25">
      <c r="A287" s="102" t="s">
        <v>724</v>
      </c>
      <c r="B287" s="32">
        <f t="shared" si="4"/>
        <v>286</v>
      </c>
      <c r="C287" s="33" t="s">
        <v>726</v>
      </c>
      <c r="D287" s="33"/>
      <c r="E287" s="33"/>
      <c r="F287" s="33" t="s">
        <v>257</v>
      </c>
      <c r="G287" s="33" t="s">
        <v>448</v>
      </c>
      <c r="H287" s="33">
        <v>7</v>
      </c>
      <c r="I287" s="33" t="s">
        <v>223</v>
      </c>
      <c r="J287" s="33" t="s">
        <v>223</v>
      </c>
      <c r="K287" s="33"/>
      <c r="L287" s="34"/>
      <c r="M287" s="33"/>
    </row>
    <row r="288" spans="1:13" x14ac:dyDescent="0.25">
      <c r="A288" s="102" t="s">
        <v>724</v>
      </c>
      <c r="B288" s="32">
        <f t="shared" si="4"/>
        <v>287</v>
      </c>
      <c r="C288" s="33" t="s">
        <v>727</v>
      </c>
      <c r="D288" s="33"/>
      <c r="E288" s="33"/>
      <c r="F288" s="33" t="s">
        <v>261</v>
      </c>
      <c r="G288" s="33" t="s">
        <v>448</v>
      </c>
      <c r="H288" s="33">
        <v>10</v>
      </c>
      <c r="I288" s="33" t="s">
        <v>223</v>
      </c>
      <c r="J288" s="33" t="s">
        <v>223</v>
      </c>
      <c r="K288" s="33"/>
      <c r="L288" s="34"/>
      <c r="M288" s="33"/>
    </row>
    <row r="289" spans="1:13" ht="30" x14ac:dyDescent="0.25">
      <c r="A289" s="102" t="s">
        <v>728</v>
      </c>
      <c r="B289" s="32">
        <f t="shared" si="4"/>
        <v>288</v>
      </c>
      <c r="C289" s="33" t="s">
        <v>729</v>
      </c>
      <c r="D289" s="33"/>
      <c r="E289" s="33"/>
      <c r="F289" s="33" t="s">
        <v>220</v>
      </c>
      <c r="G289" s="33" t="s">
        <v>448</v>
      </c>
      <c r="H289" s="33">
        <v>10</v>
      </c>
      <c r="I289" s="33" t="s">
        <v>223</v>
      </c>
      <c r="J289" s="33" t="s">
        <v>223</v>
      </c>
      <c r="K289" s="33"/>
      <c r="L289" s="34"/>
      <c r="M289" s="33"/>
    </row>
    <row r="290" spans="1:13" x14ac:dyDescent="0.25">
      <c r="A290" s="102" t="s">
        <v>728</v>
      </c>
      <c r="B290" s="32">
        <f t="shared" si="4"/>
        <v>289</v>
      </c>
      <c r="C290" s="33" t="s">
        <v>720</v>
      </c>
      <c r="D290" s="33"/>
      <c r="E290" s="33"/>
      <c r="F290" s="33" t="s">
        <v>255</v>
      </c>
      <c r="G290" s="33" t="s">
        <v>448</v>
      </c>
      <c r="H290" s="33">
        <v>10000</v>
      </c>
      <c r="I290" s="33" t="s">
        <v>223</v>
      </c>
      <c r="J290" s="33" t="s">
        <v>223</v>
      </c>
      <c r="K290" s="33"/>
      <c r="L290" s="34"/>
      <c r="M290" s="33"/>
    </row>
    <row r="291" spans="1:13" x14ac:dyDescent="0.25">
      <c r="A291" s="102" t="s">
        <v>728</v>
      </c>
      <c r="B291" s="32">
        <f t="shared" si="4"/>
        <v>290</v>
      </c>
      <c r="C291" s="33" t="s">
        <v>730</v>
      </c>
      <c r="D291" s="33"/>
      <c r="E291" s="33"/>
      <c r="F291" s="33" t="s">
        <v>257</v>
      </c>
      <c r="G291" s="33" t="s">
        <v>448</v>
      </c>
      <c r="H291" s="33">
        <v>10</v>
      </c>
      <c r="I291" s="33" t="s">
        <v>223</v>
      </c>
      <c r="J291" s="33" t="s">
        <v>223</v>
      </c>
      <c r="K291" s="33"/>
      <c r="L291" s="34"/>
      <c r="M291" s="33"/>
    </row>
    <row r="292" spans="1:13" x14ac:dyDescent="0.25">
      <c r="A292" s="102" t="s">
        <v>728</v>
      </c>
      <c r="B292" s="32">
        <f t="shared" si="4"/>
        <v>291</v>
      </c>
      <c r="C292" s="33" t="s">
        <v>730</v>
      </c>
      <c r="D292" s="33"/>
      <c r="E292" s="33"/>
      <c r="F292" s="33" t="s">
        <v>257</v>
      </c>
      <c r="G292" s="33" t="s">
        <v>448</v>
      </c>
      <c r="H292" s="33">
        <v>1.6</v>
      </c>
      <c r="I292" s="33" t="s">
        <v>223</v>
      </c>
      <c r="J292" s="33" t="s">
        <v>223</v>
      </c>
      <c r="K292" s="33"/>
      <c r="L292" s="34"/>
      <c r="M292" s="33"/>
    </row>
    <row r="293" spans="1:13" x14ac:dyDescent="0.25">
      <c r="A293" s="102" t="s">
        <v>731</v>
      </c>
      <c r="B293" s="32">
        <f t="shared" si="4"/>
        <v>292</v>
      </c>
      <c r="C293" s="33" t="s">
        <v>732</v>
      </c>
      <c r="D293" s="33"/>
      <c r="E293" s="33"/>
      <c r="F293" s="33" t="s">
        <v>257</v>
      </c>
      <c r="G293" s="33" t="s">
        <v>448</v>
      </c>
      <c r="H293" s="33">
        <v>4.8579999999999997</v>
      </c>
      <c r="I293" s="33" t="s">
        <v>223</v>
      </c>
      <c r="J293" s="33" t="s">
        <v>223</v>
      </c>
      <c r="K293" s="33"/>
      <c r="L293" s="34"/>
      <c r="M293" s="33"/>
    </row>
    <row r="294" spans="1:13" x14ac:dyDescent="0.25">
      <c r="A294" s="102" t="s">
        <v>733</v>
      </c>
      <c r="B294" s="32">
        <f t="shared" si="4"/>
        <v>293</v>
      </c>
      <c r="C294" s="33" t="s">
        <v>720</v>
      </c>
      <c r="D294" s="33"/>
      <c r="E294" s="33"/>
      <c r="F294" s="33" t="s">
        <v>255</v>
      </c>
      <c r="G294" s="33" t="s">
        <v>448</v>
      </c>
      <c r="H294" s="33">
        <v>10</v>
      </c>
      <c r="I294" s="33" t="s">
        <v>223</v>
      </c>
      <c r="J294" s="33" t="s">
        <v>223</v>
      </c>
      <c r="K294" s="33"/>
      <c r="L294" s="34"/>
      <c r="M294" s="33"/>
    </row>
    <row r="295" spans="1:13" ht="30" x14ac:dyDescent="0.25">
      <c r="A295" s="102" t="s">
        <v>734</v>
      </c>
      <c r="B295" s="32">
        <f t="shared" si="4"/>
        <v>294</v>
      </c>
      <c r="C295" s="33" t="s">
        <v>729</v>
      </c>
      <c r="D295" s="33"/>
      <c r="E295" s="33"/>
      <c r="F295" s="33" t="s">
        <v>220</v>
      </c>
      <c r="G295" s="33" t="s">
        <v>448</v>
      </c>
      <c r="H295" s="33">
        <v>6.7</v>
      </c>
      <c r="I295" s="33" t="s">
        <v>223</v>
      </c>
      <c r="J295" s="33" t="s">
        <v>223</v>
      </c>
      <c r="K295" s="33"/>
      <c r="L295" s="34"/>
      <c r="M295" s="33"/>
    </row>
    <row r="296" spans="1:13" x14ac:dyDescent="0.25">
      <c r="A296" s="102" t="s">
        <v>735</v>
      </c>
      <c r="B296" s="32">
        <f t="shared" si="4"/>
        <v>295</v>
      </c>
      <c r="C296" s="33" t="s">
        <v>732</v>
      </c>
      <c r="D296" s="33"/>
      <c r="E296" s="33"/>
      <c r="F296" s="33" t="s">
        <v>257</v>
      </c>
      <c r="G296" s="33" t="s">
        <v>448</v>
      </c>
      <c r="H296" s="33">
        <v>3</v>
      </c>
      <c r="I296" s="33" t="s">
        <v>223</v>
      </c>
      <c r="J296" s="33" t="s">
        <v>223</v>
      </c>
      <c r="K296" s="33"/>
      <c r="L296" s="34"/>
      <c r="M296" s="33"/>
    </row>
    <row r="297" spans="1:13" x14ac:dyDescent="0.25">
      <c r="A297" s="102" t="s">
        <v>736</v>
      </c>
      <c r="B297" s="32">
        <f t="shared" si="4"/>
        <v>296</v>
      </c>
      <c r="C297" s="33" t="s">
        <v>737</v>
      </c>
      <c r="D297" s="33"/>
      <c r="E297" s="33"/>
      <c r="F297" s="33"/>
      <c r="G297" s="33" t="s">
        <v>448</v>
      </c>
      <c r="H297" s="33">
        <v>4</v>
      </c>
      <c r="I297" s="33" t="s">
        <v>223</v>
      </c>
      <c r="J297" s="33" t="s">
        <v>223</v>
      </c>
      <c r="K297" s="33"/>
      <c r="L297" s="34"/>
      <c r="M297" s="33"/>
    </row>
    <row r="298" spans="1:13" x14ac:dyDescent="0.25">
      <c r="A298" s="102" t="s">
        <v>738</v>
      </c>
      <c r="B298" s="32">
        <f t="shared" si="4"/>
        <v>297</v>
      </c>
      <c r="C298" s="33" t="s">
        <v>739</v>
      </c>
      <c r="D298" s="33"/>
      <c r="E298" s="33"/>
      <c r="F298" s="33" t="s">
        <v>261</v>
      </c>
      <c r="G298" s="33" t="s">
        <v>243</v>
      </c>
      <c r="H298" s="33">
        <v>0</v>
      </c>
      <c r="I298" s="33" t="s">
        <v>223</v>
      </c>
      <c r="J298" s="33" t="s">
        <v>223</v>
      </c>
      <c r="K298" s="33"/>
      <c r="L298" s="34"/>
      <c r="M298" s="33"/>
    </row>
    <row r="299" spans="1:13" x14ac:dyDescent="0.25">
      <c r="A299" s="102" t="s">
        <v>740</v>
      </c>
      <c r="B299" s="32">
        <f t="shared" si="4"/>
        <v>298</v>
      </c>
      <c r="C299" s="33" t="s">
        <v>741</v>
      </c>
      <c r="D299" s="33"/>
      <c r="E299" s="33"/>
      <c r="F299" s="33"/>
      <c r="G299" s="33" t="s">
        <v>221</v>
      </c>
      <c r="H299" s="33">
        <v>0</v>
      </c>
      <c r="I299" s="33"/>
      <c r="J299" s="33" t="s">
        <v>629</v>
      </c>
      <c r="K299" s="33">
        <v>570</v>
      </c>
      <c r="L299" s="34"/>
      <c r="M299" s="33"/>
    </row>
    <row r="300" spans="1:13" x14ac:dyDescent="0.25">
      <c r="A300" s="102" t="s">
        <v>742</v>
      </c>
      <c r="B300" s="32">
        <f t="shared" si="4"/>
        <v>299</v>
      </c>
      <c r="C300" s="33" t="s">
        <v>743</v>
      </c>
      <c r="D300" s="33"/>
      <c r="E300" s="33"/>
      <c r="F300" s="33"/>
      <c r="G300" s="33" t="s">
        <v>221</v>
      </c>
      <c r="H300" s="33">
        <v>2</v>
      </c>
      <c r="I300" s="33"/>
      <c r="J300" s="33" t="s">
        <v>629</v>
      </c>
      <c r="K300" s="33">
        <v>20.69</v>
      </c>
      <c r="L300" s="34"/>
      <c r="M300" s="33"/>
    </row>
    <row r="301" spans="1:13" x14ac:dyDescent="0.25">
      <c r="A301" s="102" t="s">
        <v>744</v>
      </c>
      <c r="B301" s="32">
        <f t="shared" si="4"/>
        <v>300</v>
      </c>
      <c r="C301" s="33" t="s">
        <v>745</v>
      </c>
      <c r="D301" s="33"/>
      <c r="E301" s="33"/>
      <c r="F301" s="33"/>
      <c r="G301" s="33" t="s">
        <v>221</v>
      </c>
      <c r="H301" s="33">
        <v>0</v>
      </c>
      <c r="I301" s="33"/>
      <c r="J301" s="33" t="s">
        <v>629</v>
      </c>
      <c r="K301" s="33">
        <v>37.07</v>
      </c>
      <c r="L301" s="34"/>
      <c r="M301" s="33"/>
    </row>
    <row r="302" spans="1:13" x14ac:dyDescent="0.25">
      <c r="A302" s="102" t="s">
        <v>746</v>
      </c>
      <c r="B302" s="32">
        <f t="shared" si="4"/>
        <v>301</v>
      </c>
      <c r="C302" s="33" t="s">
        <v>747</v>
      </c>
      <c r="D302" s="33"/>
      <c r="E302" s="33"/>
      <c r="F302" s="33"/>
      <c r="G302" s="33" t="s">
        <v>570</v>
      </c>
      <c r="H302" s="33">
        <v>0</v>
      </c>
      <c r="I302" s="33"/>
      <c r="J302" s="33" t="s">
        <v>629</v>
      </c>
      <c r="K302" s="33">
        <v>37.07</v>
      </c>
      <c r="L302" s="34"/>
      <c r="M302" s="33"/>
    </row>
    <row r="303" spans="1:13" x14ac:dyDescent="0.25">
      <c r="A303" s="102" t="s">
        <v>748</v>
      </c>
      <c r="B303" s="32">
        <f t="shared" si="4"/>
        <v>302</v>
      </c>
      <c r="C303" s="33" t="s">
        <v>749</v>
      </c>
      <c r="D303" s="33"/>
      <c r="E303" s="33"/>
      <c r="F303" s="33"/>
      <c r="G303" s="33" t="s">
        <v>221</v>
      </c>
      <c r="H303" s="33">
        <v>0</v>
      </c>
      <c r="I303" s="33"/>
      <c r="J303" s="33" t="s">
        <v>629</v>
      </c>
      <c r="K303" s="33">
        <v>12.93</v>
      </c>
      <c r="L303" s="34"/>
      <c r="M303" s="33"/>
    </row>
    <row r="304" spans="1:13" x14ac:dyDescent="0.25">
      <c r="A304" s="102" t="s">
        <v>329</v>
      </c>
      <c r="B304" s="32">
        <f t="shared" si="4"/>
        <v>303</v>
      </c>
      <c r="C304" s="33" t="s">
        <v>750</v>
      </c>
      <c r="D304" s="33"/>
      <c r="E304" s="33"/>
      <c r="F304" s="33" t="s">
        <v>230</v>
      </c>
      <c r="G304" s="33" t="s">
        <v>240</v>
      </c>
      <c r="H304" s="33">
        <v>0</v>
      </c>
      <c r="I304" s="33"/>
      <c r="J304" s="33" t="s">
        <v>223</v>
      </c>
      <c r="K304" s="33"/>
      <c r="L304" s="34"/>
      <c r="M304" s="33"/>
    </row>
    <row r="305" spans="1:13" x14ac:dyDescent="0.25">
      <c r="A305" s="102" t="s">
        <v>751</v>
      </c>
      <c r="B305" s="32">
        <f t="shared" si="4"/>
        <v>304</v>
      </c>
      <c r="C305" s="33" t="s">
        <v>752</v>
      </c>
      <c r="D305" s="33"/>
      <c r="E305" s="33"/>
      <c r="F305" s="33" t="s">
        <v>230</v>
      </c>
      <c r="G305" s="33" t="s">
        <v>221</v>
      </c>
      <c r="H305" s="33">
        <v>0</v>
      </c>
      <c r="I305" s="33"/>
      <c r="J305" s="33" t="s">
        <v>223</v>
      </c>
      <c r="K305" s="33"/>
      <c r="L305" s="34"/>
      <c r="M305" s="33"/>
    </row>
    <row r="306" spans="1:13" x14ac:dyDescent="0.25">
      <c r="A306" s="102" t="s">
        <v>753</v>
      </c>
      <c r="B306" s="32">
        <f t="shared" si="4"/>
        <v>305</v>
      </c>
      <c r="C306" s="33" t="s">
        <v>754</v>
      </c>
      <c r="D306" s="33"/>
      <c r="E306" s="33"/>
      <c r="F306" s="33" t="s">
        <v>230</v>
      </c>
      <c r="G306" s="33" t="s">
        <v>221</v>
      </c>
      <c r="H306" s="33">
        <v>0</v>
      </c>
      <c r="I306" s="33"/>
      <c r="J306" s="33" t="s">
        <v>223</v>
      </c>
      <c r="K306" s="33"/>
      <c r="L306" s="34"/>
      <c r="M306" s="33"/>
    </row>
    <row r="307" spans="1:13" x14ac:dyDescent="0.25">
      <c r="A307" s="102" t="s">
        <v>755</v>
      </c>
      <c r="B307" s="32">
        <f t="shared" si="4"/>
        <v>306</v>
      </c>
      <c r="C307" s="33" t="s">
        <v>756</v>
      </c>
      <c r="D307" s="33"/>
      <c r="E307" s="33"/>
      <c r="F307" s="33" t="s">
        <v>230</v>
      </c>
      <c r="G307" s="33" t="s">
        <v>221</v>
      </c>
      <c r="H307" s="33">
        <v>3</v>
      </c>
      <c r="I307" s="33"/>
      <c r="J307" s="33" t="s">
        <v>223</v>
      </c>
      <c r="K307" s="33"/>
      <c r="L307" s="34"/>
      <c r="M307" s="33"/>
    </row>
    <row r="308" spans="1:13" x14ac:dyDescent="0.25">
      <c r="A308" s="102" t="s">
        <v>328</v>
      </c>
      <c r="B308" s="32">
        <f t="shared" si="4"/>
        <v>307</v>
      </c>
      <c r="C308" s="33" t="s">
        <v>757</v>
      </c>
      <c r="D308" s="33"/>
      <c r="E308" s="33"/>
      <c r="F308" s="33" t="s">
        <v>230</v>
      </c>
      <c r="G308" s="33" t="s">
        <v>221</v>
      </c>
      <c r="H308" s="33">
        <v>0</v>
      </c>
      <c r="I308" s="33"/>
      <c r="J308" s="33" t="s">
        <v>32</v>
      </c>
      <c r="K308" s="33"/>
      <c r="L308" s="34"/>
      <c r="M308" s="33"/>
    </row>
    <row r="309" spans="1:13" x14ac:dyDescent="0.25">
      <c r="A309" s="102" t="s">
        <v>758</v>
      </c>
      <c r="B309" s="32">
        <f t="shared" si="4"/>
        <v>308</v>
      </c>
      <c r="C309" s="33" t="s">
        <v>759</v>
      </c>
      <c r="D309" s="33"/>
      <c r="E309" s="33"/>
      <c r="F309" s="33" t="s">
        <v>230</v>
      </c>
      <c r="G309" s="33" t="s">
        <v>221</v>
      </c>
      <c r="H309" s="33">
        <v>0</v>
      </c>
      <c r="I309" s="33"/>
      <c r="J309" s="33" t="s">
        <v>32</v>
      </c>
      <c r="K309" s="33"/>
      <c r="L309" s="34"/>
      <c r="M309" s="33"/>
    </row>
    <row r="310" spans="1:13" x14ac:dyDescent="0.25">
      <c r="A310" s="102" t="s">
        <v>760</v>
      </c>
      <c r="B310" s="32">
        <f t="shared" si="4"/>
        <v>309</v>
      </c>
      <c r="C310" s="33" t="s">
        <v>761</v>
      </c>
      <c r="D310" s="33"/>
      <c r="E310" s="33"/>
      <c r="F310" s="33" t="s">
        <v>230</v>
      </c>
      <c r="G310" s="33" t="s">
        <v>221</v>
      </c>
      <c r="H310" s="33">
        <v>0</v>
      </c>
      <c r="I310" s="33"/>
      <c r="J310" s="33" t="s">
        <v>223</v>
      </c>
      <c r="K310" s="33"/>
      <c r="L310" s="34"/>
      <c r="M310" s="33"/>
    </row>
    <row r="311" spans="1:13" ht="30" x14ac:dyDescent="0.25">
      <c r="A311" s="102" t="s">
        <v>762</v>
      </c>
      <c r="B311" s="32">
        <f t="shared" si="4"/>
        <v>310</v>
      </c>
      <c r="C311" s="33" t="s">
        <v>763</v>
      </c>
      <c r="D311" s="33"/>
      <c r="E311" s="33"/>
      <c r="F311" s="33"/>
      <c r="G311" s="33" t="s">
        <v>221</v>
      </c>
      <c r="H311" s="33">
        <v>1</v>
      </c>
      <c r="I311" s="33"/>
      <c r="J311" s="33" t="s">
        <v>223</v>
      </c>
      <c r="K311" s="33"/>
      <c r="L311" s="34"/>
      <c r="M311" s="33"/>
    </row>
    <row r="312" spans="1:13" x14ac:dyDescent="0.25">
      <c r="A312" s="102" t="s">
        <v>764</v>
      </c>
      <c r="B312" s="32">
        <f t="shared" si="4"/>
        <v>311</v>
      </c>
      <c r="C312" s="33" t="s">
        <v>765</v>
      </c>
      <c r="D312" s="33"/>
      <c r="E312" s="33"/>
      <c r="F312" s="33" t="s">
        <v>226</v>
      </c>
      <c r="G312" s="33" t="s">
        <v>221</v>
      </c>
      <c r="H312" s="33">
        <v>0</v>
      </c>
      <c r="I312" s="33"/>
      <c r="J312" s="33" t="s">
        <v>629</v>
      </c>
      <c r="K312" s="33"/>
      <c r="L312" s="34"/>
      <c r="M312" s="33"/>
    </row>
    <row r="313" spans="1:13" x14ac:dyDescent="0.25">
      <c r="A313" s="102" t="s">
        <v>766</v>
      </c>
      <c r="B313" s="32">
        <f t="shared" si="4"/>
        <v>312</v>
      </c>
      <c r="C313" s="33" t="s">
        <v>767</v>
      </c>
      <c r="D313" s="33"/>
      <c r="E313" s="33" t="s">
        <v>768</v>
      </c>
      <c r="F313" s="33" t="s">
        <v>234</v>
      </c>
      <c r="G313" s="33" t="s">
        <v>221</v>
      </c>
      <c r="H313" s="33">
        <v>6</v>
      </c>
      <c r="I313" s="33"/>
      <c r="J313" s="33" t="s">
        <v>223</v>
      </c>
      <c r="K313" s="33"/>
      <c r="L313" s="34"/>
      <c r="M313" s="33"/>
    </row>
    <row r="314" spans="1:13" ht="30" x14ac:dyDescent="0.25">
      <c r="A314" s="102" t="s">
        <v>769</v>
      </c>
      <c r="B314" s="32">
        <f t="shared" si="4"/>
        <v>313</v>
      </c>
      <c r="C314" s="33" t="s">
        <v>770</v>
      </c>
      <c r="D314" s="33"/>
      <c r="E314" s="33" t="s">
        <v>768</v>
      </c>
      <c r="F314" s="33" t="s">
        <v>771</v>
      </c>
      <c r="G314" s="33" t="s">
        <v>221</v>
      </c>
      <c r="H314" s="33">
        <v>4</v>
      </c>
      <c r="I314" s="33"/>
      <c r="J314" s="33" t="s">
        <v>223</v>
      </c>
      <c r="K314" s="33"/>
      <c r="L314" s="34"/>
      <c r="M314" s="33"/>
    </row>
    <row r="315" spans="1:13" x14ac:dyDescent="0.25">
      <c r="A315" s="102" t="s">
        <v>772</v>
      </c>
      <c r="B315" s="32">
        <f t="shared" si="4"/>
        <v>314</v>
      </c>
      <c r="C315" s="33" t="s">
        <v>773</v>
      </c>
      <c r="D315" s="33"/>
      <c r="E315" s="33"/>
      <c r="F315" s="33" t="s">
        <v>257</v>
      </c>
      <c r="G315" s="33" t="s">
        <v>221</v>
      </c>
      <c r="H315" s="33">
        <v>3</v>
      </c>
      <c r="I315" s="33"/>
      <c r="J315" s="33" t="s">
        <v>223</v>
      </c>
      <c r="K315" s="33"/>
      <c r="L315" s="34"/>
      <c r="M315" s="33"/>
    </row>
    <row r="316" spans="1:13" ht="30" x14ac:dyDescent="0.25">
      <c r="A316" s="102" t="s">
        <v>774</v>
      </c>
      <c r="B316" s="32">
        <f t="shared" si="4"/>
        <v>315</v>
      </c>
      <c r="C316" s="33" t="s">
        <v>775</v>
      </c>
      <c r="D316" s="33"/>
      <c r="E316" s="33"/>
      <c r="F316" s="33"/>
      <c r="G316" s="33" t="s">
        <v>240</v>
      </c>
      <c r="H316" s="33">
        <v>0</v>
      </c>
      <c r="I316" s="33"/>
      <c r="J316" s="33" t="s">
        <v>223</v>
      </c>
      <c r="K316" s="33"/>
      <c r="L316" s="34"/>
      <c r="M316" s="33"/>
    </row>
    <row r="317" spans="1:13" ht="30" x14ac:dyDescent="0.25">
      <c r="A317" s="102" t="s">
        <v>776</v>
      </c>
      <c r="B317" s="32">
        <f t="shared" si="4"/>
        <v>316</v>
      </c>
      <c r="C317" s="33" t="s">
        <v>777</v>
      </c>
      <c r="D317" s="33"/>
      <c r="E317" s="33"/>
      <c r="F317" s="33"/>
      <c r="G317" s="33" t="s">
        <v>221</v>
      </c>
      <c r="H317" s="33">
        <v>0</v>
      </c>
      <c r="I317" s="33"/>
      <c r="J317" s="33" t="s">
        <v>223</v>
      </c>
      <c r="K317" s="33"/>
      <c r="L317" s="34"/>
      <c r="M317" s="33"/>
    </row>
    <row r="318" spans="1:13" x14ac:dyDescent="0.25">
      <c r="A318" s="15" t="s">
        <v>1061</v>
      </c>
      <c r="B318" s="32">
        <f t="shared" ref="B318:B324" si="5">ROW(B317)</f>
        <v>317</v>
      </c>
      <c r="C318" s="33" t="s">
        <v>1062</v>
      </c>
      <c r="D318" s="33"/>
      <c r="E318" s="33"/>
      <c r="F318" s="33"/>
      <c r="G318" s="33" t="s">
        <v>221</v>
      </c>
      <c r="H318" s="33">
        <v>5</v>
      </c>
      <c r="I318" s="33"/>
      <c r="J318" s="33" t="s">
        <v>223</v>
      </c>
      <c r="K318" s="33"/>
      <c r="L318" s="34"/>
      <c r="M318" s="33"/>
    </row>
    <row r="319" spans="1:13" ht="30" x14ac:dyDescent="0.25">
      <c r="A319" s="15" t="s">
        <v>1064</v>
      </c>
      <c r="B319" s="32">
        <f t="shared" si="5"/>
        <v>318</v>
      </c>
      <c r="C319" s="33" t="s">
        <v>1065</v>
      </c>
      <c r="D319" s="33"/>
      <c r="E319" s="33"/>
      <c r="F319" s="33" t="s">
        <v>257</v>
      </c>
      <c r="G319" s="33" t="s">
        <v>448</v>
      </c>
      <c r="H319" s="33">
        <v>1</v>
      </c>
      <c r="I319" s="33"/>
      <c r="J319" s="33" t="s">
        <v>223</v>
      </c>
      <c r="K319" s="33"/>
      <c r="L319" s="34"/>
      <c r="M319" s="33"/>
    </row>
    <row r="320" spans="1:13" x14ac:dyDescent="0.25">
      <c r="A320" s="15" t="s">
        <v>1066</v>
      </c>
      <c r="B320" s="32">
        <f t="shared" si="5"/>
        <v>319</v>
      </c>
      <c r="C320" s="33" t="s">
        <v>1067</v>
      </c>
      <c r="D320" s="33"/>
      <c r="E320" s="33"/>
      <c r="F320" s="33"/>
      <c r="G320" s="33" t="s">
        <v>221</v>
      </c>
      <c r="H320" s="33">
        <v>16</v>
      </c>
      <c r="I320" s="33"/>
      <c r="J320" s="33" t="s">
        <v>32</v>
      </c>
      <c r="K320" s="33"/>
      <c r="L320" s="34"/>
      <c r="M320" s="33"/>
    </row>
    <row r="321" spans="1:13" x14ac:dyDescent="0.25">
      <c r="A321" s="15" t="s">
        <v>1068</v>
      </c>
      <c r="B321" s="32">
        <f t="shared" si="5"/>
        <v>320</v>
      </c>
      <c r="C321" s="33" t="s">
        <v>1069</v>
      </c>
      <c r="D321" s="33"/>
      <c r="E321" s="33"/>
      <c r="F321" s="33" t="s">
        <v>257</v>
      </c>
      <c r="G321" s="33" t="s">
        <v>221</v>
      </c>
      <c r="H321" s="33">
        <v>1</v>
      </c>
      <c r="I321" s="33"/>
      <c r="J321" s="33" t="s">
        <v>32</v>
      </c>
      <c r="K321" s="33"/>
      <c r="L321" s="34"/>
      <c r="M321" s="33"/>
    </row>
    <row r="322" spans="1:13" x14ac:dyDescent="0.25">
      <c r="A322" s="15" t="s">
        <v>1070</v>
      </c>
      <c r="B322" s="32">
        <f t="shared" si="5"/>
        <v>321</v>
      </c>
      <c r="C322" s="33" t="s">
        <v>1071</v>
      </c>
      <c r="D322" s="33"/>
      <c r="E322" s="33"/>
      <c r="F322" s="33"/>
      <c r="G322" s="33" t="s">
        <v>221</v>
      </c>
      <c r="H322" s="33">
        <v>8</v>
      </c>
      <c r="I322" s="33"/>
      <c r="J322" s="33" t="s">
        <v>223</v>
      </c>
      <c r="K322" s="33"/>
      <c r="L322" s="34"/>
      <c r="M322" s="33"/>
    </row>
    <row r="323" spans="1:13" x14ac:dyDescent="0.25">
      <c r="A323" s="15" t="s">
        <v>1072</v>
      </c>
      <c r="B323" s="32">
        <f t="shared" si="5"/>
        <v>322</v>
      </c>
      <c r="C323" s="33" t="s">
        <v>1073</v>
      </c>
      <c r="D323" s="33"/>
      <c r="E323" s="33"/>
      <c r="F323" s="33"/>
      <c r="G323" s="33" t="s">
        <v>221</v>
      </c>
      <c r="H323" s="33">
        <v>2</v>
      </c>
      <c r="I323" s="33"/>
      <c r="J323" s="33" t="s">
        <v>223</v>
      </c>
      <c r="K323" s="33"/>
      <c r="L323" s="34"/>
      <c r="M323" s="33"/>
    </row>
    <row r="324" spans="1:13" x14ac:dyDescent="0.25">
      <c r="A324" s="15" t="s">
        <v>1074</v>
      </c>
      <c r="B324" s="32">
        <f t="shared" si="5"/>
        <v>323</v>
      </c>
      <c r="C324" s="33" t="s">
        <v>1075</v>
      </c>
      <c r="D324" s="33"/>
      <c r="E324" s="33"/>
      <c r="F324" s="33" t="s">
        <v>257</v>
      </c>
      <c r="G324" s="33" t="s">
        <v>448</v>
      </c>
      <c r="H324" s="33">
        <v>1</v>
      </c>
      <c r="I324" s="33"/>
      <c r="J324" s="33" t="s">
        <v>223</v>
      </c>
      <c r="K324" s="33"/>
      <c r="L324" s="34"/>
      <c r="M324" s="33"/>
    </row>
    <row r="325" spans="1:13" ht="30" x14ac:dyDescent="0.25">
      <c r="A325" s="15" t="s">
        <v>1076</v>
      </c>
      <c r="B325" s="32">
        <f t="shared" ref="B325:B344" si="6">ROW(B324)</f>
        <v>324</v>
      </c>
      <c r="C325" s="33" t="s">
        <v>1077</v>
      </c>
      <c r="D325" s="33"/>
      <c r="E325" s="33"/>
      <c r="F325" s="33"/>
      <c r="G325" s="33" t="s">
        <v>221</v>
      </c>
      <c r="H325" s="33">
        <v>0</v>
      </c>
      <c r="I325" s="33"/>
      <c r="J325" s="33" t="s">
        <v>223</v>
      </c>
      <c r="K325" s="33"/>
      <c r="L325" s="34"/>
      <c r="M325" s="33"/>
    </row>
    <row r="326" spans="1:13" x14ac:dyDescent="0.25">
      <c r="A326" s="15" t="s">
        <v>1079</v>
      </c>
      <c r="B326" s="32">
        <f t="shared" si="6"/>
        <v>325</v>
      </c>
      <c r="C326" s="33" t="s">
        <v>1080</v>
      </c>
      <c r="D326" s="33"/>
      <c r="E326" s="33"/>
      <c r="F326" s="33"/>
      <c r="G326" s="33" t="s">
        <v>221</v>
      </c>
      <c r="H326" s="33">
        <v>0</v>
      </c>
      <c r="I326" s="33"/>
      <c r="J326" s="33" t="s">
        <v>223</v>
      </c>
      <c r="K326" s="33"/>
      <c r="L326" s="34"/>
      <c r="M326" s="33"/>
    </row>
    <row r="327" spans="1:13" x14ac:dyDescent="0.25">
      <c r="A327" s="15" t="s">
        <v>227</v>
      </c>
      <c r="B327" s="32">
        <f t="shared" si="6"/>
        <v>326</v>
      </c>
      <c r="C327" s="33" t="s">
        <v>1085</v>
      </c>
      <c r="D327" s="33"/>
      <c r="E327" s="33"/>
      <c r="F327" s="33" t="s">
        <v>230</v>
      </c>
      <c r="G327" s="33" t="s">
        <v>221</v>
      </c>
      <c r="H327" s="33">
        <v>0</v>
      </c>
      <c r="I327" s="33"/>
      <c r="J327" s="33" t="s">
        <v>223</v>
      </c>
      <c r="K327" s="33"/>
      <c r="L327" s="34"/>
      <c r="M327" s="33"/>
    </row>
    <row r="328" spans="1:13" x14ac:dyDescent="0.25">
      <c r="A328" s="15" t="s">
        <v>1086</v>
      </c>
      <c r="B328" s="32">
        <f t="shared" si="6"/>
        <v>327</v>
      </c>
      <c r="C328" s="33" t="s">
        <v>1087</v>
      </c>
      <c r="D328" s="33"/>
      <c r="E328" s="33"/>
      <c r="F328" s="33"/>
      <c r="G328" s="33" t="s">
        <v>221</v>
      </c>
      <c r="H328" s="33">
        <v>0</v>
      </c>
      <c r="I328" s="33"/>
      <c r="J328" s="33" t="s">
        <v>223</v>
      </c>
      <c r="K328" s="33"/>
      <c r="L328" s="34"/>
      <c r="M328" s="33"/>
    </row>
    <row r="329" spans="1:13" x14ac:dyDescent="0.25">
      <c r="A329" s="15" t="s">
        <v>1093</v>
      </c>
      <c r="B329" s="32">
        <f t="shared" si="6"/>
        <v>328</v>
      </c>
      <c r="C329" s="33" t="s">
        <v>1094</v>
      </c>
      <c r="D329" s="33"/>
      <c r="E329" s="33"/>
      <c r="F329" s="33" t="s">
        <v>257</v>
      </c>
      <c r="G329" s="33" t="s">
        <v>221</v>
      </c>
      <c r="H329" s="33">
        <v>1</v>
      </c>
      <c r="I329" s="33"/>
      <c r="J329" s="33" t="s">
        <v>223</v>
      </c>
      <c r="K329" s="33"/>
      <c r="L329" s="34"/>
      <c r="M329" s="33"/>
    </row>
    <row r="330" spans="1:13" ht="30" x14ac:dyDescent="0.25">
      <c r="A330" s="15" t="s">
        <v>1095</v>
      </c>
      <c r="B330" s="32">
        <f t="shared" si="6"/>
        <v>329</v>
      </c>
      <c r="C330" s="33" t="s">
        <v>1096</v>
      </c>
      <c r="D330" s="33"/>
      <c r="E330" s="33"/>
      <c r="F330" s="33" t="s">
        <v>1097</v>
      </c>
      <c r="G330" s="33" t="s">
        <v>221</v>
      </c>
      <c r="H330" s="33">
        <v>1</v>
      </c>
      <c r="I330" s="33"/>
      <c r="J330" s="33" t="s">
        <v>223</v>
      </c>
      <c r="K330" s="33"/>
      <c r="L330" s="34"/>
      <c r="M330" s="33"/>
    </row>
    <row r="331" spans="1:13" x14ac:dyDescent="0.25">
      <c r="A331" s="15" t="s">
        <v>1098</v>
      </c>
      <c r="B331" s="32">
        <f t="shared" si="6"/>
        <v>330</v>
      </c>
      <c r="C331" s="33" t="s">
        <v>1099</v>
      </c>
      <c r="D331" s="33"/>
      <c r="E331" s="33"/>
      <c r="F331" s="33" t="s">
        <v>257</v>
      </c>
      <c r="G331" s="33" t="s">
        <v>221</v>
      </c>
      <c r="H331" s="33">
        <v>1</v>
      </c>
      <c r="I331" s="33"/>
      <c r="J331" s="33" t="s">
        <v>223</v>
      </c>
      <c r="K331" s="33"/>
      <c r="L331" s="34"/>
      <c r="M331" s="33"/>
    </row>
    <row r="332" spans="1:13" x14ac:dyDescent="0.25">
      <c r="A332" s="15" t="s">
        <v>1100</v>
      </c>
      <c r="B332" s="32">
        <f t="shared" si="6"/>
        <v>331</v>
      </c>
      <c r="C332" s="33" t="s">
        <v>1101</v>
      </c>
      <c r="D332" s="33"/>
      <c r="E332" s="33"/>
      <c r="F332" s="33"/>
      <c r="G332" s="33" t="s">
        <v>221</v>
      </c>
      <c r="H332" s="33">
        <v>1</v>
      </c>
      <c r="I332" s="33"/>
      <c r="J332" s="33" t="s">
        <v>223</v>
      </c>
      <c r="K332" s="33"/>
      <c r="L332" s="34"/>
      <c r="M332" s="33"/>
    </row>
    <row r="333" spans="1:13" ht="30" x14ac:dyDescent="0.25">
      <c r="A333" s="15" t="s">
        <v>1102</v>
      </c>
      <c r="B333" s="32">
        <f t="shared" si="6"/>
        <v>332</v>
      </c>
      <c r="C333" s="33" t="s">
        <v>1103</v>
      </c>
      <c r="D333" s="33"/>
      <c r="E333" s="33"/>
      <c r="F333" s="33" t="s">
        <v>257</v>
      </c>
      <c r="G333" s="33" t="s">
        <v>221</v>
      </c>
      <c r="H333" s="33">
        <v>1</v>
      </c>
      <c r="I333" s="33" t="s">
        <v>1104</v>
      </c>
      <c r="J333" s="33" t="s">
        <v>223</v>
      </c>
      <c r="K333" s="33"/>
      <c r="L333" s="34"/>
      <c r="M333" s="33"/>
    </row>
    <row r="334" spans="1:13" ht="30" x14ac:dyDescent="0.25">
      <c r="A334" s="15" t="s">
        <v>1105</v>
      </c>
      <c r="B334" s="32">
        <f t="shared" si="6"/>
        <v>333</v>
      </c>
      <c r="C334" s="33" t="s">
        <v>1106</v>
      </c>
      <c r="D334" s="33"/>
      <c r="E334" s="33"/>
      <c r="F334" s="33" t="s">
        <v>1097</v>
      </c>
      <c r="G334" s="33" t="s">
        <v>221</v>
      </c>
      <c r="H334" s="33">
        <v>1</v>
      </c>
      <c r="I334" s="33"/>
      <c r="J334" s="33" t="s">
        <v>223</v>
      </c>
      <c r="K334" s="33"/>
      <c r="L334" s="34"/>
      <c r="M334" s="33"/>
    </row>
    <row r="335" spans="1:13" x14ac:dyDescent="0.25">
      <c r="A335" s="15" t="s">
        <v>1107</v>
      </c>
      <c r="B335" s="32">
        <f t="shared" si="6"/>
        <v>334</v>
      </c>
      <c r="C335" s="33" t="s">
        <v>1108</v>
      </c>
      <c r="D335" s="33"/>
      <c r="E335" s="33"/>
      <c r="F335" s="33" t="s">
        <v>1109</v>
      </c>
      <c r="G335" s="33" t="s">
        <v>221</v>
      </c>
      <c r="H335" s="33">
        <v>1</v>
      </c>
      <c r="I335" s="33"/>
      <c r="J335" s="33" t="s">
        <v>223</v>
      </c>
      <c r="K335" s="33"/>
      <c r="L335" s="34"/>
      <c r="M335" s="33"/>
    </row>
    <row r="336" spans="1:13" ht="30" x14ac:dyDescent="0.25">
      <c r="A336" s="15" t="s">
        <v>1110</v>
      </c>
      <c r="B336" s="32">
        <f t="shared" si="6"/>
        <v>335</v>
      </c>
      <c r="C336" s="33" t="s">
        <v>1111</v>
      </c>
      <c r="D336" s="33"/>
      <c r="E336" s="33"/>
      <c r="F336" s="33" t="s">
        <v>1109</v>
      </c>
      <c r="G336" s="33" t="s">
        <v>221</v>
      </c>
      <c r="H336" s="33">
        <v>1</v>
      </c>
      <c r="I336" s="33"/>
      <c r="J336" s="33" t="s">
        <v>223</v>
      </c>
      <c r="K336" s="33"/>
      <c r="L336" s="34"/>
      <c r="M336" s="33"/>
    </row>
    <row r="337" spans="1:13" x14ac:dyDescent="0.25">
      <c r="A337" s="15" t="s">
        <v>1112</v>
      </c>
      <c r="B337" s="32">
        <f t="shared" si="6"/>
        <v>336</v>
      </c>
      <c r="C337" s="33" t="s">
        <v>1113</v>
      </c>
      <c r="D337" s="33"/>
      <c r="E337" s="33"/>
      <c r="F337" s="33" t="s">
        <v>1109</v>
      </c>
      <c r="G337" s="33" t="s">
        <v>221</v>
      </c>
      <c r="H337" s="33">
        <v>1</v>
      </c>
      <c r="I337" s="33"/>
      <c r="J337" s="33" t="s">
        <v>223</v>
      </c>
      <c r="K337" s="33"/>
      <c r="L337" s="34"/>
      <c r="M337" s="33"/>
    </row>
    <row r="338" spans="1:13" ht="30" x14ac:dyDescent="0.25">
      <c r="A338" s="15" t="s">
        <v>1114</v>
      </c>
      <c r="B338" s="32">
        <f t="shared" si="6"/>
        <v>337</v>
      </c>
      <c r="C338" s="33" t="s">
        <v>1115</v>
      </c>
      <c r="D338" s="33"/>
      <c r="E338" s="33"/>
      <c r="F338" s="33" t="s">
        <v>257</v>
      </c>
      <c r="G338" s="33" t="s">
        <v>221</v>
      </c>
      <c r="H338" s="33">
        <v>2</v>
      </c>
      <c r="I338" s="33"/>
      <c r="J338" s="33" t="s">
        <v>223</v>
      </c>
      <c r="K338" s="33"/>
      <c r="L338" s="34"/>
      <c r="M338" s="33"/>
    </row>
    <row r="339" spans="1:13" ht="30" x14ac:dyDescent="0.25">
      <c r="A339" s="15" t="s">
        <v>1116</v>
      </c>
      <c r="B339" s="32">
        <f t="shared" si="6"/>
        <v>338</v>
      </c>
      <c r="C339" s="33" t="s">
        <v>1117</v>
      </c>
      <c r="D339" s="33"/>
      <c r="E339" s="33"/>
      <c r="F339" s="33" t="s">
        <v>1118</v>
      </c>
      <c r="G339" s="33" t="s">
        <v>221</v>
      </c>
      <c r="H339" s="33">
        <v>1</v>
      </c>
      <c r="I339" s="33"/>
      <c r="J339" s="33" t="s">
        <v>223</v>
      </c>
      <c r="K339" s="33"/>
      <c r="L339" s="34"/>
      <c r="M339" s="33"/>
    </row>
    <row r="340" spans="1:13" ht="30" x14ac:dyDescent="0.25">
      <c r="A340" s="15" t="s">
        <v>1119</v>
      </c>
      <c r="B340" s="32">
        <f t="shared" si="6"/>
        <v>339</v>
      </c>
      <c r="C340" s="33" t="s">
        <v>1120</v>
      </c>
      <c r="D340" s="33"/>
      <c r="E340" s="33"/>
      <c r="F340" s="33" t="s">
        <v>1121</v>
      </c>
      <c r="G340" s="33" t="s">
        <v>221</v>
      </c>
      <c r="H340" s="33">
        <v>1</v>
      </c>
      <c r="I340" s="33"/>
      <c r="J340" s="33" t="s">
        <v>223</v>
      </c>
      <c r="K340" s="33"/>
      <c r="L340" s="34"/>
      <c r="M340" s="33"/>
    </row>
    <row r="341" spans="1:13" x14ac:dyDescent="0.25">
      <c r="A341" s="15" t="s">
        <v>1122</v>
      </c>
      <c r="B341" s="32">
        <f t="shared" si="6"/>
        <v>340</v>
      </c>
      <c r="C341" s="33" t="s">
        <v>1123</v>
      </c>
      <c r="D341" s="33"/>
      <c r="E341" s="33"/>
      <c r="F341" s="33" t="s">
        <v>1118</v>
      </c>
      <c r="G341" s="33" t="s">
        <v>221</v>
      </c>
      <c r="H341" s="33">
        <v>1</v>
      </c>
      <c r="I341" s="33"/>
      <c r="J341" s="33" t="s">
        <v>223</v>
      </c>
      <c r="K341" s="33"/>
      <c r="L341" s="34"/>
      <c r="M341" s="33"/>
    </row>
    <row r="342" spans="1:13" x14ac:dyDescent="0.25">
      <c r="A342" s="15" t="s">
        <v>1124</v>
      </c>
      <c r="B342" s="32">
        <f t="shared" si="6"/>
        <v>341</v>
      </c>
      <c r="C342" s="33" t="s">
        <v>1125</v>
      </c>
      <c r="D342" s="33"/>
      <c r="E342" s="33"/>
      <c r="F342" s="33"/>
      <c r="G342" s="33" t="s">
        <v>221</v>
      </c>
      <c r="H342" s="33">
        <v>1</v>
      </c>
      <c r="I342" s="33"/>
      <c r="J342" s="33" t="s">
        <v>223</v>
      </c>
      <c r="K342" s="33"/>
      <c r="L342" s="34"/>
      <c r="M342" s="33"/>
    </row>
    <row r="343" spans="1:13" ht="30" x14ac:dyDescent="0.25">
      <c r="A343" s="15" t="s">
        <v>1126</v>
      </c>
      <c r="B343" s="32">
        <f t="shared" si="6"/>
        <v>342</v>
      </c>
      <c r="C343" s="33" t="s">
        <v>1127</v>
      </c>
      <c r="D343" s="33"/>
      <c r="E343" s="33"/>
      <c r="F343" s="33" t="s">
        <v>1097</v>
      </c>
      <c r="G343" s="33" t="s">
        <v>221</v>
      </c>
      <c r="H343" s="33">
        <v>1</v>
      </c>
      <c r="I343" s="33"/>
      <c r="J343" s="33" t="s">
        <v>223</v>
      </c>
      <c r="K343" s="33"/>
      <c r="L343" s="34"/>
      <c r="M343" s="33"/>
    </row>
    <row r="344" spans="1:13" x14ac:dyDescent="0.25">
      <c r="A344" s="15" t="s">
        <v>1128</v>
      </c>
      <c r="B344" s="32">
        <f t="shared" si="6"/>
        <v>343</v>
      </c>
      <c r="C344" s="33" t="s">
        <v>1129</v>
      </c>
      <c r="D344" s="33"/>
      <c r="E344" s="33"/>
      <c r="F344" s="33" t="s">
        <v>257</v>
      </c>
      <c r="G344" s="33" t="s">
        <v>221</v>
      </c>
      <c r="H344" s="33">
        <v>1</v>
      </c>
      <c r="I344" s="33"/>
      <c r="J344" s="33" t="s">
        <v>32</v>
      </c>
      <c r="K344" s="33"/>
      <c r="L344" s="34"/>
      <c r="M344" s="33"/>
    </row>
    <row r="345" spans="1:13" ht="30" x14ac:dyDescent="0.25">
      <c r="A345" s="15" t="s">
        <v>1131</v>
      </c>
      <c r="B345" s="32">
        <f t="shared" ref="B345:B350" si="7">ROW(B344)</f>
        <v>344</v>
      </c>
      <c r="C345" s="33" t="s">
        <v>1132</v>
      </c>
      <c r="D345" s="33"/>
      <c r="E345" s="33"/>
      <c r="F345" s="33"/>
      <c r="G345" s="33" t="s">
        <v>221</v>
      </c>
      <c r="H345" s="33">
        <v>0</v>
      </c>
      <c r="I345" s="33"/>
      <c r="J345" s="33" t="s">
        <v>32</v>
      </c>
      <c r="K345" s="33"/>
      <c r="L345" s="34"/>
      <c r="M345" s="33"/>
    </row>
    <row r="346" spans="1:13" x14ac:dyDescent="0.25">
      <c r="A346" s="15" t="s">
        <v>1133</v>
      </c>
      <c r="B346" s="32">
        <f t="shared" si="7"/>
        <v>345</v>
      </c>
      <c r="C346" s="33" t="s">
        <v>1134</v>
      </c>
      <c r="D346" s="33"/>
      <c r="E346" s="33"/>
      <c r="F346" s="33" t="s">
        <v>257</v>
      </c>
      <c r="G346" s="33" t="s">
        <v>221</v>
      </c>
      <c r="H346" s="33">
        <v>0</v>
      </c>
      <c r="I346" s="33"/>
      <c r="J346" s="33" t="s">
        <v>32</v>
      </c>
      <c r="K346" s="33"/>
      <c r="L346" s="34"/>
      <c r="M346" s="33"/>
    </row>
    <row r="347" spans="1:13" x14ac:dyDescent="0.25">
      <c r="A347" s="15" t="s">
        <v>1135</v>
      </c>
      <c r="B347" s="32">
        <f t="shared" si="7"/>
        <v>346</v>
      </c>
      <c r="C347" s="33" t="s">
        <v>1136</v>
      </c>
      <c r="D347" s="33"/>
      <c r="E347" s="33"/>
      <c r="F347" s="33"/>
      <c r="G347" s="33" t="s">
        <v>221</v>
      </c>
      <c r="H347" s="33">
        <v>0</v>
      </c>
      <c r="I347" s="33"/>
      <c r="J347" s="33" t="s">
        <v>32</v>
      </c>
      <c r="K347" s="33"/>
      <c r="L347" s="34"/>
      <c r="M347" s="33"/>
    </row>
    <row r="348" spans="1:13" x14ac:dyDescent="0.25">
      <c r="A348" s="15" t="s">
        <v>1137</v>
      </c>
      <c r="B348" s="32">
        <f t="shared" si="7"/>
        <v>347</v>
      </c>
      <c r="C348" s="33" t="s">
        <v>1138</v>
      </c>
      <c r="D348" s="33"/>
      <c r="E348" s="33"/>
      <c r="F348" s="33"/>
      <c r="G348" s="33" t="s">
        <v>570</v>
      </c>
      <c r="H348" s="33">
        <v>1</v>
      </c>
      <c r="I348" s="33"/>
      <c r="J348" s="33" t="s">
        <v>32</v>
      </c>
      <c r="K348" s="33"/>
      <c r="L348" s="34"/>
      <c r="M348" s="33"/>
    </row>
    <row r="349" spans="1:13" x14ac:dyDescent="0.25">
      <c r="A349" s="15" t="s">
        <v>1147</v>
      </c>
      <c r="B349" s="32">
        <f t="shared" si="7"/>
        <v>348</v>
      </c>
      <c r="C349" s="33" t="s">
        <v>1148</v>
      </c>
      <c r="D349" s="33"/>
      <c r="E349" s="33"/>
      <c r="F349" s="33"/>
      <c r="G349" s="33" t="s">
        <v>221</v>
      </c>
      <c r="H349" s="33">
        <v>1</v>
      </c>
      <c r="I349" s="33"/>
      <c r="J349" s="33" t="s">
        <v>223</v>
      </c>
      <c r="K349" s="33"/>
      <c r="L349" s="34"/>
      <c r="M349" s="33"/>
    </row>
    <row r="350" spans="1:13" ht="30" x14ac:dyDescent="0.25">
      <c r="A350" s="15" t="s">
        <v>1152</v>
      </c>
      <c r="B350" s="32">
        <f t="shared" si="7"/>
        <v>349</v>
      </c>
      <c r="C350" s="33" t="s">
        <v>1153</v>
      </c>
      <c r="D350" s="33"/>
      <c r="E350" s="33"/>
      <c r="F350" s="33"/>
      <c r="G350" s="33" t="s">
        <v>221</v>
      </c>
      <c r="H350" s="33">
        <v>0</v>
      </c>
      <c r="I350" s="33"/>
      <c r="J350" s="33" t="s">
        <v>223</v>
      </c>
      <c r="K350" s="33"/>
      <c r="L350" s="34"/>
      <c r="M350" s="33"/>
    </row>
    <row r="351" spans="1:13" ht="30" x14ac:dyDescent="0.25">
      <c r="A351" s="15" t="s">
        <v>1160</v>
      </c>
      <c r="B351" s="32">
        <f t="shared" ref="B351:B375" si="8">ROW(B350)</f>
        <v>350</v>
      </c>
      <c r="C351" s="33" t="s">
        <v>1161</v>
      </c>
      <c r="D351" s="33"/>
      <c r="E351" s="33"/>
      <c r="F351" s="33"/>
      <c r="G351" s="33" t="s">
        <v>221</v>
      </c>
      <c r="H351" s="33">
        <v>0</v>
      </c>
      <c r="I351" s="33"/>
      <c r="J351" s="33" t="s">
        <v>223</v>
      </c>
      <c r="K351" s="33"/>
      <c r="L351" s="34"/>
      <c r="M351" s="33"/>
    </row>
    <row r="352" spans="1:13" ht="30" x14ac:dyDescent="0.25">
      <c r="A352" s="15" t="s">
        <v>1169</v>
      </c>
      <c r="B352" s="32">
        <f t="shared" si="8"/>
        <v>351</v>
      </c>
      <c r="C352" s="33" t="s">
        <v>1170</v>
      </c>
      <c r="D352" s="33"/>
      <c r="E352" s="33"/>
      <c r="F352" s="33"/>
      <c r="G352" s="33" t="s">
        <v>221</v>
      </c>
      <c r="H352" s="33">
        <v>0</v>
      </c>
      <c r="I352" s="33"/>
      <c r="J352" s="33" t="s">
        <v>32</v>
      </c>
      <c r="K352" s="33"/>
      <c r="L352" s="34"/>
      <c r="M352" s="33"/>
    </row>
    <row r="353" spans="1:13" x14ac:dyDescent="0.25">
      <c r="A353" s="15" t="s">
        <v>1171</v>
      </c>
      <c r="B353" s="32">
        <f t="shared" si="8"/>
        <v>352</v>
      </c>
      <c r="C353" s="33" t="s">
        <v>1172</v>
      </c>
      <c r="D353" s="33"/>
      <c r="E353" s="33"/>
      <c r="F353" s="33" t="s">
        <v>771</v>
      </c>
      <c r="G353" s="33" t="s">
        <v>221</v>
      </c>
      <c r="H353" s="33">
        <v>0</v>
      </c>
      <c r="I353" s="33"/>
      <c r="J353" s="33" t="s">
        <v>32</v>
      </c>
      <c r="K353" s="33"/>
      <c r="L353" s="34"/>
      <c r="M353" s="33"/>
    </row>
    <row r="354" spans="1:13" x14ac:dyDescent="0.25">
      <c r="A354" s="15" t="s">
        <v>1173</v>
      </c>
      <c r="B354" s="32">
        <f t="shared" si="8"/>
        <v>353</v>
      </c>
      <c r="C354" s="33" t="s">
        <v>1174</v>
      </c>
      <c r="D354" s="33"/>
      <c r="E354" s="33"/>
      <c r="F354" s="33"/>
      <c r="G354" s="33" t="s">
        <v>221</v>
      </c>
      <c r="H354" s="33">
        <v>0</v>
      </c>
      <c r="I354" s="33"/>
      <c r="J354" s="33" t="s">
        <v>32</v>
      </c>
      <c r="K354" s="33"/>
      <c r="L354" s="34"/>
      <c r="M354" s="33"/>
    </row>
    <row r="355" spans="1:13" x14ac:dyDescent="0.25">
      <c r="A355" s="15" t="s">
        <v>1175</v>
      </c>
      <c r="B355" s="32">
        <f t="shared" si="8"/>
        <v>354</v>
      </c>
      <c r="C355" s="33" t="s">
        <v>1176</v>
      </c>
      <c r="D355" s="33"/>
      <c r="E355" s="33"/>
      <c r="F355" s="33" t="s">
        <v>230</v>
      </c>
      <c r="G355" s="33" t="s">
        <v>221</v>
      </c>
      <c r="H355" s="33">
        <v>0</v>
      </c>
      <c r="I355" s="33"/>
      <c r="J355" s="33" t="s">
        <v>223</v>
      </c>
      <c r="K355" s="33"/>
      <c r="L355" s="34"/>
      <c r="M355" s="33"/>
    </row>
    <row r="356" spans="1:13" x14ac:dyDescent="0.25">
      <c r="A356" s="15" t="s">
        <v>1179</v>
      </c>
      <c r="B356" s="32">
        <f t="shared" si="8"/>
        <v>355</v>
      </c>
      <c r="C356" s="33" t="s">
        <v>1180</v>
      </c>
      <c r="D356" s="33"/>
      <c r="E356" s="33"/>
      <c r="F356" s="33" t="s">
        <v>255</v>
      </c>
      <c r="G356" s="33" t="s">
        <v>221</v>
      </c>
      <c r="H356" s="33">
        <v>0</v>
      </c>
      <c r="I356" s="33"/>
      <c r="J356" s="33" t="s">
        <v>32</v>
      </c>
      <c r="K356" s="33"/>
      <c r="L356" s="34"/>
      <c r="M356" s="33"/>
    </row>
    <row r="357" spans="1:13" x14ac:dyDescent="0.25">
      <c r="A357" s="15" t="s">
        <v>1181</v>
      </c>
      <c r="B357" s="32">
        <f t="shared" si="8"/>
        <v>356</v>
      </c>
      <c r="C357" s="33" t="s">
        <v>1182</v>
      </c>
      <c r="D357" s="33"/>
      <c r="E357" s="33"/>
      <c r="F357" s="33"/>
      <c r="G357" s="33" t="s">
        <v>570</v>
      </c>
      <c r="H357" s="33">
        <v>5</v>
      </c>
      <c r="I357" s="33"/>
      <c r="J357" s="33" t="s">
        <v>32</v>
      </c>
      <c r="K357" s="33"/>
      <c r="L357" s="34"/>
      <c r="M357" s="33"/>
    </row>
    <row r="358" spans="1:13" ht="30" x14ac:dyDescent="0.25">
      <c r="A358" s="15" t="s">
        <v>1183</v>
      </c>
      <c r="B358" s="32">
        <f t="shared" si="8"/>
        <v>357</v>
      </c>
      <c r="C358" s="33" t="s">
        <v>1184</v>
      </c>
      <c r="D358" s="33"/>
      <c r="E358" s="33"/>
      <c r="F358" s="33"/>
      <c r="G358" s="33" t="s">
        <v>221</v>
      </c>
      <c r="H358" s="33">
        <v>0</v>
      </c>
      <c r="I358" s="33"/>
      <c r="J358" s="33" t="s">
        <v>223</v>
      </c>
      <c r="K358" s="33"/>
      <c r="L358" s="34"/>
      <c r="M358" s="33"/>
    </row>
    <row r="359" spans="1:13" ht="30" x14ac:dyDescent="0.25">
      <c r="A359" s="15" t="s">
        <v>1185</v>
      </c>
      <c r="B359" s="32">
        <f t="shared" si="8"/>
        <v>358</v>
      </c>
      <c r="C359" s="33" t="s">
        <v>1186</v>
      </c>
      <c r="D359" s="33"/>
      <c r="E359" s="33"/>
      <c r="F359" s="33"/>
      <c r="G359" s="33" t="s">
        <v>221</v>
      </c>
      <c r="H359" s="33">
        <v>0</v>
      </c>
      <c r="I359" s="33"/>
      <c r="J359" s="33" t="s">
        <v>32</v>
      </c>
      <c r="K359" s="33"/>
      <c r="L359" s="34"/>
      <c r="M359" s="33"/>
    </row>
    <row r="360" spans="1:13" x14ac:dyDescent="0.25">
      <c r="A360" s="15" t="s">
        <v>1195</v>
      </c>
      <c r="B360" s="32">
        <f t="shared" si="8"/>
        <v>359</v>
      </c>
      <c r="C360" s="33" t="s">
        <v>1196</v>
      </c>
      <c r="D360" s="33"/>
      <c r="E360" s="33"/>
      <c r="F360" s="33"/>
      <c r="G360" s="33" t="s">
        <v>221</v>
      </c>
      <c r="H360" s="33">
        <v>30</v>
      </c>
      <c r="I360" s="33"/>
      <c r="J360" s="33" t="s">
        <v>223</v>
      </c>
      <c r="K360" s="33"/>
      <c r="L360" s="34"/>
      <c r="M360" s="33"/>
    </row>
    <row r="361" spans="1:13" x14ac:dyDescent="0.25">
      <c r="A361" s="15" t="s">
        <v>1197</v>
      </c>
      <c r="B361" s="32">
        <f t="shared" si="8"/>
        <v>360</v>
      </c>
      <c r="C361" s="33" t="s">
        <v>1198</v>
      </c>
      <c r="D361" s="33"/>
      <c r="E361" s="33"/>
      <c r="F361" s="33"/>
      <c r="G361" s="33" t="s">
        <v>221</v>
      </c>
      <c r="H361" s="33">
        <v>30</v>
      </c>
      <c r="I361" s="33"/>
      <c r="J361" s="33" t="s">
        <v>32</v>
      </c>
      <c r="K361" s="33"/>
      <c r="L361" s="34"/>
      <c r="M361" s="33"/>
    </row>
    <row r="362" spans="1:13" ht="30" x14ac:dyDescent="0.25">
      <c r="A362" s="15" t="s">
        <v>1199</v>
      </c>
      <c r="B362" s="32">
        <f t="shared" si="8"/>
        <v>361</v>
      </c>
      <c r="C362" s="33" t="s">
        <v>1200</v>
      </c>
      <c r="D362" s="33"/>
      <c r="E362" s="33"/>
      <c r="F362" s="33"/>
      <c r="G362" s="33" t="s">
        <v>221</v>
      </c>
      <c r="H362" s="33">
        <v>0</v>
      </c>
      <c r="I362" s="33"/>
      <c r="J362" s="33" t="s">
        <v>32</v>
      </c>
      <c r="K362" s="33"/>
      <c r="L362" s="34"/>
      <c r="M362" s="33"/>
    </row>
    <row r="363" spans="1:13" ht="30" x14ac:dyDescent="0.25">
      <c r="A363" s="15" t="s">
        <v>1201</v>
      </c>
      <c r="B363" s="32">
        <f t="shared" si="8"/>
        <v>362</v>
      </c>
      <c r="C363" s="33" t="s">
        <v>1202</v>
      </c>
      <c r="D363" s="33"/>
      <c r="E363" s="33"/>
      <c r="F363" s="33"/>
      <c r="G363" s="33" t="s">
        <v>252</v>
      </c>
      <c r="H363" s="33">
        <v>0</v>
      </c>
      <c r="I363" s="33"/>
      <c r="J363" s="33" t="s">
        <v>223</v>
      </c>
      <c r="K363" s="33"/>
      <c r="L363" s="34"/>
      <c r="M363" s="33"/>
    </row>
    <row r="364" spans="1:13" ht="30" x14ac:dyDescent="0.25">
      <c r="A364" s="15" t="s">
        <v>1203</v>
      </c>
      <c r="B364" s="32">
        <f t="shared" si="8"/>
        <v>363</v>
      </c>
      <c r="C364" s="33" t="s">
        <v>1204</v>
      </c>
      <c r="D364" s="33"/>
      <c r="E364" s="33"/>
      <c r="F364" s="33"/>
      <c r="G364" s="33" t="s">
        <v>221</v>
      </c>
      <c r="H364" s="33">
        <v>0</v>
      </c>
      <c r="I364" s="33"/>
      <c r="J364" s="33" t="s">
        <v>223</v>
      </c>
      <c r="K364" s="33"/>
      <c r="L364" s="34"/>
      <c r="M364" s="33"/>
    </row>
    <row r="365" spans="1:13" ht="30" x14ac:dyDescent="0.25">
      <c r="A365" s="15" t="s">
        <v>1205</v>
      </c>
      <c r="B365" s="32">
        <f t="shared" si="8"/>
        <v>364</v>
      </c>
      <c r="C365" s="33" t="s">
        <v>1206</v>
      </c>
      <c r="D365" s="33"/>
      <c r="E365" s="33"/>
      <c r="F365" s="33"/>
      <c r="G365" s="33" t="s">
        <v>221</v>
      </c>
      <c r="H365" s="33">
        <v>0</v>
      </c>
      <c r="I365" s="33"/>
      <c r="J365" s="33" t="s">
        <v>223</v>
      </c>
      <c r="K365" s="33"/>
      <c r="L365" s="34"/>
      <c r="M365" s="33"/>
    </row>
    <row r="366" spans="1:13" x14ac:dyDescent="0.25">
      <c r="A366" s="15" t="s">
        <v>1207</v>
      </c>
      <c r="B366" s="32">
        <f t="shared" si="8"/>
        <v>365</v>
      </c>
      <c r="C366" s="33" t="s">
        <v>1208</v>
      </c>
      <c r="D366" s="33"/>
      <c r="E366" s="33"/>
      <c r="F366" s="33"/>
      <c r="G366" s="33" t="s">
        <v>221</v>
      </c>
      <c r="H366" s="33">
        <v>0</v>
      </c>
      <c r="I366" s="33"/>
      <c r="J366" s="33" t="s">
        <v>223</v>
      </c>
      <c r="K366" s="33"/>
      <c r="L366" s="34"/>
      <c r="M366" s="33"/>
    </row>
    <row r="367" spans="1:13" ht="30" x14ac:dyDescent="0.25">
      <c r="A367" s="15" t="s">
        <v>1209</v>
      </c>
      <c r="B367" s="32">
        <f t="shared" si="8"/>
        <v>366</v>
      </c>
      <c r="C367" s="33" t="s">
        <v>1210</v>
      </c>
      <c r="D367" s="33"/>
      <c r="E367" s="33"/>
      <c r="F367" s="33"/>
      <c r="G367" s="33" t="s">
        <v>221</v>
      </c>
      <c r="H367" s="33">
        <v>0</v>
      </c>
      <c r="I367" s="33"/>
      <c r="J367" s="33" t="s">
        <v>32</v>
      </c>
      <c r="K367" s="33"/>
      <c r="L367" s="34"/>
      <c r="M367" s="33"/>
    </row>
    <row r="368" spans="1:13" x14ac:dyDescent="0.25">
      <c r="A368" s="15" t="s">
        <v>1211</v>
      </c>
      <c r="B368" s="32">
        <f t="shared" si="8"/>
        <v>367</v>
      </c>
      <c r="C368" s="33" t="s">
        <v>1212</v>
      </c>
      <c r="D368" s="33"/>
      <c r="E368" s="33"/>
      <c r="F368" s="33"/>
      <c r="G368" s="33" t="s">
        <v>221</v>
      </c>
      <c r="H368" s="33">
        <v>0</v>
      </c>
      <c r="I368" s="33"/>
      <c r="J368" s="33" t="s">
        <v>223</v>
      </c>
      <c r="K368" s="33"/>
      <c r="L368" s="34"/>
      <c r="M368" s="33"/>
    </row>
    <row r="369" spans="1:13" x14ac:dyDescent="0.25">
      <c r="A369" s="15" t="s">
        <v>1213</v>
      </c>
      <c r="B369" s="32">
        <f t="shared" si="8"/>
        <v>368</v>
      </c>
      <c r="C369" s="33" t="s">
        <v>1214</v>
      </c>
      <c r="D369" s="33"/>
      <c r="E369" s="33"/>
      <c r="F369" s="33"/>
      <c r="G369" s="33" t="s">
        <v>221</v>
      </c>
      <c r="H369" s="33">
        <v>0</v>
      </c>
      <c r="I369" s="33"/>
      <c r="J369" s="33" t="s">
        <v>223</v>
      </c>
      <c r="K369" s="33"/>
      <c r="L369" s="34"/>
      <c r="M369" s="33"/>
    </row>
    <row r="370" spans="1:13" x14ac:dyDescent="0.25">
      <c r="A370" s="15" t="s">
        <v>1215</v>
      </c>
      <c r="B370" s="32">
        <f t="shared" si="8"/>
        <v>369</v>
      </c>
      <c r="C370" s="33" t="s">
        <v>1216</v>
      </c>
      <c r="D370" s="33"/>
      <c r="E370" s="33"/>
      <c r="F370" s="33"/>
      <c r="G370" s="33" t="s">
        <v>221</v>
      </c>
      <c r="H370" s="33">
        <v>0</v>
      </c>
      <c r="I370" s="33"/>
      <c r="J370" s="33" t="s">
        <v>223</v>
      </c>
      <c r="K370" s="33"/>
      <c r="L370" s="34"/>
      <c r="M370" s="33"/>
    </row>
    <row r="371" spans="1:13" x14ac:dyDescent="0.25">
      <c r="A371" s="15" t="s">
        <v>1217</v>
      </c>
      <c r="B371" s="32">
        <f t="shared" si="8"/>
        <v>370</v>
      </c>
      <c r="C371" s="33" t="s">
        <v>1218</v>
      </c>
      <c r="D371" s="33"/>
      <c r="E371" s="33"/>
      <c r="F371" s="33"/>
      <c r="G371" s="33" t="s">
        <v>243</v>
      </c>
      <c r="H371" s="33">
        <v>0</v>
      </c>
      <c r="I371" s="33"/>
      <c r="J371" s="33" t="s">
        <v>223</v>
      </c>
      <c r="K371" s="33"/>
      <c r="L371" s="34"/>
      <c r="M371" s="33"/>
    </row>
    <row r="372" spans="1:13" x14ac:dyDescent="0.25">
      <c r="A372" s="15" t="s">
        <v>1219</v>
      </c>
      <c r="B372" s="32">
        <f t="shared" si="8"/>
        <v>371</v>
      </c>
      <c r="C372" s="33" t="s">
        <v>1220</v>
      </c>
      <c r="D372" s="33"/>
      <c r="E372" s="33"/>
      <c r="F372" s="33"/>
      <c r="G372" s="33" t="s">
        <v>221</v>
      </c>
      <c r="H372" s="33">
        <v>0</v>
      </c>
      <c r="I372" s="33"/>
      <c r="J372" s="33" t="s">
        <v>32</v>
      </c>
      <c r="K372" s="33"/>
      <c r="L372" s="34"/>
      <c r="M372" s="33"/>
    </row>
    <row r="373" spans="1:13" ht="45" x14ac:dyDescent="0.25">
      <c r="A373" s="15" t="s">
        <v>1221</v>
      </c>
      <c r="B373" s="32">
        <f t="shared" si="8"/>
        <v>372</v>
      </c>
      <c r="C373" s="33" t="s">
        <v>1222</v>
      </c>
      <c r="D373" s="33"/>
      <c r="E373" s="33"/>
      <c r="F373" s="33"/>
      <c r="G373" s="33" t="s">
        <v>221</v>
      </c>
      <c r="H373" s="33">
        <v>0</v>
      </c>
      <c r="I373" s="33"/>
      <c r="J373" s="33" t="s">
        <v>223</v>
      </c>
      <c r="K373" s="33"/>
      <c r="L373" s="34"/>
      <c r="M373" s="33"/>
    </row>
    <row r="374" spans="1:13" ht="30" x14ac:dyDescent="0.25">
      <c r="A374" s="15" t="s">
        <v>1223</v>
      </c>
      <c r="B374" s="32">
        <f t="shared" si="8"/>
        <v>373</v>
      </c>
      <c r="C374" s="33" t="s">
        <v>1224</v>
      </c>
      <c r="D374" s="33"/>
      <c r="E374" s="33"/>
      <c r="F374" s="33"/>
      <c r="G374" s="33" t="s">
        <v>420</v>
      </c>
      <c r="H374" s="33">
        <v>0</v>
      </c>
      <c r="I374" s="33"/>
      <c r="J374" s="33" t="s">
        <v>223</v>
      </c>
      <c r="K374" s="33"/>
      <c r="L374" s="34"/>
      <c r="M374" s="33"/>
    </row>
    <row r="375" spans="1:13" x14ac:dyDescent="0.25">
      <c r="A375" s="15" t="s">
        <v>1225</v>
      </c>
      <c r="B375" s="32">
        <f t="shared" si="8"/>
        <v>374</v>
      </c>
      <c r="C375" s="33" t="s">
        <v>1226</v>
      </c>
      <c r="D375" s="33"/>
      <c r="E375" s="33"/>
      <c r="F375" s="33"/>
      <c r="G375" s="33" t="s">
        <v>221</v>
      </c>
      <c r="H375" s="33">
        <v>0</v>
      </c>
      <c r="I375" s="33"/>
      <c r="J375" s="33" t="s">
        <v>223</v>
      </c>
      <c r="K375" s="33"/>
      <c r="L375" s="34"/>
      <c r="M375" s="33"/>
    </row>
    <row r="376" spans="1:13" x14ac:dyDescent="0.25">
      <c r="A376" s="15" t="s">
        <v>1237</v>
      </c>
      <c r="B376" s="32">
        <f t="shared" ref="B376:B383" si="9">ROW(B375)</f>
        <v>375</v>
      </c>
      <c r="C376" s="33" t="s">
        <v>1238</v>
      </c>
      <c r="D376" s="33"/>
      <c r="E376" s="33"/>
      <c r="F376" s="33"/>
      <c r="G376" s="33" t="s">
        <v>221</v>
      </c>
      <c r="H376" s="33">
        <v>0</v>
      </c>
      <c r="I376" s="33"/>
      <c r="J376" s="33" t="s">
        <v>32</v>
      </c>
      <c r="K376" s="33"/>
      <c r="L376" s="34"/>
      <c r="M376" s="33"/>
    </row>
    <row r="377" spans="1:13" x14ac:dyDescent="0.25">
      <c r="A377" s="15" t="s">
        <v>1239</v>
      </c>
      <c r="B377" s="32">
        <f t="shared" si="9"/>
        <v>376</v>
      </c>
      <c r="C377" s="33" t="s">
        <v>1240</v>
      </c>
      <c r="D377" s="33"/>
      <c r="E377" s="33"/>
      <c r="F377" s="33"/>
      <c r="G377" s="33" t="s">
        <v>221</v>
      </c>
      <c r="H377" s="33">
        <v>0</v>
      </c>
      <c r="I377" s="33"/>
      <c r="J377" s="33" t="s">
        <v>223</v>
      </c>
      <c r="K377" s="33"/>
      <c r="L377" s="34"/>
      <c r="M377" s="33"/>
    </row>
    <row r="378" spans="1:13" x14ac:dyDescent="0.25">
      <c r="A378" s="15" t="s">
        <v>1241</v>
      </c>
      <c r="B378" s="32">
        <f t="shared" si="9"/>
        <v>377</v>
      </c>
      <c r="C378" s="33" t="s">
        <v>1242</v>
      </c>
      <c r="D378" s="33"/>
      <c r="E378" s="33"/>
      <c r="F378" s="33"/>
      <c r="G378" s="33" t="s">
        <v>221</v>
      </c>
      <c r="H378" s="33">
        <v>0</v>
      </c>
      <c r="I378" s="33"/>
      <c r="J378" s="33" t="s">
        <v>223</v>
      </c>
      <c r="K378" s="33"/>
      <c r="L378" s="34"/>
      <c r="M378" s="33"/>
    </row>
    <row r="379" spans="1:13" x14ac:dyDescent="0.25">
      <c r="A379" s="15" t="s">
        <v>1243</v>
      </c>
      <c r="B379" s="32">
        <f t="shared" si="9"/>
        <v>378</v>
      </c>
      <c r="C379" s="33" t="s">
        <v>1244</v>
      </c>
      <c r="D379" s="33"/>
      <c r="E379" s="33"/>
      <c r="F379" s="33"/>
      <c r="G379" s="33" t="s">
        <v>221</v>
      </c>
      <c r="H379" s="33">
        <v>0</v>
      </c>
      <c r="I379" s="33"/>
      <c r="J379" s="33" t="s">
        <v>223</v>
      </c>
      <c r="K379" s="33"/>
      <c r="L379" s="34"/>
      <c r="M379" s="33"/>
    </row>
    <row r="380" spans="1:13" x14ac:dyDescent="0.25">
      <c r="A380" s="15" t="s">
        <v>1245</v>
      </c>
      <c r="B380" s="32">
        <f t="shared" si="9"/>
        <v>379</v>
      </c>
      <c r="C380" s="33" t="s">
        <v>1246</v>
      </c>
      <c r="D380" s="33"/>
      <c r="E380" s="33"/>
      <c r="F380" s="33"/>
      <c r="G380" s="33" t="s">
        <v>221</v>
      </c>
      <c r="H380" s="33">
        <v>0</v>
      </c>
      <c r="I380" s="33"/>
      <c r="J380" s="33" t="s">
        <v>223</v>
      </c>
      <c r="K380" s="33"/>
      <c r="L380" s="34"/>
      <c r="M380" s="33"/>
    </row>
    <row r="381" spans="1:13" x14ac:dyDescent="0.25">
      <c r="A381" s="15" t="s">
        <v>1247</v>
      </c>
      <c r="B381" s="32">
        <f t="shared" si="9"/>
        <v>380</v>
      </c>
      <c r="C381" s="33" t="s">
        <v>1248</v>
      </c>
      <c r="D381" s="33"/>
      <c r="E381" s="33"/>
      <c r="F381" s="33"/>
      <c r="G381" s="33" t="s">
        <v>221</v>
      </c>
      <c r="H381" s="33">
        <v>0</v>
      </c>
      <c r="I381" s="33"/>
      <c r="J381" s="33" t="s">
        <v>223</v>
      </c>
      <c r="K381" s="33"/>
      <c r="L381" s="34"/>
      <c r="M381" s="33"/>
    </row>
    <row r="382" spans="1:13" x14ac:dyDescent="0.25">
      <c r="A382" s="15" t="s">
        <v>1249</v>
      </c>
      <c r="B382" s="32">
        <f t="shared" si="9"/>
        <v>381</v>
      </c>
      <c r="C382" s="33" t="s">
        <v>1250</v>
      </c>
      <c r="D382" s="33"/>
      <c r="E382" s="33"/>
      <c r="F382" s="33"/>
      <c r="G382" s="33" t="s">
        <v>243</v>
      </c>
      <c r="H382" s="33">
        <v>0</v>
      </c>
      <c r="I382" s="33"/>
      <c r="J382" s="33" t="s">
        <v>223</v>
      </c>
      <c r="K382" s="33"/>
      <c r="L382" s="34"/>
      <c r="M382" s="33"/>
    </row>
    <row r="383" spans="1:13" ht="30" x14ac:dyDescent="0.25">
      <c r="A383" s="15" t="s">
        <v>1251</v>
      </c>
      <c r="B383" s="32">
        <f t="shared" si="9"/>
        <v>382</v>
      </c>
      <c r="C383" s="33" t="s">
        <v>1252</v>
      </c>
      <c r="D383" s="33"/>
      <c r="E383" s="33"/>
      <c r="F383" s="33"/>
      <c r="G383" s="33" t="s">
        <v>221</v>
      </c>
      <c r="H383" s="33">
        <v>0</v>
      </c>
      <c r="I383" s="33"/>
      <c r="J383" s="33" t="s">
        <v>223</v>
      </c>
      <c r="K383" s="33"/>
      <c r="L383" s="34"/>
      <c r="M383" s="33"/>
    </row>
    <row r="384" spans="1:13" x14ac:dyDescent="0.25">
      <c r="A384" s="15" t="s">
        <v>1256</v>
      </c>
      <c r="B384" s="32">
        <f t="shared" ref="B384:B390" si="10">ROW(B383)</f>
        <v>383</v>
      </c>
      <c r="C384" s="33" t="s">
        <v>1257</v>
      </c>
      <c r="D384" s="33"/>
      <c r="E384" s="33"/>
      <c r="F384" s="33"/>
      <c r="G384" s="33" t="s">
        <v>1258</v>
      </c>
      <c r="H384" s="33">
        <v>0</v>
      </c>
      <c r="I384" s="33"/>
      <c r="J384" s="33" t="s">
        <v>1259</v>
      </c>
      <c r="K384" s="33"/>
      <c r="L384" s="34"/>
      <c r="M384" s="33"/>
    </row>
    <row r="385" spans="1:13" x14ac:dyDescent="0.25">
      <c r="A385" s="15" t="s">
        <v>1260</v>
      </c>
      <c r="B385" s="32">
        <f t="shared" si="10"/>
        <v>384</v>
      </c>
      <c r="C385" s="33" t="s">
        <v>1261</v>
      </c>
      <c r="D385" s="33"/>
      <c r="E385" s="33"/>
      <c r="F385" s="33"/>
      <c r="G385" s="33" t="s">
        <v>221</v>
      </c>
      <c r="H385" s="33">
        <v>0</v>
      </c>
      <c r="I385" s="33"/>
      <c r="J385" s="33" t="s">
        <v>1262</v>
      </c>
      <c r="K385" s="33"/>
      <c r="L385" s="34"/>
      <c r="M385" s="33"/>
    </row>
    <row r="386" spans="1:13" x14ac:dyDescent="0.25">
      <c r="A386" s="15" t="s">
        <v>1263</v>
      </c>
      <c r="B386" s="32">
        <f t="shared" si="10"/>
        <v>385</v>
      </c>
      <c r="C386" s="33" t="s">
        <v>1264</v>
      </c>
      <c r="D386" s="33"/>
      <c r="E386" s="33"/>
      <c r="F386" s="33"/>
      <c r="G386" s="33" t="s">
        <v>221</v>
      </c>
      <c r="H386" s="33">
        <v>0</v>
      </c>
      <c r="I386" s="33"/>
      <c r="J386" s="33" t="s">
        <v>1259</v>
      </c>
      <c r="K386" s="33"/>
      <c r="L386" s="34"/>
      <c r="M386" s="33"/>
    </row>
    <row r="387" spans="1:13" x14ac:dyDescent="0.25">
      <c r="A387" s="15" t="s">
        <v>1265</v>
      </c>
      <c r="B387" s="32">
        <f t="shared" si="10"/>
        <v>386</v>
      </c>
      <c r="C387" s="33" t="s">
        <v>1266</v>
      </c>
      <c r="D387" s="33"/>
      <c r="E387" s="33"/>
      <c r="F387" s="33"/>
      <c r="G387" s="33" t="s">
        <v>1267</v>
      </c>
      <c r="H387" s="33">
        <v>0</v>
      </c>
      <c r="I387" s="33"/>
      <c r="J387" s="33" t="s">
        <v>1262</v>
      </c>
      <c r="K387" s="33"/>
      <c r="L387" s="34"/>
      <c r="M387" s="33"/>
    </row>
    <row r="388" spans="1:13" x14ac:dyDescent="0.25">
      <c r="A388" s="15" t="s">
        <v>1268</v>
      </c>
      <c r="B388" s="32">
        <f t="shared" si="10"/>
        <v>387</v>
      </c>
      <c r="C388" s="33" t="s">
        <v>1269</v>
      </c>
      <c r="D388" s="33"/>
      <c r="E388" s="33"/>
      <c r="F388" s="33"/>
      <c r="G388" s="33" t="s">
        <v>221</v>
      </c>
      <c r="H388" s="33">
        <v>0</v>
      </c>
      <c r="I388" s="33"/>
      <c r="J388" s="33" t="s">
        <v>1259</v>
      </c>
      <c r="K388" s="33"/>
      <c r="L388" s="34"/>
      <c r="M388" s="33"/>
    </row>
    <row r="389" spans="1:13" x14ac:dyDescent="0.25">
      <c r="A389" s="15" t="s">
        <v>1270</v>
      </c>
      <c r="B389" s="32">
        <f t="shared" si="10"/>
        <v>388</v>
      </c>
      <c r="C389" s="33" t="s">
        <v>1271</v>
      </c>
      <c r="D389" s="33"/>
      <c r="E389" s="33"/>
      <c r="F389" s="33"/>
      <c r="G389" s="33" t="s">
        <v>221</v>
      </c>
      <c r="H389" s="33">
        <v>0</v>
      </c>
      <c r="I389" s="33"/>
      <c r="J389" s="33" t="s">
        <v>32</v>
      </c>
      <c r="K389" s="33"/>
      <c r="L389" s="34"/>
      <c r="M389" s="33"/>
    </row>
    <row r="390" spans="1:13" x14ac:dyDescent="0.25">
      <c r="A390" s="15" t="s">
        <v>1276</v>
      </c>
      <c r="B390" s="32">
        <f t="shared" si="10"/>
        <v>389</v>
      </c>
      <c r="C390" s="33" t="s">
        <v>1277</v>
      </c>
      <c r="D390" s="33"/>
      <c r="E390" s="33"/>
      <c r="F390" s="33"/>
      <c r="G390" s="33" t="s">
        <v>221</v>
      </c>
      <c r="H390" s="33">
        <v>0</v>
      </c>
      <c r="I390" s="33"/>
      <c r="J390" s="33" t="s">
        <v>32</v>
      </c>
      <c r="K390" s="33"/>
      <c r="L390" s="34"/>
      <c r="M390" s="33"/>
    </row>
    <row r="391" spans="1:13" x14ac:dyDescent="0.25">
      <c r="A391" s="15" t="s">
        <v>1281</v>
      </c>
      <c r="B391" s="32">
        <f t="shared" ref="B391:B402" si="11">ROW(B390)</f>
        <v>390</v>
      </c>
      <c r="C391" s="33" t="s">
        <v>1282</v>
      </c>
      <c r="D391" s="33"/>
      <c r="E391" s="33"/>
      <c r="F391" s="33"/>
      <c r="G391" s="33" t="s">
        <v>221</v>
      </c>
      <c r="H391" s="33">
        <v>0</v>
      </c>
      <c r="I391" s="33"/>
      <c r="J391" s="33" t="s">
        <v>223</v>
      </c>
      <c r="K391" s="33"/>
      <c r="L391" s="34"/>
      <c r="M391" s="33"/>
    </row>
    <row r="392" spans="1:13" x14ac:dyDescent="0.25">
      <c r="A392" s="15" t="s">
        <v>1283</v>
      </c>
      <c r="B392" s="32">
        <f t="shared" si="11"/>
        <v>391</v>
      </c>
      <c r="C392" s="33" t="s">
        <v>1284</v>
      </c>
      <c r="D392" s="33"/>
      <c r="E392" s="33"/>
      <c r="F392" s="33"/>
      <c r="G392" s="33" t="s">
        <v>221</v>
      </c>
      <c r="H392" s="33">
        <v>0</v>
      </c>
      <c r="I392" s="33"/>
      <c r="J392" s="33" t="s">
        <v>223</v>
      </c>
      <c r="K392" s="33"/>
      <c r="L392" s="34"/>
      <c r="M392" s="33"/>
    </row>
    <row r="393" spans="1:13" x14ac:dyDescent="0.25">
      <c r="A393" s="15" t="s">
        <v>1285</v>
      </c>
      <c r="B393" s="32">
        <f t="shared" si="11"/>
        <v>392</v>
      </c>
      <c r="C393" s="33" t="s">
        <v>1286</v>
      </c>
      <c r="D393" s="33"/>
      <c r="E393" s="33"/>
      <c r="F393" s="33"/>
      <c r="G393" s="33" t="s">
        <v>382</v>
      </c>
      <c r="H393" s="33">
        <v>0</v>
      </c>
      <c r="I393" s="33"/>
      <c r="J393" s="33" t="s">
        <v>223</v>
      </c>
      <c r="K393" s="33"/>
      <c r="L393" s="34"/>
      <c r="M393" s="33"/>
    </row>
    <row r="394" spans="1:13" ht="30" x14ac:dyDescent="0.25">
      <c r="A394" s="15" t="s">
        <v>1287</v>
      </c>
      <c r="B394" s="32">
        <f t="shared" si="11"/>
        <v>393</v>
      </c>
      <c r="C394" s="33" t="s">
        <v>1288</v>
      </c>
      <c r="D394" s="33"/>
      <c r="E394" s="33"/>
      <c r="F394" s="33"/>
      <c r="G394" s="33" t="s">
        <v>221</v>
      </c>
      <c r="H394" s="33">
        <v>0</v>
      </c>
      <c r="I394" s="33"/>
      <c r="J394" s="33" t="s">
        <v>223</v>
      </c>
      <c r="K394" s="33"/>
      <c r="L394" s="34"/>
      <c r="M394" s="33"/>
    </row>
    <row r="395" spans="1:13" x14ac:dyDescent="0.25">
      <c r="A395" s="15" t="s">
        <v>1304</v>
      </c>
      <c r="B395" s="32">
        <f t="shared" si="11"/>
        <v>394</v>
      </c>
      <c r="C395" s="33" t="s">
        <v>1305</v>
      </c>
      <c r="D395" s="33"/>
      <c r="E395" s="33"/>
      <c r="F395" s="33"/>
      <c r="G395" s="33" t="s">
        <v>221</v>
      </c>
      <c r="H395" s="33">
        <v>0</v>
      </c>
      <c r="I395" s="33"/>
      <c r="J395" s="33" t="s">
        <v>1259</v>
      </c>
      <c r="K395" s="33"/>
      <c r="L395" s="34"/>
      <c r="M395" s="33"/>
    </row>
    <row r="396" spans="1:13" x14ac:dyDescent="0.25">
      <c r="A396" s="15" t="s">
        <v>1311</v>
      </c>
      <c r="B396" s="32">
        <f t="shared" si="11"/>
        <v>395</v>
      </c>
      <c r="C396" s="33" t="s">
        <v>1312</v>
      </c>
      <c r="D396" s="33"/>
      <c r="E396" s="33"/>
      <c r="F396" s="33"/>
      <c r="G396" s="33" t="s">
        <v>221</v>
      </c>
      <c r="H396" s="33">
        <v>0</v>
      </c>
      <c r="I396" s="33"/>
      <c r="J396" s="33" t="s">
        <v>223</v>
      </c>
      <c r="K396" s="33"/>
      <c r="L396" s="34"/>
      <c r="M396" s="33"/>
    </row>
    <row r="397" spans="1:13" x14ac:dyDescent="0.25">
      <c r="A397" s="15" t="s">
        <v>1317</v>
      </c>
      <c r="B397" s="32">
        <f t="shared" si="11"/>
        <v>396</v>
      </c>
      <c r="C397" s="33" t="s">
        <v>1318</v>
      </c>
      <c r="D397" s="33"/>
      <c r="E397" s="33"/>
      <c r="F397" s="33"/>
      <c r="G397" s="33" t="s">
        <v>231</v>
      </c>
      <c r="H397" s="33">
        <v>0</v>
      </c>
      <c r="I397" s="33"/>
      <c r="J397" s="33" t="s">
        <v>223</v>
      </c>
      <c r="K397" s="33"/>
      <c r="L397" s="34"/>
      <c r="M397" s="33"/>
    </row>
    <row r="398" spans="1:13" x14ac:dyDescent="0.25">
      <c r="A398" s="15" t="s">
        <v>1326</v>
      </c>
      <c r="B398" s="32">
        <f t="shared" si="11"/>
        <v>397</v>
      </c>
      <c r="C398" s="33" t="s">
        <v>1327</v>
      </c>
      <c r="D398" s="33"/>
      <c r="E398" s="33"/>
      <c r="F398" s="33"/>
      <c r="G398" s="33" t="s">
        <v>221</v>
      </c>
      <c r="H398" s="33">
        <v>0</v>
      </c>
      <c r="I398" s="33"/>
      <c r="J398" s="33" t="s">
        <v>223</v>
      </c>
      <c r="K398" s="33"/>
      <c r="L398" s="34"/>
      <c r="M398" s="33"/>
    </row>
    <row r="399" spans="1:13" x14ac:dyDescent="0.25">
      <c r="A399" s="15" t="s">
        <v>1335</v>
      </c>
      <c r="B399" s="32">
        <f t="shared" si="11"/>
        <v>398</v>
      </c>
      <c r="C399" s="33" t="s">
        <v>1336</v>
      </c>
      <c r="D399" s="33"/>
      <c r="E399" s="33"/>
      <c r="F399" s="33"/>
      <c r="G399" s="33" t="s">
        <v>221</v>
      </c>
      <c r="H399" s="33">
        <v>0</v>
      </c>
      <c r="I399" s="33"/>
      <c r="J399" s="33" t="s">
        <v>1259</v>
      </c>
      <c r="K399" s="33"/>
      <c r="L399" s="34"/>
      <c r="M399" s="33"/>
    </row>
    <row r="400" spans="1:13" x14ac:dyDescent="0.25">
      <c r="A400" s="15" t="s">
        <v>1337</v>
      </c>
      <c r="B400" s="32">
        <f t="shared" si="11"/>
        <v>399</v>
      </c>
      <c r="C400" s="33" t="s">
        <v>1338</v>
      </c>
      <c r="D400" s="33"/>
      <c r="E400" s="33"/>
      <c r="F400" s="33"/>
      <c r="G400" s="33" t="s">
        <v>221</v>
      </c>
      <c r="H400" s="33">
        <v>0</v>
      </c>
      <c r="I400" s="33"/>
      <c r="J400" s="33" t="s">
        <v>1259</v>
      </c>
      <c r="K400" s="33"/>
      <c r="L400" s="34"/>
      <c r="M400" s="33"/>
    </row>
    <row r="401" spans="1:13" x14ac:dyDescent="0.25">
      <c r="A401" s="15" t="s">
        <v>1339</v>
      </c>
      <c r="B401" s="32">
        <f t="shared" si="11"/>
        <v>400</v>
      </c>
      <c r="C401" s="33" t="s">
        <v>1340</v>
      </c>
      <c r="D401" s="33"/>
      <c r="E401" s="33"/>
      <c r="F401" s="33"/>
      <c r="G401" s="33" t="s">
        <v>221</v>
      </c>
      <c r="H401" s="33">
        <v>0</v>
      </c>
      <c r="I401" s="33"/>
      <c r="J401" s="33" t="s">
        <v>32</v>
      </c>
      <c r="K401" s="33"/>
      <c r="L401" s="34"/>
      <c r="M401" s="33"/>
    </row>
    <row r="402" spans="1:13" x14ac:dyDescent="0.25">
      <c r="A402" s="15" t="s">
        <v>1344</v>
      </c>
      <c r="B402" s="32">
        <f t="shared" si="11"/>
        <v>401</v>
      </c>
      <c r="C402" s="33" t="s">
        <v>1345</v>
      </c>
      <c r="D402" s="33"/>
      <c r="E402" s="33"/>
      <c r="F402" s="33"/>
      <c r="G402" s="33" t="s">
        <v>221</v>
      </c>
      <c r="H402" s="33">
        <v>0</v>
      </c>
      <c r="I402" s="33"/>
      <c r="J402" s="33" t="s">
        <v>223</v>
      </c>
      <c r="K402" s="33"/>
      <c r="L402" s="34"/>
      <c r="M402" s="33"/>
    </row>
    <row r="403" spans="1:13" x14ac:dyDescent="0.25">
      <c r="A403" s="15" t="s">
        <v>1350</v>
      </c>
      <c r="B403" s="32">
        <f t="shared" ref="B403:B408" si="12">ROW(B402)</f>
        <v>402</v>
      </c>
      <c r="C403" s="33">
        <v>1341004</v>
      </c>
      <c r="D403" s="33"/>
      <c r="E403" s="33"/>
      <c r="F403" s="33"/>
      <c r="G403" s="33" t="s">
        <v>221</v>
      </c>
      <c r="H403" s="33">
        <v>1</v>
      </c>
      <c r="I403" s="33"/>
      <c r="J403" s="33" t="s">
        <v>32</v>
      </c>
      <c r="K403" s="33"/>
      <c r="L403" s="34"/>
      <c r="M403" s="33"/>
    </row>
    <row r="404" spans="1:13" x14ac:dyDescent="0.25">
      <c r="A404" s="15" t="s">
        <v>1351</v>
      </c>
      <c r="B404" s="32">
        <f t="shared" si="12"/>
        <v>403</v>
      </c>
      <c r="C404" s="33">
        <v>1341001</v>
      </c>
      <c r="D404" s="33"/>
      <c r="E404" s="33"/>
      <c r="F404" s="33"/>
      <c r="G404" s="33" t="s">
        <v>221</v>
      </c>
      <c r="H404" s="33">
        <v>2</v>
      </c>
      <c r="I404" s="33"/>
      <c r="J404" s="33" t="s">
        <v>32</v>
      </c>
      <c r="K404" s="33"/>
      <c r="L404" s="34"/>
      <c r="M404" s="33"/>
    </row>
    <row r="405" spans="1:13" ht="30" x14ac:dyDescent="0.25">
      <c r="A405" s="15" t="s">
        <v>291</v>
      </c>
      <c r="B405" s="32">
        <f t="shared" si="12"/>
        <v>404</v>
      </c>
      <c r="C405" s="33">
        <v>1341003</v>
      </c>
      <c r="D405" s="33"/>
      <c r="E405" s="33"/>
      <c r="F405" s="33"/>
      <c r="G405" s="33" t="s">
        <v>221</v>
      </c>
      <c r="H405" s="33">
        <v>4</v>
      </c>
      <c r="I405" s="33"/>
      <c r="J405" s="33" t="s">
        <v>223</v>
      </c>
      <c r="K405" s="33"/>
      <c r="L405" s="34"/>
      <c r="M405" s="33"/>
    </row>
    <row r="406" spans="1:13" ht="30" x14ac:dyDescent="0.25">
      <c r="A406" s="15" t="s">
        <v>1352</v>
      </c>
      <c r="B406" s="32">
        <f t="shared" si="12"/>
        <v>405</v>
      </c>
      <c r="C406" s="33">
        <v>1341002</v>
      </c>
      <c r="D406" s="33"/>
      <c r="E406" s="33"/>
      <c r="F406" s="33"/>
      <c r="G406" s="33" t="s">
        <v>221</v>
      </c>
      <c r="H406" s="33">
        <v>4</v>
      </c>
      <c r="I406" s="33"/>
      <c r="J406" s="33" t="s">
        <v>223</v>
      </c>
      <c r="K406" s="33"/>
      <c r="L406" s="34"/>
      <c r="M406" s="33"/>
    </row>
    <row r="407" spans="1:13" ht="30" x14ac:dyDescent="0.25">
      <c r="A407" s="15" t="s">
        <v>1353</v>
      </c>
      <c r="B407" s="32">
        <f t="shared" si="12"/>
        <v>406</v>
      </c>
      <c r="C407" s="33" t="s">
        <v>1354</v>
      </c>
      <c r="D407" s="33"/>
      <c r="E407" s="33"/>
      <c r="F407" s="33"/>
      <c r="G407" s="33" t="s">
        <v>221</v>
      </c>
      <c r="H407" s="33">
        <v>2</v>
      </c>
      <c r="I407" s="33"/>
      <c r="J407" s="33" t="s">
        <v>223</v>
      </c>
      <c r="K407" s="33"/>
      <c r="L407" s="34"/>
      <c r="M407" s="33"/>
    </row>
    <row r="408" spans="1:13" ht="30" x14ac:dyDescent="0.25">
      <c r="A408" s="15" t="s">
        <v>1355</v>
      </c>
      <c r="B408" s="32">
        <f t="shared" si="12"/>
        <v>407</v>
      </c>
      <c r="C408" s="33" t="s">
        <v>1356</v>
      </c>
      <c r="D408" s="33"/>
      <c r="E408" s="33"/>
      <c r="F408" s="33"/>
      <c r="G408" s="33" t="s">
        <v>221</v>
      </c>
      <c r="H408" s="33">
        <v>2</v>
      </c>
      <c r="I408" s="33"/>
      <c r="J408" s="33" t="s">
        <v>223</v>
      </c>
      <c r="K408" s="33"/>
      <c r="L408" s="34"/>
      <c r="M408" s="33"/>
    </row>
    <row r="409" spans="1:13" x14ac:dyDescent="0.25">
      <c r="A409" s="102"/>
      <c r="B409" s="32">
        <f>ROW(B317)</f>
        <v>317</v>
      </c>
      <c r="C409" s="33"/>
      <c r="D409" s="33"/>
      <c r="E409" s="33"/>
      <c r="F409" s="33"/>
      <c r="G409" s="33"/>
      <c r="H409" s="33">
        <v>0</v>
      </c>
      <c r="I409" s="33"/>
      <c r="J409" s="33"/>
      <c r="K409" s="33"/>
      <c r="L409" s="34"/>
      <c r="M409" s="33"/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8" tint="-0.249977111117893"/>
  </sheetPr>
  <dimension ref="A1:L695"/>
  <sheetViews>
    <sheetView zoomScaleNormal="100" workbookViewId="0">
      <selection activeCell="C202" sqref="C202"/>
    </sheetView>
  </sheetViews>
  <sheetFormatPr baseColWidth="10" defaultRowHeight="15" x14ac:dyDescent="0.25"/>
  <cols>
    <col min="1" max="1" width="10.28515625" customWidth="1"/>
    <col min="2" max="2" width="18.28515625" customWidth="1"/>
    <col min="3" max="3" width="33.7109375" customWidth="1"/>
    <col min="4" max="4" width="15.28515625" customWidth="1"/>
    <col min="5" max="5" width="17.28515625" customWidth="1"/>
    <col min="6" max="6" width="14.42578125" customWidth="1"/>
    <col min="7" max="7" width="13.7109375" customWidth="1"/>
    <col min="8" max="8" width="14" customWidth="1"/>
    <col min="9" max="9" width="13.42578125" customWidth="1"/>
    <col min="10" max="10" width="22.140625" customWidth="1"/>
    <col min="11" max="11" width="14.42578125" customWidth="1"/>
    <col min="12" max="12" width="19.28515625" style="30" customWidth="1"/>
  </cols>
  <sheetData>
    <row r="1" spans="1:12" ht="30" customHeight="1" x14ac:dyDescent="0.25">
      <c r="A1" s="2" t="s">
        <v>0</v>
      </c>
      <c r="B1" s="2" t="s">
        <v>27</v>
      </c>
      <c r="C1" s="3" t="s">
        <v>21</v>
      </c>
      <c r="D1" s="3" t="s">
        <v>198</v>
      </c>
      <c r="E1" s="3" t="s">
        <v>1</v>
      </c>
      <c r="F1" s="3" t="s">
        <v>2</v>
      </c>
      <c r="G1" s="3" t="s">
        <v>3</v>
      </c>
      <c r="H1" s="3" t="s">
        <v>4</v>
      </c>
      <c r="I1" s="3" t="s">
        <v>23</v>
      </c>
      <c r="J1" s="3" t="s">
        <v>6</v>
      </c>
      <c r="K1" s="3" t="s">
        <v>7</v>
      </c>
      <c r="L1" s="13" t="s">
        <v>24</v>
      </c>
    </row>
    <row r="2" spans="1:12" x14ac:dyDescent="0.25">
      <c r="A2" s="38">
        <f t="shared" ref="A2" si="0">ROW(A1)</f>
        <v>1</v>
      </c>
      <c r="B2" s="39"/>
      <c r="C2" s="37"/>
      <c r="D2" s="37"/>
      <c r="E2" s="37"/>
      <c r="F2" s="37"/>
      <c r="G2" s="37"/>
      <c r="H2" s="37"/>
      <c r="I2" s="37">
        <v>0</v>
      </c>
      <c r="J2" s="37"/>
      <c r="K2" s="37"/>
      <c r="L2" s="40"/>
    </row>
    <row r="3" spans="1:12" x14ac:dyDescent="0.25">
      <c r="A3" s="38">
        <f>ROW(A2)</f>
        <v>2</v>
      </c>
      <c r="B3" s="39" t="s">
        <v>957</v>
      </c>
      <c r="C3" s="37" t="s">
        <v>621</v>
      </c>
      <c r="D3" s="37" t="s">
        <v>622</v>
      </c>
      <c r="E3" s="37"/>
      <c r="F3" s="37"/>
      <c r="G3" s="37" t="s">
        <v>220</v>
      </c>
      <c r="H3" s="37" t="s">
        <v>235</v>
      </c>
      <c r="I3" s="37">
        <v>1</v>
      </c>
      <c r="J3" s="37" t="s">
        <v>223</v>
      </c>
      <c r="K3" s="37" t="s">
        <v>223</v>
      </c>
      <c r="L3" s="40">
        <v>44865.379953703705</v>
      </c>
    </row>
    <row r="4" spans="1:12" x14ac:dyDescent="0.25">
      <c r="A4" s="38">
        <f>ROW(A2)</f>
        <v>2</v>
      </c>
      <c r="B4" s="39" t="s">
        <v>957</v>
      </c>
      <c r="C4" s="37" t="s">
        <v>425</v>
      </c>
      <c r="D4" s="37" t="s">
        <v>426</v>
      </c>
      <c r="E4" s="37"/>
      <c r="F4" s="37"/>
      <c r="G4" s="37" t="s">
        <v>257</v>
      </c>
      <c r="H4" s="37" t="s">
        <v>221</v>
      </c>
      <c r="I4" s="37">
        <v>6</v>
      </c>
      <c r="J4" s="37" t="s">
        <v>223</v>
      </c>
      <c r="K4" s="37" t="s">
        <v>223</v>
      </c>
      <c r="L4" s="40">
        <v>44865.379953703705</v>
      </c>
    </row>
    <row r="5" spans="1:12" x14ac:dyDescent="0.25">
      <c r="A5" s="38">
        <f>ROW(A2)</f>
        <v>2</v>
      </c>
      <c r="B5" s="39" t="s">
        <v>957</v>
      </c>
      <c r="C5" s="37" t="s">
        <v>736</v>
      </c>
      <c r="D5" s="37" t="s">
        <v>737</v>
      </c>
      <c r="E5" s="37"/>
      <c r="F5" s="37"/>
      <c r="G5" s="37"/>
      <c r="H5" s="37" t="s">
        <v>448</v>
      </c>
      <c r="I5" s="37">
        <v>8</v>
      </c>
      <c r="J5" s="37" t="s">
        <v>223</v>
      </c>
      <c r="K5" s="37" t="s">
        <v>223</v>
      </c>
      <c r="L5" s="40">
        <v>44865.379953703705</v>
      </c>
    </row>
    <row r="6" spans="1:12" x14ac:dyDescent="0.25">
      <c r="A6" s="38">
        <f>ROW(A2)</f>
        <v>2</v>
      </c>
      <c r="B6" s="39" t="s">
        <v>952</v>
      </c>
      <c r="C6" s="37" t="s">
        <v>621</v>
      </c>
      <c r="D6" s="37" t="s">
        <v>622</v>
      </c>
      <c r="E6" s="37"/>
      <c r="F6" s="37"/>
      <c r="G6" s="37" t="s">
        <v>220</v>
      </c>
      <c r="H6" s="37" t="s">
        <v>235</v>
      </c>
      <c r="I6" s="37">
        <v>1</v>
      </c>
      <c r="J6" s="37" t="s">
        <v>223</v>
      </c>
      <c r="K6" s="37" t="s">
        <v>223</v>
      </c>
      <c r="L6" s="40">
        <v>44865.379212962966</v>
      </c>
    </row>
    <row r="7" spans="1:12" x14ac:dyDescent="0.25">
      <c r="A7" s="38">
        <f>ROW(A2)</f>
        <v>2</v>
      </c>
      <c r="B7" s="39" t="s">
        <v>952</v>
      </c>
      <c r="C7" s="37" t="s">
        <v>425</v>
      </c>
      <c r="D7" s="37" t="s">
        <v>426</v>
      </c>
      <c r="E7" s="37"/>
      <c r="F7" s="37"/>
      <c r="G7" s="37" t="s">
        <v>257</v>
      </c>
      <c r="H7" s="37" t="s">
        <v>221</v>
      </c>
      <c r="I7" s="37">
        <v>6</v>
      </c>
      <c r="J7" s="37" t="s">
        <v>223</v>
      </c>
      <c r="K7" s="37" t="s">
        <v>223</v>
      </c>
      <c r="L7" s="40">
        <v>44865.379212962966</v>
      </c>
    </row>
    <row r="8" spans="1:12" x14ac:dyDescent="0.25">
      <c r="A8" s="38">
        <f>ROW(A2)</f>
        <v>2</v>
      </c>
      <c r="B8" s="39" t="s">
        <v>952</v>
      </c>
      <c r="C8" s="37" t="s">
        <v>736</v>
      </c>
      <c r="D8" s="37" t="s">
        <v>737</v>
      </c>
      <c r="E8" s="37"/>
      <c r="F8" s="37"/>
      <c r="G8" s="37"/>
      <c r="H8" s="37" t="s">
        <v>448</v>
      </c>
      <c r="I8" s="37">
        <v>8</v>
      </c>
      <c r="J8" s="37" t="s">
        <v>223</v>
      </c>
      <c r="K8" s="37" t="s">
        <v>223</v>
      </c>
      <c r="L8" s="40">
        <v>44865.379212962966</v>
      </c>
    </row>
    <row r="9" spans="1:12" x14ac:dyDescent="0.25">
      <c r="A9" s="38">
        <f>ROW(A2)</f>
        <v>2</v>
      </c>
      <c r="B9" s="39" t="s">
        <v>957</v>
      </c>
      <c r="C9" s="37" t="s">
        <v>425</v>
      </c>
      <c r="D9" s="37" t="s">
        <v>426</v>
      </c>
      <c r="E9" s="37"/>
      <c r="F9" s="37"/>
      <c r="G9" s="37" t="s">
        <v>257</v>
      </c>
      <c r="H9" s="37" t="s">
        <v>221</v>
      </c>
      <c r="I9" s="37">
        <v>15</v>
      </c>
      <c r="J9" s="37" t="s">
        <v>223</v>
      </c>
      <c r="K9" s="37" t="s">
        <v>223</v>
      </c>
      <c r="L9" s="40">
        <v>44865.377210648148</v>
      </c>
    </row>
    <row r="10" spans="1:12" x14ac:dyDescent="0.25">
      <c r="A10" s="38">
        <f>ROW(A2)</f>
        <v>2</v>
      </c>
      <c r="B10" s="39" t="s">
        <v>957</v>
      </c>
      <c r="C10" s="37" t="s">
        <v>660</v>
      </c>
      <c r="D10" s="37" t="s">
        <v>661</v>
      </c>
      <c r="E10" s="37"/>
      <c r="F10" s="37"/>
      <c r="G10" s="37" t="s">
        <v>419</v>
      </c>
      <c r="H10" s="37" t="s">
        <v>221</v>
      </c>
      <c r="I10" s="37">
        <v>100</v>
      </c>
      <c r="J10" s="37" t="s">
        <v>223</v>
      </c>
      <c r="K10" s="37" t="s">
        <v>223</v>
      </c>
      <c r="L10" s="40">
        <v>44865.377210648148</v>
      </c>
    </row>
    <row r="11" spans="1:12" x14ac:dyDescent="0.25">
      <c r="A11" s="38">
        <f>ROW(A2)</f>
        <v>2</v>
      </c>
      <c r="B11" s="39" t="s">
        <v>957</v>
      </c>
      <c r="C11" s="37" t="s">
        <v>558</v>
      </c>
      <c r="D11" s="37" t="s">
        <v>559</v>
      </c>
      <c r="E11" s="37"/>
      <c r="F11" s="37"/>
      <c r="G11" s="37" t="s">
        <v>419</v>
      </c>
      <c r="H11" s="37" t="s">
        <v>560</v>
      </c>
      <c r="I11" s="37">
        <v>1</v>
      </c>
      <c r="J11" s="37" t="s">
        <v>561</v>
      </c>
      <c r="K11" s="37" t="s">
        <v>223</v>
      </c>
      <c r="L11" s="40">
        <v>44865.377210648148</v>
      </c>
    </row>
    <row r="12" spans="1:12" x14ac:dyDescent="0.25">
      <c r="A12" s="38">
        <f>ROW(A2)</f>
        <v>2</v>
      </c>
      <c r="B12" s="39" t="s">
        <v>957</v>
      </c>
      <c r="C12" s="37" t="s">
        <v>591</v>
      </c>
      <c r="D12" s="37" t="s">
        <v>592</v>
      </c>
      <c r="E12" s="37"/>
      <c r="F12" s="37"/>
      <c r="G12" s="37" t="s">
        <v>269</v>
      </c>
      <c r="H12" s="37" t="s">
        <v>560</v>
      </c>
      <c r="I12" s="37">
        <v>1</v>
      </c>
      <c r="J12" s="37" t="s">
        <v>223</v>
      </c>
      <c r="K12" s="37" t="s">
        <v>223</v>
      </c>
      <c r="L12" s="40">
        <v>44865.377210648148</v>
      </c>
    </row>
    <row r="13" spans="1:12" x14ac:dyDescent="0.25">
      <c r="A13" s="38">
        <f>ROW(A2)</f>
        <v>2</v>
      </c>
      <c r="B13" s="39" t="s">
        <v>957</v>
      </c>
      <c r="C13" s="37" t="s">
        <v>293</v>
      </c>
      <c r="D13" s="37" t="s">
        <v>294</v>
      </c>
      <c r="E13" s="37"/>
      <c r="F13" s="37"/>
      <c r="G13" s="37"/>
      <c r="H13" s="37" t="s">
        <v>263</v>
      </c>
      <c r="I13" s="37">
        <v>7</v>
      </c>
      <c r="J13" s="37" t="s">
        <v>223</v>
      </c>
      <c r="K13" s="37" t="s">
        <v>223</v>
      </c>
      <c r="L13" s="40">
        <v>44865.377199074072</v>
      </c>
    </row>
    <row r="14" spans="1:12" x14ac:dyDescent="0.25">
      <c r="A14" s="38">
        <f>ROW(A2)</f>
        <v>2</v>
      </c>
      <c r="B14" s="39" t="s">
        <v>957</v>
      </c>
      <c r="C14" s="37" t="s">
        <v>370</v>
      </c>
      <c r="D14" s="37" t="s">
        <v>371</v>
      </c>
      <c r="E14" s="37"/>
      <c r="F14" s="37"/>
      <c r="G14" s="37" t="s">
        <v>257</v>
      </c>
      <c r="H14" s="37" t="s">
        <v>240</v>
      </c>
      <c r="I14" s="37">
        <v>7</v>
      </c>
      <c r="J14" s="37" t="s">
        <v>223</v>
      </c>
      <c r="K14" s="37" t="s">
        <v>223</v>
      </c>
      <c r="L14" s="40">
        <v>44865.377199074072</v>
      </c>
    </row>
    <row r="15" spans="1:12" x14ac:dyDescent="0.25">
      <c r="A15" s="38">
        <f>ROW(A2)</f>
        <v>2</v>
      </c>
      <c r="B15" s="39" t="s">
        <v>957</v>
      </c>
      <c r="C15" s="37" t="s">
        <v>362</v>
      </c>
      <c r="D15" s="37">
        <v>4600</v>
      </c>
      <c r="E15" s="37"/>
      <c r="F15" s="37"/>
      <c r="G15" s="37"/>
      <c r="H15" s="37" t="s">
        <v>235</v>
      </c>
      <c r="I15" s="37">
        <v>11</v>
      </c>
      <c r="J15" s="37" t="s">
        <v>223</v>
      </c>
      <c r="K15" s="37" t="s">
        <v>223</v>
      </c>
      <c r="L15" s="40">
        <v>44865.377199074072</v>
      </c>
    </row>
    <row r="16" spans="1:12" x14ac:dyDescent="0.25">
      <c r="A16" s="38">
        <f>ROW(A2)</f>
        <v>2</v>
      </c>
      <c r="B16" s="39" t="s">
        <v>952</v>
      </c>
      <c r="C16" s="37" t="s">
        <v>558</v>
      </c>
      <c r="D16" s="37" t="s">
        <v>559</v>
      </c>
      <c r="E16" s="37"/>
      <c r="F16" s="37"/>
      <c r="G16" s="37" t="s">
        <v>419</v>
      </c>
      <c r="H16" s="37" t="s">
        <v>560</v>
      </c>
      <c r="I16" s="37">
        <v>1</v>
      </c>
      <c r="J16" s="37" t="s">
        <v>561</v>
      </c>
      <c r="K16" s="37" t="s">
        <v>223</v>
      </c>
      <c r="L16" s="40">
        <v>44865.375625000001</v>
      </c>
    </row>
    <row r="17" spans="1:12" x14ac:dyDescent="0.25">
      <c r="A17" s="38">
        <f>ROW(A2)</f>
        <v>2</v>
      </c>
      <c r="B17" s="39" t="s">
        <v>952</v>
      </c>
      <c r="C17" s="37" t="s">
        <v>425</v>
      </c>
      <c r="D17" s="37" t="s">
        <v>426</v>
      </c>
      <c r="E17" s="37"/>
      <c r="F17" s="37"/>
      <c r="G17" s="37" t="s">
        <v>257</v>
      </c>
      <c r="H17" s="37" t="s">
        <v>221</v>
      </c>
      <c r="I17" s="37">
        <v>15</v>
      </c>
      <c r="J17" s="37" t="s">
        <v>223</v>
      </c>
      <c r="K17" s="37" t="s">
        <v>223</v>
      </c>
      <c r="L17" s="40">
        <v>44865.375625000001</v>
      </c>
    </row>
    <row r="18" spans="1:12" x14ac:dyDescent="0.25">
      <c r="A18" s="38">
        <f>ROW(A2)</f>
        <v>2</v>
      </c>
      <c r="B18" s="39" t="s">
        <v>952</v>
      </c>
      <c r="C18" s="37" t="s">
        <v>660</v>
      </c>
      <c r="D18" s="37" t="s">
        <v>661</v>
      </c>
      <c r="E18" s="37"/>
      <c r="F18" s="37"/>
      <c r="G18" s="37" t="s">
        <v>419</v>
      </c>
      <c r="H18" s="37" t="s">
        <v>221</v>
      </c>
      <c r="I18" s="37">
        <v>100</v>
      </c>
      <c r="J18" s="37" t="s">
        <v>223</v>
      </c>
      <c r="K18" s="37" t="s">
        <v>223</v>
      </c>
      <c r="L18" s="40">
        <v>44865.375625000001</v>
      </c>
    </row>
    <row r="19" spans="1:12" x14ac:dyDescent="0.25">
      <c r="A19" s="38">
        <f>ROW(A2)</f>
        <v>2</v>
      </c>
      <c r="B19" s="39" t="s">
        <v>952</v>
      </c>
      <c r="C19" s="37" t="s">
        <v>591</v>
      </c>
      <c r="D19" s="37" t="s">
        <v>592</v>
      </c>
      <c r="E19" s="37"/>
      <c r="F19" s="37"/>
      <c r="G19" s="37" t="s">
        <v>269</v>
      </c>
      <c r="H19" s="37" t="s">
        <v>560</v>
      </c>
      <c r="I19" s="37">
        <v>1</v>
      </c>
      <c r="J19" s="37" t="s">
        <v>223</v>
      </c>
      <c r="K19" s="37" t="s">
        <v>223</v>
      </c>
      <c r="L19" s="40">
        <v>44865.375625000001</v>
      </c>
    </row>
    <row r="20" spans="1:12" x14ac:dyDescent="0.25">
      <c r="A20" s="38">
        <f>ROW(A2)</f>
        <v>2</v>
      </c>
      <c r="B20" s="39" t="s">
        <v>952</v>
      </c>
      <c r="C20" s="37" t="s">
        <v>370</v>
      </c>
      <c r="D20" s="37" t="s">
        <v>371</v>
      </c>
      <c r="E20" s="37"/>
      <c r="F20" s="37"/>
      <c r="G20" s="37" t="s">
        <v>257</v>
      </c>
      <c r="H20" s="37" t="s">
        <v>240</v>
      </c>
      <c r="I20" s="37">
        <v>7</v>
      </c>
      <c r="J20" s="37" t="s">
        <v>223</v>
      </c>
      <c r="K20" s="37" t="s">
        <v>223</v>
      </c>
      <c r="L20" s="40">
        <v>44865.375625000001</v>
      </c>
    </row>
    <row r="21" spans="1:12" x14ac:dyDescent="0.25">
      <c r="A21" s="38">
        <f>ROW(A2)</f>
        <v>2</v>
      </c>
      <c r="B21" s="39" t="s">
        <v>952</v>
      </c>
      <c r="C21" s="37" t="s">
        <v>642</v>
      </c>
      <c r="D21" s="37" t="s">
        <v>643</v>
      </c>
      <c r="E21" s="37"/>
      <c r="F21" s="37"/>
      <c r="G21" s="37" t="s">
        <v>220</v>
      </c>
      <c r="H21" s="37" t="s">
        <v>221</v>
      </c>
      <c r="I21" s="37">
        <v>4</v>
      </c>
      <c r="J21" s="37" t="s">
        <v>223</v>
      </c>
      <c r="K21" s="37" t="s">
        <v>223</v>
      </c>
      <c r="L21" s="40">
        <v>44860.761562500003</v>
      </c>
    </row>
    <row r="22" spans="1:12" x14ac:dyDescent="0.25">
      <c r="A22" s="38">
        <f>ROW(A2)</f>
        <v>2</v>
      </c>
      <c r="B22" s="39" t="s">
        <v>952</v>
      </c>
      <c r="C22" s="37" t="s">
        <v>401</v>
      </c>
      <c r="D22" s="37">
        <v>1480</v>
      </c>
      <c r="E22" s="37"/>
      <c r="F22" s="37" t="s">
        <v>233</v>
      </c>
      <c r="G22" s="37" t="s">
        <v>234</v>
      </c>
      <c r="H22" s="37" t="s">
        <v>235</v>
      </c>
      <c r="I22" s="37">
        <v>4</v>
      </c>
      <c r="J22" s="37" t="s">
        <v>223</v>
      </c>
      <c r="K22" s="37" t="s">
        <v>223</v>
      </c>
      <c r="L22" s="40">
        <v>44860.761562500003</v>
      </c>
    </row>
    <row r="23" spans="1:12" x14ac:dyDescent="0.25">
      <c r="A23" s="38">
        <f>ROW(A2)</f>
        <v>2</v>
      </c>
      <c r="B23" s="39" t="s">
        <v>952</v>
      </c>
      <c r="C23" s="37" t="s">
        <v>536</v>
      </c>
      <c r="D23" s="37">
        <v>1276</v>
      </c>
      <c r="E23" s="37"/>
      <c r="F23" s="37" t="s">
        <v>233</v>
      </c>
      <c r="G23" s="37" t="s">
        <v>234</v>
      </c>
      <c r="H23" s="37" t="s">
        <v>235</v>
      </c>
      <c r="I23" s="37">
        <v>4</v>
      </c>
      <c r="J23" s="37" t="s">
        <v>223</v>
      </c>
      <c r="K23" s="37" t="s">
        <v>223</v>
      </c>
      <c r="L23" s="40">
        <v>44860.761562500003</v>
      </c>
    </row>
    <row r="24" spans="1:12" x14ac:dyDescent="0.25">
      <c r="A24" s="38">
        <f>ROW(A2)</f>
        <v>2</v>
      </c>
      <c r="B24" s="39" t="s">
        <v>952</v>
      </c>
      <c r="C24" s="37" t="s">
        <v>660</v>
      </c>
      <c r="D24" s="37" t="s">
        <v>661</v>
      </c>
      <c r="E24" s="37"/>
      <c r="F24" s="37"/>
      <c r="G24" s="37" t="s">
        <v>419</v>
      </c>
      <c r="H24" s="37" t="s">
        <v>221</v>
      </c>
      <c r="I24" s="37">
        <v>100</v>
      </c>
      <c r="J24" s="37" t="s">
        <v>223</v>
      </c>
      <c r="K24" s="37" t="s">
        <v>223</v>
      </c>
      <c r="L24" s="40">
        <v>44860.761562500003</v>
      </c>
    </row>
    <row r="25" spans="1:12" x14ac:dyDescent="0.25">
      <c r="A25" s="38">
        <f>ROW(A2)</f>
        <v>2</v>
      </c>
      <c r="B25" s="39" t="s">
        <v>952</v>
      </c>
      <c r="C25" s="37" t="s">
        <v>1355</v>
      </c>
      <c r="D25" s="37" t="s">
        <v>1356</v>
      </c>
      <c r="E25" s="37"/>
      <c r="F25" s="37"/>
      <c r="G25" s="37"/>
      <c r="H25" s="37" t="s">
        <v>221</v>
      </c>
      <c r="I25" s="37">
        <v>2</v>
      </c>
      <c r="J25" s="37"/>
      <c r="K25" s="37" t="s">
        <v>223</v>
      </c>
      <c r="L25" s="40">
        <v>44860.761562500003</v>
      </c>
    </row>
    <row r="26" spans="1:12" x14ac:dyDescent="0.25">
      <c r="A26" s="38">
        <f>ROW(A2)</f>
        <v>2</v>
      </c>
      <c r="B26" s="39" t="s">
        <v>952</v>
      </c>
      <c r="C26" s="37" t="s">
        <v>1353</v>
      </c>
      <c r="D26" s="37" t="s">
        <v>1354</v>
      </c>
      <c r="E26" s="37"/>
      <c r="F26" s="37"/>
      <c r="G26" s="37"/>
      <c r="H26" s="37" t="s">
        <v>221</v>
      </c>
      <c r="I26" s="37">
        <v>2</v>
      </c>
      <c r="J26" s="37"/>
      <c r="K26" s="37" t="s">
        <v>223</v>
      </c>
      <c r="L26" s="40">
        <v>44860.761562500003</v>
      </c>
    </row>
    <row r="27" spans="1:12" x14ac:dyDescent="0.25">
      <c r="A27" s="38">
        <f>ROW(A2)</f>
        <v>2</v>
      </c>
      <c r="B27" s="39" t="s">
        <v>952</v>
      </c>
      <c r="C27" s="37" t="s">
        <v>1352</v>
      </c>
      <c r="D27" s="37">
        <v>1341002</v>
      </c>
      <c r="E27" s="37"/>
      <c r="F27" s="37"/>
      <c r="G27" s="37"/>
      <c r="H27" s="37" t="s">
        <v>221</v>
      </c>
      <c r="I27" s="37">
        <v>4</v>
      </c>
      <c r="J27" s="37"/>
      <c r="K27" s="37" t="s">
        <v>223</v>
      </c>
      <c r="L27" s="40">
        <v>44860.761562500003</v>
      </c>
    </row>
    <row r="28" spans="1:12" x14ac:dyDescent="0.25">
      <c r="A28" s="38">
        <f>ROW(A2)</f>
        <v>2</v>
      </c>
      <c r="B28" s="39" t="s">
        <v>952</v>
      </c>
      <c r="C28" s="37" t="s">
        <v>291</v>
      </c>
      <c r="D28" s="37">
        <v>1341003</v>
      </c>
      <c r="E28" s="37"/>
      <c r="F28" s="37"/>
      <c r="G28" s="37"/>
      <c r="H28" s="37" t="s">
        <v>221</v>
      </c>
      <c r="I28" s="37">
        <v>4</v>
      </c>
      <c r="J28" s="37"/>
      <c r="K28" s="37" t="s">
        <v>223</v>
      </c>
      <c r="L28" s="40">
        <v>44860.761562500003</v>
      </c>
    </row>
    <row r="29" spans="1:12" x14ac:dyDescent="0.25">
      <c r="A29" s="38">
        <f>ROW(A2)</f>
        <v>2</v>
      </c>
      <c r="B29" s="39" t="s">
        <v>952</v>
      </c>
      <c r="C29" s="37" t="s">
        <v>1351</v>
      </c>
      <c r="D29" s="37">
        <v>1341001</v>
      </c>
      <c r="E29" s="37"/>
      <c r="F29" s="37"/>
      <c r="G29" s="37"/>
      <c r="H29" s="37" t="s">
        <v>221</v>
      </c>
      <c r="I29" s="37">
        <v>2</v>
      </c>
      <c r="J29" s="37"/>
      <c r="K29" s="37" t="s">
        <v>32</v>
      </c>
      <c r="L29" s="40">
        <v>44860.761562500003</v>
      </c>
    </row>
    <row r="30" spans="1:12" x14ac:dyDescent="0.25">
      <c r="A30" s="38">
        <f>ROW(A2)</f>
        <v>2</v>
      </c>
      <c r="B30" s="39" t="s">
        <v>952</v>
      </c>
      <c r="C30" s="37" t="s">
        <v>1350</v>
      </c>
      <c r="D30" s="37">
        <v>1341004</v>
      </c>
      <c r="E30" s="37"/>
      <c r="F30" s="37"/>
      <c r="G30" s="37"/>
      <c r="H30" s="37" t="s">
        <v>221</v>
      </c>
      <c r="I30" s="37">
        <v>1</v>
      </c>
      <c r="J30" s="37"/>
      <c r="K30" s="37" t="s">
        <v>32</v>
      </c>
      <c r="L30" s="40">
        <v>44860.761562500003</v>
      </c>
    </row>
    <row r="31" spans="1:12" x14ac:dyDescent="0.25">
      <c r="A31" s="38">
        <f>ROW(A2)</f>
        <v>2</v>
      </c>
      <c r="B31" s="39" t="s">
        <v>1063</v>
      </c>
      <c r="C31" s="37" t="s">
        <v>1355</v>
      </c>
      <c r="D31" s="37" t="s">
        <v>1356</v>
      </c>
      <c r="E31" s="37"/>
      <c r="F31" s="37"/>
      <c r="G31" s="37"/>
      <c r="H31" s="37" t="s">
        <v>221</v>
      </c>
      <c r="I31" s="37">
        <v>0</v>
      </c>
      <c r="J31" s="37"/>
      <c r="K31" s="37" t="s">
        <v>223</v>
      </c>
      <c r="L31" s="40">
        <v>44860.758460648147</v>
      </c>
    </row>
    <row r="32" spans="1:12" x14ac:dyDescent="0.25">
      <c r="A32" s="38">
        <f>ROW(A2)</f>
        <v>2</v>
      </c>
      <c r="B32" s="39" t="s">
        <v>1063</v>
      </c>
      <c r="C32" s="37" t="s">
        <v>1353</v>
      </c>
      <c r="D32" s="37" t="s">
        <v>1354</v>
      </c>
      <c r="E32" s="37"/>
      <c r="F32" s="37"/>
      <c r="G32" s="37"/>
      <c r="H32" s="37" t="s">
        <v>221</v>
      </c>
      <c r="I32" s="37">
        <v>0</v>
      </c>
      <c r="J32" s="37"/>
      <c r="K32" s="37" t="s">
        <v>223</v>
      </c>
      <c r="L32" s="40">
        <v>44860.7580787037</v>
      </c>
    </row>
    <row r="33" spans="1:12" x14ac:dyDescent="0.25">
      <c r="A33" s="38">
        <f>ROW(A2)</f>
        <v>2</v>
      </c>
      <c r="B33" s="39" t="s">
        <v>1063</v>
      </c>
      <c r="C33" s="37" t="s">
        <v>1352</v>
      </c>
      <c r="D33" s="37">
        <v>1341002</v>
      </c>
      <c r="E33" s="37"/>
      <c r="F33" s="37"/>
      <c r="G33" s="37"/>
      <c r="H33" s="37" t="s">
        <v>221</v>
      </c>
      <c r="I33" s="37">
        <v>0</v>
      </c>
      <c r="J33" s="37"/>
      <c r="K33" s="37" t="s">
        <v>223</v>
      </c>
      <c r="L33" s="40">
        <v>44860.757685185185</v>
      </c>
    </row>
    <row r="34" spans="1:12" x14ac:dyDescent="0.25">
      <c r="A34" s="38">
        <f>ROW(A2)</f>
        <v>2</v>
      </c>
      <c r="B34" s="39" t="s">
        <v>1063</v>
      </c>
      <c r="C34" s="37" t="s">
        <v>291</v>
      </c>
      <c r="D34" s="37">
        <v>1341003</v>
      </c>
      <c r="E34" s="37"/>
      <c r="F34" s="37"/>
      <c r="G34" s="37"/>
      <c r="H34" s="37" t="s">
        <v>221</v>
      </c>
      <c r="I34" s="37">
        <v>0</v>
      </c>
      <c r="J34" s="37"/>
      <c r="K34" s="37" t="s">
        <v>223</v>
      </c>
      <c r="L34" s="40">
        <v>44860.757349537038</v>
      </c>
    </row>
    <row r="35" spans="1:12" x14ac:dyDescent="0.25">
      <c r="A35" s="38">
        <f>ROW(A2)</f>
        <v>2</v>
      </c>
      <c r="B35" s="39" t="s">
        <v>1063</v>
      </c>
      <c r="C35" s="37" t="s">
        <v>1351</v>
      </c>
      <c r="D35" s="37">
        <v>1341001</v>
      </c>
      <c r="E35" s="37"/>
      <c r="F35" s="37"/>
      <c r="G35" s="37"/>
      <c r="H35" s="37" t="s">
        <v>221</v>
      </c>
      <c r="I35" s="37">
        <v>0</v>
      </c>
      <c r="J35" s="37"/>
      <c r="K35" s="37" t="s">
        <v>32</v>
      </c>
      <c r="L35" s="40">
        <v>44860.756990740738</v>
      </c>
    </row>
    <row r="36" spans="1:12" x14ac:dyDescent="0.25">
      <c r="A36" s="38">
        <f>ROW(A2)</f>
        <v>2</v>
      </c>
      <c r="B36" s="39" t="s">
        <v>1063</v>
      </c>
      <c r="C36" s="37" t="s">
        <v>1350</v>
      </c>
      <c r="D36" s="37">
        <v>1341004</v>
      </c>
      <c r="E36" s="37"/>
      <c r="F36" s="37"/>
      <c r="G36" s="37"/>
      <c r="H36" s="37" t="s">
        <v>221</v>
      </c>
      <c r="I36" s="37">
        <v>0</v>
      </c>
      <c r="J36" s="37"/>
      <c r="K36" s="37" t="s">
        <v>32</v>
      </c>
      <c r="L36" s="40">
        <v>44860.756527777776</v>
      </c>
    </row>
    <row r="37" spans="1:12" x14ac:dyDescent="0.25">
      <c r="A37" s="38">
        <f>ROW(A2)</f>
        <v>2</v>
      </c>
      <c r="B37" s="39" t="s">
        <v>957</v>
      </c>
      <c r="C37" s="37" t="s">
        <v>1344</v>
      </c>
      <c r="D37" s="37" t="s">
        <v>1345</v>
      </c>
      <c r="E37" s="37"/>
      <c r="F37" s="37"/>
      <c r="G37" s="37"/>
      <c r="H37" s="37" t="s">
        <v>221</v>
      </c>
      <c r="I37" s="37">
        <v>1</v>
      </c>
      <c r="J37" s="37"/>
      <c r="K37" s="37" t="s">
        <v>223</v>
      </c>
      <c r="L37" s="40">
        <v>44859.590219907404</v>
      </c>
    </row>
    <row r="38" spans="1:12" x14ac:dyDescent="0.25">
      <c r="A38" s="38">
        <f>ROW(A2)</f>
        <v>2</v>
      </c>
      <c r="B38" s="39" t="s">
        <v>952</v>
      </c>
      <c r="C38" s="37" t="s">
        <v>1344</v>
      </c>
      <c r="D38" s="37" t="s">
        <v>1345</v>
      </c>
      <c r="E38" s="37"/>
      <c r="F38" s="37"/>
      <c r="G38" s="37"/>
      <c r="H38" s="37" t="s">
        <v>221</v>
      </c>
      <c r="I38" s="37">
        <v>1</v>
      </c>
      <c r="J38" s="37"/>
      <c r="K38" s="37" t="s">
        <v>223</v>
      </c>
      <c r="L38" s="40">
        <v>44859.589548611111</v>
      </c>
    </row>
    <row r="39" spans="1:12" x14ac:dyDescent="0.25">
      <c r="A39" s="38">
        <f>ROW(A2)</f>
        <v>2</v>
      </c>
      <c r="B39" s="39" t="s">
        <v>1063</v>
      </c>
      <c r="C39" s="37" t="s">
        <v>1344</v>
      </c>
      <c r="D39" s="37" t="s">
        <v>1345</v>
      </c>
      <c r="E39" s="37"/>
      <c r="F39" s="37"/>
      <c r="G39" s="37"/>
      <c r="H39" s="37" t="s">
        <v>221</v>
      </c>
      <c r="I39" s="37">
        <v>0</v>
      </c>
      <c r="J39" s="37"/>
      <c r="K39" s="37" t="s">
        <v>223</v>
      </c>
      <c r="L39" s="40">
        <v>44859.588854166665</v>
      </c>
    </row>
    <row r="40" spans="1:12" x14ac:dyDescent="0.25">
      <c r="A40" s="38">
        <f>ROW(A2)</f>
        <v>2</v>
      </c>
      <c r="B40" s="39" t="s">
        <v>957</v>
      </c>
      <c r="C40" s="37" t="s">
        <v>1339</v>
      </c>
      <c r="D40" s="37" t="s">
        <v>1340</v>
      </c>
      <c r="E40" s="37"/>
      <c r="F40" s="37"/>
      <c r="G40" s="37"/>
      <c r="H40" s="37" t="s">
        <v>221</v>
      </c>
      <c r="I40" s="37">
        <v>50</v>
      </c>
      <c r="J40" s="37"/>
      <c r="K40" s="37" t="s">
        <v>1259</v>
      </c>
      <c r="L40" s="40">
        <v>44859.578692129631</v>
      </c>
    </row>
    <row r="41" spans="1:12" x14ac:dyDescent="0.25">
      <c r="A41" s="38">
        <f>ROW(A2)</f>
        <v>2</v>
      </c>
      <c r="B41" s="39" t="s">
        <v>957</v>
      </c>
      <c r="C41" s="37" t="s">
        <v>660</v>
      </c>
      <c r="D41" s="37" t="s">
        <v>661</v>
      </c>
      <c r="E41" s="37"/>
      <c r="F41" s="37"/>
      <c r="G41" s="37" t="s">
        <v>419</v>
      </c>
      <c r="H41" s="37" t="s">
        <v>221</v>
      </c>
      <c r="I41" s="37">
        <v>50</v>
      </c>
      <c r="J41" s="37" t="s">
        <v>223</v>
      </c>
      <c r="K41" s="37" t="s">
        <v>1259</v>
      </c>
      <c r="L41" s="40">
        <v>44859.578692129631</v>
      </c>
    </row>
    <row r="42" spans="1:12" x14ac:dyDescent="0.25">
      <c r="A42" s="38">
        <f>ROW(A2)</f>
        <v>2</v>
      </c>
      <c r="B42" s="39" t="s">
        <v>957</v>
      </c>
      <c r="C42" s="37" t="s">
        <v>1265</v>
      </c>
      <c r="D42" s="37" t="s">
        <v>1266</v>
      </c>
      <c r="E42" s="37"/>
      <c r="F42" s="37"/>
      <c r="G42" s="37"/>
      <c r="H42" s="37" t="s">
        <v>1267</v>
      </c>
      <c r="I42" s="37">
        <v>1</v>
      </c>
      <c r="J42" s="37"/>
      <c r="K42" s="37" t="s">
        <v>1262</v>
      </c>
      <c r="L42" s="40">
        <v>44859.578692129631</v>
      </c>
    </row>
    <row r="43" spans="1:12" x14ac:dyDescent="0.25">
      <c r="A43" s="38">
        <f>ROW(A2)</f>
        <v>2</v>
      </c>
      <c r="B43" s="39" t="s">
        <v>957</v>
      </c>
      <c r="C43" s="37" t="s">
        <v>1337</v>
      </c>
      <c r="D43" s="37" t="s">
        <v>1338</v>
      </c>
      <c r="E43" s="37"/>
      <c r="F43" s="37"/>
      <c r="G43" s="37"/>
      <c r="H43" s="37" t="s">
        <v>221</v>
      </c>
      <c r="I43" s="37">
        <v>1</v>
      </c>
      <c r="J43" s="37"/>
      <c r="K43" s="37" t="s">
        <v>1259</v>
      </c>
      <c r="L43" s="40">
        <v>44859.578692129631</v>
      </c>
    </row>
    <row r="44" spans="1:12" x14ac:dyDescent="0.25">
      <c r="A44" s="38">
        <f>ROW(A2)</f>
        <v>2</v>
      </c>
      <c r="B44" s="39" t="s">
        <v>957</v>
      </c>
      <c r="C44" s="37" t="s">
        <v>1335</v>
      </c>
      <c r="D44" s="37" t="s">
        <v>1336</v>
      </c>
      <c r="E44" s="37"/>
      <c r="F44" s="37"/>
      <c r="G44" s="37"/>
      <c r="H44" s="37" t="s">
        <v>221</v>
      </c>
      <c r="I44" s="37">
        <v>4</v>
      </c>
      <c r="J44" s="37"/>
      <c r="K44" s="37" t="s">
        <v>1259</v>
      </c>
      <c r="L44" s="40">
        <v>44859.578692129631</v>
      </c>
    </row>
    <row r="45" spans="1:12" x14ac:dyDescent="0.25">
      <c r="A45" s="38">
        <f>ROW(A2)</f>
        <v>2</v>
      </c>
      <c r="B45" s="39" t="s">
        <v>952</v>
      </c>
      <c r="C45" s="37" t="s">
        <v>1339</v>
      </c>
      <c r="D45" s="37" t="s">
        <v>1340</v>
      </c>
      <c r="E45" s="37"/>
      <c r="F45" s="37"/>
      <c r="G45" s="37"/>
      <c r="H45" s="37" t="s">
        <v>221</v>
      </c>
      <c r="I45" s="37">
        <v>50</v>
      </c>
      <c r="J45" s="37"/>
      <c r="K45" s="37" t="s">
        <v>1262</v>
      </c>
      <c r="L45" s="40">
        <v>44859.576053240744</v>
      </c>
    </row>
    <row r="46" spans="1:12" x14ac:dyDescent="0.25">
      <c r="A46" s="38">
        <f>ROW(A2)</f>
        <v>2</v>
      </c>
      <c r="B46" s="39" t="s">
        <v>952</v>
      </c>
      <c r="C46" s="37" t="s">
        <v>660</v>
      </c>
      <c r="D46" s="37" t="s">
        <v>661</v>
      </c>
      <c r="E46" s="37"/>
      <c r="F46" s="37"/>
      <c r="G46" s="37" t="s">
        <v>419</v>
      </c>
      <c r="H46" s="37" t="s">
        <v>221</v>
      </c>
      <c r="I46" s="37">
        <v>50</v>
      </c>
      <c r="J46" s="37" t="s">
        <v>223</v>
      </c>
      <c r="K46" s="37" t="s">
        <v>1259</v>
      </c>
      <c r="L46" s="40">
        <v>44859.576053240744</v>
      </c>
    </row>
    <row r="47" spans="1:12" x14ac:dyDescent="0.25">
      <c r="A47" s="38">
        <f>ROW(A2)</f>
        <v>2</v>
      </c>
      <c r="B47" s="39" t="s">
        <v>952</v>
      </c>
      <c r="C47" s="37" t="s">
        <v>1335</v>
      </c>
      <c r="D47" s="37" t="s">
        <v>1336</v>
      </c>
      <c r="E47" s="37"/>
      <c r="F47" s="37"/>
      <c r="G47" s="37"/>
      <c r="H47" s="37" t="s">
        <v>221</v>
      </c>
      <c r="I47" s="37">
        <v>4</v>
      </c>
      <c r="J47" s="37"/>
      <c r="K47" s="37" t="s">
        <v>1259</v>
      </c>
      <c r="L47" s="40">
        <v>44859.576053240744</v>
      </c>
    </row>
    <row r="48" spans="1:12" x14ac:dyDescent="0.25">
      <c r="A48" s="38">
        <f>ROW(A2)</f>
        <v>2</v>
      </c>
      <c r="B48" s="39" t="s">
        <v>952</v>
      </c>
      <c r="C48" s="37" t="s">
        <v>1265</v>
      </c>
      <c r="D48" s="37" t="s">
        <v>1266</v>
      </c>
      <c r="E48" s="37"/>
      <c r="F48" s="37"/>
      <c r="G48" s="37"/>
      <c r="H48" s="37" t="s">
        <v>1267</v>
      </c>
      <c r="I48" s="37">
        <v>1</v>
      </c>
      <c r="J48" s="37"/>
      <c r="K48" s="37" t="s">
        <v>1262</v>
      </c>
      <c r="L48" s="40">
        <v>44859.576053240744</v>
      </c>
    </row>
    <row r="49" spans="1:12" x14ac:dyDescent="0.25">
      <c r="A49" s="38">
        <f>ROW(A2)</f>
        <v>2</v>
      </c>
      <c r="B49" s="39" t="s">
        <v>952</v>
      </c>
      <c r="C49" s="37" t="s">
        <v>1337</v>
      </c>
      <c r="D49" s="37" t="s">
        <v>1338</v>
      </c>
      <c r="E49" s="37"/>
      <c r="F49" s="37"/>
      <c r="G49" s="37"/>
      <c r="H49" s="37" t="s">
        <v>221</v>
      </c>
      <c r="I49" s="37">
        <v>1</v>
      </c>
      <c r="J49" s="37"/>
      <c r="K49" s="37" t="s">
        <v>1259</v>
      </c>
      <c r="L49" s="40">
        <v>44859.576053240744</v>
      </c>
    </row>
    <row r="50" spans="1:12" x14ac:dyDescent="0.25">
      <c r="A50" s="38">
        <f>ROW(A2)</f>
        <v>2</v>
      </c>
      <c r="B50" s="39" t="s">
        <v>1063</v>
      </c>
      <c r="C50" s="37" t="s">
        <v>1339</v>
      </c>
      <c r="D50" s="37" t="s">
        <v>1340</v>
      </c>
      <c r="E50" s="37"/>
      <c r="F50" s="37"/>
      <c r="G50" s="37"/>
      <c r="H50" s="37" t="s">
        <v>221</v>
      </c>
      <c r="I50" s="37">
        <v>0</v>
      </c>
      <c r="J50" s="37"/>
      <c r="K50" s="37" t="s">
        <v>32</v>
      </c>
      <c r="L50" s="40">
        <v>44859.573935185188</v>
      </c>
    </row>
    <row r="51" spans="1:12" x14ac:dyDescent="0.25">
      <c r="A51" s="38">
        <f>ROW(A2)</f>
        <v>2</v>
      </c>
      <c r="B51" s="39" t="s">
        <v>1063</v>
      </c>
      <c r="C51" s="37" t="s">
        <v>1337</v>
      </c>
      <c r="D51" s="37" t="s">
        <v>1338</v>
      </c>
      <c r="E51" s="37"/>
      <c r="F51" s="37"/>
      <c r="G51" s="37"/>
      <c r="H51" s="37" t="s">
        <v>221</v>
      </c>
      <c r="I51" s="37">
        <v>0</v>
      </c>
      <c r="J51" s="37"/>
      <c r="K51" s="37" t="s">
        <v>1259</v>
      </c>
      <c r="L51" s="40">
        <v>44859.573634259257</v>
      </c>
    </row>
    <row r="52" spans="1:12" x14ac:dyDescent="0.25">
      <c r="A52" s="38">
        <f>ROW(A2)</f>
        <v>2</v>
      </c>
      <c r="B52" s="39" t="s">
        <v>1063</v>
      </c>
      <c r="C52" s="37" t="s">
        <v>1335</v>
      </c>
      <c r="D52" s="37" t="s">
        <v>1336</v>
      </c>
      <c r="E52" s="37"/>
      <c r="F52" s="37"/>
      <c r="G52" s="37"/>
      <c r="H52" s="37" t="s">
        <v>221</v>
      </c>
      <c r="I52" s="37">
        <v>0</v>
      </c>
      <c r="J52" s="37"/>
      <c r="K52" s="37" t="s">
        <v>1259</v>
      </c>
      <c r="L52" s="40">
        <v>44859.573321759257</v>
      </c>
    </row>
    <row r="53" spans="1:12" x14ac:dyDescent="0.25">
      <c r="A53" s="38">
        <f>ROW(A2)</f>
        <v>2</v>
      </c>
      <c r="B53" s="39" t="s">
        <v>957</v>
      </c>
      <c r="C53" s="37" t="s">
        <v>405</v>
      </c>
      <c r="D53" s="37">
        <v>2220</v>
      </c>
      <c r="E53" s="37"/>
      <c r="F53" s="37" t="s">
        <v>233</v>
      </c>
      <c r="G53" s="37" t="s">
        <v>234</v>
      </c>
      <c r="H53" s="37" t="s">
        <v>235</v>
      </c>
      <c r="I53" s="37">
        <v>9</v>
      </c>
      <c r="J53" s="37" t="s">
        <v>223</v>
      </c>
      <c r="K53" s="37" t="s">
        <v>223</v>
      </c>
      <c r="L53" s="40">
        <v>44859.56386574074</v>
      </c>
    </row>
    <row r="54" spans="1:12" x14ac:dyDescent="0.25">
      <c r="A54" s="38">
        <f>ROW(A2)</f>
        <v>2</v>
      </c>
      <c r="B54" s="39" t="s">
        <v>957</v>
      </c>
      <c r="C54" s="37" t="s">
        <v>710</v>
      </c>
      <c r="D54" s="37" t="s">
        <v>711</v>
      </c>
      <c r="E54" s="37"/>
      <c r="F54" s="37"/>
      <c r="G54" s="37" t="s">
        <v>257</v>
      </c>
      <c r="H54" s="37" t="s">
        <v>448</v>
      </c>
      <c r="I54" s="37">
        <v>3</v>
      </c>
      <c r="J54" s="37" t="s">
        <v>223</v>
      </c>
      <c r="K54" s="37" t="s">
        <v>223</v>
      </c>
      <c r="L54" s="40">
        <v>44859.56386574074</v>
      </c>
    </row>
    <row r="55" spans="1:12" x14ac:dyDescent="0.25">
      <c r="A55" s="38">
        <f>ROW(A2)</f>
        <v>2</v>
      </c>
      <c r="B55" s="39" t="s">
        <v>952</v>
      </c>
      <c r="C55" s="37" t="s">
        <v>405</v>
      </c>
      <c r="D55" s="37">
        <v>2220</v>
      </c>
      <c r="E55" s="37"/>
      <c r="F55" s="37" t="s">
        <v>233</v>
      </c>
      <c r="G55" s="37" t="s">
        <v>234</v>
      </c>
      <c r="H55" s="37" t="s">
        <v>235</v>
      </c>
      <c r="I55" s="37">
        <v>3</v>
      </c>
      <c r="J55" s="37" t="s">
        <v>223</v>
      </c>
      <c r="K55" s="37" t="s">
        <v>1259</v>
      </c>
      <c r="L55" s="40">
        <v>44859.562013888892</v>
      </c>
    </row>
    <row r="56" spans="1:12" x14ac:dyDescent="0.25">
      <c r="A56" s="38">
        <f>ROW(A2)</f>
        <v>2</v>
      </c>
      <c r="B56" s="39" t="s">
        <v>952</v>
      </c>
      <c r="C56" s="37" t="s">
        <v>710</v>
      </c>
      <c r="D56" s="37" t="s">
        <v>711</v>
      </c>
      <c r="E56" s="37"/>
      <c r="F56" s="37"/>
      <c r="G56" s="37" t="s">
        <v>257</v>
      </c>
      <c r="H56" s="37" t="s">
        <v>448</v>
      </c>
      <c r="I56" s="37">
        <v>3</v>
      </c>
      <c r="J56" s="37" t="s">
        <v>223</v>
      </c>
      <c r="K56" s="37" t="s">
        <v>1259</v>
      </c>
      <c r="L56" s="40">
        <v>44859.562013888892</v>
      </c>
    </row>
    <row r="57" spans="1:12" x14ac:dyDescent="0.25">
      <c r="A57" s="38">
        <f>ROW(A2)</f>
        <v>2</v>
      </c>
      <c r="B57" s="39" t="s">
        <v>957</v>
      </c>
      <c r="C57" s="37" t="s">
        <v>1326</v>
      </c>
      <c r="D57" s="37" t="s">
        <v>1327</v>
      </c>
      <c r="E57" s="37"/>
      <c r="F57" s="37"/>
      <c r="G57" s="37"/>
      <c r="H57" s="37" t="s">
        <v>221</v>
      </c>
      <c r="I57" s="37">
        <v>22</v>
      </c>
      <c r="J57" s="37"/>
      <c r="K57" s="37" t="s">
        <v>223</v>
      </c>
      <c r="L57" s="40">
        <v>44859.550891203704</v>
      </c>
    </row>
    <row r="58" spans="1:12" x14ac:dyDescent="0.25">
      <c r="A58" s="38">
        <f>ROW(A2)</f>
        <v>2</v>
      </c>
      <c r="B58" s="39" t="s">
        <v>952</v>
      </c>
      <c r="C58" s="37" t="s">
        <v>1326</v>
      </c>
      <c r="D58" s="37" t="s">
        <v>1327</v>
      </c>
      <c r="E58" s="37"/>
      <c r="F58" s="37"/>
      <c r="G58" s="37"/>
      <c r="H58" s="37" t="s">
        <v>221</v>
      </c>
      <c r="I58" s="37">
        <v>22</v>
      </c>
      <c r="J58" s="37"/>
      <c r="K58" s="37" t="s">
        <v>223</v>
      </c>
      <c r="L58" s="40">
        <v>44859.550092592595</v>
      </c>
    </row>
    <row r="59" spans="1:12" x14ac:dyDescent="0.25">
      <c r="A59" s="38">
        <f>ROW(A2)</f>
        <v>2</v>
      </c>
      <c r="B59" s="39" t="s">
        <v>1063</v>
      </c>
      <c r="C59" s="37" t="s">
        <v>1326</v>
      </c>
      <c r="D59" s="37" t="s">
        <v>1327</v>
      </c>
      <c r="E59" s="37"/>
      <c r="F59" s="37"/>
      <c r="G59" s="37"/>
      <c r="H59" s="37" t="s">
        <v>221</v>
      </c>
      <c r="I59" s="37">
        <v>0</v>
      </c>
      <c r="J59" s="37"/>
      <c r="K59" s="37" t="s">
        <v>223</v>
      </c>
      <c r="L59" s="40">
        <v>44859.549247685187</v>
      </c>
    </row>
    <row r="60" spans="1:12" x14ac:dyDescent="0.25">
      <c r="A60" s="38">
        <f>ROW(A2)</f>
        <v>2</v>
      </c>
      <c r="B60" s="39" t="s">
        <v>957</v>
      </c>
      <c r="C60" s="37" t="s">
        <v>380</v>
      </c>
      <c r="D60" s="37" t="s">
        <v>381</v>
      </c>
      <c r="E60" s="37"/>
      <c r="F60" s="37"/>
      <c r="G60" s="37" t="s">
        <v>257</v>
      </c>
      <c r="H60" s="37" t="s">
        <v>382</v>
      </c>
      <c r="I60" s="37">
        <v>1</v>
      </c>
      <c r="J60" s="37" t="s">
        <v>223</v>
      </c>
      <c r="K60" s="37" t="s">
        <v>223</v>
      </c>
      <c r="L60" s="40">
        <v>44859.507743055554</v>
      </c>
    </row>
    <row r="61" spans="1:12" x14ac:dyDescent="0.25">
      <c r="A61" s="38">
        <f>ROW(A2)</f>
        <v>2</v>
      </c>
      <c r="B61" s="39" t="s">
        <v>952</v>
      </c>
      <c r="C61" s="37" t="s">
        <v>380</v>
      </c>
      <c r="D61" s="37" t="s">
        <v>381</v>
      </c>
      <c r="E61" s="37"/>
      <c r="F61" s="37"/>
      <c r="G61" s="37" t="s">
        <v>257</v>
      </c>
      <c r="H61" s="37" t="s">
        <v>382</v>
      </c>
      <c r="I61" s="37">
        <v>1</v>
      </c>
      <c r="J61" s="37" t="s">
        <v>223</v>
      </c>
      <c r="K61" s="37" t="s">
        <v>223</v>
      </c>
      <c r="L61" s="40">
        <v>44859.507060185184</v>
      </c>
    </row>
    <row r="62" spans="1:12" x14ac:dyDescent="0.25">
      <c r="A62" s="38">
        <f>ROW(A2)</f>
        <v>2</v>
      </c>
      <c r="B62" s="39" t="s">
        <v>957</v>
      </c>
      <c r="C62" s="37" t="s">
        <v>1317</v>
      </c>
      <c r="D62" s="37" t="s">
        <v>1318</v>
      </c>
      <c r="E62" s="37"/>
      <c r="F62" s="37"/>
      <c r="G62" s="37"/>
      <c r="H62" s="37" t="s">
        <v>231</v>
      </c>
      <c r="I62" s="37">
        <v>10</v>
      </c>
      <c r="J62" s="37"/>
      <c r="K62" s="37" t="s">
        <v>223</v>
      </c>
      <c r="L62" s="40">
        <v>44859.504074074073</v>
      </c>
    </row>
    <row r="63" spans="1:12" x14ac:dyDescent="0.25">
      <c r="A63" s="38">
        <f>ROW(A2)</f>
        <v>2</v>
      </c>
      <c r="B63" s="39" t="s">
        <v>952</v>
      </c>
      <c r="C63" s="37" t="s">
        <v>1317</v>
      </c>
      <c r="D63" s="37" t="s">
        <v>1318</v>
      </c>
      <c r="E63" s="37"/>
      <c r="F63" s="37"/>
      <c r="G63" s="37"/>
      <c r="H63" s="37" t="s">
        <v>231</v>
      </c>
      <c r="I63" s="37">
        <v>10</v>
      </c>
      <c r="J63" s="37"/>
      <c r="K63" s="37" t="s">
        <v>223</v>
      </c>
      <c r="L63" s="40">
        <v>44859.503078703703</v>
      </c>
    </row>
    <row r="64" spans="1:12" x14ac:dyDescent="0.25">
      <c r="A64" s="38">
        <f>ROW(A2)</f>
        <v>2</v>
      </c>
      <c r="B64" s="39" t="s">
        <v>1063</v>
      </c>
      <c r="C64" s="37" t="s">
        <v>1317</v>
      </c>
      <c r="D64" s="37" t="s">
        <v>1318</v>
      </c>
      <c r="E64" s="37"/>
      <c r="F64" s="37"/>
      <c r="G64" s="37"/>
      <c r="H64" s="37" t="s">
        <v>231</v>
      </c>
      <c r="I64" s="37">
        <v>0</v>
      </c>
      <c r="J64" s="37"/>
      <c r="K64" s="37" t="s">
        <v>223</v>
      </c>
      <c r="L64" s="40">
        <v>44859.50209490741</v>
      </c>
    </row>
    <row r="65" spans="1:12" x14ac:dyDescent="0.25">
      <c r="A65" s="38">
        <f>ROW(A2)</f>
        <v>2</v>
      </c>
      <c r="B65" s="39" t="s">
        <v>957</v>
      </c>
      <c r="C65" s="37" t="s">
        <v>1311</v>
      </c>
      <c r="D65" s="37" t="s">
        <v>1312</v>
      </c>
      <c r="E65" s="37"/>
      <c r="F65" s="37"/>
      <c r="G65" s="37"/>
      <c r="H65" s="37" t="s">
        <v>221</v>
      </c>
      <c r="I65" s="37">
        <v>2</v>
      </c>
      <c r="J65" s="37"/>
      <c r="K65" s="37" t="s">
        <v>223</v>
      </c>
      <c r="L65" s="40">
        <v>44859.500590277778</v>
      </c>
    </row>
    <row r="66" spans="1:12" x14ac:dyDescent="0.25">
      <c r="A66" s="38">
        <f>ROW(A2)</f>
        <v>2</v>
      </c>
      <c r="B66" s="39" t="s">
        <v>952</v>
      </c>
      <c r="C66" s="37" t="s">
        <v>1311</v>
      </c>
      <c r="D66" s="37" t="s">
        <v>1312</v>
      </c>
      <c r="E66" s="37"/>
      <c r="F66" s="37"/>
      <c r="G66" s="37"/>
      <c r="H66" s="37" t="s">
        <v>221</v>
      </c>
      <c r="I66" s="37">
        <v>2</v>
      </c>
      <c r="J66" s="37"/>
      <c r="K66" s="37" t="s">
        <v>223</v>
      </c>
      <c r="L66" s="40">
        <v>44859.499745370369</v>
      </c>
    </row>
    <row r="67" spans="1:12" x14ac:dyDescent="0.25">
      <c r="A67" s="38">
        <f>ROW(A2)</f>
        <v>2</v>
      </c>
      <c r="B67" s="39" t="s">
        <v>1063</v>
      </c>
      <c r="C67" s="37" t="s">
        <v>1311</v>
      </c>
      <c r="D67" s="37" t="s">
        <v>1312</v>
      </c>
      <c r="E67" s="37"/>
      <c r="F67" s="37"/>
      <c r="G67" s="37"/>
      <c r="H67" s="37" t="s">
        <v>221</v>
      </c>
      <c r="I67" s="37">
        <v>0</v>
      </c>
      <c r="J67" s="37"/>
      <c r="K67" s="37" t="s">
        <v>223</v>
      </c>
      <c r="L67" s="40">
        <v>44859.498113425929</v>
      </c>
    </row>
    <row r="68" spans="1:12" x14ac:dyDescent="0.25">
      <c r="A68" s="38">
        <f>ROW(A2)</f>
        <v>2</v>
      </c>
      <c r="B68" s="39" t="s">
        <v>957</v>
      </c>
      <c r="C68" s="37" t="s">
        <v>1304</v>
      </c>
      <c r="D68" s="37" t="s">
        <v>1305</v>
      </c>
      <c r="E68" s="37"/>
      <c r="F68" s="37"/>
      <c r="G68" s="37"/>
      <c r="H68" s="37" t="s">
        <v>221</v>
      </c>
      <c r="I68" s="37">
        <v>3</v>
      </c>
      <c r="J68" s="37"/>
      <c r="K68" s="37" t="s">
        <v>223</v>
      </c>
      <c r="L68" s="40">
        <v>44859.497164351851</v>
      </c>
    </row>
    <row r="69" spans="1:12" x14ac:dyDescent="0.25">
      <c r="A69" s="38">
        <f>ROW(A2)</f>
        <v>2</v>
      </c>
      <c r="B69" s="39" t="s">
        <v>952</v>
      </c>
      <c r="C69" s="37" t="s">
        <v>1304</v>
      </c>
      <c r="D69" s="37" t="s">
        <v>1305</v>
      </c>
      <c r="E69" s="37"/>
      <c r="F69" s="37"/>
      <c r="G69" s="37"/>
      <c r="H69" s="37" t="s">
        <v>221</v>
      </c>
      <c r="I69" s="37">
        <v>3</v>
      </c>
      <c r="J69" s="37"/>
      <c r="K69" s="37" t="s">
        <v>223</v>
      </c>
      <c r="L69" s="40">
        <v>44859.496215277781</v>
      </c>
    </row>
    <row r="70" spans="1:12" x14ac:dyDescent="0.25">
      <c r="A70" s="38">
        <f>ROW(A2)</f>
        <v>2</v>
      </c>
      <c r="B70" s="39" t="s">
        <v>1063</v>
      </c>
      <c r="C70" s="37" t="s">
        <v>1304</v>
      </c>
      <c r="D70" s="37" t="s">
        <v>1305</v>
      </c>
      <c r="E70" s="37"/>
      <c r="F70" s="37"/>
      <c r="G70" s="37"/>
      <c r="H70" s="37" t="s">
        <v>221</v>
      </c>
      <c r="I70" s="37">
        <v>0</v>
      </c>
      <c r="J70" s="37"/>
      <c r="K70" s="37" t="s">
        <v>1259</v>
      </c>
      <c r="L70" s="40">
        <v>44859.495428240742</v>
      </c>
    </row>
    <row r="71" spans="1:12" x14ac:dyDescent="0.25">
      <c r="A71" s="38">
        <f>ROW(A2)</f>
        <v>2</v>
      </c>
      <c r="B71" s="39" t="s">
        <v>957</v>
      </c>
      <c r="C71" s="37" t="s">
        <v>1268</v>
      </c>
      <c r="D71" s="37" t="s">
        <v>1269</v>
      </c>
      <c r="E71" s="37"/>
      <c r="F71" s="37"/>
      <c r="G71" s="37"/>
      <c r="H71" s="37" t="s">
        <v>221</v>
      </c>
      <c r="I71" s="37">
        <v>2</v>
      </c>
      <c r="J71" s="37"/>
      <c r="K71" s="37" t="s">
        <v>1259</v>
      </c>
      <c r="L71" s="40">
        <v>44859.490474537037</v>
      </c>
    </row>
    <row r="72" spans="1:12" x14ac:dyDescent="0.25">
      <c r="A72" s="38">
        <f>ROW(A2)</f>
        <v>2</v>
      </c>
      <c r="B72" s="39" t="s">
        <v>957</v>
      </c>
      <c r="C72" s="37" t="s">
        <v>1265</v>
      </c>
      <c r="D72" s="37" t="s">
        <v>1266</v>
      </c>
      <c r="E72" s="37"/>
      <c r="F72" s="37"/>
      <c r="G72" s="37"/>
      <c r="H72" s="37" t="s">
        <v>1267</v>
      </c>
      <c r="I72" s="37">
        <v>1</v>
      </c>
      <c r="J72" s="37"/>
      <c r="K72" s="37" t="s">
        <v>1262</v>
      </c>
      <c r="L72" s="40">
        <v>44859.490474537037</v>
      </c>
    </row>
    <row r="73" spans="1:12" x14ac:dyDescent="0.25">
      <c r="A73" s="38">
        <f>ROW(A2)</f>
        <v>2</v>
      </c>
      <c r="B73" s="39" t="s">
        <v>957</v>
      </c>
      <c r="C73" s="37" t="s">
        <v>1263</v>
      </c>
      <c r="D73" s="37" t="s">
        <v>1264</v>
      </c>
      <c r="E73" s="37"/>
      <c r="F73" s="37"/>
      <c r="G73" s="37"/>
      <c r="H73" s="37" t="s">
        <v>221</v>
      </c>
      <c r="I73" s="37">
        <v>2</v>
      </c>
      <c r="J73" s="37"/>
      <c r="K73" s="37" t="s">
        <v>1259</v>
      </c>
      <c r="L73" s="40">
        <v>44859.490474537037</v>
      </c>
    </row>
    <row r="74" spans="1:12" x14ac:dyDescent="0.25">
      <c r="A74" s="38">
        <f>ROW(A2)</f>
        <v>2</v>
      </c>
      <c r="B74" s="39" t="s">
        <v>957</v>
      </c>
      <c r="C74" s="37" t="s">
        <v>662</v>
      </c>
      <c r="D74" s="37" t="s">
        <v>663</v>
      </c>
      <c r="E74" s="37"/>
      <c r="F74" s="37"/>
      <c r="G74" s="37"/>
      <c r="H74" s="37" t="s">
        <v>570</v>
      </c>
      <c r="I74" s="37">
        <v>2</v>
      </c>
      <c r="J74" s="37"/>
      <c r="K74" s="37" t="s">
        <v>1259</v>
      </c>
      <c r="L74" s="40">
        <v>44859.490474537037</v>
      </c>
    </row>
    <row r="75" spans="1:12" x14ac:dyDescent="0.25">
      <c r="A75" s="38">
        <f>ROW(A2)</f>
        <v>2</v>
      </c>
      <c r="B75" s="39" t="s">
        <v>957</v>
      </c>
      <c r="C75" s="37" t="s">
        <v>446</v>
      </c>
      <c r="D75" s="37" t="s">
        <v>447</v>
      </c>
      <c r="E75" s="37"/>
      <c r="F75" s="37"/>
      <c r="G75" s="37"/>
      <c r="H75" s="37" t="s">
        <v>448</v>
      </c>
      <c r="I75" s="37">
        <v>1</v>
      </c>
      <c r="J75" s="37"/>
      <c r="K75" s="37" t="s">
        <v>1259</v>
      </c>
      <c r="L75" s="40">
        <v>44859.490474537037</v>
      </c>
    </row>
    <row r="76" spans="1:12" x14ac:dyDescent="0.25">
      <c r="A76" s="38">
        <f>ROW(A2)</f>
        <v>2</v>
      </c>
      <c r="B76" s="39" t="s">
        <v>957</v>
      </c>
      <c r="C76" s="37" t="s">
        <v>1260</v>
      </c>
      <c r="D76" s="37" t="s">
        <v>1261</v>
      </c>
      <c r="E76" s="37"/>
      <c r="F76" s="37"/>
      <c r="G76" s="37"/>
      <c r="H76" s="37" t="s">
        <v>221</v>
      </c>
      <c r="I76" s="37">
        <v>1</v>
      </c>
      <c r="J76" s="37"/>
      <c r="K76" s="37" t="s">
        <v>1262</v>
      </c>
      <c r="L76" s="40">
        <v>44859.490474537037</v>
      </c>
    </row>
    <row r="77" spans="1:12" x14ac:dyDescent="0.25">
      <c r="A77" s="38">
        <f>ROW(A2)</f>
        <v>2</v>
      </c>
      <c r="B77" s="39" t="s">
        <v>957</v>
      </c>
      <c r="C77" s="37" t="s">
        <v>1256</v>
      </c>
      <c r="D77" s="37" t="s">
        <v>1257</v>
      </c>
      <c r="E77" s="37"/>
      <c r="F77" s="37"/>
      <c r="G77" s="37"/>
      <c r="H77" s="37" t="s">
        <v>1258</v>
      </c>
      <c r="I77" s="37">
        <v>2</v>
      </c>
      <c r="J77" s="37"/>
      <c r="K77" s="37" t="s">
        <v>1259</v>
      </c>
      <c r="L77" s="40">
        <v>44859.490474537037</v>
      </c>
    </row>
    <row r="78" spans="1:12" x14ac:dyDescent="0.25">
      <c r="A78" s="38">
        <f>ROW(A2)</f>
        <v>2</v>
      </c>
      <c r="B78" s="39" t="s">
        <v>952</v>
      </c>
      <c r="C78" s="37" t="s">
        <v>1268</v>
      </c>
      <c r="D78" s="37" t="s">
        <v>1269</v>
      </c>
      <c r="E78" s="37"/>
      <c r="F78" s="37"/>
      <c r="G78" s="37"/>
      <c r="H78" s="37" t="s">
        <v>221</v>
      </c>
      <c r="I78" s="37">
        <v>2</v>
      </c>
      <c r="J78" s="37"/>
      <c r="K78" s="37" t="s">
        <v>1259</v>
      </c>
      <c r="L78" s="40">
        <v>44859.486886574072</v>
      </c>
    </row>
    <row r="79" spans="1:12" x14ac:dyDescent="0.25">
      <c r="A79" s="38">
        <f>ROW(A2)</f>
        <v>2</v>
      </c>
      <c r="B79" s="39" t="s">
        <v>952</v>
      </c>
      <c r="C79" s="37" t="s">
        <v>1265</v>
      </c>
      <c r="D79" s="37" t="s">
        <v>1266</v>
      </c>
      <c r="E79" s="37"/>
      <c r="F79" s="37"/>
      <c r="G79" s="37"/>
      <c r="H79" s="37" t="s">
        <v>1267</v>
      </c>
      <c r="I79" s="37">
        <v>1</v>
      </c>
      <c r="J79" s="37"/>
      <c r="K79" s="37" t="s">
        <v>1262</v>
      </c>
      <c r="L79" s="40">
        <v>44859.486886574072</v>
      </c>
    </row>
    <row r="80" spans="1:12" x14ac:dyDescent="0.25">
      <c r="A80" s="38">
        <f>ROW(A2)</f>
        <v>2</v>
      </c>
      <c r="B80" s="39" t="s">
        <v>952</v>
      </c>
      <c r="C80" s="37" t="s">
        <v>1263</v>
      </c>
      <c r="D80" s="37" t="s">
        <v>1264</v>
      </c>
      <c r="E80" s="37"/>
      <c r="F80" s="37"/>
      <c r="G80" s="37"/>
      <c r="H80" s="37" t="s">
        <v>221</v>
      </c>
      <c r="I80" s="37">
        <v>2</v>
      </c>
      <c r="J80" s="37"/>
      <c r="K80" s="37" t="s">
        <v>1259</v>
      </c>
      <c r="L80" s="40">
        <v>44859.486886574072</v>
      </c>
    </row>
    <row r="81" spans="1:12" x14ac:dyDescent="0.25">
      <c r="A81" s="38">
        <f>ROW(A2)</f>
        <v>2</v>
      </c>
      <c r="B81" s="39" t="s">
        <v>952</v>
      </c>
      <c r="C81" s="37" t="s">
        <v>662</v>
      </c>
      <c r="D81" s="37" t="s">
        <v>663</v>
      </c>
      <c r="E81" s="37"/>
      <c r="F81" s="37"/>
      <c r="G81" s="37"/>
      <c r="H81" s="37" t="s">
        <v>570</v>
      </c>
      <c r="I81" s="37">
        <v>2</v>
      </c>
      <c r="J81" s="37"/>
      <c r="K81" s="37" t="s">
        <v>223</v>
      </c>
      <c r="L81" s="40">
        <v>44859.486886574072</v>
      </c>
    </row>
    <row r="82" spans="1:12" x14ac:dyDescent="0.25">
      <c r="A82" s="38">
        <f>ROW(A2)</f>
        <v>2</v>
      </c>
      <c r="B82" s="39" t="s">
        <v>952</v>
      </c>
      <c r="C82" s="37" t="s">
        <v>446</v>
      </c>
      <c r="D82" s="37" t="s">
        <v>447</v>
      </c>
      <c r="E82" s="37"/>
      <c r="F82" s="37"/>
      <c r="G82" s="37"/>
      <c r="H82" s="37" t="s">
        <v>448</v>
      </c>
      <c r="I82" s="37">
        <v>1</v>
      </c>
      <c r="J82" s="37"/>
      <c r="K82" s="37" t="s">
        <v>223</v>
      </c>
      <c r="L82" s="40">
        <v>44859.486886574072</v>
      </c>
    </row>
    <row r="83" spans="1:12" x14ac:dyDescent="0.25">
      <c r="A83" s="38">
        <f>ROW(A2)</f>
        <v>2</v>
      </c>
      <c r="B83" s="39" t="s">
        <v>952</v>
      </c>
      <c r="C83" s="37" t="s">
        <v>1260</v>
      </c>
      <c r="D83" s="37" t="s">
        <v>1261</v>
      </c>
      <c r="E83" s="37"/>
      <c r="F83" s="37"/>
      <c r="G83" s="37"/>
      <c r="H83" s="37" t="s">
        <v>221</v>
      </c>
      <c r="I83" s="37">
        <v>1</v>
      </c>
      <c r="J83" s="37"/>
      <c r="K83" s="37" t="s">
        <v>1262</v>
      </c>
      <c r="L83" s="40">
        <v>44859.486886574072</v>
      </c>
    </row>
    <row r="84" spans="1:12" x14ac:dyDescent="0.25">
      <c r="A84" s="38">
        <f>ROW(A2)</f>
        <v>2</v>
      </c>
      <c r="B84" s="39" t="s">
        <v>952</v>
      </c>
      <c r="C84" s="37" t="s">
        <v>1256</v>
      </c>
      <c r="D84" s="37" t="s">
        <v>1257</v>
      </c>
      <c r="E84" s="37"/>
      <c r="F84" s="37"/>
      <c r="G84" s="37"/>
      <c r="H84" s="37" t="s">
        <v>1258</v>
      </c>
      <c r="I84" s="37">
        <v>2</v>
      </c>
      <c r="J84" s="37"/>
      <c r="K84" s="37" t="s">
        <v>1259</v>
      </c>
      <c r="L84" s="40">
        <v>44859.486886574072</v>
      </c>
    </row>
    <row r="85" spans="1:12" x14ac:dyDescent="0.25">
      <c r="A85" s="38">
        <f>ROW(A2)</f>
        <v>2</v>
      </c>
      <c r="B85" s="39" t="s">
        <v>957</v>
      </c>
      <c r="C85" s="37" t="s">
        <v>746</v>
      </c>
      <c r="D85" s="37" t="s">
        <v>747</v>
      </c>
      <c r="E85" s="37"/>
      <c r="F85" s="37"/>
      <c r="G85" s="37"/>
      <c r="H85" s="37" t="s">
        <v>570</v>
      </c>
      <c r="I85" s="37">
        <v>2</v>
      </c>
      <c r="J85" s="37"/>
      <c r="K85" s="37" t="s">
        <v>629</v>
      </c>
      <c r="L85" s="40">
        <v>44858.756655092591</v>
      </c>
    </row>
    <row r="86" spans="1:12" x14ac:dyDescent="0.25">
      <c r="A86" s="38">
        <f>ROW(A2)</f>
        <v>2</v>
      </c>
      <c r="B86" s="39" t="s">
        <v>952</v>
      </c>
      <c r="C86" s="37" t="s">
        <v>746</v>
      </c>
      <c r="D86" s="37" t="s">
        <v>747</v>
      </c>
      <c r="E86" s="37"/>
      <c r="F86" s="37"/>
      <c r="G86" s="37"/>
      <c r="H86" s="37" t="s">
        <v>570</v>
      </c>
      <c r="I86" s="37">
        <v>2</v>
      </c>
      <c r="J86" s="37"/>
      <c r="K86" s="37" t="s">
        <v>223</v>
      </c>
      <c r="L86" s="40">
        <v>44858.756111111114</v>
      </c>
    </row>
    <row r="87" spans="1:12" x14ac:dyDescent="0.25">
      <c r="A87" s="38">
        <f>ROW(A2)</f>
        <v>2</v>
      </c>
      <c r="B87" s="39" t="s">
        <v>957</v>
      </c>
      <c r="C87" s="37" t="s">
        <v>1285</v>
      </c>
      <c r="D87" s="37" t="s">
        <v>1286</v>
      </c>
      <c r="E87" s="37"/>
      <c r="F87" s="37"/>
      <c r="G87" s="37"/>
      <c r="H87" s="37" t="s">
        <v>382</v>
      </c>
      <c r="I87" s="37">
        <v>4</v>
      </c>
      <c r="J87" s="37"/>
      <c r="K87" s="37" t="s">
        <v>223</v>
      </c>
      <c r="L87" s="40">
        <v>44858.755462962959</v>
      </c>
    </row>
    <row r="88" spans="1:12" x14ac:dyDescent="0.25">
      <c r="A88" s="38">
        <f>ROW(A2)</f>
        <v>2</v>
      </c>
      <c r="B88" s="39" t="s">
        <v>957</v>
      </c>
      <c r="C88" s="37" t="s">
        <v>446</v>
      </c>
      <c r="D88" s="37" t="s">
        <v>447</v>
      </c>
      <c r="E88" s="37"/>
      <c r="F88" s="37"/>
      <c r="G88" s="37"/>
      <c r="H88" s="37" t="s">
        <v>448</v>
      </c>
      <c r="I88" s="37">
        <v>1</v>
      </c>
      <c r="J88" s="37"/>
      <c r="K88" s="37" t="s">
        <v>223</v>
      </c>
      <c r="L88" s="40">
        <v>44858.755462962959</v>
      </c>
    </row>
    <row r="89" spans="1:12" x14ac:dyDescent="0.25">
      <c r="A89" s="38">
        <f>ROW(A2)</f>
        <v>2</v>
      </c>
      <c r="B89" s="39" t="s">
        <v>957</v>
      </c>
      <c r="C89" s="37" t="s">
        <v>662</v>
      </c>
      <c r="D89" s="37" t="s">
        <v>663</v>
      </c>
      <c r="E89" s="37"/>
      <c r="F89" s="37"/>
      <c r="G89" s="37"/>
      <c r="H89" s="37" t="s">
        <v>570</v>
      </c>
      <c r="I89" s="37">
        <v>8</v>
      </c>
      <c r="J89" s="37"/>
      <c r="K89" s="37" t="s">
        <v>223</v>
      </c>
      <c r="L89" s="40">
        <v>44858.755462962959</v>
      </c>
    </row>
    <row r="90" spans="1:12" x14ac:dyDescent="0.25">
      <c r="A90" s="38">
        <f>ROW(A2)</f>
        <v>2</v>
      </c>
      <c r="B90" s="39" t="s">
        <v>957</v>
      </c>
      <c r="C90" s="37" t="s">
        <v>529</v>
      </c>
      <c r="D90" s="37" t="s">
        <v>530</v>
      </c>
      <c r="E90" s="37"/>
      <c r="F90" s="37"/>
      <c r="G90" s="37" t="s">
        <v>531</v>
      </c>
      <c r="H90" s="37" t="s">
        <v>221</v>
      </c>
      <c r="I90" s="37">
        <v>10</v>
      </c>
      <c r="J90" s="37" t="s">
        <v>532</v>
      </c>
      <c r="K90" s="37" t="s">
        <v>223</v>
      </c>
      <c r="L90" s="40">
        <v>44858.755462962959</v>
      </c>
    </row>
    <row r="91" spans="1:12" x14ac:dyDescent="0.25">
      <c r="A91" s="38">
        <f>ROW(A2)</f>
        <v>2</v>
      </c>
      <c r="B91" s="39" t="s">
        <v>957</v>
      </c>
      <c r="C91" s="37" t="s">
        <v>1287</v>
      </c>
      <c r="D91" s="37" t="s">
        <v>1288</v>
      </c>
      <c r="E91" s="37"/>
      <c r="F91" s="37"/>
      <c r="G91" s="37"/>
      <c r="H91" s="37" t="s">
        <v>221</v>
      </c>
      <c r="I91" s="37">
        <v>100</v>
      </c>
      <c r="J91" s="37"/>
      <c r="K91" s="37" t="s">
        <v>223</v>
      </c>
      <c r="L91" s="40">
        <v>44858.755462962959</v>
      </c>
    </row>
    <row r="92" spans="1:12" x14ac:dyDescent="0.25">
      <c r="A92" s="38">
        <f>ROW(A2)</f>
        <v>2</v>
      </c>
      <c r="B92" s="39" t="s">
        <v>957</v>
      </c>
      <c r="C92" s="37" t="s">
        <v>332</v>
      </c>
      <c r="D92" s="37" t="s">
        <v>333</v>
      </c>
      <c r="E92" s="37"/>
      <c r="F92" s="37"/>
      <c r="G92" s="37" t="s">
        <v>269</v>
      </c>
      <c r="H92" s="37" t="s">
        <v>240</v>
      </c>
      <c r="I92" s="37">
        <v>1</v>
      </c>
      <c r="J92" s="37" t="s">
        <v>281</v>
      </c>
      <c r="K92" s="37" t="s">
        <v>32</v>
      </c>
      <c r="L92" s="40">
        <v>44858.755462962959</v>
      </c>
    </row>
    <row r="93" spans="1:12" x14ac:dyDescent="0.25">
      <c r="A93" s="38">
        <f>ROW(A2)</f>
        <v>2</v>
      </c>
      <c r="B93" s="39" t="s">
        <v>957</v>
      </c>
      <c r="C93" s="37" t="s">
        <v>425</v>
      </c>
      <c r="D93" s="37" t="s">
        <v>426</v>
      </c>
      <c r="E93" s="37"/>
      <c r="F93" s="37"/>
      <c r="G93" s="37" t="s">
        <v>257</v>
      </c>
      <c r="H93" s="37" t="s">
        <v>221</v>
      </c>
      <c r="I93" s="37">
        <v>40</v>
      </c>
      <c r="J93" s="37" t="s">
        <v>223</v>
      </c>
      <c r="K93" s="37" t="s">
        <v>223</v>
      </c>
      <c r="L93" s="40">
        <v>44858.755462962959</v>
      </c>
    </row>
    <row r="94" spans="1:12" x14ac:dyDescent="0.25">
      <c r="A94" s="38">
        <f>ROW(A2)</f>
        <v>2</v>
      </c>
      <c r="B94" s="39" t="s">
        <v>957</v>
      </c>
      <c r="C94" s="37" t="s">
        <v>1283</v>
      </c>
      <c r="D94" s="37" t="s">
        <v>1284</v>
      </c>
      <c r="E94" s="37"/>
      <c r="F94" s="37"/>
      <c r="G94" s="37"/>
      <c r="H94" s="37" t="s">
        <v>221</v>
      </c>
      <c r="I94" s="37">
        <v>200</v>
      </c>
      <c r="J94" s="37"/>
      <c r="K94" s="37" t="s">
        <v>223</v>
      </c>
      <c r="L94" s="40">
        <v>44858.755462962959</v>
      </c>
    </row>
    <row r="95" spans="1:12" x14ac:dyDescent="0.25">
      <c r="A95" s="38">
        <f>ROW(A2)</f>
        <v>2</v>
      </c>
      <c r="B95" s="39" t="s">
        <v>957</v>
      </c>
      <c r="C95" s="37" t="s">
        <v>708</v>
      </c>
      <c r="D95" s="37" t="s">
        <v>709</v>
      </c>
      <c r="E95" s="37"/>
      <c r="F95" s="37"/>
      <c r="G95" s="37" t="s">
        <v>261</v>
      </c>
      <c r="H95" s="37" t="s">
        <v>448</v>
      </c>
      <c r="I95" s="37">
        <v>20</v>
      </c>
      <c r="J95" s="37" t="s">
        <v>223</v>
      </c>
      <c r="K95" s="37" t="s">
        <v>223</v>
      </c>
      <c r="L95" s="40">
        <v>44858.755462962959</v>
      </c>
    </row>
    <row r="96" spans="1:12" x14ac:dyDescent="0.25">
      <c r="A96" s="38">
        <f>ROW(A2)</f>
        <v>2</v>
      </c>
      <c r="B96" s="39" t="s">
        <v>957</v>
      </c>
      <c r="C96" s="37" t="s">
        <v>441</v>
      </c>
      <c r="D96" s="37" t="s">
        <v>442</v>
      </c>
      <c r="E96" s="37"/>
      <c r="F96" s="37"/>
      <c r="G96" s="37" t="s">
        <v>419</v>
      </c>
      <c r="H96" s="37" t="s">
        <v>240</v>
      </c>
      <c r="I96" s="37">
        <v>64</v>
      </c>
      <c r="J96" s="37" t="s">
        <v>223</v>
      </c>
      <c r="K96" s="37" t="s">
        <v>223</v>
      </c>
      <c r="L96" s="40">
        <v>44858.75545138889</v>
      </c>
    </row>
    <row r="97" spans="1:12" x14ac:dyDescent="0.25">
      <c r="A97" s="38">
        <f>ROW(A2)</f>
        <v>2</v>
      </c>
      <c r="B97" s="39" t="s">
        <v>957</v>
      </c>
      <c r="C97" s="37" t="s">
        <v>512</v>
      </c>
      <c r="D97" s="37" t="s">
        <v>513</v>
      </c>
      <c r="E97" s="37"/>
      <c r="F97" s="37"/>
      <c r="G97" s="37" t="s">
        <v>269</v>
      </c>
      <c r="H97" s="37" t="s">
        <v>514</v>
      </c>
      <c r="I97" s="37">
        <v>16</v>
      </c>
      <c r="J97" s="37" t="s">
        <v>223</v>
      </c>
      <c r="K97" s="37" t="s">
        <v>223</v>
      </c>
      <c r="L97" s="40">
        <v>44858.75545138889</v>
      </c>
    </row>
    <row r="98" spans="1:12" x14ac:dyDescent="0.25">
      <c r="A98" s="38">
        <f>ROW(A2)</f>
        <v>2</v>
      </c>
      <c r="B98" s="39" t="s">
        <v>957</v>
      </c>
      <c r="C98" s="37" t="s">
        <v>372</v>
      </c>
      <c r="D98" s="37">
        <v>7250</v>
      </c>
      <c r="E98" s="37"/>
      <c r="F98" s="37"/>
      <c r="G98" s="37" t="s">
        <v>269</v>
      </c>
      <c r="H98" s="37" t="s">
        <v>240</v>
      </c>
      <c r="I98" s="37">
        <v>16</v>
      </c>
      <c r="J98" s="37" t="s">
        <v>223</v>
      </c>
      <c r="K98" s="37" t="s">
        <v>223</v>
      </c>
      <c r="L98" s="40">
        <v>44858.75545138889</v>
      </c>
    </row>
    <row r="99" spans="1:12" x14ac:dyDescent="0.25">
      <c r="A99" s="38">
        <f>ROW(A2)</f>
        <v>2</v>
      </c>
      <c r="B99" s="39" t="s">
        <v>957</v>
      </c>
      <c r="C99" s="37" t="s">
        <v>596</v>
      </c>
      <c r="D99" s="37" t="s">
        <v>597</v>
      </c>
      <c r="E99" s="37"/>
      <c r="F99" s="37"/>
      <c r="G99" s="37"/>
      <c r="H99" s="37" t="s">
        <v>235</v>
      </c>
      <c r="I99" s="37">
        <v>32</v>
      </c>
      <c r="J99" s="37" t="s">
        <v>223</v>
      </c>
      <c r="K99" s="37" t="s">
        <v>223</v>
      </c>
      <c r="L99" s="40">
        <v>44858.75545138889</v>
      </c>
    </row>
    <row r="100" spans="1:12" x14ac:dyDescent="0.25">
      <c r="A100" s="38">
        <f>ROW(A2)</f>
        <v>2</v>
      </c>
      <c r="B100" s="39" t="s">
        <v>957</v>
      </c>
      <c r="C100" s="37" t="s">
        <v>469</v>
      </c>
      <c r="D100" s="37" t="s">
        <v>470</v>
      </c>
      <c r="E100" s="37"/>
      <c r="F100" s="37"/>
      <c r="G100" s="37"/>
      <c r="H100" s="37" t="s">
        <v>243</v>
      </c>
      <c r="I100" s="37">
        <v>40</v>
      </c>
      <c r="J100" s="37" t="s">
        <v>223</v>
      </c>
      <c r="K100" s="37" t="s">
        <v>223</v>
      </c>
      <c r="L100" s="40">
        <v>44858.752187500002</v>
      </c>
    </row>
    <row r="101" spans="1:12" x14ac:dyDescent="0.25">
      <c r="A101" s="38">
        <f>ROW(A2)</f>
        <v>2</v>
      </c>
      <c r="B101" s="39" t="s">
        <v>957</v>
      </c>
      <c r="C101" s="37" t="s">
        <v>467</v>
      </c>
      <c r="D101" s="37" t="s">
        <v>468</v>
      </c>
      <c r="E101" s="37"/>
      <c r="F101" s="37"/>
      <c r="G101" s="37"/>
      <c r="H101" s="37" t="s">
        <v>243</v>
      </c>
      <c r="I101" s="37">
        <v>60</v>
      </c>
      <c r="J101" s="37" t="s">
        <v>223</v>
      </c>
      <c r="K101" s="37" t="s">
        <v>223</v>
      </c>
      <c r="L101" s="40">
        <v>44858.752187500002</v>
      </c>
    </row>
    <row r="102" spans="1:12" x14ac:dyDescent="0.25">
      <c r="A102" s="38">
        <f>ROW(A2)</f>
        <v>2</v>
      </c>
      <c r="B102" s="39" t="s">
        <v>957</v>
      </c>
      <c r="C102" s="37" t="s">
        <v>370</v>
      </c>
      <c r="D102" s="37" t="s">
        <v>371</v>
      </c>
      <c r="E102" s="37"/>
      <c r="F102" s="37"/>
      <c r="G102" s="37" t="s">
        <v>257</v>
      </c>
      <c r="H102" s="37" t="s">
        <v>240</v>
      </c>
      <c r="I102" s="37">
        <v>6</v>
      </c>
      <c r="J102" s="37" t="s">
        <v>223</v>
      </c>
      <c r="K102" s="37" t="s">
        <v>223</v>
      </c>
      <c r="L102" s="40">
        <v>44858.752187500002</v>
      </c>
    </row>
    <row r="103" spans="1:12" x14ac:dyDescent="0.25">
      <c r="A103" s="38">
        <f>ROW(A2)</f>
        <v>2</v>
      </c>
      <c r="B103" s="39" t="s">
        <v>957</v>
      </c>
      <c r="C103" s="37" t="s">
        <v>293</v>
      </c>
      <c r="D103" s="37" t="s">
        <v>294</v>
      </c>
      <c r="E103" s="37"/>
      <c r="F103" s="37"/>
      <c r="G103" s="37"/>
      <c r="H103" s="37" t="s">
        <v>263</v>
      </c>
      <c r="I103" s="37">
        <v>6</v>
      </c>
      <c r="J103" s="37" t="s">
        <v>223</v>
      </c>
      <c r="K103" s="37" t="s">
        <v>223</v>
      </c>
      <c r="L103" s="40">
        <v>44858.752187500002</v>
      </c>
    </row>
    <row r="104" spans="1:12" x14ac:dyDescent="0.25">
      <c r="A104" s="38">
        <f>ROW(A2)</f>
        <v>2</v>
      </c>
      <c r="B104" s="39" t="s">
        <v>957</v>
      </c>
      <c r="C104" s="37" t="s">
        <v>600</v>
      </c>
      <c r="D104" s="37" t="s">
        <v>601</v>
      </c>
      <c r="E104" s="37"/>
      <c r="F104" s="37"/>
      <c r="G104" s="37" t="s">
        <v>257</v>
      </c>
      <c r="H104" s="37" t="s">
        <v>235</v>
      </c>
      <c r="I104" s="37">
        <v>40</v>
      </c>
      <c r="J104" s="37" t="s">
        <v>223</v>
      </c>
      <c r="K104" s="37" t="s">
        <v>223</v>
      </c>
      <c r="L104" s="40">
        <v>44858.752187500002</v>
      </c>
    </row>
    <row r="105" spans="1:12" x14ac:dyDescent="0.25">
      <c r="A105" s="38">
        <f>ROW(A2)</f>
        <v>2</v>
      </c>
      <c r="B105" s="39" t="s">
        <v>957</v>
      </c>
      <c r="C105" s="37" t="s">
        <v>591</v>
      </c>
      <c r="D105" s="37" t="s">
        <v>592</v>
      </c>
      <c r="E105" s="37"/>
      <c r="F105" s="37"/>
      <c r="G105" s="37" t="s">
        <v>269</v>
      </c>
      <c r="H105" s="37" t="s">
        <v>560</v>
      </c>
      <c r="I105" s="37">
        <v>1</v>
      </c>
      <c r="J105" s="37" t="s">
        <v>223</v>
      </c>
      <c r="K105" s="37" t="s">
        <v>223</v>
      </c>
      <c r="L105" s="40">
        <v>44858.752187500002</v>
      </c>
    </row>
    <row r="106" spans="1:12" x14ac:dyDescent="0.25">
      <c r="A106" s="38">
        <f>ROW(A2)</f>
        <v>2</v>
      </c>
      <c r="B106" s="39" t="s">
        <v>957</v>
      </c>
      <c r="C106" s="37" t="s">
        <v>555</v>
      </c>
      <c r="D106" s="37" t="s">
        <v>556</v>
      </c>
      <c r="E106" s="37"/>
      <c r="F106" s="37"/>
      <c r="G106" s="37" t="s">
        <v>419</v>
      </c>
      <c r="H106" s="37" t="s">
        <v>557</v>
      </c>
      <c r="I106" s="37">
        <v>1</v>
      </c>
      <c r="J106" s="37" t="s">
        <v>223</v>
      </c>
      <c r="K106" s="37" t="s">
        <v>223</v>
      </c>
      <c r="L106" s="40">
        <v>44858.752175925925</v>
      </c>
    </row>
    <row r="107" spans="1:12" x14ac:dyDescent="0.25">
      <c r="A107" s="38">
        <f>ROW(A2)</f>
        <v>2</v>
      </c>
      <c r="B107" s="39" t="s">
        <v>957</v>
      </c>
      <c r="C107" s="37" t="s">
        <v>660</v>
      </c>
      <c r="D107" s="37" t="s">
        <v>661</v>
      </c>
      <c r="E107" s="37"/>
      <c r="F107" s="37"/>
      <c r="G107" s="37" t="s">
        <v>419</v>
      </c>
      <c r="H107" s="37" t="s">
        <v>221</v>
      </c>
      <c r="I107" s="37">
        <v>200</v>
      </c>
      <c r="J107" s="37" t="s">
        <v>223</v>
      </c>
      <c r="K107" s="37" t="s">
        <v>223</v>
      </c>
      <c r="L107" s="40">
        <v>44858.752175925925</v>
      </c>
    </row>
    <row r="108" spans="1:12" x14ac:dyDescent="0.25">
      <c r="A108" s="38">
        <f>ROW(A2)</f>
        <v>2</v>
      </c>
      <c r="B108" s="39" t="s">
        <v>957</v>
      </c>
      <c r="C108" s="37" t="s">
        <v>449</v>
      </c>
      <c r="D108" s="37" t="s">
        <v>451</v>
      </c>
      <c r="E108" s="37"/>
      <c r="F108" s="37"/>
      <c r="G108" s="37" t="s">
        <v>257</v>
      </c>
      <c r="H108" s="37" t="s">
        <v>243</v>
      </c>
      <c r="I108" s="37">
        <v>750</v>
      </c>
      <c r="J108" s="37" t="s">
        <v>223</v>
      </c>
      <c r="K108" s="37" t="s">
        <v>223</v>
      </c>
      <c r="L108" s="40">
        <v>44858.752175925925</v>
      </c>
    </row>
    <row r="109" spans="1:12" x14ac:dyDescent="0.25">
      <c r="A109" s="38">
        <f>ROW(A2)</f>
        <v>2</v>
      </c>
      <c r="B109" s="39" t="s">
        <v>957</v>
      </c>
      <c r="C109" s="37" t="s">
        <v>435</v>
      </c>
      <c r="D109" s="37" t="s">
        <v>436</v>
      </c>
      <c r="E109" s="37"/>
      <c r="F109" s="37"/>
      <c r="G109" s="37"/>
      <c r="H109" s="37" t="s">
        <v>235</v>
      </c>
      <c r="I109" s="37">
        <v>128</v>
      </c>
      <c r="J109" s="37" t="s">
        <v>223</v>
      </c>
      <c r="K109" s="37" t="s">
        <v>223</v>
      </c>
      <c r="L109" s="40">
        <v>44858.752175925925</v>
      </c>
    </row>
    <row r="110" spans="1:12" x14ac:dyDescent="0.25">
      <c r="A110" s="38">
        <f>ROW(A2)</f>
        <v>2</v>
      </c>
      <c r="B110" s="39" t="s">
        <v>957</v>
      </c>
      <c r="C110" s="37" t="s">
        <v>655</v>
      </c>
      <c r="D110" s="37">
        <v>4604</v>
      </c>
      <c r="E110" s="37"/>
      <c r="F110" s="37"/>
      <c r="G110" s="37" t="s">
        <v>230</v>
      </c>
      <c r="H110" s="37" t="s">
        <v>240</v>
      </c>
      <c r="I110" s="37">
        <v>14</v>
      </c>
      <c r="J110" s="37" t="s">
        <v>223</v>
      </c>
      <c r="K110" s="37" t="s">
        <v>223</v>
      </c>
      <c r="L110" s="40">
        <v>44858.752175925925</v>
      </c>
    </row>
    <row r="111" spans="1:12" x14ac:dyDescent="0.25">
      <c r="A111" s="38">
        <f>ROW(A2)</f>
        <v>2</v>
      </c>
      <c r="B111" s="39" t="s">
        <v>957</v>
      </c>
      <c r="C111" s="37" t="s">
        <v>478</v>
      </c>
      <c r="D111" s="37">
        <v>4605</v>
      </c>
      <c r="E111" s="37"/>
      <c r="F111" s="37"/>
      <c r="G111" s="37" t="s">
        <v>230</v>
      </c>
      <c r="H111" s="37" t="s">
        <v>240</v>
      </c>
      <c r="I111" s="37">
        <v>42</v>
      </c>
      <c r="J111" s="37" t="s">
        <v>223</v>
      </c>
      <c r="K111" s="37" t="s">
        <v>223</v>
      </c>
      <c r="L111" s="40">
        <v>44858.752175925925</v>
      </c>
    </row>
    <row r="112" spans="1:12" x14ac:dyDescent="0.25">
      <c r="A112" s="38">
        <f>ROW(A2)</f>
        <v>2</v>
      </c>
      <c r="B112" s="39" t="s">
        <v>957</v>
      </c>
      <c r="C112" s="37" t="s">
        <v>329</v>
      </c>
      <c r="D112" s="37">
        <v>4601</v>
      </c>
      <c r="E112" s="37"/>
      <c r="F112" s="37"/>
      <c r="G112" s="37" t="s">
        <v>230</v>
      </c>
      <c r="H112" s="37" t="s">
        <v>240</v>
      </c>
      <c r="I112" s="37">
        <v>28</v>
      </c>
      <c r="J112" s="37" t="s">
        <v>223</v>
      </c>
      <c r="K112" s="37" t="s">
        <v>223</v>
      </c>
      <c r="L112" s="40">
        <v>44858.752175925925</v>
      </c>
    </row>
    <row r="113" spans="1:12" x14ac:dyDescent="0.25">
      <c r="A113" s="38">
        <f>ROW(A2)</f>
        <v>2</v>
      </c>
      <c r="B113" s="39" t="s">
        <v>957</v>
      </c>
      <c r="C113" s="37" t="s">
        <v>527</v>
      </c>
      <c r="D113" s="37" t="s">
        <v>528</v>
      </c>
      <c r="E113" s="37"/>
      <c r="F113" s="37"/>
      <c r="G113" s="37" t="s">
        <v>257</v>
      </c>
      <c r="H113" s="37" t="s">
        <v>263</v>
      </c>
      <c r="I113" s="37">
        <v>1</v>
      </c>
      <c r="J113" s="37" t="s">
        <v>223</v>
      </c>
      <c r="K113" s="37" t="s">
        <v>223</v>
      </c>
      <c r="L113" s="40">
        <v>44858.752175925925</v>
      </c>
    </row>
    <row r="114" spans="1:12" x14ac:dyDescent="0.25">
      <c r="A114" s="38">
        <f>ROW(A2)</f>
        <v>2</v>
      </c>
      <c r="B114" s="39" t="s">
        <v>957</v>
      </c>
      <c r="C114" s="37" t="s">
        <v>259</v>
      </c>
      <c r="D114" s="37" t="s">
        <v>262</v>
      </c>
      <c r="E114" s="37"/>
      <c r="F114" s="37"/>
      <c r="G114" s="37" t="s">
        <v>257</v>
      </c>
      <c r="H114" s="37" t="s">
        <v>263</v>
      </c>
      <c r="I114" s="37">
        <v>1</v>
      </c>
      <c r="J114" s="37" t="s">
        <v>223</v>
      </c>
      <c r="K114" s="37" t="s">
        <v>223</v>
      </c>
      <c r="L114" s="40">
        <v>44858.752175925925</v>
      </c>
    </row>
    <row r="115" spans="1:12" x14ac:dyDescent="0.25">
      <c r="A115" s="38">
        <f>ROW(A2)</f>
        <v>2</v>
      </c>
      <c r="B115" s="39" t="s">
        <v>957</v>
      </c>
      <c r="C115" s="37" t="s">
        <v>433</v>
      </c>
      <c r="D115" s="37" t="s">
        <v>434</v>
      </c>
      <c r="E115" s="37"/>
      <c r="F115" s="37"/>
      <c r="G115" s="37" t="s">
        <v>419</v>
      </c>
      <c r="H115" s="37" t="s">
        <v>240</v>
      </c>
      <c r="I115" s="37">
        <v>64</v>
      </c>
      <c r="J115" s="37" t="s">
        <v>223</v>
      </c>
      <c r="K115" s="37" t="s">
        <v>223</v>
      </c>
      <c r="L115" s="40">
        <v>44858.752175925925</v>
      </c>
    </row>
    <row r="116" spans="1:12" x14ac:dyDescent="0.25">
      <c r="A116" s="38">
        <f>ROW(A2)</f>
        <v>2</v>
      </c>
      <c r="B116" s="39" t="s">
        <v>957</v>
      </c>
      <c r="C116" s="37" t="s">
        <v>511</v>
      </c>
      <c r="D116" s="37">
        <v>1430</v>
      </c>
      <c r="E116" s="37"/>
      <c r="F116" s="37"/>
      <c r="G116" s="37" t="s">
        <v>230</v>
      </c>
      <c r="H116" s="37" t="s">
        <v>240</v>
      </c>
      <c r="I116" s="37">
        <v>10</v>
      </c>
      <c r="J116" s="37" t="s">
        <v>223</v>
      </c>
      <c r="K116" s="37" t="s">
        <v>223</v>
      </c>
      <c r="L116" s="40">
        <v>44858.752175925925</v>
      </c>
    </row>
    <row r="117" spans="1:12" x14ac:dyDescent="0.25">
      <c r="A117" s="38">
        <f>ROW(A2)</f>
        <v>2</v>
      </c>
      <c r="B117" s="39" t="s">
        <v>957</v>
      </c>
      <c r="C117" s="37" t="s">
        <v>566</v>
      </c>
      <c r="D117" s="37">
        <v>1400</v>
      </c>
      <c r="E117" s="37"/>
      <c r="F117" s="37"/>
      <c r="G117" s="37" t="s">
        <v>230</v>
      </c>
      <c r="H117" s="37" t="s">
        <v>243</v>
      </c>
      <c r="I117" s="37">
        <v>1</v>
      </c>
      <c r="J117" s="37" t="s">
        <v>223</v>
      </c>
      <c r="K117" s="37" t="s">
        <v>223</v>
      </c>
      <c r="L117" s="40">
        <v>44858.752175925925</v>
      </c>
    </row>
    <row r="118" spans="1:12" x14ac:dyDescent="0.25">
      <c r="A118" s="38">
        <f>ROW(A2)</f>
        <v>2</v>
      </c>
      <c r="B118" s="39" t="s">
        <v>957</v>
      </c>
      <c r="C118" s="37" t="s">
        <v>477</v>
      </c>
      <c r="D118" s="37">
        <v>1401</v>
      </c>
      <c r="E118" s="37"/>
      <c r="F118" s="37"/>
      <c r="G118" s="37" t="s">
        <v>230</v>
      </c>
      <c r="H118" s="37" t="s">
        <v>240</v>
      </c>
      <c r="I118" s="37">
        <v>3</v>
      </c>
      <c r="J118" s="37" t="s">
        <v>223</v>
      </c>
      <c r="K118" s="37" t="s">
        <v>223</v>
      </c>
      <c r="L118" s="40">
        <v>44858.752175925925</v>
      </c>
    </row>
    <row r="119" spans="1:12" x14ac:dyDescent="0.25">
      <c r="A119" s="38">
        <f>ROW(A2)</f>
        <v>2</v>
      </c>
      <c r="B119" s="39" t="s">
        <v>957</v>
      </c>
      <c r="C119" s="37" t="s">
        <v>328</v>
      </c>
      <c r="D119" s="37">
        <v>1402</v>
      </c>
      <c r="E119" s="37"/>
      <c r="F119" s="37"/>
      <c r="G119" s="37" t="s">
        <v>230</v>
      </c>
      <c r="H119" s="37" t="s">
        <v>240</v>
      </c>
      <c r="I119" s="37">
        <v>7</v>
      </c>
      <c r="J119" s="37" t="s">
        <v>223</v>
      </c>
      <c r="K119" s="37" t="s">
        <v>223</v>
      </c>
      <c r="L119" s="40">
        <v>44858.752175925925</v>
      </c>
    </row>
    <row r="120" spans="1:12" x14ac:dyDescent="0.25">
      <c r="A120" s="38">
        <f>ROW(A2)</f>
        <v>2</v>
      </c>
      <c r="B120" s="39" t="s">
        <v>952</v>
      </c>
      <c r="C120" s="37" t="s">
        <v>1287</v>
      </c>
      <c r="D120" s="37" t="s">
        <v>1288</v>
      </c>
      <c r="E120" s="37"/>
      <c r="F120" s="37"/>
      <c r="G120" s="37"/>
      <c r="H120" s="37" t="s">
        <v>221</v>
      </c>
      <c r="I120" s="37">
        <v>100</v>
      </c>
      <c r="J120" s="37"/>
      <c r="K120" s="37" t="s">
        <v>223</v>
      </c>
      <c r="L120" s="40">
        <v>44858.743738425925</v>
      </c>
    </row>
    <row r="121" spans="1:12" x14ac:dyDescent="0.25">
      <c r="A121" s="38">
        <f>ROW(A2)</f>
        <v>2</v>
      </c>
      <c r="B121" s="39" t="s">
        <v>952</v>
      </c>
      <c r="C121" s="37" t="s">
        <v>529</v>
      </c>
      <c r="D121" s="37" t="s">
        <v>530</v>
      </c>
      <c r="E121" s="37"/>
      <c r="F121" s="37"/>
      <c r="G121" s="37" t="s">
        <v>531</v>
      </c>
      <c r="H121" s="37" t="s">
        <v>221</v>
      </c>
      <c r="I121" s="37">
        <v>10</v>
      </c>
      <c r="J121" s="37" t="s">
        <v>532</v>
      </c>
      <c r="K121" s="37" t="s">
        <v>223</v>
      </c>
      <c r="L121" s="40">
        <v>44858.743738425925</v>
      </c>
    </row>
    <row r="122" spans="1:12" x14ac:dyDescent="0.25">
      <c r="A122" s="38">
        <f>ROW(A2)</f>
        <v>2</v>
      </c>
      <c r="B122" s="39" t="s">
        <v>952</v>
      </c>
      <c r="C122" s="37" t="s">
        <v>662</v>
      </c>
      <c r="D122" s="37" t="s">
        <v>663</v>
      </c>
      <c r="E122" s="37"/>
      <c r="F122" s="37"/>
      <c r="G122" s="37"/>
      <c r="H122" s="37" t="s">
        <v>570</v>
      </c>
      <c r="I122" s="37">
        <v>8</v>
      </c>
      <c r="J122" s="37"/>
      <c r="K122" s="37" t="s">
        <v>223</v>
      </c>
      <c r="L122" s="40">
        <v>44858.743738425925</v>
      </c>
    </row>
    <row r="123" spans="1:12" x14ac:dyDescent="0.25">
      <c r="A123" s="38">
        <f>ROW(A2)</f>
        <v>2</v>
      </c>
      <c r="B123" s="39" t="s">
        <v>952</v>
      </c>
      <c r="C123" s="37" t="s">
        <v>446</v>
      </c>
      <c r="D123" s="37" t="s">
        <v>447</v>
      </c>
      <c r="E123" s="37"/>
      <c r="F123" s="37"/>
      <c r="G123" s="37"/>
      <c r="H123" s="37" t="s">
        <v>448</v>
      </c>
      <c r="I123" s="37">
        <v>1</v>
      </c>
      <c r="J123" s="37"/>
      <c r="K123" s="37" t="s">
        <v>223</v>
      </c>
      <c r="L123" s="40">
        <v>44858.743738425925</v>
      </c>
    </row>
    <row r="124" spans="1:12" x14ac:dyDescent="0.25">
      <c r="A124" s="38">
        <f>ROW(A2)</f>
        <v>2</v>
      </c>
      <c r="B124" s="39" t="s">
        <v>952</v>
      </c>
      <c r="C124" s="37" t="s">
        <v>1285</v>
      </c>
      <c r="D124" s="37" t="s">
        <v>1286</v>
      </c>
      <c r="E124" s="37"/>
      <c r="F124" s="37"/>
      <c r="G124" s="37"/>
      <c r="H124" s="37" t="s">
        <v>382</v>
      </c>
      <c r="I124" s="37">
        <v>4</v>
      </c>
      <c r="J124" s="37"/>
      <c r="K124" s="37" t="s">
        <v>223</v>
      </c>
      <c r="L124" s="40">
        <v>44858.743738425925</v>
      </c>
    </row>
    <row r="125" spans="1:12" x14ac:dyDescent="0.25">
      <c r="A125" s="38">
        <f>ROW(A2)</f>
        <v>2</v>
      </c>
      <c r="B125" s="39" t="s">
        <v>952</v>
      </c>
      <c r="C125" s="37" t="s">
        <v>1283</v>
      </c>
      <c r="D125" s="37" t="s">
        <v>1284</v>
      </c>
      <c r="E125" s="37"/>
      <c r="F125" s="37"/>
      <c r="G125" s="37"/>
      <c r="H125" s="37" t="s">
        <v>221</v>
      </c>
      <c r="I125" s="37">
        <v>200</v>
      </c>
      <c r="J125" s="37"/>
      <c r="K125" s="37" t="s">
        <v>223</v>
      </c>
      <c r="L125" s="40">
        <v>44858.743738425925</v>
      </c>
    </row>
    <row r="126" spans="1:12" x14ac:dyDescent="0.25">
      <c r="A126" s="38">
        <f>ROW(A2)</f>
        <v>2</v>
      </c>
      <c r="B126" s="39" t="s">
        <v>952</v>
      </c>
      <c r="C126" s="37" t="s">
        <v>441</v>
      </c>
      <c r="D126" s="37" t="s">
        <v>442</v>
      </c>
      <c r="E126" s="37"/>
      <c r="F126" s="37"/>
      <c r="G126" s="37" t="s">
        <v>419</v>
      </c>
      <c r="H126" s="37" t="s">
        <v>240</v>
      </c>
      <c r="I126" s="37">
        <v>48</v>
      </c>
      <c r="J126" s="37" t="s">
        <v>223</v>
      </c>
      <c r="K126" s="37" t="s">
        <v>223</v>
      </c>
      <c r="L126" s="40">
        <v>44858.743726851855</v>
      </c>
    </row>
    <row r="127" spans="1:12" x14ac:dyDescent="0.25">
      <c r="A127" s="38">
        <f>ROW(A2)</f>
        <v>2</v>
      </c>
      <c r="B127" s="39" t="s">
        <v>952</v>
      </c>
      <c r="C127" s="37" t="s">
        <v>370</v>
      </c>
      <c r="D127" s="37" t="s">
        <v>371</v>
      </c>
      <c r="E127" s="37"/>
      <c r="F127" s="37"/>
      <c r="G127" s="37" t="s">
        <v>257</v>
      </c>
      <c r="H127" s="37" t="s">
        <v>240</v>
      </c>
      <c r="I127" s="37">
        <v>2</v>
      </c>
      <c r="J127" s="37" t="s">
        <v>223</v>
      </c>
      <c r="K127" s="37" t="s">
        <v>223</v>
      </c>
      <c r="L127" s="40">
        <v>44858.743726851855</v>
      </c>
    </row>
    <row r="128" spans="1:12" x14ac:dyDescent="0.25">
      <c r="A128" s="38">
        <f>ROW(A2)</f>
        <v>2</v>
      </c>
      <c r="B128" s="39" t="s">
        <v>952</v>
      </c>
      <c r="C128" s="37" t="s">
        <v>660</v>
      </c>
      <c r="D128" s="37" t="s">
        <v>661</v>
      </c>
      <c r="E128" s="37"/>
      <c r="F128" s="37"/>
      <c r="G128" s="37" t="s">
        <v>419</v>
      </c>
      <c r="H128" s="37" t="s">
        <v>221</v>
      </c>
      <c r="I128" s="37">
        <v>198</v>
      </c>
      <c r="J128" s="37" t="s">
        <v>223</v>
      </c>
      <c r="K128" s="37" t="s">
        <v>223</v>
      </c>
      <c r="L128" s="40">
        <v>44858.743726851855</v>
      </c>
    </row>
    <row r="129" spans="1:12" x14ac:dyDescent="0.25">
      <c r="A129" s="38">
        <f>ROW(A2)</f>
        <v>2</v>
      </c>
      <c r="B129" s="39" t="s">
        <v>952</v>
      </c>
      <c r="C129" s="37" t="s">
        <v>566</v>
      </c>
      <c r="D129" s="37">
        <v>1400</v>
      </c>
      <c r="E129" s="37"/>
      <c r="F129" s="37"/>
      <c r="G129" s="37" t="s">
        <v>230</v>
      </c>
      <c r="H129" s="37" t="s">
        <v>243</v>
      </c>
      <c r="I129" s="37">
        <v>1</v>
      </c>
      <c r="J129" s="37" t="s">
        <v>223</v>
      </c>
      <c r="K129" s="37" t="s">
        <v>223</v>
      </c>
      <c r="L129" s="40">
        <v>44858.743726851855</v>
      </c>
    </row>
    <row r="130" spans="1:12" x14ac:dyDescent="0.25">
      <c r="A130" s="38">
        <f>ROW(A2)</f>
        <v>2</v>
      </c>
      <c r="B130" s="39" t="s">
        <v>1063</v>
      </c>
      <c r="C130" s="37" t="s">
        <v>1287</v>
      </c>
      <c r="D130" s="37" t="s">
        <v>1288</v>
      </c>
      <c r="E130" s="37"/>
      <c r="F130" s="37"/>
      <c r="G130" s="37"/>
      <c r="H130" s="37" t="s">
        <v>221</v>
      </c>
      <c r="I130" s="37">
        <v>0</v>
      </c>
      <c r="J130" s="37"/>
      <c r="K130" s="37" t="s">
        <v>223</v>
      </c>
      <c r="L130" s="40">
        <v>44858.722291666665</v>
      </c>
    </row>
    <row r="131" spans="1:12" x14ac:dyDescent="0.25">
      <c r="A131" s="38">
        <f>ROW(A2)</f>
        <v>2</v>
      </c>
      <c r="B131" s="39" t="s">
        <v>1063</v>
      </c>
      <c r="C131" s="37" t="s">
        <v>1285</v>
      </c>
      <c r="D131" s="37" t="s">
        <v>1286</v>
      </c>
      <c r="E131" s="37"/>
      <c r="F131" s="37"/>
      <c r="G131" s="37"/>
      <c r="H131" s="37" t="s">
        <v>382</v>
      </c>
      <c r="I131" s="37">
        <v>0</v>
      </c>
      <c r="J131" s="37"/>
      <c r="K131" s="37" t="s">
        <v>223</v>
      </c>
      <c r="L131" s="40">
        <v>44858.721886574072</v>
      </c>
    </row>
    <row r="132" spans="1:12" x14ac:dyDescent="0.25">
      <c r="A132" s="38">
        <f>ROW(A2)</f>
        <v>2</v>
      </c>
      <c r="B132" s="39" t="s">
        <v>1063</v>
      </c>
      <c r="C132" s="37" t="s">
        <v>1283</v>
      </c>
      <c r="D132" s="37" t="s">
        <v>1284</v>
      </c>
      <c r="E132" s="37"/>
      <c r="F132" s="37"/>
      <c r="G132" s="37"/>
      <c r="H132" s="37" t="s">
        <v>221</v>
      </c>
      <c r="I132" s="37">
        <v>0</v>
      </c>
      <c r="J132" s="37"/>
      <c r="K132" s="37" t="s">
        <v>223</v>
      </c>
      <c r="L132" s="40">
        <v>44858.721365740741</v>
      </c>
    </row>
    <row r="133" spans="1:12" x14ac:dyDescent="0.25">
      <c r="A133" s="38">
        <f>ROW(A2)</f>
        <v>2</v>
      </c>
      <c r="B133" s="39" t="s">
        <v>1063</v>
      </c>
      <c r="C133" s="37" t="s">
        <v>1281</v>
      </c>
      <c r="D133" s="37" t="s">
        <v>1282</v>
      </c>
      <c r="E133" s="37"/>
      <c r="F133" s="37"/>
      <c r="G133" s="37"/>
      <c r="H133" s="37" t="s">
        <v>221</v>
      </c>
      <c r="I133" s="37">
        <v>0</v>
      </c>
      <c r="J133" s="37"/>
      <c r="K133" s="37" t="s">
        <v>223</v>
      </c>
      <c r="L133" s="40">
        <v>44858.720902777779</v>
      </c>
    </row>
    <row r="134" spans="1:12" x14ac:dyDescent="0.25">
      <c r="A134" s="38">
        <f>ROW(A2)</f>
        <v>2</v>
      </c>
      <c r="B134" s="39" t="s">
        <v>957</v>
      </c>
      <c r="C134" s="37" t="s">
        <v>1276</v>
      </c>
      <c r="D134" s="37" t="s">
        <v>1277</v>
      </c>
      <c r="E134" s="37"/>
      <c r="F134" s="37"/>
      <c r="G134" s="37"/>
      <c r="H134" s="37" t="s">
        <v>221</v>
      </c>
      <c r="I134" s="37">
        <v>1</v>
      </c>
      <c r="J134" s="37"/>
      <c r="K134" s="37" t="s">
        <v>32</v>
      </c>
      <c r="L134" s="40">
        <v>44858.3983912037</v>
      </c>
    </row>
    <row r="135" spans="1:12" x14ac:dyDescent="0.25">
      <c r="A135" s="38">
        <f>ROW(A2)</f>
        <v>2</v>
      </c>
      <c r="B135" s="39" t="s">
        <v>952</v>
      </c>
      <c r="C135" s="37" t="s">
        <v>1276</v>
      </c>
      <c r="D135" s="37" t="s">
        <v>1277</v>
      </c>
      <c r="E135" s="37"/>
      <c r="F135" s="37"/>
      <c r="G135" s="37"/>
      <c r="H135" s="37" t="s">
        <v>221</v>
      </c>
      <c r="I135" s="37">
        <v>1</v>
      </c>
      <c r="J135" s="37"/>
      <c r="K135" s="37" t="s">
        <v>32</v>
      </c>
      <c r="L135" s="40">
        <v>44858.397175925929</v>
      </c>
    </row>
    <row r="136" spans="1:12" x14ac:dyDescent="0.25">
      <c r="A136" s="38">
        <f>ROW(A2)</f>
        <v>2</v>
      </c>
      <c r="B136" s="39" t="s">
        <v>1063</v>
      </c>
      <c r="C136" s="37" t="s">
        <v>1276</v>
      </c>
      <c r="D136" s="37" t="s">
        <v>1277</v>
      </c>
      <c r="E136" s="37"/>
      <c r="F136" s="37"/>
      <c r="G136" s="37"/>
      <c r="H136" s="37" t="s">
        <v>221</v>
      </c>
      <c r="I136" s="37">
        <v>0</v>
      </c>
      <c r="J136" s="37"/>
      <c r="K136" s="37" t="s">
        <v>32</v>
      </c>
      <c r="L136" s="40">
        <v>44858.396458333336</v>
      </c>
    </row>
    <row r="137" spans="1:12" x14ac:dyDescent="0.25">
      <c r="A137" s="38">
        <f>ROW(A2)</f>
        <v>2</v>
      </c>
      <c r="B137" s="39" t="s">
        <v>957</v>
      </c>
      <c r="C137" s="37" t="s">
        <v>1270</v>
      </c>
      <c r="D137" s="37" t="s">
        <v>1271</v>
      </c>
      <c r="E137" s="37"/>
      <c r="F137" s="37"/>
      <c r="G137" s="37"/>
      <c r="H137" s="37" t="s">
        <v>221</v>
      </c>
      <c r="I137" s="37">
        <v>1</v>
      </c>
      <c r="J137" s="37"/>
      <c r="K137" s="37" t="s">
        <v>32</v>
      </c>
      <c r="L137" s="40">
        <v>44858.390115740738</v>
      </c>
    </row>
    <row r="138" spans="1:12" x14ac:dyDescent="0.25">
      <c r="A138" s="38">
        <f>ROW(A2)</f>
        <v>2</v>
      </c>
      <c r="B138" s="39" t="s">
        <v>952</v>
      </c>
      <c r="C138" s="37" t="s">
        <v>1270</v>
      </c>
      <c r="D138" s="37" t="s">
        <v>1271</v>
      </c>
      <c r="E138" s="37"/>
      <c r="F138" s="37"/>
      <c r="G138" s="37"/>
      <c r="H138" s="37" t="s">
        <v>221</v>
      </c>
      <c r="I138" s="37">
        <v>1</v>
      </c>
      <c r="J138" s="37"/>
      <c r="K138" s="37" t="s">
        <v>32</v>
      </c>
      <c r="L138" s="40">
        <v>44858.389490740738</v>
      </c>
    </row>
    <row r="139" spans="1:12" x14ac:dyDescent="0.25">
      <c r="A139" s="38">
        <f>ROW(A2)</f>
        <v>2</v>
      </c>
      <c r="B139" s="39" t="s">
        <v>1063</v>
      </c>
      <c r="C139" s="37" t="s">
        <v>1270</v>
      </c>
      <c r="D139" s="37" t="s">
        <v>1271</v>
      </c>
      <c r="E139" s="37"/>
      <c r="F139" s="37"/>
      <c r="G139" s="37"/>
      <c r="H139" s="37" t="s">
        <v>221</v>
      </c>
      <c r="I139" s="37">
        <v>0</v>
      </c>
      <c r="J139" s="37"/>
      <c r="K139" s="37" t="s">
        <v>32</v>
      </c>
      <c r="L139" s="40">
        <v>44858.388819444444</v>
      </c>
    </row>
    <row r="140" spans="1:12" x14ac:dyDescent="0.25">
      <c r="A140" s="38">
        <f>ROW(A2)</f>
        <v>2</v>
      </c>
      <c r="B140" s="39" t="s">
        <v>1063</v>
      </c>
      <c r="C140" s="37" t="s">
        <v>1268</v>
      </c>
      <c r="D140" s="37" t="s">
        <v>1269</v>
      </c>
      <c r="E140" s="37"/>
      <c r="F140" s="37"/>
      <c r="G140" s="37"/>
      <c r="H140" s="37" t="s">
        <v>221</v>
      </c>
      <c r="I140" s="37">
        <v>0</v>
      </c>
      <c r="J140" s="37"/>
      <c r="K140" s="37" t="s">
        <v>1259</v>
      </c>
      <c r="L140" s="40">
        <v>44854.587835648148</v>
      </c>
    </row>
    <row r="141" spans="1:12" x14ac:dyDescent="0.25">
      <c r="A141" s="38">
        <f>ROW(A2)</f>
        <v>2</v>
      </c>
      <c r="B141" s="39" t="s">
        <v>1063</v>
      </c>
      <c r="C141" s="37" t="s">
        <v>1265</v>
      </c>
      <c r="D141" s="37" t="s">
        <v>1266</v>
      </c>
      <c r="E141" s="37"/>
      <c r="F141" s="37"/>
      <c r="G141" s="37"/>
      <c r="H141" s="37" t="s">
        <v>1267</v>
      </c>
      <c r="I141" s="37">
        <v>0</v>
      </c>
      <c r="J141" s="37"/>
      <c r="K141" s="37" t="s">
        <v>1262</v>
      </c>
      <c r="L141" s="40">
        <v>44854.587546296294</v>
      </c>
    </row>
    <row r="142" spans="1:12" x14ac:dyDescent="0.25">
      <c r="A142" s="38">
        <f>ROW(A2)</f>
        <v>2</v>
      </c>
      <c r="B142" s="39" t="s">
        <v>1063</v>
      </c>
      <c r="C142" s="37" t="s">
        <v>1263</v>
      </c>
      <c r="D142" s="37" t="s">
        <v>1264</v>
      </c>
      <c r="E142" s="37"/>
      <c r="F142" s="37"/>
      <c r="G142" s="37"/>
      <c r="H142" s="37" t="s">
        <v>221</v>
      </c>
      <c r="I142" s="37">
        <v>0</v>
      </c>
      <c r="J142" s="37"/>
      <c r="K142" s="37" t="s">
        <v>1259</v>
      </c>
      <c r="L142" s="40">
        <v>44854.587164351855</v>
      </c>
    </row>
    <row r="143" spans="1:12" x14ac:dyDescent="0.25">
      <c r="A143" s="38">
        <f>ROW(A2)</f>
        <v>2</v>
      </c>
      <c r="B143" s="39" t="s">
        <v>1063</v>
      </c>
      <c r="C143" s="37" t="s">
        <v>1260</v>
      </c>
      <c r="D143" s="37" t="s">
        <v>1261</v>
      </c>
      <c r="E143" s="37"/>
      <c r="F143" s="37"/>
      <c r="G143" s="37"/>
      <c r="H143" s="37" t="s">
        <v>221</v>
      </c>
      <c r="I143" s="37">
        <v>0</v>
      </c>
      <c r="J143" s="37"/>
      <c r="K143" s="37" t="s">
        <v>1262</v>
      </c>
      <c r="L143" s="40">
        <v>44854.586840277778</v>
      </c>
    </row>
    <row r="144" spans="1:12" x14ac:dyDescent="0.25">
      <c r="A144" s="38">
        <f>ROW(A2)</f>
        <v>2</v>
      </c>
      <c r="B144" s="39" t="s">
        <v>1063</v>
      </c>
      <c r="C144" s="37" t="s">
        <v>1256</v>
      </c>
      <c r="D144" s="37" t="s">
        <v>1257</v>
      </c>
      <c r="E144" s="37"/>
      <c r="F144" s="37"/>
      <c r="G144" s="37"/>
      <c r="H144" s="37" t="s">
        <v>1258</v>
      </c>
      <c r="I144" s="37">
        <v>0</v>
      </c>
      <c r="J144" s="37"/>
      <c r="K144" s="37" t="s">
        <v>1259</v>
      </c>
      <c r="L144" s="40">
        <v>44854.586400462962</v>
      </c>
    </row>
    <row r="145" spans="1:12" x14ac:dyDescent="0.25">
      <c r="A145" s="38">
        <f>ROW(A2)</f>
        <v>2</v>
      </c>
      <c r="B145" s="39" t="s">
        <v>957</v>
      </c>
      <c r="C145" s="37" t="s">
        <v>547</v>
      </c>
      <c r="D145" s="37" t="s">
        <v>548</v>
      </c>
      <c r="E145" s="37"/>
      <c r="F145" s="37"/>
      <c r="G145" s="37"/>
      <c r="H145" s="37" t="s">
        <v>243</v>
      </c>
      <c r="I145" s="37">
        <v>4</v>
      </c>
      <c r="J145" s="37" t="s">
        <v>223</v>
      </c>
      <c r="K145" s="37" t="s">
        <v>223</v>
      </c>
      <c r="L145" s="40">
        <v>44847.625</v>
      </c>
    </row>
    <row r="146" spans="1:12" x14ac:dyDescent="0.25">
      <c r="A146" s="38">
        <f>ROW(A2)</f>
        <v>2</v>
      </c>
      <c r="B146" s="39" t="s">
        <v>957</v>
      </c>
      <c r="C146" s="37" t="s">
        <v>742</v>
      </c>
      <c r="D146" s="37" t="s">
        <v>743</v>
      </c>
      <c r="E146" s="37"/>
      <c r="F146" s="37"/>
      <c r="G146" s="37"/>
      <c r="H146" s="37" t="s">
        <v>221</v>
      </c>
      <c r="I146" s="37">
        <v>1</v>
      </c>
      <c r="J146" s="37"/>
      <c r="K146" s="37" t="s">
        <v>629</v>
      </c>
      <c r="L146" s="40">
        <v>44847.625</v>
      </c>
    </row>
    <row r="147" spans="1:12" x14ac:dyDescent="0.25">
      <c r="A147" s="38">
        <f>ROW(A2)</f>
        <v>2</v>
      </c>
      <c r="B147" s="39" t="s">
        <v>957</v>
      </c>
      <c r="C147" s="37" t="s">
        <v>688</v>
      </c>
      <c r="D147" s="37" t="s">
        <v>689</v>
      </c>
      <c r="E147" s="37"/>
      <c r="F147" s="37"/>
      <c r="G147" s="37"/>
      <c r="H147" s="37" t="s">
        <v>235</v>
      </c>
      <c r="I147" s="37">
        <v>2</v>
      </c>
      <c r="J147" s="37" t="s">
        <v>223</v>
      </c>
      <c r="K147" s="37" t="s">
        <v>223</v>
      </c>
      <c r="L147" s="40">
        <v>44847.625</v>
      </c>
    </row>
    <row r="148" spans="1:12" x14ac:dyDescent="0.25">
      <c r="A148" s="38">
        <f>ROW(A2)</f>
        <v>2</v>
      </c>
      <c r="B148" s="39" t="s">
        <v>957</v>
      </c>
      <c r="C148" s="37" t="s">
        <v>431</v>
      </c>
      <c r="D148" s="37" t="s">
        <v>432</v>
      </c>
      <c r="E148" s="37"/>
      <c r="F148" s="37"/>
      <c r="G148" s="37"/>
      <c r="H148" s="37" t="s">
        <v>235</v>
      </c>
      <c r="I148" s="37">
        <v>6</v>
      </c>
      <c r="J148" s="37" t="s">
        <v>223</v>
      </c>
      <c r="K148" s="37" t="s">
        <v>223</v>
      </c>
      <c r="L148" s="40">
        <v>44847.625</v>
      </c>
    </row>
    <row r="149" spans="1:12" x14ac:dyDescent="0.25">
      <c r="A149" s="38">
        <f>ROW(A2)</f>
        <v>2</v>
      </c>
      <c r="B149" s="39" t="s">
        <v>957</v>
      </c>
      <c r="C149" s="37" t="s">
        <v>433</v>
      </c>
      <c r="D149" s="37" t="s">
        <v>434</v>
      </c>
      <c r="E149" s="37"/>
      <c r="F149" s="37"/>
      <c r="G149" s="37" t="s">
        <v>419</v>
      </c>
      <c r="H149" s="37" t="s">
        <v>240</v>
      </c>
      <c r="I149" s="37">
        <v>2</v>
      </c>
      <c r="J149" s="37" t="s">
        <v>223</v>
      </c>
      <c r="K149" s="37" t="s">
        <v>223</v>
      </c>
      <c r="L149" s="40">
        <v>44847.625</v>
      </c>
    </row>
    <row r="150" spans="1:12" x14ac:dyDescent="0.25">
      <c r="A150" s="38">
        <f>ROW(A2)</f>
        <v>2</v>
      </c>
      <c r="B150" s="39" t="s">
        <v>957</v>
      </c>
      <c r="C150" s="37" t="s">
        <v>660</v>
      </c>
      <c r="D150" s="37" t="s">
        <v>661</v>
      </c>
      <c r="E150" s="37"/>
      <c r="F150" s="37"/>
      <c r="G150" s="37" t="s">
        <v>419</v>
      </c>
      <c r="H150" s="37" t="s">
        <v>221</v>
      </c>
      <c r="I150" s="37">
        <v>20</v>
      </c>
      <c r="J150" s="37" t="s">
        <v>223</v>
      </c>
      <c r="K150" s="37" t="s">
        <v>223</v>
      </c>
      <c r="L150" s="40">
        <v>44847.625</v>
      </c>
    </row>
    <row r="151" spans="1:12" x14ac:dyDescent="0.25">
      <c r="A151" s="38">
        <f>ROW(A2)</f>
        <v>2</v>
      </c>
      <c r="B151" s="39" t="s">
        <v>957</v>
      </c>
      <c r="C151" s="37" t="s">
        <v>1251</v>
      </c>
      <c r="D151" s="37" t="s">
        <v>1252</v>
      </c>
      <c r="E151" s="37"/>
      <c r="F151" s="37"/>
      <c r="G151" s="37"/>
      <c r="H151" s="37" t="s">
        <v>221</v>
      </c>
      <c r="I151" s="37">
        <v>1</v>
      </c>
      <c r="J151" s="37"/>
      <c r="K151" s="37" t="s">
        <v>223</v>
      </c>
      <c r="L151" s="40">
        <v>44847.625</v>
      </c>
    </row>
    <row r="152" spans="1:12" x14ac:dyDescent="0.25">
      <c r="A152" s="38">
        <f>ROW(A2)</f>
        <v>2</v>
      </c>
      <c r="B152" s="39" t="s">
        <v>957</v>
      </c>
      <c r="C152" s="37" t="s">
        <v>1249</v>
      </c>
      <c r="D152" s="37" t="s">
        <v>1250</v>
      </c>
      <c r="E152" s="37"/>
      <c r="F152" s="37"/>
      <c r="G152" s="37"/>
      <c r="H152" s="37" t="s">
        <v>243</v>
      </c>
      <c r="I152" s="37">
        <v>1</v>
      </c>
      <c r="J152" s="37"/>
      <c r="K152" s="37" t="s">
        <v>223</v>
      </c>
      <c r="L152" s="40">
        <v>44847.625</v>
      </c>
    </row>
    <row r="153" spans="1:12" x14ac:dyDescent="0.25">
      <c r="A153" s="38">
        <f>ROW(A2)</f>
        <v>2</v>
      </c>
      <c r="B153" s="39" t="s">
        <v>957</v>
      </c>
      <c r="C153" s="37" t="s">
        <v>1247</v>
      </c>
      <c r="D153" s="37" t="s">
        <v>1248</v>
      </c>
      <c r="E153" s="37"/>
      <c r="F153" s="37"/>
      <c r="G153" s="37"/>
      <c r="H153" s="37" t="s">
        <v>221</v>
      </c>
      <c r="I153" s="37">
        <v>1</v>
      </c>
      <c r="J153" s="37"/>
      <c r="K153" s="37" t="s">
        <v>223</v>
      </c>
      <c r="L153" s="40">
        <v>44847.625</v>
      </c>
    </row>
    <row r="154" spans="1:12" x14ac:dyDescent="0.25">
      <c r="A154" s="38">
        <f>ROW(A2)</f>
        <v>2</v>
      </c>
      <c r="B154" s="39" t="s">
        <v>957</v>
      </c>
      <c r="C154" s="37" t="s">
        <v>1245</v>
      </c>
      <c r="D154" s="37" t="s">
        <v>1246</v>
      </c>
      <c r="E154" s="37"/>
      <c r="F154" s="37"/>
      <c r="G154" s="37"/>
      <c r="H154" s="37" t="s">
        <v>221</v>
      </c>
      <c r="I154" s="37">
        <v>1</v>
      </c>
      <c r="J154" s="37"/>
      <c r="K154" s="37" t="s">
        <v>223</v>
      </c>
      <c r="L154" s="40">
        <v>44847.625</v>
      </c>
    </row>
    <row r="155" spans="1:12" x14ac:dyDescent="0.25">
      <c r="A155" s="38">
        <f>ROW(A2)</f>
        <v>2</v>
      </c>
      <c r="B155" s="39" t="s">
        <v>957</v>
      </c>
      <c r="C155" s="37" t="s">
        <v>1243</v>
      </c>
      <c r="D155" s="37" t="s">
        <v>1244</v>
      </c>
      <c r="E155" s="37"/>
      <c r="F155" s="37"/>
      <c r="G155" s="37"/>
      <c r="H155" s="37" t="s">
        <v>221</v>
      </c>
      <c r="I155" s="37">
        <v>1</v>
      </c>
      <c r="J155" s="37"/>
      <c r="K155" s="37" t="s">
        <v>223</v>
      </c>
      <c r="L155" s="40">
        <v>44847.625</v>
      </c>
    </row>
    <row r="156" spans="1:12" x14ac:dyDescent="0.25">
      <c r="A156" s="38">
        <f>ROW(A2)</f>
        <v>2</v>
      </c>
      <c r="B156" s="39" t="s">
        <v>957</v>
      </c>
      <c r="C156" s="37" t="s">
        <v>1241</v>
      </c>
      <c r="D156" s="37" t="s">
        <v>1242</v>
      </c>
      <c r="E156" s="37"/>
      <c r="F156" s="37"/>
      <c r="G156" s="37"/>
      <c r="H156" s="37" t="s">
        <v>221</v>
      </c>
      <c r="I156" s="37">
        <v>2</v>
      </c>
      <c r="J156" s="37"/>
      <c r="K156" s="37" t="s">
        <v>223</v>
      </c>
      <c r="L156" s="40">
        <v>44847.624988425923</v>
      </c>
    </row>
    <row r="157" spans="1:12" x14ac:dyDescent="0.25">
      <c r="A157" s="38">
        <f>ROW(A2)</f>
        <v>2</v>
      </c>
      <c r="B157" s="39" t="s">
        <v>957</v>
      </c>
      <c r="C157" s="37" t="s">
        <v>1239</v>
      </c>
      <c r="D157" s="37" t="s">
        <v>1240</v>
      </c>
      <c r="E157" s="37"/>
      <c r="F157" s="37"/>
      <c r="G157" s="37"/>
      <c r="H157" s="37" t="s">
        <v>221</v>
      </c>
      <c r="I157" s="37">
        <v>1</v>
      </c>
      <c r="J157" s="37"/>
      <c r="K157" s="37" t="s">
        <v>223</v>
      </c>
      <c r="L157" s="40">
        <v>44847.624988425923</v>
      </c>
    </row>
    <row r="158" spans="1:12" x14ac:dyDescent="0.25">
      <c r="A158" s="38">
        <f>ROW(A2)</f>
        <v>2</v>
      </c>
      <c r="B158" s="39" t="s">
        <v>957</v>
      </c>
      <c r="C158" s="37" t="s">
        <v>423</v>
      </c>
      <c r="D158" s="37" t="s">
        <v>424</v>
      </c>
      <c r="E158" s="37"/>
      <c r="F158" s="37"/>
      <c r="G158" s="37" t="s">
        <v>261</v>
      </c>
      <c r="H158" s="37" t="s">
        <v>221</v>
      </c>
      <c r="I158" s="37">
        <v>2</v>
      </c>
      <c r="J158" s="37"/>
      <c r="K158" s="37" t="s">
        <v>223</v>
      </c>
      <c r="L158" s="40">
        <v>44847.624988425923</v>
      </c>
    </row>
    <row r="159" spans="1:12" x14ac:dyDescent="0.25">
      <c r="A159" s="38">
        <f>ROW(A2)</f>
        <v>2</v>
      </c>
      <c r="B159" s="39" t="s">
        <v>957</v>
      </c>
      <c r="C159" s="37" t="s">
        <v>605</v>
      </c>
      <c r="D159" s="37" t="s">
        <v>606</v>
      </c>
      <c r="E159" s="37"/>
      <c r="F159" s="37"/>
      <c r="G159" s="37" t="s">
        <v>261</v>
      </c>
      <c r="H159" s="37" t="s">
        <v>235</v>
      </c>
      <c r="I159" s="37">
        <v>2</v>
      </c>
      <c r="J159" s="37" t="s">
        <v>223</v>
      </c>
      <c r="K159" s="37" t="s">
        <v>223</v>
      </c>
      <c r="L159" s="40">
        <v>44847.624988425923</v>
      </c>
    </row>
    <row r="160" spans="1:12" x14ac:dyDescent="0.25">
      <c r="A160" s="38">
        <f>ROW(A2)</f>
        <v>2</v>
      </c>
      <c r="B160" s="39" t="s">
        <v>957</v>
      </c>
      <c r="C160" s="37" t="s">
        <v>469</v>
      </c>
      <c r="D160" s="37" t="s">
        <v>470</v>
      </c>
      <c r="E160" s="37"/>
      <c r="F160" s="37"/>
      <c r="G160" s="37"/>
      <c r="H160" s="37" t="s">
        <v>243</v>
      </c>
      <c r="I160" s="37">
        <v>12</v>
      </c>
      <c r="J160" s="37" t="s">
        <v>223</v>
      </c>
      <c r="K160" s="37" t="s">
        <v>223</v>
      </c>
      <c r="L160" s="40">
        <v>44847.624988425923</v>
      </c>
    </row>
    <row r="161" spans="1:12" x14ac:dyDescent="0.25">
      <c r="A161" s="38">
        <f>ROW(A2)</f>
        <v>2</v>
      </c>
      <c r="B161" s="39" t="s">
        <v>957</v>
      </c>
      <c r="C161" s="37" t="s">
        <v>467</v>
      </c>
      <c r="D161" s="37" t="s">
        <v>468</v>
      </c>
      <c r="E161" s="37"/>
      <c r="F161" s="37"/>
      <c r="G161" s="37"/>
      <c r="H161" s="37" t="s">
        <v>243</v>
      </c>
      <c r="I161" s="37">
        <v>7</v>
      </c>
      <c r="J161" s="37" t="s">
        <v>223</v>
      </c>
      <c r="K161" s="37" t="s">
        <v>223</v>
      </c>
      <c r="L161" s="40">
        <v>44847.624988425923</v>
      </c>
    </row>
    <row r="162" spans="1:12" x14ac:dyDescent="0.25">
      <c r="A162" s="38">
        <f>ROW(A2)</f>
        <v>2</v>
      </c>
      <c r="B162" s="39" t="s">
        <v>957</v>
      </c>
      <c r="C162" s="37" t="s">
        <v>259</v>
      </c>
      <c r="D162" s="37" t="s">
        <v>260</v>
      </c>
      <c r="E162" s="37"/>
      <c r="F162" s="37"/>
      <c r="G162" s="37" t="s">
        <v>261</v>
      </c>
      <c r="H162" s="37" t="s">
        <v>235</v>
      </c>
      <c r="I162" s="37">
        <v>2</v>
      </c>
      <c r="J162" s="37" t="s">
        <v>223</v>
      </c>
      <c r="K162" s="37" t="s">
        <v>223</v>
      </c>
      <c r="L162" s="40">
        <v>44847.624988425923</v>
      </c>
    </row>
    <row r="163" spans="1:12" x14ac:dyDescent="0.25">
      <c r="A163" s="38">
        <f>ROW(A2)</f>
        <v>2</v>
      </c>
      <c r="B163" s="39" t="s">
        <v>957</v>
      </c>
      <c r="C163" s="37" t="s">
        <v>1237</v>
      </c>
      <c r="D163" s="37" t="s">
        <v>1238</v>
      </c>
      <c r="E163" s="37"/>
      <c r="F163" s="37"/>
      <c r="G163" s="37"/>
      <c r="H163" s="37" t="s">
        <v>221</v>
      </c>
      <c r="I163" s="37">
        <v>30</v>
      </c>
      <c r="J163" s="37"/>
      <c r="K163" s="37" t="s">
        <v>32</v>
      </c>
      <c r="L163" s="40">
        <v>44847.624988425923</v>
      </c>
    </row>
    <row r="164" spans="1:12" x14ac:dyDescent="0.25">
      <c r="A164" s="38">
        <f>ROW(A2)</f>
        <v>2</v>
      </c>
      <c r="B164" s="39" t="s">
        <v>957</v>
      </c>
      <c r="C164" s="37" t="s">
        <v>380</v>
      </c>
      <c r="D164" s="37" t="s">
        <v>383</v>
      </c>
      <c r="E164" s="37"/>
      <c r="F164" s="37"/>
      <c r="G164" s="37" t="s">
        <v>261</v>
      </c>
      <c r="H164" s="37" t="s">
        <v>382</v>
      </c>
      <c r="I164" s="37">
        <v>1</v>
      </c>
      <c r="J164" s="37" t="s">
        <v>223</v>
      </c>
      <c r="K164" s="37" t="s">
        <v>223</v>
      </c>
      <c r="L164" s="40">
        <v>44847.624988425923</v>
      </c>
    </row>
    <row r="165" spans="1:12" x14ac:dyDescent="0.25">
      <c r="A165" s="38">
        <f>ROW(A2)</f>
        <v>2</v>
      </c>
      <c r="B165" s="39" t="s">
        <v>952</v>
      </c>
      <c r="C165" s="37" t="s">
        <v>547</v>
      </c>
      <c r="D165" s="37" t="s">
        <v>548</v>
      </c>
      <c r="E165" s="37"/>
      <c r="F165" s="37"/>
      <c r="G165" s="37"/>
      <c r="H165" s="37" t="s">
        <v>382</v>
      </c>
      <c r="I165" s="37">
        <v>4</v>
      </c>
      <c r="J165" s="37" t="s">
        <v>223</v>
      </c>
      <c r="K165" s="37" t="s">
        <v>223</v>
      </c>
      <c r="L165" s="40">
        <v>44847.61755787037</v>
      </c>
    </row>
    <row r="166" spans="1:12" x14ac:dyDescent="0.25">
      <c r="A166" s="38">
        <f>ROW(A2)</f>
        <v>2</v>
      </c>
      <c r="B166" s="39" t="s">
        <v>952</v>
      </c>
      <c r="C166" s="37" t="s">
        <v>1251</v>
      </c>
      <c r="D166" s="37" t="s">
        <v>1252</v>
      </c>
      <c r="E166" s="37"/>
      <c r="F166" s="37"/>
      <c r="G166" s="37"/>
      <c r="H166" s="37" t="s">
        <v>221</v>
      </c>
      <c r="I166" s="37">
        <v>1</v>
      </c>
      <c r="J166" s="37"/>
      <c r="K166" s="37" t="s">
        <v>223</v>
      </c>
      <c r="L166" s="40">
        <v>44847.61755787037</v>
      </c>
    </row>
    <row r="167" spans="1:12" x14ac:dyDescent="0.25">
      <c r="A167" s="38">
        <f>ROW(A2)</f>
        <v>2</v>
      </c>
      <c r="B167" s="39" t="s">
        <v>952</v>
      </c>
      <c r="C167" s="37" t="s">
        <v>431</v>
      </c>
      <c r="D167" s="37" t="s">
        <v>432</v>
      </c>
      <c r="E167" s="37"/>
      <c r="F167" s="37"/>
      <c r="G167" s="37"/>
      <c r="H167" s="37" t="s">
        <v>235</v>
      </c>
      <c r="I167" s="37">
        <v>6</v>
      </c>
      <c r="J167" s="37" t="s">
        <v>223</v>
      </c>
      <c r="K167" s="37" t="s">
        <v>223</v>
      </c>
      <c r="L167" s="40">
        <v>44847.61755787037</v>
      </c>
    </row>
    <row r="168" spans="1:12" x14ac:dyDescent="0.25">
      <c r="A168" s="38">
        <f>ROW(A2)</f>
        <v>2</v>
      </c>
      <c r="B168" s="39" t="s">
        <v>952</v>
      </c>
      <c r="C168" s="37" t="s">
        <v>688</v>
      </c>
      <c r="D168" s="37" t="s">
        <v>689</v>
      </c>
      <c r="E168" s="37"/>
      <c r="F168" s="37"/>
      <c r="G168" s="37"/>
      <c r="H168" s="37" t="s">
        <v>235</v>
      </c>
      <c r="I168" s="37">
        <v>2</v>
      </c>
      <c r="J168" s="37" t="s">
        <v>223</v>
      </c>
      <c r="K168" s="37" t="s">
        <v>223</v>
      </c>
      <c r="L168" s="40">
        <v>44847.61755787037</v>
      </c>
    </row>
    <row r="169" spans="1:12" x14ac:dyDescent="0.25">
      <c r="A169" s="38">
        <f>ROW(A2)</f>
        <v>2</v>
      </c>
      <c r="B169" s="39" t="s">
        <v>952</v>
      </c>
      <c r="C169" s="37" t="s">
        <v>433</v>
      </c>
      <c r="D169" s="37" t="s">
        <v>434</v>
      </c>
      <c r="E169" s="37"/>
      <c r="F169" s="37"/>
      <c r="G169" s="37" t="s">
        <v>419</v>
      </c>
      <c r="H169" s="37" t="s">
        <v>240</v>
      </c>
      <c r="I169" s="37">
        <v>4</v>
      </c>
      <c r="J169" s="37" t="s">
        <v>223</v>
      </c>
      <c r="K169" s="37" t="s">
        <v>223</v>
      </c>
      <c r="L169" s="40">
        <v>44847.61755787037</v>
      </c>
    </row>
    <row r="170" spans="1:12" x14ac:dyDescent="0.25">
      <c r="A170" s="38">
        <f>ROW(A2)</f>
        <v>2</v>
      </c>
      <c r="B170" s="39" t="s">
        <v>952</v>
      </c>
      <c r="C170" s="37" t="s">
        <v>660</v>
      </c>
      <c r="D170" s="37" t="s">
        <v>661</v>
      </c>
      <c r="E170" s="37"/>
      <c r="F170" s="37"/>
      <c r="G170" s="37" t="s">
        <v>419</v>
      </c>
      <c r="H170" s="37" t="s">
        <v>560</v>
      </c>
      <c r="I170" s="37">
        <v>20</v>
      </c>
      <c r="J170" s="37" t="s">
        <v>223</v>
      </c>
      <c r="K170" s="37" t="s">
        <v>223</v>
      </c>
      <c r="L170" s="40">
        <v>44847.61755787037</v>
      </c>
    </row>
    <row r="171" spans="1:12" x14ac:dyDescent="0.25">
      <c r="A171" s="38">
        <f>ROW(A2)</f>
        <v>2</v>
      </c>
      <c r="B171" s="39" t="s">
        <v>952</v>
      </c>
      <c r="C171" s="37" t="s">
        <v>1249</v>
      </c>
      <c r="D171" s="37" t="s">
        <v>1250</v>
      </c>
      <c r="E171" s="37"/>
      <c r="F171" s="37"/>
      <c r="G171" s="37"/>
      <c r="H171" s="37" t="s">
        <v>243</v>
      </c>
      <c r="I171" s="37">
        <v>1</v>
      </c>
      <c r="J171" s="37"/>
      <c r="K171" s="37" t="s">
        <v>223</v>
      </c>
      <c r="L171" s="40">
        <v>44847.617546296293</v>
      </c>
    </row>
    <row r="172" spans="1:12" x14ac:dyDescent="0.25">
      <c r="A172" s="38">
        <f>ROW(A2)</f>
        <v>2</v>
      </c>
      <c r="B172" s="39" t="s">
        <v>1063</v>
      </c>
      <c r="C172" s="37" t="s">
        <v>1251</v>
      </c>
      <c r="D172" s="37" t="s">
        <v>1252</v>
      </c>
      <c r="E172" s="37"/>
      <c r="F172" s="37"/>
      <c r="G172" s="37"/>
      <c r="H172" s="37" t="s">
        <v>221</v>
      </c>
      <c r="I172" s="37">
        <v>0</v>
      </c>
      <c r="J172" s="37"/>
      <c r="K172" s="37" t="s">
        <v>223</v>
      </c>
      <c r="L172" s="40">
        <v>44847.61341435185</v>
      </c>
    </row>
    <row r="173" spans="1:12" x14ac:dyDescent="0.25">
      <c r="A173" s="38">
        <f>ROW(A2)</f>
        <v>2</v>
      </c>
      <c r="B173" s="39" t="s">
        <v>1063</v>
      </c>
      <c r="C173" s="37" t="s">
        <v>1249</v>
      </c>
      <c r="D173" s="37" t="s">
        <v>1250</v>
      </c>
      <c r="E173" s="37"/>
      <c r="F173" s="37"/>
      <c r="G173" s="37"/>
      <c r="H173" s="37" t="s">
        <v>243</v>
      </c>
      <c r="I173" s="37">
        <v>0</v>
      </c>
      <c r="J173" s="37"/>
      <c r="K173" s="37" t="s">
        <v>223</v>
      </c>
      <c r="L173" s="40">
        <v>44847.608587962961</v>
      </c>
    </row>
    <row r="174" spans="1:12" x14ac:dyDescent="0.25">
      <c r="A174" s="38">
        <f>ROW(A2)</f>
        <v>2</v>
      </c>
      <c r="B174" s="39" t="s">
        <v>1063</v>
      </c>
      <c r="C174" s="37" t="s">
        <v>1247</v>
      </c>
      <c r="D174" s="37" t="s">
        <v>1248</v>
      </c>
      <c r="E174" s="37"/>
      <c r="F174" s="37"/>
      <c r="G174" s="37"/>
      <c r="H174" s="37" t="s">
        <v>221</v>
      </c>
      <c r="I174" s="37">
        <v>1</v>
      </c>
      <c r="J174" s="37"/>
      <c r="K174" s="37" t="s">
        <v>223</v>
      </c>
      <c r="L174" s="40">
        <v>44847.608298611114</v>
      </c>
    </row>
    <row r="175" spans="1:12" x14ac:dyDescent="0.25">
      <c r="A175" s="38">
        <f>ROW(A2)</f>
        <v>2</v>
      </c>
      <c r="B175" s="39" t="s">
        <v>1063</v>
      </c>
      <c r="C175" s="37" t="s">
        <v>1245</v>
      </c>
      <c r="D175" s="37" t="s">
        <v>1246</v>
      </c>
      <c r="E175" s="37"/>
      <c r="F175" s="37"/>
      <c r="G175" s="37"/>
      <c r="H175" s="37" t="s">
        <v>221</v>
      </c>
      <c r="I175" s="37">
        <v>1</v>
      </c>
      <c r="J175" s="37"/>
      <c r="K175" s="37" t="s">
        <v>223</v>
      </c>
      <c r="L175" s="40">
        <v>44847.608043981483</v>
      </c>
    </row>
    <row r="176" spans="1:12" x14ac:dyDescent="0.25">
      <c r="A176" s="38">
        <f>ROW(A2)</f>
        <v>2</v>
      </c>
      <c r="B176" s="39" t="s">
        <v>1063</v>
      </c>
      <c r="C176" s="37" t="s">
        <v>1243</v>
      </c>
      <c r="D176" s="37" t="s">
        <v>1244</v>
      </c>
      <c r="E176" s="37"/>
      <c r="F176" s="37"/>
      <c r="G176" s="37"/>
      <c r="H176" s="37" t="s">
        <v>221</v>
      </c>
      <c r="I176" s="37">
        <v>1</v>
      </c>
      <c r="J176" s="37"/>
      <c r="K176" s="37" t="s">
        <v>223</v>
      </c>
      <c r="L176" s="40">
        <v>44847.607777777775</v>
      </c>
    </row>
    <row r="177" spans="1:12" x14ac:dyDescent="0.25">
      <c r="A177" s="38">
        <f>ROW(A2)</f>
        <v>2</v>
      </c>
      <c r="B177" s="39" t="s">
        <v>1063</v>
      </c>
      <c r="C177" s="37" t="s">
        <v>1241</v>
      </c>
      <c r="D177" s="37" t="s">
        <v>1242</v>
      </c>
      <c r="E177" s="37"/>
      <c r="F177" s="37"/>
      <c r="G177" s="37"/>
      <c r="H177" s="37" t="s">
        <v>221</v>
      </c>
      <c r="I177" s="37">
        <v>2</v>
      </c>
      <c r="J177" s="37"/>
      <c r="K177" s="37" t="s">
        <v>223</v>
      </c>
      <c r="L177" s="40">
        <v>44847.607222222221</v>
      </c>
    </row>
    <row r="178" spans="1:12" x14ac:dyDescent="0.25">
      <c r="A178" s="38">
        <f>ROW(A2)</f>
        <v>2</v>
      </c>
      <c r="B178" s="39" t="s">
        <v>1063</v>
      </c>
      <c r="C178" s="37" t="s">
        <v>1239</v>
      </c>
      <c r="D178" s="37" t="s">
        <v>1240</v>
      </c>
      <c r="E178" s="37"/>
      <c r="F178" s="37"/>
      <c r="G178" s="37"/>
      <c r="H178" s="37" t="s">
        <v>221</v>
      </c>
      <c r="I178" s="37">
        <v>1</v>
      </c>
      <c r="J178" s="37"/>
      <c r="K178" s="37" t="s">
        <v>223</v>
      </c>
      <c r="L178" s="40">
        <v>44847.606932870367</v>
      </c>
    </row>
    <row r="179" spans="1:12" x14ac:dyDescent="0.25">
      <c r="A179" s="38">
        <f>ROW(A2)</f>
        <v>2</v>
      </c>
      <c r="B179" s="39" t="s">
        <v>1063</v>
      </c>
      <c r="C179" s="37" t="s">
        <v>1237</v>
      </c>
      <c r="D179" s="37" t="s">
        <v>1238</v>
      </c>
      <c r="E179" s="37"/>
      <c r="F179" s="37"/>
      <c r="G179" s="37"/>
      <c r="H179" s="37" t="s">
        <v>221</v>
      </c>
      <c r="I179" s="37">
        <v>30</v>
      </c>
      <c r="J179" s="37"/>
      <c r="K179" s="37" t="s">
        <v>32</v>
      </c>
      <c r="L179" s="40">
        <v>44847.605856481481</v>
      </c>
    </row>
    <row r="180" spans="1:12" x14ac:dyDescent="0.25">
      <c r="A180" s="38">
        <f>ROW(A2)</f>
        <v>2</v>
      </c>
      <c r="B180" s="39" t="s">
        <v>957</v>
      </c>
      <c r="C180" s="37" t="s">
        <v>1219</v>
      </c>
      <c r="D180" s="37" t="s">
        <v>1220</v>
      </c>
      <c r="E180" s="37"/>
      <c r="F180" s="37"/>
      <c r="G180" s="37"/>
      <c r="H180" s="37" t="s">
        <v>221</v>
      </c>
      <c r="I180" s="37">
        <v>3</v>
      </c>
      <c r="J180" s="37"/>
      <c r="K180" s="37" t="s">
        <v>32</v>
      </c>
      <c r="L180" s="40">
        <v>44846.628263888888</v>
      </c>
    </row>
    <row r="181" spans="1:12" x14ac:dyDescent="0.25">
      <c r="A181" s="38">
        <f>ROW(A2)</f>
        <v>2</v>
      </c>
      <c r="B181" s="39" t="s">
        <v>957</v>
      </c>
      <c r="C181" s="37" t="s">
        <v>1217</v>
      </c>
      <c r="D181" s="37" t="s">
        <v>1218</v>
      </c>
      <c r="E181" s="37"/>
      <c r="F181" s="37"/>
      <c r="G181" s="37"/>
      <c r="H181" s="37" t="s">
        <v>243</v>
      </c>
      <c r="I181" s="37">
        <v>30</v>
      </c>
      <c r="J181" s="37"/>
      <c r="K181" s="37" t="s">
        <v>223</v>
      </c>
      <c r="L181" s="40">
        <v>44846.628263888888</v>
      </c>
    </row>
    <row r="182" spans="1:12" x14ac:dyDescent="0.25">
      <c r="A182" s="38">
        <f>ROW(A2)</f>
        <v>2</v>
      </c>
      <c r="B182" s="39" t="s">
        <v>957</v>
      </c>
      <c r="C182" s="37" t="s">
        <v>259</v>
      </c>
      <c r="D182" s="37" t="s">
        <v>262</v>
      </c>
      <c r="E182" s="37"/>
      <c r="F182" s="37"/>
      <c r="G182" s="37" t="s">
        <v>257</v>
      </c>
      <c r="H182" s="37" t="s">
        <v>263</v>
      </c>
      <c r="I182" s="37">
        <v>10</v>
      </c>
      <c r="J182" s="37" t="s">
        <v>223</v>
      </c>
      <c r="K182" s="37" t="s">
        <v>223</v>
      </c>
      <c r="L182" s="40">
        <v>44846.628263888888</v>
      </c>
    </row>
    <row r="183" spans="1:12" x14ac:dyDescent="0.25">
      <c r="A183" s="38">
        <f>ROW(A2)</f>
        <v>2</v>
      </c>
      <c r="B183" s="39" t="s">
        <v>957</v>
      </c>
      <c r="C183" s="37" t="s">
        <v>1215</v>
      </c>
      <c r="D183" s="37" t="s">
        <v>1216</v>
      </c>
      <c r="E183" s="37"/>
      <c r="F183" s="37"/>
      <c r="G183" s="37"/>
      <c r="H183" s="37" t="s">
        <v>221</v>
      </c>
      <c r="I183" s="37">
        <v>1</v>
      </c>
      <c r="J183" s="37"/>
      <c r="K183" s="37" t="s">
        <v>223</v>
      </c>
      <c r="L183" s="40">
        <v>44846.628252314818</v>
      </c>
    </row>
    <row r="184" spans="1:12" x14ac:dyDescent="0.25">
      <c r="A184" s="38">
        <f>ROW(A2)</f>
        <v>2</v>
      </c>
      <c r="B184" s="39" t="s">
        <v>957</v>
      </c>
      <c r="C184" s="37" t="s">
        <v>1213</v>
      </c>
      <c r="D184" s="37" t="s">
        <v>1214</v>
      </c>
      <c r="E184" s="37"/>
      <c r="F184" s="37"/>
      <c r="G184" s="37"/>
      <c r="H184" s="37" t="s">
        <v>221</v>
      </c>
      <c r="I184" s="37">
        <v>1</v>
      </c>
      <c r="J184" s="37"/>
      <c r="K184" s="37" t="s">
        <v>223</v>
      </c>
      <c r="L184" s="40">
        <v>44846.628252314818</v>
      </c>
    </row>
    <row r="185" spans="1:12" x14ac:dyDescent="0.25">
      <c r="A185" s="38">
        <f>ROW(A2)</f>
        <v>2</v>
      </c>
      <c r="B185" s="39" t="s">
        <v>957</v>
      </c>
      <c r="C185" s="37" t="s">
        <v>1211</v>
      </c>
      <c r="D185" s="37" t="s">
        <v>1212</v>
      </c>
      <c r="E185" s="37"/>
      <c r="F185" s="37"/>
      <c r="G185" s="37"/>
      <c r="H185" s="37" t="s">
        <v>221</v>
      </c>
      <c r="I185" s="37">
        <v>2</v>
      </c>
      <c r="J185" s="37"/>
      <c r="K185" s="37" t="s">
        <v>223</v>
      </c>
      <c r="L185" s="40">
        <v>44846.628252314818</v>
      </c>
    </row>
    <row r="186" spans="1:12" x14ac:dyDescent="0.25">
      <c r="A186" s="38">
        <f>ROW(A2)</f>
        <v>2</v>
      </c>
      <c r="B186" s="39" t="s">
        <v>957</v>
      </c>
      <c r="C186" s="37" t="s">
        <v>716</v>
      </c>
      <c r="D186" s="37" t="s">
        <v>717</v>
      </c>
      <c r="E186" s="37"/>
      <c r="F186" s="37"/>
      <c r="G186" s="37" t="s">
        <v>257</v>
      </c>
      <c r="H186" s="37" t="s">
        <v>448</v>
      </c>
      <c r="I186" s="37">
        <v>5</v>
      </c>
      <c r="J186" s="37" t="s">
        <v>223</v>
      </c>
      <c r="K186" s="37" t="s">
        <v>223</v>
      </c>
      <c r="L186" s="40">
        <v>44846.628252314818</v>
      </c>
    </row>
    <row r="187" spans="1:12" x14ac:dyDescent="0.25">
      <c r="A187" s="38">
        <f>ROW(A2)</f>
        <v>2</v>
      </c>
      <c r="B187" s="39" t="s">
        <v>957</v>
      </c>
      <c r="C187" s="37" t="s">
        <v>1207</v>
      </c>
      <c r="D187" s="37" t="s">
        <v>1208</v>
      </c>
      <c r="E187" s="37"/>
      <c r="F187" s="37"/>
      <c r="G187" s="37"/>
      <c r="H187" s="37" t="s">
        <v>221</v>
      </c>
      <c r="I187" s="37">
        <v>2</v>
      </c>
      <c r="J187" s="37"/>
      <c r="K187" s="37" t="s">
        <v>223</v>
      </c>
      <c r="L187" s="40">
        <v>44846.628252314818</v>
      </c>
    </row>
    <row r="188" spans="1:12" x14ac:dyDescent="0.25">
      <c r="A188" s="38">
        <f>ROW(A2)</f>
        <v>2</v>
      </c>
      <c r="B188" s="39" t="s">
        <v>957</v>
      </c>
      <c r="C188" s="37" t="s">
        <v>1205</v>
      </c>
      <c r="D188" s="37" t="s">
        <v>1206</v>
      </c>
      <c r="E188" s="37"/>
      <c r="F188" s="37"/>
      <c r="G188" s="37"/>
      <c r="H188" s="37" t="s">
        <v>221</v>
      </c>
      <c r="I188" s="37">
        <v>5</v>
      </c>
      <c r="J188" s="37"/>
      <c r="K188" s="37" t="s">
        <v>223</v>
      </c>
      <c r="L188" s="40">
        <v>44846.628252314818</v>
      </c>
    </row>
    <row r="189" spans="1:12" x14ac:dyDescent="0.25">
      <c r="A189" s="38">
        <f>ROW(A2)</f>
        <v>2</v>
      </c>
      <c r="B189" s="39" t="s">
        <v>957</v>
      </c>
      <c r="C189" s="37" t="s">
        <v>1203</v>
      </c>
      <c r="D189" s="37" t="s">
        <v>1204</v>
      </c>
      <c r="E189" s="37"/>
      <c r="F189" s="37"/>
      <c r="G189" s="37"/>
      <c r="H189" s="37" t="s">
        <v>221</v>
      </c>
      <c r="I189" s="37">
        <v>5</v>
      </c>
      <c r="J189" s="37"/>
      <c r="K189" s="37" t="s">
        <v>223</v>
      </c>
      <c r="L189" s="40">
        <v>44846.628252314818</v>
      </c>
    </row>
    <row r="190" spans="1:12" x14ac:dyDescent="0.25">
      <c r="A190" s="38">
        <f>ROW(A2)</f>
        <v>2</v>
      </c>
      <c r="B190" s="39" t="s">
        <v>957</v>
      </c>
      <c r="C190" s="37" t="s">
        <v>1201</v>
      </c>
      <c r="D190" s="37" t="s">
        <v>1202</v>
      </c>
      <c r="E190" s="37"/>
      <c r="F190" s="37"/>
      <c r="G190" s="37"/>
      <c r="H190" s="37" t="s">
        <v>252</v>
      </c>
      <c r="I190" s="37">
        <v>5</v>
      </c>
      <c r="J190" s="37"/>
      <c r="K190" s="37" t="s">
        <v>223</v>
      </c>
      <c r="L190" s="40">
        <v>44846.628252314818</v>
      </c>
    </row>
    <row r="191" spans="1:12" x14ac:dyDescent="0.25">
      <c r="A191" s="38">
        <f>ROW(A2)</f>
        <v>2</v>
      </c>
      <c r="B191" s="39" t="s">
        <v>957</v>
      </c>
      <c r="C191" s="37" t="s">
        <v>1199</v>
      </c>
      <c r="D191" s="37" t="s">
        <v>1200</v>
      </c>
      <c r="E191" s="37"/>
      <c r="F191" s="37"/>
      <c r="G191" s="37"/>
      <c r="H191" s="37" t="s">
        <v>221</v>
      </c>
      <c r="I191" s="37">
        <v>5</v>
      </c>
      <c r="J191" s="37"/>
      <c r="K191" s="37" t="s">
        <v>32</v>
      </c>
      <c r="L191" s="40">
        <v>44846.628252314818</v>
      </c>
    </row>
    <row r="192" spans="1:12" x14ac:dyDescent="0.25">
      <c r="A192" s="38">
        <f>ROW(A2)</f>
        <v>2</v>
      </c>
      <c r="B192" s="39" t="s">
        <v>957</v>
      </c>
      <c r="C192" s="37" t="s">
        <v>755</v>
      </c>
      <c r="D192" s="37" t="s">
        <v>756</v>
      </c>
      <c r="E192" s="37"/>
      <c r="F192" s="37"/>
      <c r="G192" s="37" t="s">
        <v>230</v>
      </c>
      <c r="H192" s="37" t="s">
        <v>221</v>
      </c>
      <c r="I192" s="37">
        <v>1</v>
      </c>
      <c r="J192" s="37"/>
      <c r="K192" s="37" t="s">
        <v>223</v>
      </c>
      <c r="L192" s="40">
        <v>44846.628252314818</v>
      </c>
    </row>
    <row r="193" spans="1:12" x14ac:dyDescent="0.25">
      <c r="A193" s="38">
        <f>ROW(A2)</f>
        <v>2</v>
      </c>
      <c r="B193" s="39" t="s">
        <v>957</v>
      </c>
      <c r="C193" s="37" t="s">
        <v>1209</v>
      </c>
      <c r="D193" s="37" t="s">
        <v>1210</v>
      </c>
      <c r="E193" s="37"/>
      <c r="F193" s="37"/>
      <c r="G193" s="37"/>
      <c r="H193" s="37" t="s">
        <v>221</v>
      </c>
      <c r="I193" s="37">
        <v>2</v>
      </c>
      <c r="J193" s="37"/>
      <c r="K193" s="37" t="s">
        <v>32</v>
      </c>
      <c r="L193" s="40">
        <v>44846.628252314818</v>
      </c>
    </row>
    <row r="194" spans="1:12" x14ac:dyDescent="0.25">
      <c r="A194" s="38">
        <f>ROW(A2)</f>
        <v>2</v>
      </c>
      <c r="B194" s="39" t="s">
        <v>957</v>
      </c>
      <c r="C194" s="37" t="s">
        <v>1061</v>
      </c>
      <c r="D194" s="37" t="s">
        <v>1062</v>
      </c>
      <c r="E194" s="37"/>
      <c r="F194" s="37"/>
      <c r="G194" s="37"/>
      <c r="H194" s="37" t="s">
        <v>221</v>
      </c>
      <c r="I194" s="37">
        <v>2</v>
      </c>
      <c r="J194" s="37"/>
      <c r="K194" s="37" t="s">
        <v>223</v>
      </c>
      <c r="L194" s="40">
        <v>44846.628252314818</v>
      </c>
    </row>
    <row r="195" spans="1:12" x14ac:dyDescent="0.25">
      <c r="A195" s="38">
        <f>ROW(A2)</f>
        <v>2</v>
      </c>
      <c r="B195" s="39" t="s">
        <v>957</v>
      </c>
      <c r="C195" s="37" t="s">
        <v>1225</v>
      </c>
      <c r="D195" s="37" t="s">
        <v>1226</v>
      </c>
      <c r="E195" s="37"/>
      <c r="F195" s="37"/>
      <c r="G195" s="37"/>
      <c r="H195" s="37" t="s">
        <v>221</v>
      </c>
      <c r="I195" s="37">
        <v>10</v>
      </c>
      <c r="J195" s="37"/>
      <c r="K195" s="37" t="s">
        <v>223</v>
      </c>
      <c r="L195" s="40">
        <v>44846.613287037035</v>
      </c>
    </row>
    <row r="196" spans="1:12" x14ac:dyDescent="0.25">
      <c r="A196" s="38">
        <f>ROW(A2)</f>
        <v>2</v>
      </c>
      <c r="B196" s="39" t="s">
        <v>957</v>
      </c>
      <c r="C196" s="37" t="s">
        <v>1169</v>
      </c>
      <c r="D196" s="37" t="s">
        <v>1170</v>
      </c>
      <c r="E196" s="37"/>
      <c r="F196" s="37"/>
      <c r="G196" s="37"/>
      <c r="H196" s="37" t="s">
        <v>221</v>
      </c>
      <c r="I196" s="37">
        <v>2</v>
      </c>
      <c r="J196" s="37"/>
      <c r="K196" s="37" t="s">
        <v>32</v>
      </c>
      <c r="L196" s="40">
        <v>44846.613287037035</v>
      </c>
    </row>
    <row r="197" spans="1:12" x14ac:dyDescent="0.25">
      <c r="A197" s="38">
        <f>ROW(A2)</f>
        <v>2</v>
      </c>
      <c r="B197" s="39" t="s">
        <v>957</v>
      </c>
      <c r="C197" s="37" t="s">
        <v>1223</v>
      </c>
      <c r="D197" s="37" t="s">
        <v>1224</v>
      </c>
      <c r="E197" s="37"/>
      <c r="F197" s="37"/>
      <c r="G197" s="37"/>
      <c r="H197" s="37" t="s">
        <v>420</v>
      </c>
      <c r="I197" s="37">
        <v>4</v>
      </c>
      <c r="J197" s="37"/>
      <c r="K197" s="37" t="s">
        <v>223</v>
      </c>
      <c r="L197" s="40">
        <v>44846.613287037035</v>
      </c>
    </row>
    <row r="198" spans="1:12" x14ac:dyDescent="0.25">
      <c r="A198" s="38">
        <f>ROW(A2)</f>
        <v>2</v>
      </c>
      <c r="B198" s="39" t="s">
        <v>957</v>
      </c>
      <c r="C198" s="37" t="s">
        <v>1221</v>
      </c>
      <c r="D198" s="37" t="s">
        <v>1222</v>
      </c>
      <c r="E198" s="37"/>
      <c r="F198" s="37"/>
      <c r="G198" s="37"/>
      <c r="H198" s="37" t="s">
        <v>221</v>
      </c>
      <c r="I198" s="37">
        <v>14</v>
      </c>
      <c r="J198" s="37"/>
      <c r="K198" s="37" t="s">
        <v>223</v>
      </c>
      <c r="L198" s="40">
        <v>44846.613287037035</v>
      </c>
    </row>
    <row r="199" spans="1:12" x14ac:dyDescent="0.25">
      <c r="A199" s="38">
        <f>ROW(A2)</f>
        <v>2</v>
      </c>
      <c r="B199" s="39" t="s">
        <v>952</v>
      </c>
      <c r="C199" s="37" t="s">
        <v>1225</v>
      </c>
      <c r="D199" s="37" t="s">
        <v>1226</v>
      </c>
      <c r="E199" s="37"/>
      <c r="F199" s="37"/>
      <c r="G199" s="37"/>
      <c r="H199" s="37" t="s">
        <v>221</v>
      </c>
      <c r="I199" s="37">
        <v>10</v>
      </c>
      <c r="J199" s="37"/>
      <c r="K199" s="37" t="s">
        <v>223</v>
      </c>
      <c r="L199" s="40">
        <v>44846.588969907411</v>
      </c>
    </row>
    <row r="200" spans="1:12" x14ac:dyDescent="0.25">
      <c r="A200" s="38">
        <f>ROW(A2)</f>
        <v>2</v>
      </c>
      <c r="B200" s="39" t="s">
        <v>952</v>
      </c>
      <c r="C200" s="37" t="s">
        <v>1169</v>
      </c>
      <c r="D200" s="37" t="s">
        <v>1170</v>
      </c>
      <c r="E200" s="37"/>
      <c r="F200" s="37"/>
      <c r="G200" s="37"/>
      <c r="H200" s="37" t="s">
        <v>221</v>
      </c>
      <c r="I200" s="37">
        <v>2</v>
      </c>
      <c r="J200" s="37"/>
      <c r="K200" s="37" t="s">
        <v>32</v>
      </c>
      <c r="L200" s="40">
        <v>44846.588969907411</v>
      </c>
    </row>
    <row r="201" spans="1:12" x14ac:dyDescent="0.25">
      <c r="A201" s="38">
        <f>ROW(A2)</f>
        <v>2</v>
      </c>
      <c r="B201" s="39" t="s">
        <v>952</v>
      </c>
      <c r="C201" s="37" t="s">
        <v>1169</v>
      </c>
      <c r="D201" s="37" t="s">
        <v>1170</v>
      </c>
      <c r="E201" s="37"/>
      <c r="F201" s="37"/>
      <c r="G201" s="37"/>
      <c r="H201" s="37" t="s">
        <v>221</v>
      </c>
      <c r="I201" s="37">
        <v>1</v>
      </c>
      <c r="J201" s="37"/>
      <c r="K201" s="37" t="s">
        <v>32</v>
      </c>
      <c r="L201" s="40">
        <v>44846.588969907411</v>
      </c>
    </row>
    <row r="202" spans="1:12" x14ac:dyDescent="0.25">
      <c r="A202" s="38">
        <f>ROW(A2)</f>
        <v>2</v>
      </c>
      <c r="B202" s="39" t="s">
        <v>952</v>
      </c>
      <c r="C202" s="37" t="s">
        <v>762</v>
      </c>
      <c r="D202" s="37" t="s">
        <v>763</v>
      </c>
      <c r="E202" s="37"/>
      <c r="F202" s="37"/>
      <c r="G202" s="37"/>
      <c r="H202" s="37" t="s">
        <v>221</v>
      </c>
      <c r="I202" s="37">
        <v>1</v>
      </c>
      <c r="J202" s="37"/>
      <c r="K202" s="37" t="s">
        <v>223</v>
      </c>
      <c r="L202" s="40">
        <v>44846.588969907411</v>
      </c>
    </row>
    <row r="203" spans="1:12" x14ac:dyDescent="0.25">
      <c r="A203" s="38">
        <f>ROW(A2)</f>
        <v>2</v>
      </c>
      <c r="B203" s="39" t="s">
        <v>952</v>
      </c>
      <c r="C203" s="37" t="s">
        <v>1223</v>
      </c>
      <c r="D203" s="37" t="s">
        <v>1224</v>
      </c>
      <c r="E203" s="37"/>
      <c r="F203" s="37"/>
      <c r="G203" s="37"/>
      <c r="H203" s="37" t="s">
        <v>420</v>
      </c>
      <c r="I203" s="37">
        <v>4</v>
      </c>
      <c r="J203" s="37"/>
      <c r="K203" s="37" t="s">
        <v>223</v>
      </c>
      <c r="L203" s="40">
        <v>44846.588969907411</v>
      </c>
    </row>
    <row r="204" spans="1:12" x14ac:dyDescent="0.25">
      <c r="A204" s="38">
        <f>ROW(A2)</f>
        <v>2</v>
      </c>
      <c r="B204" s="39" t="s">
        <v>952</v>
      </c>
      <c r="C204" s="37" t="s">
        <v>1219</v>
      </c>
      <c r="D204" s="37" t="s">
        <v>1220</v>
      </c>
      <c r="E204" s="37"/>
      <c r="F204" s="37"/>
      <c r="G204" s="37"/>
      <c r="H204" s="37" t="s">
        <v>221</v>
      </c>
      <c r="I204" s="37">
        <v>3</v>
      </c>
      <c r="J204" s="37"/>
      <c r="K204" s="37" t="s">
        <v>32</v>
      </c>
      <c r="L204" s="40">
        <v>44846.582337962966</v>
      </c>
    </row>
    <row r="205" spans="1:12" x14ac:dyDescent="0.25">
      <c r="A205" s="38">
        <f>ROW(A2)</f>
        <v>2</v>
      </c>
      <c r="B205" s="39" t="s">
        <v>952</v>
      </c>
      <c r="C205" s="37" t="s">
        <v>1217</v>
      </c>
      <c r="D205" s="37" t="s">
        <v>1218</v>
      </c>
      <c r="E205" s="37"/>
      <c r="F205" s="37"/>
      <c r="G205" s="37"/>
      <c r="H205" s="37" t="s">
        <v>243</v>
      </c>
      <c r="I205" s="37">
        <v>30</v>
      </c>
      <c r="J205" s="37"/>
      <c r="K205" s="37" t="s">
        <v>223</v>
      </c>
      <c r="L205" s="40">
        <v>44846.582337962966</v>
      </c>
    </row>
    <row r="206" spans="1:12" x14ac:dyDescent="0.25">
      <c r="A206" s="38">
        <f>ROW(A2)</f>
        <v>2</v>
      </c>
      <c r="B206" s="39" t="s">
        <v>952</v>
      </c>
      <c r="C206" s="37" t="s">
        <v>259</v>
      </c>
      <c r="D206" s="37" t="s">
        <v>262</v>
      </c>
      <c r="E206" s="37"/>
      <c r="F206" s="37"/>
      <c r="G206" s="37" t="s">
        <v>257</v>
      </c>
      <c r="H206" s="37" t="s">
        <v>263</v>
      </c>
      <c r="I206" s="37">
        <v>10</v>
      </c>
      <c r="J206" s="37" t="s">
        <v>223</v>
      </c>
      <c r="K206" s="37" t="s">
        <v>223</v>
      </c>
      <c r="L206" s="40">
        <v>44846.582337962966</v>
      </c>
    </row>
    <row r="207" spans="1:12" x14ac:dyDescent="0.25">
      <c r="A207" s="38">
        <f>ROW(A2)</f>
        <v>2</v>
      </c>
      <c r="B207" s="39" t="s">
        <v>952</v>
      </c>
      <c r="C207" s="37" t="s">
        <v>1215</v>
      </c>
      <c r="D207" s="37" t="s">
        <v>1216</v>
      </c>
      <c r="E207" s="37"/>
      <c r="F207" s="37"/>
      <c r="G207" s="37"/>
      <c r="H207" s="37" t="s">
        <v>221</v>
      </c>
      <c r="I207" s="37">
        <v>1</v>
      </c>
      <c r="J207" s="37"/>
      <c r="K207" s="37" t="s">
        <v>223</v>
      </c>
      <c r="L207" s="40">
        <v>44846.582337962966</v>
      </c>
    </row>
    <row r="208" spans="1:12" x14ac:dyDescent="0.25">
      <c r="A208" s="38">
        <f>ROW(A2)</f>
        <v>2</v>
      </c>
      <c r="B208" s="39" t="s">
        <v>952</v>
      </c>
      <c r="C208" s="37" t="s">
        <v>1213</v>
      </c>
      <c r="D208" s="37" t="s">
        <v>1214</v>
      </c>
      <c r="E208" s="37"/>
      <c r="F208" s="37"/>
      <c r="G208" s="37"/>
      <c r="H208" s="37" t="s">
        <v>221</v>
      </c>
      <c r="I208" s="37">
        <v>1</v>
      </c>
      <c r="J208" s="37"/>
      <c r="K208" s="37" t="s">
        <v>223</v>
      </c>
      <c r="L208" s="40">
        <v>44846.582337962966</v>
      </c>
    </row>
    <row r="209" spans="1:12" x14ac:dyDescent="0.25">
      <c r="A209" s="38">
        <f>ROW(A2)</f>
        <v>2</v>
      </c>
      <c r="B209" s="39" t="s">
        <v>952</v>
      </c>
      <c r="C209" s="37" t="s">
        <v>1211</v>
      </c>
      <c r="D209" s="37" t="s">
        <v>1212</v>
      </c>
      <c r="E209" s="37"/>
      <c r="F209" s="37"/>
      <c r="G209" s="37"/>
      <c r="H209" s="37" t="s">
        <v>221</v>
      </c>
      <c r="I209" s="37">
        <v>2</v>
      </c>
      <c r="J209" s="37"/>
      <c r="K209" s="37" t="s">
        <v>223</v>
      </c>
      <c r="L209" s="40">
        <v>44846.582337962966</v>
      </c>
    </row>
    <row r="210" spans="1:12" x14ac:dyDescent="0.25">
      <c r="A210" s="38">
        <f>ROW(A2)</f>
        <v>2</v>
      </c>
      <c r="B210" s="39" t="s">
        <v>952</v>
      </c>
      <c r="C210" s="37" t="s">
        <v>716</v>
      </c>
      <c r="D210" s="37" t="s">
        <v>717</v>
      </c>
      <c r="E210" s="37"/>
      <c r="F210" s="37"/>
      <c r="G210" s="37" t="s">
        <v>257</v>
      </c>
      <c r="H210" s="37" t="s">
        <v>448</v>
      </c>
      <c r="I210" s="37">
        <v>5</v>
      </c>
      <c r="J210" s="37" t="s">
        <v>223</v>
      </c>
      <c r="K210" s="37" t="s">
        <v>223</v>
      </c>
      <c r="L210" s="40">
        <v>44846.582337962966</v>
      </c>
    </row>
    <row r="211" spans="1:12" x14ac:dyDescent="0.25">
      <c r="A211" s="38">
        <f>ROW(A2)</f>
        <v>2</v>
      </c>
      <c r="B211" s="39" t="s">
        <v>952</v>
      </c>
      <c r="C211" s="37" t="s">
        <v>1207</v>
      </c>
      <c r="D211" s="37" t="s">
        <v>1208</v>
      </c>
      <c r="E211" s="37"/>
      <c r="F211" s="37"/>
      <c r="G211" s="37"/>
      <c r="H211" s="37" t="s">
        <v>221</v>
      </c>
      <c r="I211" s="37">
        <v>2</v>
      </c>
      <c r="J211" s="37"/>
      <c r="K211" s="37" t="s">
        <v>223</v>
      </c>
      <c r="L211" s="40">
        <v>44846.582337962966</v>
      </c>
    </row>
    <row r="212" spans="1:12" x14ac:dyDescent="0.25">
      <c r="A212" s="38">
        <f>ROW(A2)</f>
        <v>2</v>
      </c>
      <c r="B212" s="39" t="s">
        <v>952</v>
      </c>
      <c r="C212" s="37" t="s">
        <v>1205</v>
      </c>
      <c r="D212" s="37" t="s">
        <v>1206</v>
      </c>
      <c r="E212" s="37"/>
      <c r="F212" s="37"/>
      <c r="G212" s="37"/>
      <c r="H212" s="37" t="s">
        <v>221</v>
      </c>
      <c r="I212" s="37">
        <v>5</v>
      </c>
      <c r="J212" s="37"/>
      <c r="K212" s="37" t="s">
        <v>223</v>
      </c>
      <c r="L212" s="40">
        <v>44846.582337962966</v>
      </c>
    </row>
    <row r="213" spans="1:12" x14ac:dyDescent="0.25">
      <c r="A213" s="38">
        <f>ROW(A2)</f>
        <v>2</v>
      </c>
      <c r="B213" s="39" t="s">
        <v>952</v>
      </c>
      <c r="C213" s="37" t="s">
        <v>1203</v>
      </c>
      <c r="D213" s="37" t="s">
        <v>1204</v>
      </c>
      <c r="E213" s="37"/>
      <c r="F213" s="37"/>
      <c r="G213" s="37"/>
      <c r="H213" s="37" t="s">
        <v>221</v>
      </c>
      <c r="I213" s="37">
        <v>5</v>
      </c>
      <c r="J213" s="37"/>
      <c r="K213" s="37" t="s">
        <v>223</v>
      </c>
      <c r="L213" s="40">
        <v>44846.582337962966</v>
      </c>
    </row>
    <row r="214" spans="1:12" x14ac:dyDescent="0.25">
      <c r="A214" s="38">
        <f>ROW(A2)</f>
        <v>2</v>
      </c>
      <c r="B214" s="39" t="s">
        <v>952</v>
      </c>
      <c r="C214" s="37" t="s">
        <v>1201</v>
      </c>
      <c r="D214" s="37" t="s">
        <v>1202</v>
      </c>
      <c r="E214" s="37"/>
      <c r="F214" s="37"/>
      <c r="G214" s="37"/>
      <c r="H214" s="37" t="s">
        <v>252</v>
      </c>
      <c r="I214" s="37">
        <v>5</v>
      </c>
      <c r="J214" s="37"/>
      <c r="K214" s="37" t="s">
        <v>223</v>
      </c>
      <c r="L214" s="40">
        <v>44846.582337962966</v>
      </c>
    </row>
    <row r="215" spans="1:12" x14ac:dyDescent="0.25">
      <c r="A215" s="38">
        <f>ROW(A2)</f>
        <v>2</v>
      </c>
      <c r="B215" s="39" t="s">
        <v>952</v>
      </c>
      <c r="C215" s="37" t="s">
        <v>1199</v>
      </c>
      <c r="D215" s="37" t="s">
        <v>1200</v>
      </c>
      <c r="E215" s="37"/>
      <c r="F215" s="37"/>
      <c r="G215" s="37"/>
      <c r="H215" s="37" t="s">
        <v>221</v>
      </c>
      <c r="I215" s="37">
        <v>5</v>
      </c>
      <c r="J215" s="37"/>
      <c r="K215" s="37" t="s">
        <v>32</v>
      </c>
      <c r="L215" s="40">
        <v>44846.582337962966</v>
      </c>
    </row>
    <row r="216" spans="1:12" x14ac:dyDescent="0.25">
      <c r="A216" s="38">
        <f>ROW(A2)</f>
        <v>2</v>
      </c>
      <c r="B216" s="39" t="s">
        <v>957</v>
      </c>
      <c r="C216" s="37" t="s">
        <v>1183</v>
      </c>
      <c r="D216" s="37" t="s">
        <v>1184</v>
      </c>
      <c r="E216" s="37"/>
      <c r="F216" s="37"/>
      <c r="G216" s="37"/>
      <c r="H216" s="37" t="s">
        <v>221</v>
      </c>
      <c r="I216" s="37">
        <v>1</v>
      </c>
      <c r="J216" s="37"/>
      <c r="K216" s="37" t="s">
        <v>223</v>
      </c>
      <c r="L216" s="40">
        <v>44846.573680555557</v>
      </c>
    </row>
    <row r="217" spans="1:12" x14ac:dyDescent="0.25">
      <c r="A217" s="38">
        <f>ROW(A2)</f>
        <v>2</v>
      </c>
      <c r="B217" s="39" t="s">
        <v>957</v>
      </c>
      <c r="C217" s="37" t="s">
        <v>766</v>
      </c>
      <c r="D217" s="37" t="s">
        <v>767</v>
      </c>
      <c r="E217" s="37"/>
      <c r="F217" s="37" t="s">
        <v>768</v>
      </c>
      <c r="G217" s="37" t="s">
        <v>234</v>
      </c>
      <c r="H217" s="37" t="s">
        <v>221</v>
      </c>
      <c r="I217" s="37">
        <v>96</v>
      </c>
      <c r="J217" s="37"/>
      <c r="K217" s="37" t="s">
        <v>223</v>
      </c>
      <c r="L217" s="40">
        <v>44846.573680555557</v>
      </c>
    </row>
    <row r="218" spans="1:12" x14ac:dyDescent="0.25">
      <c r="A218" s="38">
        <f>ROW(A2)</f>
        <v>2</v>
      </c>
      <c r="B218" s="39" t="s">
        <v>957</v>
      </c>
      <c r="C218" s="37" t="s">
        <v>1185</v>
      </c>
      <c r="D218" s="37" t="s">
        <v>1186</v>
      </c>
      <c r="E218" s="37"/>
      <c r="F218" s="37"/>
      <c r="G218" s="37"/>
      <c r="H218" s="37" t="s">
        <v>221</v>
      </c>
      <c r="I218" s="37">
        <v>5</v>
      </c>
      <c r="J218" s="37"/>
      <c r="K218" s="37" t="s">
        <v>32</v>
      </c>
      <c r="L218" s="40">
        <v>44846.573680555557</v>
      </c>
    </row>
    <row r="219" spans="1:12" x14ac:dyDescent="0.25">
      <c r="A219" s="38">
        <f>ROW(A2)</f>
        <v>2</v>
      </c>
      <c r="B219" s="39" t="s">
        <v>957</v>
      </c>
      <c r="C219" s="37" t="s">
        <v>1179</v>
      </c>
      <c r="D219" s="37" t="s">
        <v>1180</v>
      </c>
      <c r="E219" s="37"/>
      <c r="F219" s="37"/>
      <c r="G219" s="37" t="s">
        <v>255</v>
      </c>
      <c r="H219" s="37" t="s">
        <v>221</v>
      </c>
      <c r="I219" s="37">
        <v>12</v>
      </c>
      <c r="J219" s="37"/>
      <c r="K219" s="37" t="s">
        <v>32</v>
      </c>
      <c r="L219" s="40">
        <v>44846.573680555557</v>
      </c>
    </row>
    <row r="220" spans="1:12" x14ac:dyDescent="0.25">
      <c r="A220" s="38">
        <f>ROW(A2)</f>
        <v>2</v>
      </c>
      <c r="B220" s="39" t="s">
        <v>957</v>
      </c>
      <c r="C220" s="37" t="s">
        <v>421</v>
      </c>
      <c r="D220" s="37" t="s">
        <v>422</v>
      </c>
      <c r="E220" s="37"/>
      <c r="F220" s="37"/>
      <c r="G220" s="37" t="s">
        <v>255</v>
      </c>
      <c r="H220" s="37" t="s">
        <v>221</v>
      </c>
      <c r="I220" s="37">
        <v>2</v>
      </c>
      <c r="J220" s="37"/>
      <c r="K220" s="37" t="s">
        <v>223</v>
      </c>
      <c r="L220" s="40">
        <v>44846.573680555557</v>
      </c>
    </row>
    <row r="221" spans="1:12" x14ac:dyDescent="0.25">
      <c r="A221" s="38">
        <f>ROW(A2)</f>
        <v>2</v>
      </c>
      <c r="B221" s="39" t="s">
        <v>957</v>
      </c>
      <c r="C221" s="37" t="s">
        <v>1169</v>
      </c>
      <c r="D221" s="37" t="s">
        <v>1170</v>
      </c>
      <c r="E221" s="37"/>
      <c r="F221" s="37"/>
      <c r="G221" s="37"/>
      <c r="H221" s="37" t="s">
        <v>221</v>
      </c>
      <c r="I221" s="37">
        <v>24</v>
      </c>
      <c r="J221" s="37"/>
      <c r="K221" s="37" t="s">
        <v>32</v>
      </c>
      <c r="L221" s="40">
        <v>44846.573680555557</v>
      </c>
    </row>
    <row r="222" spans="1:12" x14ac:dyDescent="0.25">
      <c r="A222" s="38">
        <f>ROW(A2)</f>
        <v>2</v>
      </c>
      <c r="B222" s="39" t="s">
        <v>1063</v>
      </c>
      <c r="C222" s="37" t="s">
        <v>1225</v>
      </c>
      <c r="D222" s="37" t="s">
        <v>1226</v>
      </c>
      <c r="E222" s="37"/>
      <c r="F222" s="37"/>
      <c r="G222" s="37"/>
      <c r="H222" s="37" t="s">
        <v>221</v>
      </c>
      <c r="I222" s="37">
        <v>0</v>
      </c>
      <c r="J222" s="37"/>
      <c r="K222" s="37" t="s">
        <v>223</v>
      </c>
      <c r="L222" s="40">
        <v>44845.462627314817</v>
      </c>
    </row>
    <row r="223" spans="1:12" x14ac:dyDescent="0.25">
      <c r="A223" s="38">
        <f>ROW(A2)</f>
        <v>2</v>
      </c>
      <c r="B223" s="39" t="s">
        <v>1063</v>
      </c>
      <c r="C223" s="37" t="s">
        <v>1223</v>
      </c>
      <c r="D223" s="37" t="s">
        <v>1224</v>
      </c>
      <c r="E223" s="37"/>
      <c r="F223" s="37"/>
      <c r="G223" s="37"/>
      <c r="H223" s="37" t="s">
        <v>420</v>
      </c>
      <c r="I223" s="37">
        <v>0</v>
      </c>
      <c r="J223" s="37"/>
      <c r="K223" s="37" t="s">
        <v>223</v>
      </c>
      <c r="L223" s="40">
        <v>44845.462222222224</v>
      </c>
    </row>
    <row r="224" spans="1:12" x14ac:dyDescent="0.25">
      <c r="A224" s="38">
        <f>ROW(A2)</f>
        <v>2</v>
      </c>
      <c r="B224" s="39" t="s">
        <v>1063</v>
      </c>
      <c r="C224" s="37" t="s">
        <v>1221</v>
      </c>
      <c r="D224" s="37" t="s">
        <v>1222</v>
      </c>
      <c r="E224" s="37"/>
      <c r="F224" s="37"/>
      <c r="G224" s="37"/>
      <c r="H224" s="37" t="s">
        <v>221</v>
      </c>
      <c r="I224" s="37">
        <v>14</v>
      </c>
      <c r="J224" s="37"/>
      <c r="K224" s="37" t="s">
        <v>223</v>
      </c>
      <c r="L224" s="40">
        <v>44845.461828703701</v>
      </c>
    </row>
    <row r="225" spans="1:12" x14ac:dyDescent="0.25">
      <c r="A225" s="38">
        <f>ROW(A2)</f>
        <v>2</v>
      </c>
      <c r="B225" s="39" t="s">
        <v>1063</v>
      </c>
      <c r="C225" s="37" t="s">
        <v>1219</v>
      </c>
      <c r="D225" s="37" t="s">
        <v>1220</v>
      </c>
      <c r="E225" s="37"/>
      <c r="F225" s="37"/>
      <c r="G225" s="37"/>
      <c r="H225" s="37" t="s">
        <v>221</v>
      </c>
      <c r="I225" s="37">
        <v>0</v>
      </c>
      <c r="J225" s="37"/>
      <c r="K225" s="37" t="s">
        <v>32</v>
      </c>
      <c r="L225" s="40">
        <v>44845.461238425924</v>
      </c>
    </row>
    <row r="226" spans="1:12" x14ac:dyDescent="0.25">
      <c r="A226" s="38">
        <f>ROW(A2)</f>
        <v>2</v>
      </c>
      <c r="B226" s="39" t="s">
        <v>1063</v>
      </c>
      <c r="C226" s="37" t="s">
        <v>1217</v>
      </c>
      <c r="D226" s="37" t="s">
        <v>1218</v>
      </c>
      <c r="E226" s="37"/>
      <c r="F226" s="37"/>
      <c r="G226" s="37"/>
      <c r="H226" s="37" t="s">
        <v>243</v>
      </c>
      <c r="I226" s="37">
        <v>0</v>
      </c>
      <c r="J226" s="37"/>
      <c r="K226" s="37" t="s">
        <v>223</v>
      </c>
      <c r="L226" s="40">
        <v>44845.460902777777</v>
      </c>
    </row>
    <row r="227" spans="1:12" x14ac:dyDescent="0.25">
      <c r="A227" s="38">
        <f>ROW(A2)</f>
        <v>2</v>
      </c>
      <c r="B227" s="39" t="s">
        <v>1063</v>
      </c>
      <c r="C227" s="37" t="s">
        <v>1215</v>
      </c>
      <c r="D227" s="37" t="s">
        <v>1216</v>
      </c>
      <c r="E227" s="37"/>
      <c r="F227" s="37"/>
      <c r="G227" s="37"/>
      <c r="H227" s="37" t="s">
        <v>221</v>
      </c>
      <c r="I227" s="37">
        <v>0</v>
      </c>
      <c r="J227" s="37"/>
      <c r="K227" s="37" t="s">
        <v>223</v>
      </c>
      <c r="L227" s="40">
        <v>44845.459814814814</v>
      </c>
    </row>
    <row r="228" spans="1:12" x14ac:dyDescent="0.25">
      <c r="A228" s="38">
        <f>ROW(A2)</f>
        <v>2</v>
      </c>
      <c r="B228" s="39" t="s">
        <v>1063</v>
      </c>
      <c r="C228" s="37" t="s">
        <v>1213</v>
      </c>
      <c r="D228" s="37" t="s">
        <v>1214</v>
      </c>
      <c r="E228" s="37"/>
      <c r="F228" s="37"/>
      <c r="G228" s="37"/>
      <c r="H228" s="37" t="s">
        <v>221</v>
      </c>
      <c r="I228" s="37">
        <v>0</v>
      </c>
      <c r="J228" s="37"/>
      <c r="K228" s="37" t="s">
        <v>223</v>
      </c>
      <c r="L228" s="40">
        <v>44845.459548611114</v>
      </c>
    </row>
    <row r="229" spans="1:12" x14ac:dyDescent="0.25">
      <c r="A229" s="38">
        <f>ROW(A2)</f>
        <v>2</v>
      </c>
      <c r="B229" s="39" t="s">
        <v>1063</v>
      </c>
      <c r="C229" s="37" t="s">
        <v>1211</v>
      </c>
      <c r="D229" s="37" t="s">
        <v>1212</v>
      </c>
      <c r="E229" s="37"/>
      <c r="F229" s="37"/>
      <c r="G229" s="37"/>
      <c r="H229" s="37" t="s">
        <v>221</v>
      </c>
      <c r="I229" s="37">
        <v>0</v>
      </c>
      <c r="J229" s="37"/>
      <c r="K229" s="37" t="s">
        <v>223</v>
      </c>
      <c r="L229" s="40">
        <v>44845.459236111114</v>
      </c>
    </row>
    <row r="230" spans="1:12" x14ac:dyDescent="0.25">
      <c r="A230" s="38">
        <f>ROW(A2)</f>
        <v>2</v>
      </c>
      <c r="B230" s="39" t="s">
        <v>1063</v>
      </c>
      <c r="C230" s="37" t="s">
        <v>1209</v>
      </c>
      <c r="D230" s="37" t="s">
        <v>1210</v>
      </c>
      <c r="E230" s="37"/>
      <c r="F230" s="37"/>
      <c r="G230" s="37"/>
      <c r="H230" s="37" t="s">
        <v>221</v>
      </c>
      <c r="I230" s="37">
        <v>2</v>
      </c>
      <c r="J230" s="37"/>
      <c r="K230" s="37" t="s">
        <v>32</v>
      </c>
      <c r="L230" s="40">
        <v>44845.458796296298</v>
      </c>
    </row>
    <row r="231" spans="1:12" x14ac:dyDescent="0.25">
      <c r="A231" s="38">
        <f>ROW(A2)</f>
        <v>2</v>
      </c>
      <c r="B231" s="39" t="s">
        <v>1063</v>
      </c>
      <c r="C231" s="37" t="s">
        <v>1207</v>
      </c>
      <c r="D231" s="37" t="s">
        <v>1208</v>
      </c>
      <c r="E231" s="37"/>
      <c r="F231" s="37"/>
      <c r="G231" s="37"/>
      <c r="H231" s="37" t="s">
        <v>221</v>
      </c>
      <c r="I231" s="37">
        <v>0</v>
      </c>
      <c r="J231" s="37"/>
      <c r="K231" s="37" t="s">
        <v>223</v>
      </c>
      <c r="L231" s="40">
        <v>44845.457106481481</v>
      </c>
    </row>
    <row r="232" spans="1:12" x14ac:dyDescent="0.25">
      <c r="A232" s="38">
        <f>ROW(A2)</f>
        <v>2</v>
      </c>
      <c r="B232" s="39" t="s">
        <v>1063</v>
      </c>
      <c r="C232" s="37" t="s">
        <v>1205</v>
      </c>
      <c r="D232" s="37" t="s">
        <v>1206</v>
      </c>
      <c r="E232" s="37"/>
      <c r="F232" s="37"/>
      <c r="G232" s="37"/>
      <c r="H232" s="37" t="s">
        <v>221</v>
      </c>
      <c r="I232" s="37">
        <v>0</v>
      </c>
      <c r="J232" s="37"/>
      <c r="K232" s="37" t="s">
        <v>223</v>
      </c>
      <c r="L232" s="40">
        <v>44845.456793981481</v>
      </c>
    </row>
    <row r="233" spans="1:12" x14ac:dyDescent="0.25">
      <c r="A233" s="38">
        <f>ROW(A2)</f>
        <v>2</v>
      </c>
      <c r="B233" s="39" t="s">
        <v>1063</v>
      </c>
      <c r="C233" s="37" t="s">
        <v>1203</v>
      </c>
      <c r="D233" s="37" t="s">
        <v>1204</v>
      </c>
      <c r="E233" s="37"/>
      <c r="F233" s="37"/>
      <c r="G233" s="37"/>
      <c r="H233" s="37" t="s">
        <v>221</v>
      </c>
      <c r="I233" s="37">
        <v>0</v>
      </c>
      <c r="J233" s="37"/>
      <c r="K233" s="37" t="s">
        <v>223</v>
      </c>
      <c r="L233" s="40">
        <v>44845.456192129626</v>
      </c>
    </row>
    <row r="234" spans="1:12" x14ac:dyDescent="0.25">
      <c r="A234" s="38">
        <f>ROW(A2)</f>
        <v>2</v>
      </c>
      <c r="B234" s="39" t="s">
        <v>1063</v>
      </c>
      <c r="C234" s="37" t="s">
        <v>1201</v>
      </c>
      <c r="D234" s="37" t="s">
        <v>1202</v>
      </c>
      <c r="E234" s="37"/>
      <c r="F234" s="37"/>
      <c r="G234" s="37"/>
      <c r="H234" s="37" t="s">
        <v>252</v>
      </c>
      <c r="I234" s="37">
        <v>0</v>
      </c>
      <c r="J234" s="37"/>
      <c r="K234" s="37" t="s">
        <v>223</v>
      </c>
      <c r="L234" s="40">
        <v>44845.455787037034</v>
      </c>
    </row>
    <row r="235" spans="1:12" x14ac:dyDescent="0.25">
      <c r="A235" s="38">
        <f>ROW(A2)</f>
        <v>2</v>
      </c>
      <c r="B235" s="39" t="s">
        <v>1063</v>
      </c>
      <c r="C235" s="37" t="s">
        <v>1199</v>
      </c>
      <c r="D235" s="37" t="s">
        <v>1200</v>
      </c>
      <c r="E235" s="37"/>
      <c r="F235" s="37"/>
      <c r="G235" s="37"/>
      <c r="H235" s="37" t="s">
        <v>221</v>
      </c>
      <c r="I235" s="37">
        <v>0</v>
      </c>
      <c r="J235" s="37"/>
      <c r="K235" s="37" t="s">
        <v>32</v>
      </c>
      <c r="L235" s="40">
        <v>44845.455057870371</v>
      </c>
    </row>
    <row r="236" spans="1:12" x14ac:dyDescent="0.25">
      <c r="A236" s="38">
        <f>ROW(A2)</f>
        <v>2</v>
      </c>
      <c r="B236" s="39" t="s">
        <v>1063</v>
      </c>
      <c r="C236" s="37" t="s">
        <v>1197</v>
      </c>
      <c r="D236" s="37" t="s">
        <v>1198</v>
      </c>
      <c r="E236" s="37"/>
      <c r="F236" s="37"/>
      <c r="G236" s="37"/>
      <c r="H236" s="37" t="s">
        <v>221</v>
      </c>
      <c r="I236" s="37">
        <v>30</v>
      </c>
      <c r="J236" s="37"/>
      <c r="K236" s="37" t="s">
        <v>32</v>
      </c>
      <c r="L236" s="40">
        <v>44845.454108796293</v>
      </c>
    </row>
    <row r="237" spans="1:12" x14ac:dyDescent="0.25">
      <c r="A237" s="38">
        <f>ROW(A2)</f>
        <v>2</v>
      </c>
      <c r="B237" s="39" t="s">
        <v>1063</v>
      </c>
      <c r="C237" s="37" t="s">
        <v>1195</v>
      </c>
      <c r="D237" s="37" t="s">
        <v>1196</v>
      </c>
      <c r="E237" s="37"/>
      <c r="F237" s="37"/>
      <c r="G237" s="37"/>
      <c r="H237" s="37" t="s">
        <v>221</v>
      </c>
      <c r="I237" s="37">
        <v>30</v>
      </c>
      <c r="J237" s="37"/>
      <c r="K237" s="37" t="s">
        <v>223</v>
      </c>
      <c r="L237" s="40">
        <v>44845.453877314816</v>
      </c>
    </row>
    <row r="238" spans="1:12" x14ac:dyDescent="0.25">
      <c r="A238" s="38">
        <f>ROW(A2)</f>
        <v>2</v>
      </c>
      <c r="B238" s="39" t="s">
        <v>952</v>
      </c>
      <c r="C238" s="37" t="s">
        <v>766</v>
      </c>
      <c r="D238" s="37" t="s">
        <v>767</v>
      </c>
      <c r="E238" s="37"/>
      <c r="F238" s="37" t="s">
        <v>768</v>
      </c>
      <c r="G238" s="37" t="s">
        <v>234</v>
      </c>
      <c r="H238" s="37" t="s">
        <v>221</v>
      </c>
      <c r="I238" s="37">
        <v>96</v>
      </c>
      <c r="J238" s="37"/>
      <c r="K238" s="37" t="s">
        <v>1189</v>
      </c>
      <c r="L238" s="40">
        <v>44845.428657407407</v>
      </c>
    </row>
    <row r="239" spans="1:12" x14ac:dyDescent="0.25">
      <c r="A239" s="38">
        <f>ROW(A2)</f>
        <v>2</v>
      </c>
      <c r="B239" s="39" t="s">
        <v>952</v>
      </c>
      <c r="C239" s="37" t="s">
        <v>1181</v>
      </c>
      <c r="D239" s="37" t="s">
        <v>1182</v>
      </c>
      <c r="E239" s="37"/>
      <c r="F239" s="37"/>
      <c r="G239" s="37"/>
      <c r="H239" s="37" t="s">
        <v>570</v>
      </c>
      <c r="I239" s="37">
        <v>5</v>
      </c>
      <c r="J239" s="37"/>
      <c r="K239" s="37" t="s">
        <v>32</v>
      </c>
      <c r="L239" s="40">
        <v>44845.428657407407</v>
      </c>
    </row>
    <row r="240" spans="1:12" x14ac:dyDescent="0.25">
      <c r="A240" s="38">
        <f>ROW(A2)</f>
        <v>2</v>
      </c>
      <c r="B240" s="39" t="s">
        <v>952</v>
      </c>
      <c r="C240" s="37" t="s">
        <v>1183</v>
      </c>
      <c r="D240" s="37" t="s">
        <v>1184</v>
      </c>
      <c r="E240" s="37"/>
      <c r="F240" s="37"/>
      <c r="G240" s="37"/>
      <c r="H240" s="37" t="s">
        <v>221</v>
      </c>
      <c r="I240" s="37">
        <v>1</v>
      </c>
      <c r="J240" s="37"/>
      <c r="K240" s="37" t="s">
        <v>223</v>
      </c>
      <c r="L240" s="40">
        <v>44845.428657407407</v>
      </c>
    </row>
    <row r="241" spans="1:12" x14ac:dyDescent="0.25">
      <c r="A241" s="38">
        <f>ROW(A2)</f>
        <v>2</v>
      </c>
      <c r="B241" s="39" t="s">
        <v>952</v>
      </c>
      <c r="C241" s="37" t="s">
        <v>1185</v>
      </c>
      <c r="D241" s="37" t="s">
        <v>1186</v>
      </c>
      <c r="E241" s="37"/>
      <c r="F241" s="37"/>
      <c r="G241" s="37"/>
      <c r="H241" s="37" t="s">
        <v>221</v>
      </c>
      <c r="I241" s="37">
        <v>5</v>
      </c>
      <c r="J241" s="37"/>
      <c r="K241" s="37" t="s">
        <v>32</v>
      </c>
      <c r="L241" s="40">
        <v>44845.428657407407</v>
      </c>
    </row>
    <row r="242" spans="1:12" x14ac:dyDescent="0.25">
      <c r="A242" s="38">
        <f>ROW(A2)</f>
        <v>2</v>
      </c>
      <c r="B242" s="39" t="s">
        <v>952</v>
      </c>
      <c r="C242" s="37" t="s">
        <v>421</v>
      </c>
      <c r="D242" s="37" t="s">
        <v>422</v>
      </c>
      <c r="E242" s="37"/>
      <c r="F242" s="37"/>
      <c r="G242" s="37" t="s">
        <v>255</v>
      </c>
      <c r="H242" s="37" t="s">
        <v>221</v>
      </c>
      <c r="I242" s="37">
        <v>2</v>
      </c>
      <c r="J242" s="37"/>
      <c r="K242" s="37" t="s">
        <v>223</v>
      </c>
      <c r="L242" s="40">
        <v>44845.428657407407</v>
      </c>
    </row>
    <row r="243" spans="1:12" x14ac:dyDescent="0.25">
      <c r="A243" s="38">
        <f>ROW(A2)</f>
        <v>2</v>
      </c>
      <c r="B243" s="39" t="s">
        <v>952</v>
      </c>
      <c r="C243" s="37" t="s">
        <v>1169</v>
      </c>
      <c r="D243" s="37" t="s">
        <v>1170</v>
      </c>
      <c r="E243" s="37"/>
      <c r="F243" s="37"/>
      <c r="G243" s="37"/>
      <c r="H243" s="37" t="s">
        <v>221</v>
      </c>
      <c r="I243" s="37">
        <v>24</v>
      </c>
      <c r="J243" s="37"/>
      <c r="K243" s="37" t="s">
        <v>32</v>
      </c>
      <c r="L243" s="40">
        <v>44845.428657407407</v>
      </c>
    </row>
    <row r="244" spans="1:12" x14ac:dyDescent="0.25">
      <c r="A244" s="38">
        <f>ROW(A2)</f>
        <v>2</v>
      </c>
      <c r="B244" s="39" t="s">
        <v>1063</v>
      </c>
      <c r="C244" s="37" t="s">
        <v>1185</v>
      </c>
      <c r="D244" s="37" t="s">
        <v>1186</v>
      </c>
      <c r="E244" s="37"/>
      <c r="F244" s="37"/>
      <c r="G244" s="37"/>
      <c r="H244" s="37" t="s">
        <v>221</v>
      </c>
      <c r="I244" s="37">
        <v>0</v>
      </c>
      <c r="J244" s="37"/>
      <c r="K244" s="37" t="s">
        <v>32</v>
      </c>
      <c r="L244" s="40">
        <v>44845.421168981484</v>
      </c>
    </row>
    <row r="245" spans="1:12" x14ac:dyDescent="0.25">
      <c r="A245" s="38">
        <f>ROW(A2)</f>
        <v>2</v>
      </c>
      <c r="B245" s="39" t="s">
        <v>1063</v>
      </c>
      <c r="C245" s="37" t="s">
        <v>1183</v>
      </c>
      <c r="D245" s="37" t="s">
        <v>1184</v>
      </c>
      <c r="E245" s="37"/>
      <c r="F245" s="37"/>
      <c r="G245" s="37"/>
      <c r="H245" s="37" t="s">
        <v>221</v>
      </c>
      <c r="I245" s="37">
        <v>0</v>
      </c>
      <c r="J245" s="37"/>
      <c r="K245" s="37" t="s">
        <v>223</v>
      </c>
      <c r="L245" s="40">
        <v>44845.420763888891</v>
      </c>
    </row>
    <row r="246" spans="1:12" x14ac:dyDescent="0.25">
      <c r="A246" s="38">
        <f>ROW(A2)</f>
        <v>2</v>
      </c>
      <c r="B246" s="39" t="s">
        <v>1063</v>
      </c>
      <c r="C246" s="37" t="s">
        <v>1181</v>
      </c>
      <c r="D246" s="37" t="s">
        <v>1182</v>
      </c>
      <c r="E246" s="37"/>
      <c r="F246" s="37"/>
      <c r="G246" s="37"/>
      <c r="H246" s="37" t="s">
        <v>570</v>
      </c>
      <c r="I246" s="37">
        <v>0</v>
      </c>
      <c r="J246" s="37"/>
      <c r="K246" s="37" t="s">
        <v>32</v>
      </c>
      <c r="L246" s="40">
        <v>44845.420324074075</v>
      </c>
    </row>
    <row r="247" spans="1:12" x14ac:dyDescent="0.25">
      <c r="A247" s="38">
        <f>ROW(A2)</f>
        <v>2</v>
      </c>
      <c r="B247" s="39" t="s">
        <v>1063</v>
      </c>
      <c r="C247" s="37" t="s">
        <v>1179</v>
      </c>
      <c r="D247" s="37" t="s">
        <v>1180</v>
      </c>
      <c r="E247" s="37"/>
      <c r="F247" s="37"/>
      <c r="G247" s="37" t="s">
        <v>255</v>
      </c>
      <c r="H247" s="37" t="s">
        <v>221</v>
      </c>
      <c r="I247" s="37">
        <v>12</v>
      </c>
      <c r="J247" s="37"/>
      <c r="K247" s="37" t="s">
        <v>32</v>
      </c>
      <c r="L247" s="40">
        <v>44845.41978009259</v>
      </c>
    </row>
    <row r="248" spans="1:12" x14ac:dyDescent="0.25">
      <c r="A248" s="38">
        <f>ROW(A2)</f>
        <v>2</v>
      </c>
      <c r="B248" s="39" t="s">
        <v>957</v>
      </c>
      <c r="C248" s="37" t="s">
        <v>1169</v>
      </c>
      <c r="D248" s="37" t="s">
        <v>1170</v>
      </c>
      <c r="E248" s="37"/>
      <c r="F248" s="37"/>
      <c r="G248" s="37"/>
      <c r="H248" s="37" t="s">
        <v>221</v>
      </c>
      <c r="I248" s="37">
        <v>1</v>
      </c>
      <c r="J248" s="37"/>
      <c r="K248" s="37" t="s">
        <v>32</v>
      </c>
      <c r="L248" s="40">
        <v>44838.44121527778</v>
      </c>
    </row>
    <row r="249" spans="1:12" x14ac:dyDescent="0.25">
      <c r="A249" s="38">
        <f>ROW(A2)</f>
        <v>2</v>
      </c>
      <c r="B249" s="39" t="s">
        <v>957</v>
      </c>
      <c r="C249" s="37" t="s">
        <v>1169</v>
      </c>
      <c r="D249" s="37" t="s">
        <v>1170</v>
      </c>
      <c r="E249" s="37"/>
      <c r="F249" s="37"/>
      <c r="G249" s="37"/>
      <c r="H249" s="37" t="s">
        <v>221</v>
      </c>
      <c r="I249" s="37">
        <v>1</v>
      </c>
      <c r="J249" s="37"/>
      <c r="K249" s="37" t="s">
        <v>32</v>
      </c>
      <c r="L249" s="40">
        <v>44838.44121527778</v>
      </c>
    </row>
    <row r="250" spans="1:12" x14ac:dyDescent="0.25">
      <c r="A250" s="38">
        <f>ROW(A2)</f>
        <v>2</v>
      </c>
      <c r="B250" s="39" t="s">
        <v>957</v>
      </c>
      <c r="C250" s="37" t="s">
        <v>1169</v>
      </c>
      <c r="D250" s="37" t="s">
        <v>1170</v>
      </c>
      <c r="E250" s="37"/>
      <c r="F250" s="37"/>
      <c r="G250" s="37"/>
      <c r="H250" s="37" t="s">
        <v>221</v>
      </c>
      <c r="I250" s="37">
        <v>1</v>
      </c>
      <c r="J250" s="37"/>
      <c r="K250" s="37" t="s">
        <v>32</v>
      </c>
      <c r="L250" s="40">
        <v>44838.44121527778</v>
      </c>
    </row>
    <row r="251" spans="1:12" x14ac:dyDescent="0.25">
      <c r="A251" s="38">
        <f>ROW(A2)</f>
        <v>2</v>
      </c>
      <c r="B251" s="39" t="s">
        <v>957</v>
      </c>
      <c r="C251" s="37" t="s">
        <v>1171</v>
      </c>
      <c r="D251" s="37" t="s">
        <v>1172</v>
      </c>
      <c r="E251" s="37"/>
      <c r="F251" s="37"/>
      <c r="G251" s="37" t="s">
        <v>771</v>
      </c>
      <c r="H251" s="37" t="s">
        <v>221</v>
      </c>
      <c r="I251" s="37">
        <v>12</v>
      </c>
      <c r="J251" s="37"/>
      <c r="K251" s="37" t="s">
        <v>32</v>
      </c>
      <c r="L251" s="40">
        <v>44838.44121527778</v>
      </c>
    </row>
    <row r="252" spans="1:12" x14ac:dyDescent="0.25">
      <c r="A252" s="38">
        <f>ROW(A2)</f>
        <v>2</v>
      </c>
      <c r="B252" s="39" t="s">
        <v>957</v>
      </c>
      <c r="C252" s="37" t="s">
        <v>1175</v>
      </c>
      <c r="D252" s="37" t="s">
        <v>1176</v>
      </c>
      <c r="E252" s="37"/>
      <c r="F252" s="37"/>
      <c r="G252" s="37" t="s">
        <v>230</v>
      </c>
      <c r="H252" s="37" t="s">
        <v>221</v>
      </c>
      <c r="I252" s="37">
        <v>4</v>
      </c>
      <c r="J252" s="37"/>
      <c r="K252" s="37" t="s">
        <v>223</v>
      </c>
      <c r="L252" s="40">
        <v>44838.44121527778</v>
      </c>
    </row>
    <row r="253" spans="1:12" x14ac:dyDescent="0.25">
      <c r="A253" s="38">
        <f>ROW(A2)</f>
        <v>2</v>
      </c>
      <c r="B253" s="39" t="s">
        <v>957</v>
      </c>
      <c r="C253" s="37" t="s">
        <v>1173</v>
      </c>
      <c r="D253" s="37" t="s">
        <v>1174</v>
      </c>
      <c r="E253" s="37"/>
      <c r="F253" s="37"/>
      <c r="G253" s="37"/>
      <c r="H253" s="37" t="s">
        <v>221</v>
      </c>
      <c r="I253" s="37">
        <v>12</v>
      </c>
      <c r="J253" s="37"/>
      <c r="K253" s="37" t="s">
        <v>32</v>
      </c>
      <c r="L253" s="40">
        <v>44838.44121527778</v>
      </c>
    </row>
    <row r="254" spans="1:12" x14ac:dyDescent="0.25">
      <c r="A254" s="38">
        <f>ROW(A2)</f>
        <v>2</v>
      </c>
      <c r="B254" s="39" t="s">
        <v>952</v>
      </c>
      <c r="C254" s="37" t="s">
        <v>1169</v>
      </c>
      <c r="D254" s="37" t="s">
        <v>1170</v>
      </c>
      <c r="E254" s="37"/>
      <c r="F254" s="37"/>
      <c r="G254" s="37"/>
      <c r="H254" s="37" t="s">
        <v>221</v>
      </c>
      <c r="I254" s="37">
        <v>1</v>
      </c>
      <c r="J254" s="37"/>
      <c r="K254" s="37" t="s">
        <v>32</v>
      </c>
      <c r="L254" s="40">
        <v>44838.439849537041</v>
      </c>
    </row>
    <row r="255" spans="1:12" x14ac:dyDescent="0.25">
      <c r="A255" s="38">
        <f>ROW(A2)</f>
        <v>2</v>
      </c>
      <c r="B255" s="39" t="s">
        <v>952</v>
      </c>
      <c r="C255" s="37" t="s">
        <v>1169</v>
      </c>
      <c r="D255" s="37" t="s">
        <v>1170</v>
      </c>
      <c r="E255" s="37"/>
      <c r="F255" s="37"/>
      <c r="G255" s="37"/>
      <c r="H255" s="37" t="s">
        <v>221</v>
      </c>
      <c r="I255" s="37">
        <v>1</v>
      </c>
      <c r="J255" s="37"/>
      <c r="K255" s="37" t="s">
        <v>32</v>
      </c>
      <c r="L255" s="40">
        <v>44838.439849537041</v>
      </c>
    </row>
    <row r="256" spans="1:12" x14ac:dyDescent="0.25">
      <c r="A256" s="38">
        <f>ROW(A2)</f>
        <v>2</v>
      </c>
      <c r="B256" s="39" t="s">
        <v>952</v>
      </c>
      <c r="C256" s="37" t="s">
        <v>1169</v>
      </c>
      <c r="D256" s="37" t="s">
        <v>1170</v>
      </c>
      <c r="E256" s="37"/>
      <c r="F256" s="37"/>
      <c r="G256" s="37"/>
      <c r="H256" s="37" t="s">
        <v>221</v>
      </c>
      <c r="I256" s="37">
        <v>1</v>
      </c>
      <c r="J256" s="37"/>
      <c r="K256" s="37" t="s">
        <v>32</v>
      </c>
      <c r="L256" s="40">
        <v>44838.439849537041</v>
      </c>
    </row>
    <row r="257" spans="1:12" x14ac:dyDescent="0.25">
      <c r="A257" s="38">
        <f>ROW(A2)</f>
        <v>2</v>
      </c>
      <c r="B257" s="39" t="s">
        <v>952</v>
      </c>
      <c r="C257" s="37" t="s">
        <v>1061</v>
      </c>
      <c r="D257" s="37" t="s">
        <v>1062</v>
      </c>
      <c r="E257" s="37"/>
      <c r="F257" s="37"/>
      <c r="G257" s="37"/>
      <c r="H257" s="37" t="s">
        <v>221</v>
      </c>
      <c r="I257" s="37">
        <v>1</v>
      </c>
      <c r="J257" s="37"/>
      <c r="K257" s="37" t="s">
        <v>223</v>
      </c>
      <c r="L257" s="40">
        <v>44838.439849537041</v>
      </c>
    </row>
    <row r="258" spans="1:12" x14ac:dyDescent="0.25">
      <c r="A258" s="38">
        <f>ROW(A2)</f>
        <v>2</v>
      </c>
      <c r="B258" s="39" t="s">
        <v>952</v>
      </c>
      <c r="C258" s="37" t="s">
        <v>1173</v>
      </c>
      <c r="D258" s="37" t="s">
        <v>1174</v>
      </c>
      <c r="E258" s="37"/>
      <c r="F258" s="37"/>
      <c r="G258" s="37"/>
      <c r="H258" s="37" t="s">
        <v>221</v>
      </c>
      <c r="I258" s="37">
        <v>12</v>
      </c>
      <c r="J258" s="37"/>
      <c r="K258" s="37" t="s">
        <v>32</v>
      </c>
      <c r="L258" s="40">
        <v>44838.439849537041</v>
      </c>
    </row>
    <row r="259" spans="1:12" x14ac:dyDescent="0.25">
      <c r="A259" s="38">
        <f>ROW(A2)</f>
        <v>2</v>
      </c>
      <c r="B259" s="39" t="s">
        <v>952</v>
      </c>
      <c r="C259" s="37" t="s">
        <v>1175</v>
      </c>
      <c r="D259" s="37" t="s">
        <v>1176</v>
      </c>
      <c r="E259" s="37"/>
      <c r="F259" s="37"/>
      <c r="G259" s="37" t="s">
        <v>230</v>
      </c>
      <c r="H259" s="37" t="s">
        <v>221</v>
      </c>
      <c r="I259" s="37">
        <v>4</v>
      </c>
      <c r="J259" s="37"/>
      <c r="K259" s="37" t="s">
        <v>223</v>
      </c>
      <c r="L259" s="40">
        <v>44838.439849537041</v>
      </c>
    </row>
    <row r="260" spans="1:12" x14ac:dyDescent="0.25">
      <c r="A260" s="38">
        <f>ROW(A2)</f>
        <v>2</v>
      </c>
      <c r="B260" s="39" t="s">
        <v>1063</v>
      </c>
      <c r="C260" s="37" t="s">
        <v>1175</v>
      </c>
      <c r="D260" s="37" t="s">
        <v>1176</v>
      </c>
      <c r="E260" s="37"/>
      <c r="F260" s="37"/>
      <c r="G260" s="37" t="s">
        <v>230</v>
      </c>
      <c r="H260" s="37" t="s">
        <v>221</v>
      </c>
      <c r="I260" s="37">
        <v>0</v>
      </c>
      <c r="J260" s="37"/>
      <c r="K260" s="37" t="s">
        <v>223</v>
      </c>
      <c r="L260" s="40">
        <v>44838.438217592593</v>
      </c>
    </row>
    <row r="261" spans="1:12" x14ac:dyDescent="0.25">
      <c r="A261" s="38">
        <f>ROW(A2)</f>
        <v>2</v>
      </c>
      <c r="B261" s="39" t="s">
        <v>1063</v>
      </c>
      <c r="C261" s="37" t="s">
        <v>1173</v>
      </c>
      <c r="D261" s="37" t="s">
        <v>1174</v>
      </c>
      <c r="E261" s="37"/>
      <c r="F261" s="37"/>
      <c r="G261" s="37"/>
      <c r="H261" s="37" t="s">
        <v>221</v>
      </c>
      <c r="I261" s="37">
        <v>0</v>
      </c>
      <c r="J261" s="37"/>
      <c r="K261" s="37" t="s">
        <v>32</v>
      </c>
      <c r="L261" s="40">
        <v>44838.436828703707</v>
      </c>
    </row>
    <row r="262" spans="1:12" x14ac:dyDescent="0.25">
      <c r="A262" s="38">
        <f>ROW(A2)</f>
        <v>2</v>
      </c>
      <c r="B262" s="39" t="s">
        <v>1063</v>
      </c>
      <c r="C262" s="37" t="s">
        <v>1171</v>
      </c>
      <c r="D262" s="37" t="s">
        <v>1172</v>
      </c>
      <c r="E262" s="37"/>
      <c r="F262" s="37"/>
      <c r="G262" s="37" t="s">
        <v>771</v>
      </c>
      <c r="H262" s="37" t="s">
        <v>221</v>
      </c>
      <c r="I262" s="37">
        <v>12</v>
      </c>
      <c r="J262" s="37"/>
      <c r="K262" s="37" t="s">
        <v>32</v>
      </c>
      <c r="L262" s="40">
        <v>44838.436516203707</v>
      </c>
    </row>
    <row r="263" spans="1:12" x14ac:dyDescent="0.25">
      <c r="A263" s="38">
        <f>ROW(A2)</f>
        <v>2</v>
      </c>
      <c r="B263" s="39" t="s">
        <v>1063</v>
      </c>
      <c r="C263" s="37" t="s">
        <v>1169</v>
      </c>
      <c r="D263" s="37" t="s">
        <v>1170</v>
      </c>
      <c r="E263" s="37"/>
      <c r="F263" s="37"/>
      <c r="G263" s="37"/>
      <c r="H263" s="37" t="s">
        <v>221</v>
      </c>
      <c r="I263" s="37">
        <v>0</v>
      </c>
      <c r="J263" s="37"/>
      <c r="K263" s="37" t="s">
        <v>32</v>
      </c>
      <c r="L263" s="40">
        <v>44838.43613425926</v>
      </c>
    </row>
    <row r="264" spans="1:12" x14ac:dyDescent="0.25">
      <c r="A264" s="38">
        <f>ROW(A2)</f>
        <v>2</v>
      </c>
      <c r="B264" s="39" t="s">
        <v>957</v>
      </c>
      <c r="C264" s="37" t="s">
        <v>623</v>
      </c>
      <c r="D264" s="37" t="s">
        <v>624</v>
      </c>
      <c r="E264" s="37"/>
      <c r="F264" s="37" t="s">
        <v>625</v>
      </c>
      <c r="G264" s="37" t="s">
        <v>257</v>
      </c>
      <c r="H264" s="37" t="s">
        <v>626</v>
      </c>
      <c r="I264" s="37">
        <v>3</v>
      </c>
      <c r="J264" s="37"/>
      <c r="K264" s="37" t="s">
        <v>32</v>
      </c>
      <c r="L264" s="40">
        <v>44835.390636574077</v>
      </c>
    </row>
    <row r="265" spans="1:12" x14ac:dyDescent="0.25">
      <c r="A265" s="38">
        <f>ROW(A2)</f>
        <v>2</v>
      </c>
      <c r="B265" s="39" t="s">
        <v>957</v>
      </c>
      <c r="C265" s="37" t="s">
        <v>425</v>
      </c>
      <c r="D265" s="37" t="s">
        <v>426</v>
      </c>
      <c r="E265" s="37"/>
      <c r="F265" s="37"/>
      <c r="G265" s="37" t="s">
        <v>257</v>
      </c>
      <c r="H265" s="37" t="s">
        <v>221</v>
      </c>
      <c r="I265" s="37">
        <v>2</v>
      </c>
      <c r="J265" s="37" t="s">
        <v>223</v>
      </c>
      <c r="K265" s="37" t="s">
        <v>223</v>
      </c>
      <c r="L265" s="40">
        <v>44834.726400462961</v>
      </c>
    </row>
    <row r="266" spans="1:12" x14ac:dyDescent="0.25">
      <c r="A266" s="38">
        <f>ROW(A2)</f>
        <v>2</v>
      </c>
      <c r="B266" s="39" t="s">
        <v>957</v>
      </c>
      <c r="C266" s="37" t="s">
        <v>1160</v>
      </c>
      <c r="D266" s="37" t="s">
        <v>1161</v>
      </c>
      <c r="E266" s="37"/>
      <c r="F266" s="37"/>
      <c r="G266" s="37"/>
      <c r="H266" s="37" t="s">
        <v>221</v>
      </c>
      <c r="I266" s="37">
        <v>1</v>
      </c>
      <c r="J266" s="37"/>
      <c r="K266" s="37" t="s">
        <v>223</v>
      </c>
      <c r="L266" s="40">
        <v>44833.765347222223</v>
      </c>
    </row>
    <row r="267" spans="1:12" x14ac:dyDescent="0.25">
      <c r="A267" s="38">
        <f>ROW(A2)</f>
        <v>2</v>
      </c>
      <c r="B267" s="39" t="s">
        <v>957</v>
      </c>
      <c r="C267" s="37" t="s">
        <v>682</v>
      </c>
      <c r="D267" s="37" t="s">
        <v>683</v>
      </c>
      <c r="E267" s="37"/>
      <c r="F267" s="37"/>
      <c r="G267" s="37"/>
      <c r="H267" s="37" t="s">
        <v>221</v>
      </c>
      <c r="I267" s="37">
        <v>1</v>
      </c>
      <c r="J267" s="37"/>
      <c r="K267" s="37" t="s">
        <v>223</v>
      </c>
      <c r="L267" s="40">
        <v>44833.765347222223</v>
      </c>
    </row>
    <row r="268" spans="1:12" x14ac:dyDescent="0.25">
      <c r="A268" s="38">
        <f>ROW(A2)</f>
        <v>2</v>
      </c>
      <c r="B268" s="39" t="s">
        <v>957</v>
      </c>
      <c r="C268" s="37" t="s">
        <v>746</v>
      </c>
      <c r="D268" s="37" t="s">
        <v>747</v>
      </c>
      <c r="E268" s="37"/>
      <c r="F268" s="37"/>
      <c r="G268" s="37"/>
      <c r="H268" s="37" t="s">
        <v>570</v>
      </c>
      <c r="I268" s="37">
        <v>1</v>
      </c>
      <c r="J268" s="37"/>
      <c r="K268" s="37" t="s">
        <v>223</v>
      </c>
      <c r="L268" s="40">
        <v>44833.765347222223</v>
      </c>
    </row>
    <row r="269" spans="1:12" x14ac:dyDescent="0.25">
      <c r="A269" s="38">
        <f>ROW(A2)</f>
        <v>2</v>
      </c>
      <c r="B269" s="39" t="s">
        <v>952</v>
      </c>
      <c r="C269" s="37" t="s">
        <v>1160</v>
      </c>
      <c r="D269" s="37" t="s">
        <v>1161</v>
      </c>
      <c r="E269" s="37"/>
      <c r="F269" s="37"/>
      <c r="G269" s="37"/>
      <c r="H269" s="37" t="s">
        <v>221</v>
      </c>
      <c r="I269" s="37">
        <v>1</v>
      </c>
      <c r="J269" s="37"/>
      <c r="K269" s="37" t="s">
        <v>223</v>
      </c>
      <c r="L269" s="40">
        <v>44833.764444444445</v>
      </c>
    </row>
    <row r="270" spans="1:12" x14ac:dyDescent="0.25">
      <c r="A270" s="38">
        <f>ROW(A2)</f>
        <v>2</v>
      </c>
      <c r="B270" s="39" t="s">
        <v>1063</v>
      </c>
      <c r="C270" s="37" t="s">
        <v>1160</v>
      </c>
      <c r="D270" s="37" t="s">
        <v>1161</v>
      </c>
      <c r="E270" s="37"/>
      <c r="F270" s="37"/>
      <c r="G270" s="37"/>
      <c r="H270" s="37" t="s">
        <v>221</v>
      </c>
      <c r="I270" s="37">
        <v>0</v>
      </c>
      <c r="J270" s="37"/>
      <c r="K270" s="37" t="s">
        <v>223</v>
      </c>
      <c r="L270" s="40">
        <v>44833.762349537035</v>
      </c>
    </row>
    <row r="271" spans="1:12" x14ac:dyDescent="0.25">
      <c r="A271" s="38">
        <f>ROW(A2)</f>
        <v>2</v>
      </c>
      <c r="B271" s="39" t="s">
        <v>957</v>
      </c>
      <c r="C271" s="37" t="s">
        <v>600</v>
      </c>
      <c r="D271" s="37" t="s">
        <v>601</v>
      </c>
      <c r="E271" s="37"/>
      <c r="F271" s="37"/>
      <c r="G271" s="37" t="s">
        <v>257</v>
      </c>
      <c r="H271" s="37" t="s">
        <v>235</v>
      </c>
      <c r="I271" s="37">
        <v>1</v>
      </c>
      <c r="J271" s="37" t="s">
        <v>223</v>
      </c>
      <c r="K271" s="37" t="s">
        <v>223</v>
      </c>
      <c r="L271" s="40">
        <v>44833.760740740741</v>
      </c>
    </row>
    <row r="272" spans="1:12" x14ac:dyDescent="0.25">
      <c r="A272" s="38">
        <f>ROW(A2)</f>
        <v>2</v>
      </c>
      <c r="B272" s="39" t="s">
        <v>957</v>
      </c>
      <c r="C272" s="37" t="s">
        <v>425</v>
      </c>
      <c r="D272" s="37" t="s">
        <v>426</v>
      </c>
      <c r="E272" s="37"/>
      <c r="F272" s="37"/>
      <c r="G272" s="37" t="s">
        <v>257</v>
      </c>
      <c r="H272" s="37" t="s">
        <v>221</v>
      </c>
      <c r="I272" s="37">
        <v>8</v>
      </c>
      <c r="J272" s="37" t="s">
        <v>223</v>
      </c>
      <c r="K272" s="37" t="s">
        <v>223</v>
      </c>
      <c r="L272" s="40">
        <v>44833.760740740741</v>
      </c>
    </row>
    <row r="273" spans="1:12" x14ac:dyDescent="0.25">
      <c r="A273" s="38">
        <f>ROW(A2)</f>
        <v>2</v>
      </c>
      <c r="B273" s="39" t="s">
        <v>957</v>
      </c>
      <c r="C273" s="37" t="s">
        <v>370</v>
      </c>
      <c r="D273" s="37" t="s">
        <v>371</v>
      </c>
      <c r="E273" s="37"/>
      <c r="F273" s="37"/>
      <c r="G273" s="37" t="s">
        <v>257</v>
      </c>
      <c r="H273" s="37" t="s">
        <v>240</v>
      </c>
      <c r="I273" s="37">
        <v>1</v>
      </c>
      <c r="J273" s="37" t="s">
        <v>223</v>
      </c>
      <c r="K273" s="37" t="s">
        <v>223</v>
      </c>
      <c r="L273" s="40">
        <v>44833.760740740741</v>
      </c>
    </row>
    <row r="274" spans="1:12" x14ac:dyDescent="0.25">
      <c r="A274" s="38">
        <f>ROW(A2)</f>
        <v>2</v>
      </c>
      <c r="B274" s="39" t="s">
        <v>957</v>
      </c>
      <c r="C274" s="37" t="s">
        <v>1152</v>
      </c>
      <c r="D274" s="37" t="s">
        <v>1153</v>
      </c>
      <c r="E274" s="37"/>
      <c r="F274" s="37"/>
      <c r="G274" s="37"/>
      <c r="H274" s="37" t="s">
        <v>221</v>
      </c>
      <c r="I274" s="37">
        <v>8</v>
      </c>
      <c r="J274" s="37"/>
      <c r="K274" s="37" t="s">
        <v>629</v>
      </c>
      <c r="L274" s="40">
        <v>44831.585277777776</v>
      </c>
    </row>
    <row r="275" spans="1:12" x14ac:dyDescent="0.25">
      <c r="A275" s="38">
        <f>ROW(A2)</f>
        <v>2</v>
      </c>
      <c r="B275" s="39" t="s">
        <v>952</v>
      </c>
      <c r="C275" s="37" t="s">
        <v>1152</v>
      </c>
      <c r="D275" s="37" t="s">
        <v>1153</v>
      </c>
      <c r="E275" s="37"/>
      <c r="F275" s="37"/>
      <c r="G275" s="37"/>
      <c r="H275" s="37" t="s">
        <v>221</v>
      </c>
      <c r="I275" s="37">
        <v>8</v>
      </c>
      <c r="J275" s="37"/>
      <c r="K275" s="37" t="s">
        <v>223</v>
      </c>
      <c r="L275" s="40">
        <v>44831.584502314814</v>
      </c>
    </row>
    <row r="276" spans="1:12" x14ac:dyDescent="0.25">
      <c r="A276" s="38">
        <f>ROW(A2)</f>
        <v>2</v>
      </c>
      <c r="B276" s="39" t="s">
        <v>1063</v>
      </c>
      <c r="C276" s="37" t="s">
        <v>1152</v>
      </c>
      <c r="D276" s="37" t="s">
        <v>1153</v>
      </c>
      <c r="E276" s="37"/>
      <c r="F276" s="37"/>
      <c r="G276" s="37"/>
      <c r="H276" s="37" t="s">
        <v>221</v>
      </c>
      <c r="I276" s="37">
        <v>0</v>
      </c>
      <c r="J276" s="37"/>
      <c r="K276" s="37" t="s">
        <v>223</v>
      </c>
      <c r="L276" s="40">
        <v>44831.583796296298</v>
      </c>
    </row>
    <row r="277" spans="1:12" x14ac:dyDescent="0.25">
      <c r="A277" s="38">
        <f>ROW(A2)</f>
        <v>2</v>
      </c>
      <c r="B277" s="39" t="s">
        <v>952</v>
      </c>
      <c r="C277" s="37" t="s">
        <v>1147</v>
      </c>
      <c r="D277" s="37" t="s">
        <v>1148</v>
      </c>
      <c r="E277" s="37"/>
      <c r="F277" s="37"/>
      <c r="G277" s="37"/>
      <c r="H277" s="37" t="s">
        <v>221</v>
      </c>
      <c r="I277" s="37">
        <v>1</v>
      </c>
      <c r="J277" s="37"/>
      <c r="K277" s="37" t="s">
        <v>223</v>
      </c>
      <c r="L277" s="40">
        <v>44831.579259259262</v>
      </c>
    </row>
    <row r="278" spans="1:12" x14ac:dyDescent="0.25">
      <c r="A278" s="38">
        <f>ROW(A2)</f>
        <v>2</v>
      </c>
      <c r="B278" s="39" t="s">
        <v>1063</v>
      </c>
      <c r="C278" s="37" t="s">
        <v>1147</v>
      </c>
      <c r="D278" s="37" t="s">
        <v>1148</v>
      </c>
      <c r="E278" s="37"/>
      <c r="F278" s="37"/>
      <c r="G278" s="37"/>
      <c r="H278" s="37" t="s">
        <v>221</v>
      </c>
      <c r="I278" s="37">
        <v>0</v>
      </c>
      <c r="J278" s="37"/>
      <c r="K278" s="37" t="s">
        <v>223</v>
      </c>
      <c r="L278" s="40">
        <v>44831.577037037037</v>
      </c>
    </row>
    <row r="279" spans="1:12" x14ac:dyDescent="0.25">
      <c r="A279" s="38">
        <f>ROW(A2)</f>
        <v>2</v>
      </c>
      <c r="B279" s="39" t="s">
        <v>957</v>
      </c>
      <c r="C279" s="37" t="s">
        <v>423</v>
      </c>
      <c r="D279" s="37" t="s">
        <v>424</v>
      </c>
      <c r="E279" s="37"/>
      <c r="F279" s="37"/>
      <c r="G279" s="37" t="s">
        <v>261</v>
      </c>
      <c r="H279" s="37" t="s">
        <v>221</v>
      </c>
      <c r="I279" s="37">
        <v>1</v>
      </c>
      <c r="J279" s="37"/>
      <c r="K279" s="37" t="s">
        <v>629</v>
      </c>
      <c r="L279" s="40">
        <v>44831.574178240742</v>
      </c>
    </row>
    <row r="280" spans="1:12" x14ac:dyDescent="0.25">
      <c r="A280" s="38">
        <f>ROW(A2)</f>
        <v>2</v>
      </c>
      <c r="B280" s="39" t="s">
        <v>957</v>
      </c>
      <c r="C280" s="37" t="s">
        <v>1137</v>
      </c>
      <c r="D280" s="37" t="s">
        <v>1138</v>
      </c>
      <c r="E280" s="37"/>
      <c r="F280" s="37"/>
      <c r="G280" s="37"/>
      <c r="H280" s="37" t="s">
        <v>570</v>
      </c>
      <c r="I280" s="37">
        <v>1</v>
      </c>
      <c r="J280" s="37"/>
      <c r="K280" s="37" t="s">
        <v>629</v>
      </c>
      <c r="L280" s="40">
        <v>44831.574178240742</v>
      </c>
    </row>
    <row r="281" spans="1:12" x14ac:dyDescent="0.25">
      <c r="A281" s="38">
        <f>ROW(A2)</f>
        <v>2</v>
      </c>
      <c r="B281" s="39" t="s">
        <v>957</v>
      </c>
      <c r="C281" s="37" t="s">
        <v>662</v>
      </c>
      <c r="D281" s="37" t="s">
        <v>663</v>
      </c>
      <c r="E281" s="37"/>
      <c r="F281" s="37"/>
      <c r="G281" s="37"/>
      <c r="H281" s="37" t="s">
        <v>570</v>
      </c>
      <c r="I281" s="37">
        <v>2</v>
      </c>
      <c r="J281" s="37"/>
      <c r="K281" s="37" t="s">
        <v>629</v>
      </c>
      <c r="L281" s="40">
        <v>44831.574166666665</v>
      </c>
    </row>
    <row r="282" spans="1:12" x14ac:dyDescent="0.25">
      <c r="A282" s="38">
        <f>ROW(A2)</f>
        <v>2</v>
      </c>
      <c r="B282" s="39" t="s">
        <v>957</v>
      </c>
      <c r="C282" s="37" t="s">
        <v>1135</v>
      </c>
      <c r="D282" s="37" t="s">
        <v>1136</v>
      </c>
      <c r="E282" s="37"/>
      <c r="F282" s="37"/>
      <c r="G282" s="37"/>
      <c r="H282" s="37" t="s">
        <v>221</v>
      </c>
      <c r="I282" s="37">
        <v>1</v>
      </c>
      <c r="J282" s="37"/>
      <c r="K282" s="37" t="s">
        <v>629</v>
      </c>
      <c r="L282" s="40">
        <v>44831.574166666665</v>
      </c>
    </row>
    <row r="283" spans="1:12" x14ac:dyDescent="0.25">
      <c r="A283" s="38">
        <f>ROW(A2)</f>
        <v>2</v>
      </c>
      <c r="B283" s="39" t="s">
        <v>957</v>
      </c>
      <c r="C283" s="37" t="s">
        <v>1133</v>
      </c>
      <c r="D283" s="37" t="s">
        <v>1134</v>
      </c>
      <c r="E283" s="37"/>
      <c r="F283" s="37"/>
      <c r="G283" s="37" t="s">
        <v>257</v>
      </c>
      <c r="H283" s="37" t="s">
        <v>221</v>
      </c>
      <c r="I283" s="37">
        <v>1</v>
      </c>
      <c r="J283" s="37"/>
      <c r="K283" s="37" t="s">
        <v>629</v>
      </c>
      <c r="L283" s="40">
        <v>44831.574166666665</v>
      </c>
    </row>
    <row r="284" spans="1:12" x14ac:dyDescent="0.25">
      <c r="A284" s="38">
        <f>ROW(A2)</f>
        <v>2</v>
      </c>
      <c r="B284" s="39" t="s">
        <v>957</v>
      </c>
      <c r="C284" s="37" t="s">
        <v>1131</v>
      </c>
      <c r="D284" s="37" t="s">
        <v>1132</v>
      </c>
      <c r="E284" s="37"/>
      <c r="F284" s="37"/>
      <c r="G284" s="37"/>
      <c r="H284" s="37" t="s">
        <v>221</v>
      </c>
      <c r="I284" s="37">
        <v>6</v>
      </c>
      <c r="J284" s="37"/>
      <c r="K284" s="37" t="s">
        <v>629</v>
      </c>
      <c r="L284" s="40">
        <v>44831.574166666665</v>
      </c>
    </row>
    <row r="285" spans="1:12" x14ac:dyDescent="0.25">
      <c r="A285" s="38">
        <f>ROW(A2)</f>
        <v>2</v>
      </c>
      <c r="B285" s="39" t="s">
        <v>957</v>
      </c>
      <c r="C285" s="37" t="s">
        <v>642</v>
      </c>
      <c r="D285" s="37" t="s">
        <v>643</v>
      </c>
      <c r="E285" s="37"/>
      <c r="F285" s="37"/>
      <c r="G285" s="37" t="s">
        <v>220</v>
      </c>
      <c r="H285" s="37" t="s">
        <v>221</v>
      </c>
      <c r="I285" s="37">
        <v>10</v>
      </c>
      <c r="J285" s="37" t="s">
        <v>223</v>
      </c>
      <c r="K285" s="37" t="s">
        <v>629</v>
      </c>
      <c r="L285" s="40">
        <v>44831.574166666665</v>
      </c>
    </row>
    <row r="286" spans="1:12" x14ac:dyDescent="0.25">
      <c r="A286" s="38">
        <f>ROW(A2)</f>
        <v>2</v>
      </c>
      <c r="B286" s="39" t="s">
        <v>952</v>
      </c>
      <c r="C286" s="37" t="s">
        <v>423</v>
      </c>
      <c r="D286" s="37" t="s">
        <v>424</v>
      </c>
      <c r="E286" s="37"/>
      <c r="F286" s="37"/>
      <c r="G286" s="37" t="s">
        <v>261</v>
      </c>
      <c r="H286" s="37" t="s">
        <v>221</v>
      </c>
      <c r="I286" s="37">
        <v>1</v>
      </c>
      <c r="J286" s="37"/>
      <c r="K286" s="37" t="s">
        <v>223</v>
      </c>
      <c r="L286" s="40">
        <v>44831.570902777778</v>
      </c>
    </row>
    <row r="287" spans="1:12" x14ac:dyDescent="0.25">
      <c r="A287" s="38">
        <f>ROW(A2)</f>
        <v>2</v>
      </c>
      <c r="B287" s="39" t="s">
        <v>952</v>
      </c>
      <c r="C287" s="37" t="s">
        <v>1137</v>
      </c>
      <c r="D287" s="37" t="s">
        <v>1138</v>
      </c>
      <c r="E287" s="37"/>
      <c r="F287" s="37"/>
      <c r="G287" s="37"/>
      <c r="H287" s="37" t="s">
        <v>570</v>
      </c>
      <c r="I287" s="37">
        <v>1</v>
      </c>
      <c r="J287" s="37"/>
      <c r="K287" s="37" t="s">
        <v>32</v>
      </c>
      <c r="L287" s="40">
        <v>44831.570902777778</v>
      </c>
    </row>
    <row r="288" spans="1:12" x14ac:dyDescent="0.25">
      <c r="A288" s="38">
        <f>ROW(A2)</f>
        <v>2</v>
      </c>
      <c r="B288" s="39" t="s">
        <v>952</v>
      </c>
      <c r="C288" s="37" t="s">
        <v>1135</v>
      </c>
      <c r="D288" s="37" t="s">
        <v>1136</v>
      </c>
      <c r="E288" s="37"/>
      <c r="F288" s="37"/>
      <c r="G288" s="37"/>
      <c r="H288" s="37" t="s">
        <v>221</v>
      </c>
      <c r="I288" s="37">
        <v>1</v>
      </c>
      <c r="J288" s="37"/>
      <c r="K288" s="37" t="s">
        <v>32</v>
      </c>
      <c r="L288" s="40">
        <v>44831.570902777778</v>
      </c>
    </row>
    <row r="289" spans="1:12" x14ac:dyDescent="0.25">
      <c r="A289" s="38">
        <f>ROW(A2)</f>
        <v>2</v>
      </c>
      <c r="B289" s="39" t="s">
        <v>952</v>
      </c>
      <c r="C289" s="37" t="s">
        <v>662</v>
      </c>
      <c r="D289" s="37" t="s">
        <v>663</v>
      </c>
      <c r="E289" s="37"/>
      <c r="F289" s="37"/>
      <c r="G289" s="37"/>
      <c r="H289" s="37" t="s">
        <v>570</v>
      </c>
      <c r="I289" s="37">
        <v>2</v>
      </c>
      <c r="J289" s="37"/>
      <c r="K289" s="37" t="s">
        <v>223</v>
      </c>
      <c r="L289" s="40">
        <v>44831.570902777778</v>
      </c>
    </row>
    <row r="290" spans="1:12" x14ac:dyDescent="0.25">
      <c r="A290" s="38">
        <f>ROW(A2)</f>
        <v>2</v>
      </c>
      <c r="B290" s="39" t="s">
        <v>952</v>
      </c>
      <c r="C290" s="37" t="s">
        <v>1133</v>
      </c>
      <c r="D290" s="37" t="s">
        <v>1134</v>
      </c>
      <c r="E290" s="37"/>
      <c r="F290" s="37"/>
      <c r="G290" s="37" t="s">
        <v>257</v>
      </c>
      <c r="H290" s="37" t="s">
        <v>221</v>
      </c>
      <c r="I290" s="37">
        <v>1</v>
      </c>
      <c r="J290" s="37"/>
      <c r="K290" s="37" t="s">
        <v>32</v>
      </c>
      <c r="L290" s="40">
        <v>44831.570902777778</v>
      </c>
    </row>
    <row r="291" spans="1:12" x14ac:dyDescent="0.25">
      <c r="A291" s="38">
        <f>ROW(A2)</f>
        <v>2</v>
      </c>
      <c r="B291" s="39" t="s">
        <v>952</v>
      </c>
      <c r="C291" s="37" t="s">
        <v>1131</v>
      </c>
      <c r="D291" s="37" t="s">
        <v>1132</v>
      </c>
      <c r="E291" s="37"/>
      <c r="F291" s="37"/>
      <c r="G291" s="37"/>
      <c r="H291" s="37" t="s">
        <v>221</v>
      </c>
      <c r="I291" s="37">
        <v>6</v>
      </c>
      <c r="J291" s="37"/>
      <c r="K291" s="37" t="s">
        <v>32</v>
      </c>
      <c r="L291" s="40">
        <v>44831.570902777778</v>
      </c>
    </row>
    <row r="292" spans="1:12" x14ac:dyDescent="0.25">
      <c r="A292" s="38">
        <f>ROW(A2)</f>
        <v>2</v>
      </c>
      <c r="B292" s="39" t="s">
        <v>952</v>
      </c>
      <c r="C292" s="37" t="s">
        <v>642</v>
      </c>
      <c r="D292" s="37" t="s">
        <v>643</v>
      </c>
      <c r="E292" s="37"/>
      <c r="F292" s="37"/>
      <c r="G292" s="37" t="s">
        <v>220</v>
      </c>
      <c r="H292" s="37" t="s">
        <v>221</v>
      </c>
      <c r="I292" s="37">
        <v>10</v>
      </c>
      <c r="J292" s="37" t="s">
        <v>223</v>
      </c>
      <c r="K292" s="37" t="s">
        <v>976</v>
      </c>
      <c r="L292" s="40">
        <v>44831.570902777778</v>
      </c>
    </row>
    <row r="293" spans="1:12" x14ac:dyDescent="0.25">
      <c r="A293" s="38">
        <f>ROW(A2)</f>
        <v>2</v>
      </c>
      <c r="B293" s="39" t="s">
        <v>1063</v>
      </c>
      <c r="C293" s="37" t="s">
        <v>1137</v>
      </c>
      <c r="D293" s="37" t="s">
        <v>1138</v>
      </c>
      <c r="E293" s="37"/>
      <c r="F293" s="37"/>
      <c r="G293" s="37"/>
      <c r="H293" s="37" t="s">
        <v>570</v>
      </c>
      <c r="I293" s="37">
        <v>1</v>
      </c>
      <c r="J293" s="37"/>
      <c r="K293" s="37" t="s">
        <v>32</v>
      </c>
      <c r="L293" s="40">
        <v>44831.568726851852</v>
      </c>
    </row>
    <row r="294" spans="1:12" x14ac:dyDescent="0.25">
      <c r="A294" s="38">
        <f>ROW(A2)</f>
        <v>2</v>
      </c>
      <c r="B294" s="39" t="s">
        <v>1063</v>
      </c>
      <c r="C294" s="37" t="s">
        <v>1135</v>
      </c>
      <c r="D294" s="37" t="s">
        <v>1136</v>
      </c>
      <c r="E294" s="37"/>
      <c r="F294" s="37"/>
      <c r="G294" s="37"/>
      <c r="H294" s="37" t="s">
        <v>221</v>
      </c>
      <c r="I294" s="37">
        <v>0</v>
      </c>
      <c r="J294" s="37"/>
      <c r="K294" s="37" t="s">
        <v>32</v>
      </c>
      <c r="L294" s="40">
        <v>44831.568368055552</v>
      </c>
    </row>
    <row r="295" spans="1:12" x14ac:dyDescent="0.25">
      <c r="A295" s="38">
        <f>ROW(A2)</f>
        <v>2</v>
      </c>
      <c r="B295" s="39" t="s">
        <v>1063</v>
      </c>
      <c r="C295" s="37" t="s">
        <v>1133</v>
      </c>
      <c r="D295" s="37" t="s">
        <v>1134</v>
      </c>
      <c r="E295" s="37"/>
      <c r="F295" s="37"/>
      <c r="G295" s="37" t="s">
        <v>257</v>
      </c>
      <c r="H295" s="37" t="s">
        <v>221</v>
      </c>
      <c r="I295" s="37">
        <v>0</v>
      </c>
      <c r="J295" s="37"/>
      <c r="K295" s="37" t="s">
        <v>32</v>
      </c>
      <c r="L295" s="40">
        <v>44831.568124999998</v>
      </c>
    </row>
    <row r="296" spans="1:12" x14ac:dyDescent="0.25">
      <c r="A296" s="38">
        <f>ROW(A2)</f>
        <v>2</v>
      </c>
      <c r="B296" s="39" t="s">
        <v>1063</v>
      </c>
      <c r="C296" s="37" t="s">
        <v>1131</v>
      </c>
      <c r="D296" s="37" t="s">
        <v>1132</v>
      </c>
      <c r="E296" s="37"/>
      <c r="F296" s="37"/>
      <c r="G296" s="37"/>
      <c r="H296" s="37" t="s">
        <v>221</v>
      </c>
      <c r="I296" s="37">
        <v>0</v>
      </c>
      <c r="J296" s="37"/>
      <c r="K296" s="37" t="s">
        <v>32</v>
      </c>
      <c r="L296" s="40">
        <v>44831.567800925928</v>
      </c>
    </row>
    <row r="297" spans="1:12" x14ac:dyDescent="0.25">
      <c r="A297" s="38">
        <f>ROW(A2)</f>
        <v>2</v>
      </c>
      <c r="B297" s="39" t="s">
        <v>952</v>
      </c>
      <c r="C297" s="37" t="s">
        <v>1128</v>
      </c>
      <c r="D297" s="37" t="s">
        <v>1129</v>
      </c>
      <c r="E297" s="37"/>
      <c r="F297" s="37"/>
      <c r="G297" s="37" t="s">
        <v>257</v>
      </c>
      <c r="H297" s="37" t="s">
        <v>221</v>
      </c>
      <c r="I297" s="37">
        <v>1</v>
      </c>
      <c r="J297" s="37"/>
      <c r="K297" s="37" t="s">
        <v>32</v>
      </c>
      <c r="L297" s="40">
        <v>44831.409270833334</v>
      </c>
    </row>
    <row r="298" spans="1:12" x14ac:dyDescent="0.25">
      <c r="A298" s="38">
        <f>ROW(A2)</f>
        <v>2</v>
      </c>
      <c r="B298" s="39" t="s">
        <v>952</v>
      </c>
      <c r="C298" s="37" t="s">
        <v>1126</v>
      </c>
      <c r="D298" s="37" t="s">
        <v>1127</v>
      </c>
      <c r="E298" s="37"/>
      <c r="F298" s="37"/>
      <c r="G298" s="37" t="s">
        <v>1097</v>
      </c>
      <c r="H298" s="37" t="s">
        <v>221</v>
      </c>
      <c r="I298" s="37">
        <v>1</v>
      </c>
      <c r="J298" s="37"/>
      <c r="K298" s="37" t="s">
        <v>223</v>
      </c>
      <c r="L298" s="40">
        <v>44831.409259259257</v>
      </c>
    </row>
    <row r="299" spans="1:12" x14ac:dyDescent="0.25">
      <c r="A299" s="38">
        <f>ROW(A2)</f>
        <v>2</v>
      </c>
      <c r="B299" s="39" t="s">
        <v>952</v>
      </c>
      <c r="C299" s="37" t="s">
        <v>1124</v>
      </c>
      <c r="D299" s="37" t="s">
        <v>1125</v>
      </c>
      <c r="E299" s="37"/>
      <c r="F299" s="37"/>
      <c r="G299" s="37"/>
      <c r="H299" s="37" t="s">
        <v>221</v>
      </c>
      <c r="I299" s="37">
        <v>1</v>
      </c>
      <c r="J299" s="37"/>
      <c r="K299" s="37" t="s">
        <v>223</v>
      </c>
      <c r="L299" s="40">
        <v>44831.409259259257</v>
      </c>
    </row>
    <row r="300" spans="1:12" x14ac:dyDescent="0.25">
      <c r="A300" s="38">
        <f>ROW(A2)</f>
        <v>2</v>
      </c>
      <c r="B300" s="39" t="s">
        <v>952</v>
      </c>
      <c r="C300" s="37" t="s">
        <v>1122</v>
      </c>
      <c r="D300" s="37" t="s">
        <v>1123</v>
      </c>
      <c r="E300" s="37"/>
      <c r="F300" s="37"/>
      <c r="G300" s="37" t="s">
        <v>1118</v>
      </c>
      <c r="H300" s="37" t="s">
        <v>221</v>
      </c>
      <c r="I300" s="37">
        <v>1</v>
      </c>
      <c r="J300" s="37"/>
      <c r="K300" s="37" t="s">
        <v>223</v>
      </c>
      <c r="L300" s="40">
        <v>44831.409259259257</v>
      </c>
    </row>
    <row r="301" spans="1:12" x14ac:dyDescent="0.25">
      <c r="A301" s="38">
        <f>ROW(A2)</f>
        <v>2</v>
      </c>
      <c r="B301" s="39" t="s">
        <v>952</v>
      </c>
      <c r="C301" s="37" t="s">
        <v>1119</v>
      </c>
      <c r="D301" s="37" t="s">
        <v>1120</v>
      </c>
      <c r="E301" s="37"/>
      <c r="F301" s="37"/>
      <c r="G301" s="37" t="s">
        <v>1121</v>
      </c>
      <c r="H301" s="37" t="s">
        <v>221</v>
      </c>
      <c r="I301" s="37">
        <v>1</v>
      </c>
      <c r="J301" s="37"/>
      <c r="K301" s="37" t="s">
        <v>223</v>
      </c>
      <c r="L301" s="40">
        <v>44831.409259259257</v>
      </c>
    </row>
    <row r="302" spans="1:12" x14ac:dyDescent="0.25">
      <c r="A302" s="38">
        <f>ROW(A2)</f>
        <v>2</v>
      </c>
      <c r="B302" s="39" t="s">
        <v>952</v>
      </c>
      <c r="C302" s="37" t="s">
        <v>1116</v>
      </c>
      <c r="D302" s="37" t="s">
        <v>1117</v>
      </c>
      <c r="E302" s="37"/>
      <c r="F302" s="37"/>
      <c r="G302" s="37" t="s">
        <v>1118</v>
      </c>
      <c r="H302" s="37" t="s">
        <v>221</v>
      </c>
      <c r="I302" s="37">
        <v>1</v>
      </c>
      <c r="J302" s="37"/>
      <c r="K302" s="37" t="s">
        <v>223</v>
      </c>
      <c r="L302" s="40">
        <v>44831.409259259257</v>
      </c>
    </row>
    <row r="303" spans="1:12" x14ac:dyDescent="0.25">
      <c r="A303" s="38">
        <f>ROW(A2)</f>
        <v>2</v>
      </c>
      <c r="B303" s="39" t="s">
        <v>952</v>
      </c>
      <c r="C303" s="37" t="s">
        <v>1114</v>
      </c>
      <c r="D303" s="37" t="s">
        <v>1115</v>
      </c>
      <c r="E303" s="37"/>
      <c r="F303" s="37"/>
      <c r="G303" s="37" t="s">
        <v>257</v>
      </c>
      <c r="H303" s="37" t="s">
        <v>221</v>
      </c>
      <c r="I303" s="37">
        <v>2</v>
      </c>
      <c r="J303" s="37"/>
      <c r="K303" s="37" t="s">
        <v>223</v>
      </c>
      <c r="L303" s="40">
        <v>44831.409259259257</v>
      </c>
    </row>
    <row r="304" spans="1:12" x14ac:dyDescent="0.25">
      <c r="A304" s="38">
        <f>ROW(A2)</f>
        <v>2</v>
      </c>
      <c r="B304" s="39" t="s">
        <v>952</v>
      </c>
      <c r="C304" s="37" t="s">
        <v>1112</v>
      </c>
      <c r="D304" s="37" t="s">
        <v>1113</v>
      </c>
      <c r="E304" s="37"/>
      <c r="F304" s="37"/>
      <c r="G304" s="37" t="s">
        <v>1109</v>
      </c>
      <c r="H304" s="37" t="s">
        <v>221</v>
      </c>
      <c r="I304" s="37">
        <v>1</v>
      </c>
      <c r="J304" s="37"/>
      <c r="K304" s="37" t="s">
        <v>223</v>
      </c>
      <c r="L304" s="40">
        <v>44831.409259259257</v>
      </c>
    </row>
    <row r="305" spans="1:12" x14ac:dyDescent="0.25">
      <c r="A305" s="38">
        <f>ROW(A2)</f>
        <v>2</v>
      </c>
      <c r="B305" s="39" t="s">
        <v>952</v>
      </c>
      <c r="C305" s="37" t="s">
        <v>1110</v>
      </c>
      <c r="D305" s="37" t="s">
        <v>1111</v>
      </c>
      <c r="E305" s="37"/>
      <c r="F305" s="37"/>
      <c r="G305" s="37" t="s">
        <v>1109</v>
      </c>
      <c r="H305" s="37" t="s">
        <v>221</v>
      </c>
      <c r="I305" s="37">
        <v>1</v>
      </c>
      <c r="J305" s="37"/>
      <c r="K305" s="37" t="s">
        <v>223</v>
      </c>
      <c r="L305" s="40">
        <v>44831.409259259257</v>
      </c>
    </row>
    <row r="306" spans="1:12" x14ac:dyDescent="0.25">
      <c r="A306" s="38">
        <f>ROW(A2)</f>
        <v>2</v>
      </c>
      <c r="B306" s="39" t="s">
        <v>952</v>
      </c>
      <c r="C306" s="37" t="s">
        <v>1107</v>
      </c>
      <c r="D306" s="37" t="s">
        <v>1108</v>
      </c>
      <c r="E306" s="37"/>
      <c r="F306" s="37"/>
      <c r="G306" s="37" t="s">
        <v>1109</v>
      </c>
      <c r="H306" s="37" t="s">
        <v>221</v>
      </c>
      <c r="I306" s="37">
        <v>1</v>
      </c>
      <c r="J306" s="37"/>
      <c r="K306" s="37" t="s">
        <v>223</v>
      </c>
      <c r="L306" s="40">
        <v>44831.409259259257</v>
      </c>
    </row>
    <row r="307" spans="1:12" x14ac:dyDescent="0.25">
      <c r="A307" s="38">
        <f>ROW(A2)</f>
        <v>2</v>
      </c>
      <c r="B307" s="39" t="s">
        <v>952</v>
      </c>
      <c r="C307" s="37" t="s">
        <v>1105</v>
      </c>
      <c r="D307" s="37" t="s">
        <v>1106</v>
      </c>
      <c r="E307" s="37"/>
      <c r="F307" s="37"/>
      <c r="G307" s="37" t="s">
        <v>1097</v>
      </c>
      <c r="H307" s="37" t="s">
        <v>221</v>
      </c>
      <c r="I307" s="37">
        <v>1</v>
      </c>
      <c r="J307" s="37"/>
      <c r="K307" s="37" t="s">
        <v>223</v>
      </c>
      <c r="L307" s="40">
        <v>44831.409259259257</v>
      </c>
    </row>
    <row r="308" spans="1:12" x14ac:dyDescent="0.25">
      <c r="A308" s="38">
        <f>ROW(A2)</f>
        <v>2</v>
      </c>
      <c r="B308" s="39" t="s">
        <v>952</v>
      </c>
      <c r="C308" s="37" t="s">
        <v>1102</v>
      </c>
      <c r="D308" s="37" t="s">
        <v>1103</v>
      </c>
      <c r="E308" s="37"/>
      <c r="F308" s="37"/>
      <c r="G308" s="37" t="s">
        <v>257</v>
      </c>
      <c r="H308" s="37" t="s">
        <v>221</v>
      </c>
      <c r="I308" s="37">
        <v>1</v>
      </c>
      <c r="J308" s="37" t="s">
        <v>1104</v>
      </c>
      <c r="K308" s="37" t="s">
        <v>223</v>
      </c>
      <c r="L308" s="40">
        <v>44831.409259259257</v>
      </c>
    </row>
    <row r="309" spans="1:12" x14ac:dyDescent="0.25">
      <c r="A309" s="38">
        <f>ROW(A2)</f>
        <v>2</v>
      </c>
      <c r="B309" s="39" t="s">
        <v>952</v>
      </c>
      <c r="C309" s="37" t="s">
        <v>1100</v>
      </c>
      <c r="D309" s="37" t="s">
        <v>1101</v>
      </c>
      <c r="E309" s="37"/>
      <c r="F309" s="37"/>
      <c r="G309" s="37"/>
      <c r="H309" s="37" t="s">
        <v>221</v>
      </c>
      <c r="I309" s="37">
        <v>1</v>
      </c>
      <c r="J309" s="37"/>
      <c r="K309" s="37" t="s">
        <v>223</v>
      </c>
      <c r="L309" s="40">
        <v>44831.409259259257</v>
      </c>
    </row>
    <row r="310" spans="1:12" x14ac:dyDescent="0.25">
      <c r="A310" s="38">
        <f>ROW(A2)</f>
        <v>2</v>
      </c>
      <c r="B310" s="39" t="s">
        <v>952</v>
      </c>
      <c r="C310" s="37" t="s">
        <v>1098</v>
      </c>
      <c r="D310" s="37" t="s">
        <v>1099</v>
      </c>
      <c r="E310" s="37"/>
      <c r="F310" s="37"/>
      <c r="G310" s="37" t="s">
        <v>257</v>
      </c>
      <c r="H310" s="37" t="s">
        <v>221</v>
      </c>
      <c r="I310" s="37">
        <v>1</v>
      </c>
      <c r="J310" s="37"/>
      <c r="K310" s="37" t="s">
        <v>223</v>
      </c>
      <c r="L310" s="40">
        <v>44831.409259259257</v>
      </c>
    </row>
    <row r="311" spans="1:12" x14ac:dyDescent="0.25">
      <c r="A311" s="38">
        <f>ROW(A2)</f>
        <v>2</v>
      </c>
      <c r="B311" s="39" t="s">
        <v>952</v>
      </c>
      <c r="C311" s="37" t="s">
        <v>1095</v>
      </c>
      <c r="D311" s="37" t="s">
        <v>1096</v>
      </c>
      <c r="E311" s="37"/>
      <c r="F311" s="37"/>
      <c r="G311" s="37" t="s">
        <v>1097</v>
      </c>
      <c r="H311" s="37" t="s">
        <v>221</v>
      </c>
      <c r="I311" s="37">
        <v>1</v>
      </c>
      <c r="J311" s="37"/>
      <c r="K311" s="37" t="s">
        <v>223</v>
      </c>
      <c r="L311" s="40">
        <v>44831.409259259257</v>
      </c>
    </row>
    <row r="312" spans="1:12" x14ac:dyDescent="0.25">
      <c r="A312" s="38">
        <f>ROW(A2)</f>
        <v>2</v>
      </c>
      <c r="B312" s="39" t="s">
        <v>952</v>
      </c>
      <c r="C312" s="37" t="s">
        <v>1093</v>
      </c>
      <c r="D312" s="37" t="s">
        <v>1094</v>
      </c>
      <c r="E312" s="37"/>
      <c r="F312" s="37"/>
      <c r="G312" s="37" t="s">
        <v>257</v>
      </c>
      <c r="H312" s="37" t="s">
        <v>221</v>
      </c>
      <c r="I312" s="37">
        <v>1</v>
      </c>
      <c r="J312" s="37"/>
      <c r="K312" s="37" t="s">
        <v>223</v>
      </c>
      <c r="L312" s="40">
        <v>44831.409259259257</v>
      </c>
    </row>
    <row r="313" spans="1:12" x14ac:dyDescent="0.25">
      <c r="A313" s="38">
        <f>ROW(A2)</f>
        <v>2</v>
      </c>
      <c r="B313" s="39" t="s">
        <v>1063</v>
      </c>
      <c r="C313" s="37" t="s">
        <v>1128</v>
      </c>
      <c r="D313" s="37" t="s">
        <v>1129</v>
      </c>
      <c r="E313" s="37"/>
      <c r="F313" s="37"/>
      <c r="G313" s="37" t="s">
        <v>257</v>
      </c>
      <c r="H313" s="37" t="s">
        <v>221</v>
      </c>
      <c r="I313" s="37">
        <v>0</v>
      </c>
      <c r="J313" s="37"/>
      <c r="K313" s="37" t="s">
        <v>32</v>
      </c>
      <c r="L313" s="40">
        <v>44831.403483796297</v>
      </c>
    </row>
    <row r="314" spans="1:12" x14ac:dyDescent="0.25">
      <c r="A314" s="38">
        <f>ROW(A2)</f>
        <v>2</v>
      </c>
      <c r="B314" s="39" t="s">
        <v>1063</v>
      </c>
      <c r="C314" s="37" t="s">
        <v>1126</v>
      </c>
      <c r="D314" s="37" t="s">
        <v>1127</v>
      </c>
      <c r="E314" s="37"/>
      <c r="F314" s="37"/>
      <c r="G314" s="37" t="s">
        <v>1097</v>
      </c>
      <c r="H314" s="37" t="s">
        <v>221</v>
      </c>
      <c r="I314" s="37">
        <v>0</v>
      </c>
      <c r="J314" s="37"/>
      <c r="K314" s="37" t="s">
        <v>223</v>
      </c>
      <c r="L314" s="40">
        <v>44831.402986111112</v>
      </c>
    </row>
    <row r="315" spans="1:12" x14ac:dyDescent="0.25">
      <c r="A315" s="38">
        <f>ROW(A2)</f>
        <v>2</v>
      </c>
      <c r="B315" s="39" t="s">
        <v>1063</v>
      </c>
      <c r="C315" s="37" t="s">
        <v>1124</v>
      </c>
      <c r="D315" s="37" t="s">
        <v>1125</v>
      </c>
      <c r="E315" s="37"/>
      <c r="F315" s="37"/>
      <c r="G315" s="37"/>
      <c r="H315" s="37" t="s">
        <v>221</v>
      </c>
      <c r="I315" s="37">
        <v>0</v>
      </c>
      <c r="J315" s="37"/>
      <c r="K315" s="37" t="s">
        <v>223</v>
      </c>
      <c r="L315" s="40">
        <v>44831.402361111112</v>
      </c>
    </row>
    <row r="316" spans="1:12" x14ac:dyDescent="0.25">
      <c r="A316" s="38">
        <f>ROW(A2)</f>
        <v>2</v>
      </c>
      <c r="B316" s="39" t="s">
        <v>1063</v>
      </c>
      <c r="C316" s="37" t="s">
        <v>1122</v>
      </c>
      <c r="D316" s="37" t="s">
        <v>1123</v>
      </c>
      <c r="E316" s="37"/>
      <c r="F316" s="37"/>
      <c r="G316" s="37" t="s">
        <v>1118</v>
      </c>
      <c r="H316" s="37" t="s">
        <v>221</v>
      </c>
      <c r="I316" s="37">
        <v>0</v>
      </c>
      <c r="J316" s="37"/>
      <c r="K316" s="37" t="s">
        <v>223</v>
      </c>
      <c r="L316" s="40">
        <v>44831.401944444442</v>
      </c>
    </row>
    <row r="317" spans="1:12" x14ac:dyDescent="0.25">
      <c r="A317" s="38">
        <f>ROW(A2)</f>
        <v>2</v>
      </c>
      <c r="B317" s="39" t="s">
        <v>1063</v>
      </c>
      <c r="C317" s="37" t="s">
        <v>1119</v>
      </c>
      <c r="D317" s="37" t="s">
        <v>1120</v>
      </c>
      <c r="E317" s="37"/>
      <c r="F317" s="37"/>
      <c r="G317" s="37" t="s">
        <v>1121</v>
      </c>
      <c r="H317" s="37" t="s">
        <v>221</v>
      </c>
      <c r="I317" s="37">
        <v>0</v>
      </c>
      <c r="J317" s="37"/>
      <c r="K317" s="37" t="s">
        <v>223</v>
      </c>
      <c r="L317" s="40">
        <v>44831.401469907411</v>
      </c>
    </row>
    <row r="318" spans="1:12" x14ac:dyDescent="0.25">
      <c r="A318" s="38">
        <f>ROW(A2)</f>
        <v>2</v>
      </c>
      <c r="B318" s="39" t="s">
        <v>1063</v>
      </c>
      <c r="C318" s="37" t="s">
        <v>1116</v>
      </c>
      <c r="D318" s="37" t="s">
        <v>1117</v>
      </c>
      <c r="E318" s="37"/>
      <c r="F318" s="37"/>
      <c r="G318" s="37" t="s">
        <v>1118</v>
      </c>
      <c r="H318" s="37" t="s">
        <v>221</v>
      </c>
      <c r="I318" s="37">
        <v>0</v>
      </c>
      <c r="J318" s="37"/>
      <c r="K318" s="37" t="s">
        <v>223</v>
      </c>
      <c r="L318" s="40">
        <v>44831.401030092595</v>
      </c>
    </row>
    <row r="319" spans="1:12" x14ac:dyDescent="0.25">
      <c r="A319" s="38">
        <f>ROW(A2)</f>
        <v>2</v>
      </c>
      <c r="B319" s="39" t="s">
        <v>1063</v>
      </c>
      <c r="C319" s="37" t="s">
        <v>1114</v>
      </c>
      <c r="D319" s="37" t="s">
        <v>1115</v>
      </c>
      <c r="E319" s="37"/>
      <c r="F319" s="37"/>
      <c r="G319" s="37" t="s">
        <v>257</v>
      </c>
      <c r="H319" s="37" t="s">
        <v>221</v>
      </c>
      <c r="I319" s="37">
        <v>0</v>
      </c>
      <c r="J319" s="37"/>
      <c r="K319" s="37" t="s">
        <v>223</v>
      </c>
      <c r="L319" s="40">
        <v>44831.400543981479</v>
      </c>
    </row>
    <row r="320" spans="1:12" x14ac:dyDescent="0.25">
      <c r="A320" s="38">
        <f>ROW(A2)</f>
        <v>2</v>
      </c>
      <c r="B320" s="39" t="s">
        <v>1063</v>
      </c>
      <c r="C320" s="37" t="s">
        <v>1112</v>
      </c>
      <c r="D320" s="37" t="s">
        <v>1113</v>
      </c>
      <c r="E320" s="37"/>
      <c r="F320" s="37"/>
      <c r="G320" s="37" t="s">
        <v>1109</v>
      </c>
      <c r="H320" s="37" t="s">
        <v>221</v>
      </c>
      <c r="I320" s="37">
        <v>0</v>
      </c>
      <c r="J320" s="37"/>
      <c r="K320" s="37" t="s">
        <v>223</v>
      </c>
      <c r="L320" s="40">
        <v>44831.400092592594</v>
      </c>
    </row>
    <row r="321" spans="1:12" x14ac:dyDescent="0.25">
      <c r="A321" s="38">
        <f>ROW(A2)</f>
        <v>2</v>
      </c>
      <c r="B321" s="39" t="s">
        <v>1063</v>
      </c>
      <c r="C321" s="37" t="s">
        <v>1110</v>
      </c>
      <c r="D321" s="37" t="s">
        <v>1111</v>
      </c>
      <c r="E321" s="37"/>
      <c r="F321" s="37"/>
      <c r="G321" s="37" t="s">
        <v>1109</v>
      </c>
      <c r="H321" s="37" t="s">
        <v>221</v>
      </c>
      <c r="I321" s="37">
        <v>0</v>
      </c>
      <c r="J321" s="37"/>
      <c r="K321" s="37" t="s">
        <v>223</v>
      </c>
      <c r="L321" s="40">
        <v>44831.399652777778</v>
      </c>
    </row>
    <row r="322" spans="1:12" x14ac:dyDescent="0.25">
      <c r="A322" s="38">
        <f>ROW(A2)</f>
        <v>2</v>
      </c>
      <c r="B322" s="39" t="s">
        <v>1063</v>
      </c>
      <c r="C322" s="37" t="s">
        <v>1107</v>
      </c>
      <c r="D322" s="37" t="s">
        <v>1108</v>
      </c>
      <c r="E322" s="37"/>
      <c r="F322" s="37"/>
      <c r="G322" s="37" t="s">
        <v>1109</v>
      </c>
      <c r="H322" s="37" t="s">
        <v>221</v>
      </c>
      <c r="I322" s="37">
        <v>0</v>
      </c>
      <c r="J322" s="37"/>
      <c r="K322" s="37" t="s">
        <v>223</v>
      </c>
      <c r="L322" s="40">
        <v>44831.399108796293</v>
      </c>
    </row>
    <row r="323" spans="1:12" x14ac:dyDescent="0.25">
      <c r="A323" s="38">
        <f>ROW(A2)</f>
        <v>2</v>
      </c>
      <c r="B323" s="39" t="s">
        <v>1063</v>
      </c>
      <c r="C323" s="37" t="s">
        <v>1105</v>
      </c>
      <c r="D323" s="37" t="s">
        <v>1106</v>
      </c>
      <c r="E323" s="37"/>
      <c r="F323" s="37"/>
      <c r="G323" s="37" t="s">
        <v>1097</v>
      </c>
      <c r="H323" s="37" t="s">
        <v>221</v>
      </c>
      <c r="I323" s="37">
        <v>0</v>
      </c>
      <c r="J323" s="37"/>
      <c r="K323" s="37" t="s">
        <v>223</v>
      </c>
      <c r="L323" s="40">
        <v>44831.398449074077</v>
      </c>
    </row>
    <row r="324" spans="1:12" x14ac:dyDescent="0.25">
      <c r="A324" s="38">
        <f>ROW(A2)</f>
        <v>2</v>
      </c>
      <c r="B324" s="39" t="s">
        <v>1063</v>
      </c>
      <c r="C324" s="37" t="s">
        <v>1102</v>
      </c>
      <c r="D324" s="37" t="s">
        <v>1103</v>
      </c>
      <c r="E324" s="37"/>
      <c r="F324" s="37"/>
      <c r="G324" s="37" t="s">
        <v>257</v>
      </c>
      <c r="H324" s="37" t="s">
        <v>221</v>
      </c>
      <c r="I324" s="37">
        <v>0</v>
      </c>
      <c r="J324" s="37" t="s">
        <v>1104</v>
      </c>
      <c r="K324" s="37" t="s">
        <v>223</v>
      </c>
      <c r="L324" s="40">
        <v>44831.397824074076</v>
      </c>
    </row>
    <row r="325" spans="1:12" x14ac:dyDescent="0.25">
      <c r="A325" s="38">
        <f>ROW(A2)</f>
        <v>2</v>
      </c>
      <c r="B325" s="39" t="s">
        <v>1063</v>
      </c>
      <c r="C325" s="37" t="s">
        <v>1100</v>
      </c>
      <c r="D325" s="37" t="s">
        <v>1101</v>
      </c>
      <c r="E325" s="37"/>
      <c r="F325" s="37"/>
      <c r="G325" s="37"/>
      <c r="H325" s="37" t="s">
        <v>221</v>
      </c>
      <c r="I325" s="37">
        <v>0</v>
      </c>
      <c r="J325" s="37"/>
      <c r="K325" s="37" t="s">
        <v>223</v>
      </c>
      <c r="L325" s="40">
        <v>44831.397129629629</v>
      </c>
    </row>
    <row r="326" spans="1:12" x14ac:dyDescent="0.25">
      <c r="A326" s="38">
        <f>ROW(A2)</f>
        <v>2</v>
      </c>
      <c r="B326" s="39" t="s">
        <v>1063</v>
      </c>
      <c r="C326" s="37" t="s">
        <v>1098</v>
      </c>
      <c r="D326" s="37" t="s">
        <v>1099</v>
      </c>
      <c r="E326" s="37"/>
      <c r="F326" s="37"/>
      <c r="G326" s="37" t="s">
        <v>257</v>
      </c>
      <c r="H326" s="37" t="s">
        <v>221</v>
      </c>
      <c r="I326" s="37">
        <v>0</v>
      </c>
      <c r="J326" s="37"/>
      <c r="K326" s="37" t="s">
        <v>223</v>
      </c>
      <c r="L326" s="40">
        <v>44831.396469907406</v>
      </c>
    </row>
    <row r="327" spans="1:12" x14ac:dyDescent="0.25">
      <c r="A327" s="38">
        <f>ROW(A2)</f>
        <v>2</v>
      </c>
      <c r="B327" s="39" t="s">
        <v>1063</v>
      </c>
      <c r="C327" s="37" t="s">
        <v>1095</v>
      </c>
      <c r="D327" s="37" t="s">
        <v>1096</v>
      </c>
      <c r="E327" s="37"/>
      <c r="F327" s="37"/>
      <c r="G327" s="37" t="s">
        <v>1097</v>
      </c>
      <c r="H327" s="37" t="s">
        <v>221</v>
      </c>
      <c r="I327" s="37">
        <v>0</v>
      </c>
      <c r="J327" s="37"/>
      <c r="K327" s="37" t="s">
        <v>223</v>
      </c>
      <c r="L327" s="40">
        <v>44831.396111111113</v>
      </c>
    </row>
    <row r="328" spans="1:12" x14ac:dyDescent="0.25">
      <c r="A328" s="38">
        <f>ROW(A2)</f>
        <v>2</v>
      </c>
      <c r="B328" s="39" t="s">
        <v>1063</v>
      </c>
      <c r="C328" s="37" t="s">
        <v>1093</v>
      </c>
      <c r="D328" s="37" t="s">
        <v>1094</v>
      </c>
      <c r="E328" s="37"/>
      <c r="F328" s="37"/>
      <c r="G328" s="37" t="s">
        <v>257</v>
      </c>
      <c r="H328" s="37" t="s">
        <v>221</v>
      </c>
      <c r="I328" s="37">
        <v>0</v>
      </c>
      <c r="J328" s="37"/>
      <c r="K328" s="37" t="s">
        <v>223</v>
      </c>
      <c r="L328" s="40">
        <v>44831.395567129628</v>
      </c>
    </row>
    <row r="329" spans="1:12" x14ac:dyDescent="0.25">
      <c r="A329" s="38">
        <f>ROW(A2)</f>
        <v>2</v>
      </c>
      <c r="B329" s="39" t="s">
        <v>957</v>
      </c>
      <c r="C329" s="37" t="s">
        <v>1086</v>
      </c>
      <c r="D329" s="37" t="s">
        <v>1087</v>
      </c>
      <c r="E329" s="37"/>
      <c r="F329" s="37"/>
      <c r="G329" s="37"/>
      <c r="H329" s="37" t="s">
        <v>221</v>
      </c>
      <c r="I329" s="37">
        <v>4</v>
      </c>
      <c r="J329" s="37"/>
      <c r="K329" s="37" t="s">
        <v>223</v>
      </c>
      <c r="L329" s="40">
        <v>44830.75335648148</v>
      </c>
    </row>
    <row r="330" spans="1:12" x14ac:dyDescent="0.25">
      <c r="A330" s="38">
        <f>ROW(A2)</f>
        <v>2</v>
      </c>
      <c r="B330" s="39" t="s">
        <v>957</v>
      </c>
      <c r="C330" s="37" t="s">
        <v>1086</v>
      </c>
      <c r="D330" s="37" t="s">
        <v>1087</v>
      </c>
      <c r="E330" s="37"/>
      <c r="F330" s="37"/>
      <c r="G330" s="37"/>
      <c r="H330" s="37" t="s">
        <v>221</v>
      </c>
      <c r="I330" s="37">
        <v>4</v>
      </c>
      <c r="J330" s="37"/>
      <c r="K330" s="37" t="s">
        <v>223</v>
      </c>
      <c r="L330" s="40">
        <v>44830.753344907411</v>
      </c>
    </row>
    <row r="331" spans="1:12" x14ac:dyDescent="0.25">
      <c r="A331" s="38">
        <f>ROW(A2)</f>
        <v>2</v>
      </c>
      <c r="B331" s="39" t="s">
        <v>957</v>
      </c>
      <c r="C331" s="37" t="s">
        <v>1086</v>
      </c>
      <c r="D331" s="37" t="s">
        <v>1087</v>
      </c>
      <c r="E331" s="37"/>
      <c r="F331" s="37"/>
      <c r="G331" s="37"/>
      <c r="H331" s="37" t="s">
        <v>221</v>
      </c>
      <c r="I331" s="37">
        <v>4</v>
      </c>
      <c r="J331" s="37"/>
      <c r="K331" s="37" t="s">
        <v>223</v>
      </c>
      <c r="L331" s="40">
        <v>44830.753344907411</v>
      </c>
    </row>
    <row r="332" spans="1:12" x14ac:dyDescent="0.25">
      <c r="A332" s="38">
        <f>ROW(A2)</f>
        <v>2</v>
      </c>
      <c r="B332" s="39" t="s">
        <v>957</v>
      </c>
      <c r="C332" s="37" t="s">
        <v>1086</v>
      </c>
      <c r="D332" s="37" t="s">
        <v>1087</v>
      </c>
      <c r="E332" s="37"/>
      <c r="F332" s="37"/>
      <c r="G332" s="37"/>
      <c r="H332" s="37" t="s">
        <v>221</v>
      </c>
      <c r="I332" s="37">
        <v>4</v>
      </c>
      <c r="J332" s="37"/>
      <c r="K332" s="37" t="s">
        <v>223</v>
      </c>
      <c r="L332" s="40">
        <v>44830.753344907411</v>
      </c>
    </row>
    <row r="333" spans="1:12" x14ac:dyDescent="0.25">
      <c r="A333" s="38">
        <f>ROW(A2)</f>
        <v>2</v>
      </c>
      <c r="B333" s="39" t="s">
        <v>957</v>
      </c>
      <c r="C333" s="37" t="s">
        <v>227</v>
      </c>
      <c r="D333" s="37" t="s">
        <v>1085</v>
      </c>
      <c r="E333" s="37"/>
      <c r="F333" s="37"/>
      <c r="G333" s="37" t="s">
        <v>230</v>
      </c>
      <c r="H333" s="37" t="s">
        <v>221</v>
      </c>
      <c r="I333" s="37">
        <v>4</v>
      </c>
      <c r="J333" s="37"/>
      <c r="K333" s="37" t="s">
        <v>223</v>
      </c>
      <c r="L333" s="40">
        <v>44830.753344907411</v>
      </c>
    </row>
    <row r="334" spans="1:12" x14ac:dyDescent="0.25">
      <c r="A334" s="38">
        <f>ROW(A2)</f>
        <v>2</v>
      </c>
      <c r="B334" s="39" t="s">
        <v>952</v>
      </c>
      <c r="C334" s="37" t="s">
        <v>1086</v>
      </c>
      <c r="D334" s="37" t="s">
        <v>1087</v>
      </c>
      <c r="E334" s="37"/>
      <c r="F334" s="37"/>
      <c r="G334" s="37"/>
      <c r="H334" s="37" t="s">
        <v>221</v>
      </c>
      <c r="I334" s="37">
        <v>4</v>
      </c>
      <c r="J334" s="37"/>
      <c r="K334" s="37" t="s">
        <v>223</v>
      </c>
      <c r="L334" s="40">
        <v>44830.751666666663</v>
      </c>
    </row>
    <row r="335" spans="1:12" x14ac:dyDescent="0.25">
      <c r="A335" s="38">
        <f>ROW(A2)</f>
        <v>2</v>
      </c>
      <c r="B335" s="39" t="s">
        <v>952</v>
      </c>
      <c r="C335" s="37" t="s">
        <v>1086</v>
      </c>
      <c r="D335" s="37" t="s">
        <v>1087</v>
      </c>
      <c r="E335" s="37"/>
      <c r="F335" s="37"/>
      <c r="G335" s="37"/>
      <c r="H335" s="37" t="s">
        <v>221</v>
      </c>
      <c r="I335" s="37">
        <v>4</v>
      </c>
      <c r="J335" s="37"/>
      <c r="K335" s="37" t="s">
        <v>223</v>
      </c>
      <c r="L335" s="40">
        <v>44830.751666666663</v>
      </c>
    </row>
    <row r="336" spans="1:12" x14ac:dyDescent="0.25">
      <c r="A336" s="38">
        <f>ROW(A2)</f>
        <v>2</v>
      </c>
      <c r="B336" s="39" t="s">
        <v>952</v>
      </c>
      <c r="C336" s="37" t="s">
        <v>1086</v>
      </c>
      <c r="D336" s="37" t="s">
        <v>1087</v>
      </c>
      <c r="E336" s="37"/>
      <c r="F336" s="37"/>
      <c r="G336" s="37"/>
      <c r="H336" s="37" t="s">
        <v>221</v>
      </c>
      <c r="I336" s="37">
        <v>4</v>
      </c>
      <c r="J336" s="37"/>
      <c r="K336" s="37" t="s">
        <v>223</v>
      </c>
      <c r="L336" s="40">
        <v>44830.751666666663</v>
      </c>
    </row>
    <row r="337" spans="1:12" x14ac:dyDescent="0.25">
      <c r="A337" s="38">
        <f>ROW(A2)</f>
        <v>2</v>
      </c>
      <c r="B337" s="39" t="s">
        <v>952</v>
      </c>
      <c r="C337" s="37" t="s">
        <v>1086</v>
      </c>
      <c r="D337" s="37" t="s">
        <v>1087</v>
      </c>
      <c r="E337" s="37"/>
      <c r="F337" s="37"/>
      <c r="G337" s="37"/>
      <c r="H337" s="37" t="s">
        <v>221</v>
      </c>
      <c r="I337" s="37">
        <v>4</v>
      </c>
      <c r="J337" s="37"/>
      <c r="K337" s="37" t="s">
        <v>223</v>
      </c>
      <c r="L337" s="40">
        <v>44830.751666666663</v>
      </c>
    </row>
    <row r="338" spans="1:12" x14ac:dyDescent="0.25">
      <c r="A338" s="38">
        <f>ROW(A2)</f>
        <v>2</v>
      </c>
      <c r="B338" s="39" t="s">
        <v>1063</v>
      </c>
      <c r="C338" s="37" t="s">
        <v>1086</v>
      </c>
      <c r="D338" s="37" t="s">
        <v>1087</v>
      </c>
      <c r="E338" s="37"/>
      <c r="F338" s="37"/>
      <c r="G338" s="37"/>
      <c r="H338" s="37" t="s">
        <v>221</v>
      </c>
      <c r="I338" s="37">
        <v>0</v>
      </c>
      <c r="J338" s="37"/>
      <c r="K338" s="37" t="s">
        <v>223</v>
      </c>
      <c r="L338" s="40">
        <v>44830.749768518515</v>
      </c>
    </row>
    <row r="339" spans="1:12" x14ac:dyDescent="0.25">
      <c r="A339" s="38">
        <f>ROW(A2)</f>
        <v>2</v>
      </c>
      <c r="B339" s="39" t="s">
        <v>1063</v>
      </c>
      <c r="C339" s="37" t="s">
        <v>227</v>
      </c>
      <c r="D339" s="37" t="s">
        <v>1085</v>
      </c>
      <c r="E339" s="37"/>
      <c r="F339" s="37"/>
      <c r="G339" s="37" t="s">
        <v>230</v>
      </c>
      <c r="H339" s="37" t="s">
        <v>221</v>
      </c>
      <c r="I339" s="37">
        <v>4</v>
      </c>
      <c r="J339" s="37"/>
      <c r="K339" s="37" t="s">
        <v>223</v>
      </c>
      <c r="L339" s="40">
        <v>44830.748344907406</v>
      </c>
    </row>
    <row r="340" spans="1:12" x14ac:dyDescent="0.25">
      <c r="A340" s="38">
        <f>ROW(A2)</f>
        <v>2</v>
      </c>
      <c r="B340" s="39" t="s">
        <v>957</v>
      </c>
      <c r="C340" s="37" t="s">
        <v>571</v>
      </c>
      <c r="D340" s="37" t="s">
        <v>572</v>
      </c>
      <c r="E340" s="37"/>
      <c r="F340" s="37"/>
      <c r="G340" s="37" t="s">
        <v>573</v>
      </c>
      <c r="H340" s="37" t="s">
        <v>221</v>
      </c>
      <c r="I340" s="37">
        <v>1</v>
      </c>
      <c r="J340" s="37" t="s">
        <v>532</v>
      </c>
      <c r="K340" s="37" t="s">
        <v>223</v>
      </c>
      <c r="L340" s="40">
        <v>44830.744895833333</v>
      </c>
    </row>
    <row r="341" spans="1:12" x14ac:dyDescent="0.25">
      <c r="A341" s="38">
        <f>ROW(A2)</f>
        <v>2</v>
      </c>
      <c r="B341" s="39" t="s">
        <v>957</v>
      </c>
      <c r="C341" s="37" t="s">
        <v>1079</v>
      </c>
      <c r="D341" s="37" t="s">
        <v>1080</v>
      </c>
      <c r="E341" s="37"/>
      <c r="F341" s="37"/>
      <c r="G341" s="37"/>
      <c r="H341" s="37" t="s">
        <v>221</v>
      </c>
      <c r="I341" s="37">
        <v>5</v>
      </c>
      <c r="J341" s="37"/>
      <c r="K341" s="37" t="s">
        <v>223</v>
      </c>
      <c r="L341" s="40">
        <v>44830.744895833333</v>
      </c>
    </row>
    <row r="342" spans="1:12" x14ac:dyDescent="0.25">
      <c r="A342" s="38">
        <f>ROW(A2)</f>
        <v>2</v>
      </c>
      <c r="B342" s="39" t="s">
        <v>957</v>
      </c>
      <c r="C342" s="37" t="s">
        <v>742</v>
      </c>
      <c r="D342" s="37" t="s">
        <v>743</v>
      </c>
      <c r="E342" s="37"/>
      <c r="F342" s="37"/>
      <c r="G342" s="37"/>
      <c r="H342" s="37" t="s">
        <v>221</v>
      </c>
      <c r="I342" s="37">
        <v>1</v>
      </c>
      <c r="J342" s="37"/>
      <c r="K342" s="37" t="s">
        <v>223</v>
      </c>
      <c r="L342" s="40">
        <v>44830.744895833333</v>
      </c>
    </row>
    <row r="343" spans="1:12" x14ac:dyDescent="0.25">
      <c r="A343" s="38">
        <f>ROW(A2)</f>
        <v>2</v>
      </c>
      <c r="B343" s="39" t="s">
        <v>957</v>
      </c>
      <c r="C343" s="37" t="s">
        <v>746</v>
      </c>
      <c r="D343" s="37" t="s">
        <v>747</v>
      </c>
      <c r="E343" s="37"/>
      <c r="F343" s="37"/>
      <c r="G343" s="37"/>
      <c r="H343" s="37" t="s">
        <v>570</v>
      </c>
      <c r="I343" s="37">
        <v>1</v>
      </c>
      <c r="J343" s="37"/>
      <c r="K343" s="37" t="s">
        <v>223</v>
      </c>
      <c r="L343" s="40">
        <v>44830.744895833333</v>
      </c>
    </row>
    <row r="344" spans="1:12" x14ac:dyDescent="0.25">
      <c r="A344" s="38">
        <f>ROW(A2)</f>
        <v>2</v>
      </c>
      <c r="B344" s="39" t="s">
        <v>957</v>
      </c>
      <c r="C344" s="37" t="s">
        <v>446</v>
      </c>
      <c r="D344" s="37" t="s">
        <v>447</v>
      </c>
      <c r="E344" s="37"/>
      <c r="F344" s="37"/>
      <c r="G344" s="37"/>
      <c r="H344" s="37" t="s">
        <v>448</v>
      </c>
      <c r="I344" s="37">
        <v>500</v>
      </c>
      <c r="J344" s="37"/>
      <c r="K344" s="37" t="s">
        <v>223</v>
      </c>
      <c r="L344" s="40">
        <v>44830.744895833333</v>
      </c>
    </row>
    <row r="345" spans="1:12" x14ac:dyDescent="0.25">
      <c r="A345" s="38">
        <f>ROW(A2)</f>
        <v>2</v>
      </c>
      <c r="B345" s="39" t="s">
        <v>957</v>
      </c>
      <c r="C345" s="37" t="s">
        <v>662</v>
      </c>
      <c r="D345" s="37" t="s">
        <v>663</v>
      </c>
      <c r="E345" s="37"/>
      <c r="F345" s="37"/>
      <c r="G345" s="37"/>
      <c r="H345" s="37" t="s">
        <v>570</v>
      </c>
      <c r="I345" s="37">
        <v>500</v>
      </c>
      <c r="J345" s="37"/>
      <c r="K345" s="37" t="s">
        <v>223</v>
      </c>
      <c r="L345" s="40">
        <v>44830.744895833333</v>
      </c>
    </row>
    <row r="346" spans="1:12" x14ac:dyDescent="0.25">
      <c r="A346" s="38">
        <f>ROW(A2)</f>
        <v>2</v>
      </c>
      <c r="B346" s="39" t="s">
        <v>957</v>
      </c>
      <c r="C346" s="37" t="s">
        <v>623</v>
      </c>
      <c r="D346" s="37" t="s">
        <v>624</v>
      </c>
      <c r="E346" s="37"/>
      <c r="F346" s="37" t="s">
        <v>625</v>
      </c>
      <c r="G346" s="37" t="s">
        <v>257</v>
      </c>
      <c r="H346" s="37" t="s">
        <v>626</v>
      </c>
      <c r="I346" s="37">
        <v>2</v>
      </c>
      <c r="J346" s="37"/>
      <c r="K346" s="37" t="s">
        <v>32</v>
      </c>
      <c r="L346" s="40">
        <v>44830.744895833333</v>
      </c>
    </row>
    <row r="347" spans="1:12" x14ac:dyDescent="0.25">
      <c r="A347" s="38">
        <f>ROW(A2)</f>
        <v>2</v>
      </c>
      <c r="B347" s="39" t="s">
        <v>957</v>
      </c>
      <c r="C347" s="37" t="s">
        <v>1076</v>
      </c>
      <c r="D347" s="37" t="s">
        <v>1077</v>
      </c>
      <c r="E347" s="37"/>
      <c r="F347" s="37"/>
      <c r="G347" s="37"/>
      <c r="H347" s="37" t="s">
        <v>221</v>
      </c>
      <c r="I347" s="37">
        <v>2</v>
      </c>
      <c r="J347" s="37"/>
      <c r="K347" s="37" t="s">
        <v>223</v>
      </c>
      <c r="L347" s="40">
        <v>44830.744895833333</v>
      </c>
    </row>
    <row r="348" spans="1:12" x14ac:dyDescent="0.25">
      <c r="A348" s="38">
        <f>ROW(A2)</f>
        <v>2</v>
      </c>
      <c r="B348" s="39" t="s">
        <v>952</v>
      </c>
      <c r="C348" s="37" t="s">
        <v>446</v>
      </c>
      <c r="D348" s="37" t="s">
        <v>447</v>
      </c>
      <c r="E348" s="37"/>
      <c r="F348" s="37"/>
      <c r="G348" s="37"/>
      <c r="H348" s="37" t="s">
        <v>448</v>
      </c>
      <c r="I348" s="37">
        <v>500</v>
      </c>
      <c r="J348" s="37"/>
      <c r="K348" s="37" t="s">
        <v>223</v>
      </c>
      <c r="L348" s="40">
        <v>44830.742013888892</v>
      </c>
    </row>
    <row r="349" spans="1:12" x14ac:dyDescent="0.25">
      <c r="A349" s="38">
        <f>ROW(A2)</f>
        <v>2</v>
      </c>
      <c r="B349" s="39" t="s">
        <v>952</v>
      </c>
      <c r="C349" s="37" t="s">
        <v>662</v>
      </c>
      <c r="D349" s="37" t="s">
        <v>663</v>
      </c>
      <c r="E349" s="37"/>
      <c r="F349" s="37"/>
      <c r="G349" s="37"/>
      <c r="H349" s="37" t="s">
        <v>570</v>
      </c>
      <c r="I349" s="37">
        <v>500</v>
      </c>
      <c r="J349" s="37"/>
      <c r="K349" s="37" t="s">
        <v>223</v>
      </c>
      <c r="L349" s="40">
        <v>44830.742013888892</v>
      </c>
    </row>
    <row r="350" spans="1:12" x14ac:dyDescent="0.25">
      <c r="A350" s="38">
        <f>ROW(A2)</f>
        <v>2</v>
      </c>
      <c r="B350" s="39" t="s">
        <v>952</v>
      </c>
      <c r="C350" s="37" t="s">
        <v>1079</v>
      </c>
      <c r="D350" s="37" t="s">
        <v>1080</v>
      </c>
      <c r="E350" s="37"/>
      <c r="F350" s="37"/>
      <c r="G350" s="37"/>
      <c r="H350" s="37" t="s">
        <v>221</v>
      </c>
      <c r="I350" s="37">
        <v>3</v>
      </c>
      <c r="J350" s="37"/>
      <c r="K350" s="37" t="s">
        <v>976</v>
      </c>
      <c r="L350" s="40">
        <v>44830.742013888892</v>
      </c>
    </row>
    <row r="351" spans="1:12" x14ac:dyDescent="0.25">
      <c r="A351" s="38">
        <f>ROW(A2)</f>
        <v>2</v>
      </c>
      <c r="B351" s="39" t="s">
        <v>952</v>
      </c>
      <c r="C351" s="37" t="s">
        <v>1079</v>
      </c>
      <c r="D351" s="37" t="s">
        <v>1080</v>
      </c>
      <c r="E351" s="37"/>
      <c r="F351" s="37"/>
      <c r="G351" s="37"/>
      <c r="H351" s="37" t="s">
        <v>221</v>
      </c>
      <c r="I351" s="37">
        <v>2</v>
      </c>
      <c r="J351" s="37"/>
      <c r="K351" s="37" t="s">
        <v>629</v>
      </c>
      <c r="L351" s="40">
        <v>44830.736250000002</v>
      </c>
    </row>
    <row r="352" spans="1:12" x14ac:dyDescent="0.25">
      <c r="A352" s="38">
        <f>ROW(A2)</f>
        <v>2</v>
      </c>
      <c r="B352" s="39" t="s">
        <v>952</v>
      </c>
      <c r="C352" s="37" t="s">
        <v>571</v>
      </c>
      <c r="D352" s="37" t="s">
        <v>572</v>
      </c>
      <c r="E352" s="37"/>
      <c r="F352" s="37"/>
      <c r="G352" s="37" t="s">
        <v>573</v>
      </c>
      <c r="H352" s="37" t="s">
        <v>221</v>
      </c>
      <c r="I352" s="37">
        <v>1</v>
      </c>
      <c r="J352" s="37" t="s">
        <v>532</v>
      </c>
      <c r="K352" s="37" t="s">
        <v>223</v>
      </c>
      <c r="L352" s="40">
        <v>44830.736250000002</v>
      </c>
    </row>
    <row r="353" spans="1:12" x14ac:dyDescent="0.25">
      <c r="A353" s="38">
        <f>ROW(A2)</f>
        <v>2</v>
      </c>
      <c r="B353" s="39" t="s">
        <v>952</v>
      </c>
      <c r="C353" s="37" t="s">
        <v>742</v>
      </c>
      <c r="D353" s="37" t="s">
        <v>743</v>
      </c>
      <c r="E353" s="37"/>
      <c r="F353" s="37"/>
      <c r="G353" s="37"/>
      <c r="H353" s="37" t="s">
        <v>221</v>
      </c>
      <c r="I353" s="37">
        <v>4</v>
      </c>
      <c r="J353" s="37"/>
      <c r="K353" s="37" t="s">
        <v>629</v>
      </c>
      <c r="L353" s="40">
        <v>44830.736238425925</v>
      </c>
    </row>
    <row r="354" spans="1:12" x14ac:dyDescent="0.25">
      <c r="A354" s="38">
        <f>ROW(A2)</f>
        <v>2</v>
      </c>
      <c r="B354" s="39" t="s">
        <v>952</v>
      </c>
      <c r="C354" s="37" t="s">
        <v>746</v>
      </c>
      <c r="D354" s="37" t="s">
        <v>747</v>
      </c>
      <c r="E354" s="37"/>
      <c r="F354" s="37"/>
      <c r="G354" s="37"/>
      <c r="H354" s="37" t="s">
        <v>570</v>
      </c>
      <c r="I354" s="37">
        <v>2</v>
      </c>
      <c r="J354" s="37"/>
      <c r="K354" s="37" t="s">
        <v>629</v>
      </c>
      <c r="L354" s="40">
        <v>44830.736238425925</v>
      </c>
    </row>
    <row r="355" spans="1:12" x14ac:dyDescent="0.25">
      <c r="A355" s="38">
        <f>ROW(A2)</f>
        <v>2</v>
      </c>
      <c r="B355" s="39" t="s">
        <v>1063</v>
      </c>
      <c r="C355" s="37" t="s">
        <v>1079</v>
      </c>
      <c r="D355" s="37" t="s">
        <v>1080</v>
      </c>
      <c r="E355" s="37"/>
      <c r="F355" s="37"/>
      <c r="G355" s="37"/>
      <c r="H355" s="37" t="s">
        <v>221</v>
      </c>
      <c r="I355" s="37">
        <v>0</v>
      </c>
      <c r="J355" s="37"/>
      <c r="K355" s="37" t="s">
        <v>223</v>
      </c>
      <c r="L355" s="40">
        <v>44830.731793981482</v>
      </c>
    </row>
    <row r="356" spans="1:12" x14ac:dyDescent="0.25">
      <c r="A356" s="38">
        <f>ROW(A2)</f>
        <v>2</v>
      </c>
      <c r="B356" s="39" t="s">
        <v>1063</v>
      </c>
      <c r="C356" s="37" t="s">
        <v>1076</v>
      </c>
      <c r="D356" s="37" t="s">
        <v>1077</v>
      </c>
      <c r="E356" s="37"/>
      <c r="F356" s="37"/>
      <c r="G356" s="37"/>
      <c r="H356" s="37" t="s">
        <v>221</v>
      </c>
      <c r="I356" s="37">
        <v>2</v>
      </c>
      <c r="J356" s="37"/>
      <c r="K356" s="37" t="s">
        <v>223</v>
      </c>
      <c r="L356" s="40">
        <v>44830.73033564815</v>
      </c>
    </row>
    <row r="357" spans="1:12" x14ac:dyDescent="0.25">
      <c r="A357" s="38">
        <f>ROW(A2)</f>
        <v>2</v>
      </c>
      <c r="B357" s="39" t="s">
        <v>952</v>
      </c>
      <c r="C357" s="37" t="s">
        <v>1072</v>
      </c>
      <c r="D357" s="37" t="s">
        <v>1073</v>
      </c>
      <c r="E357" s="37"/>
      <c r="F357" s="37"/>
      <c r="G357" s="37"/>
      <c r="H357" s="37" t="s">
        <v>221</v>
      </c>
      <c r="I357" s="37">
        <v>2</v>
      </c>
      <c r="J357" s="37"/>
      <c r="K357" s="37" t="s">
        <v>223</v>
      </c>
      <c r="L357" s="40">
        <v>44830.720266203702</v>
      </c>
    </row>
    <row r="358" spans="1:12" x14ac:dyDescent="0.25">
      <c r="A358" s="38">
        <f>ROW(A2)</f>
        <v>2</v>
      </c>
      <c r="B358" s="39" t="s">
        <v>952</v>
      </c>
      <c r="C358" s="37" t="s">
        <v>1070</v>
      </c>
      <c r="D358" s="37" t="s">
        <v>1071</v>
      </c>
      <c r="E358" s="37"/>
      <c r="F358" s="37"/>
      <c r="G358" s="37"/>
      <c r="H358" s="37" t="s">
        <v>221</v>
      </c>
      <c r="I358" s="37">
        <v>8</v>
      </c>
      <c r="J358" s="37"/>
      <c r="K358" s="37" t="s">
        <v>223</v>
      </c>
      <c r="L358" s="40">
        <v>44830.720266203702</v>
      </c>
    </row>
    <row r="359" spans="1:12" x14ac:dyDescent="0.25">
      <c r="A359" s="38">
        <f>ROW(A2)</f>
        <v>2</v>
      </c>
      <c r="B359" s="39" t="s">
        <v>952</v>
      </c>
      <c r="C359" s="37" t="s">
        <v>1068</v>
      </c>
      <c r="D359" s="37" t="s">
        <v>1069</v>
      </c>
      <c r="E359" s="37"/>
      <c r="F359" s="37"/>
      <c r="G359" s="37" t="s">
        <v>257</v>
      </c>
      <c r="H359" s="37" t="s">
        <v>221</v>
      </c>
      <c r="I359" s="37">
        <v>1</v>
      </c>
      <c r="J359" s="37"/>
      <c r="K359" s="37" t="s">
        <v>32</v>
      </c>
      <c r="L359" s="40">
        <v>44830.720266203702</v>
      </c>
    </row>
    <row r="360" spans="1:12" x14ac:dyDescent="0.25">
      <c r="A360" s="38">
        <f>ROW(A2)</f>
        <v>2</v>
      </c>
      <c r="B360" s="39" t="s">
        <v>952</v>
      </c>
      <c r="C360" s="37" t="s">
        <v>1066</v>
      </c>
      <c r="D360" s="37" t="s">
        <v>1067</v>
      </c>
      <c r="E360" s="37"/>
      <c r="F360" s="37"/>
      <c r="G360" s="37"/>
      <c r="H360" s="37" t="s">
        <v>221</v>
      </c>
      <c r="I360" s="37">
        <v>16</v>
      </c>
      <c r="J360" s="37"/>
      <c r="K360" s="37" t="s">
        <v>32</v>
      </c>
      <c r="L360" s="40">
        <v>44830.720266203702</v>
      </c>
    </row>
    <row r="361" spans="1:12" x14ac:dyDescent="0.25">
      <c r="A361" s="38">
        <f>ROW(A2)</f>
        <v>2</v>
      </c>
      <c r="B361" s="39" t="s">
        <v>952</v>
      </c>
      <c r="C361" s="37" t="s">
        <v>1074</v>
      </c>
      <c r="D361" s="37" t="s">
        <v>1075</v>
      </c>
      <c r="E361" s="37"/>
      <c r="F361" s="37"/>
      <c r="G361" s="37" t="s">
        <v>257</v>
      </c>
      <c r="H361" s="37" t="s">
        <v>448</v>
      </c>
      <c r="I361" s="37">
        <v>1</v>
      </c>
      <c r="J361" s="37"/>
      <c r="K361" s="37" t="s">
        <v>223</v>
      </c>
      <c r="L361" s="40">
        <v>44830.720266203702</v>
      </c>
    </row>
    <row r="362" spans="1:12" x14ac:dyDescent="0.25">
      <c r="A362" s="38">
        <f>ROW(A2)</f>
        <v>2</v>
      </c>
      <c r="B362" s="39" t="s">
        <v>952</v>
      </c>
      <c r="C362" s="37" t="s">
        <v>1064</v>
      </c>
      <c r="D362" s="37" t="s">
        <v>1065</v>
      </c>
      <c r="E362" s="37"/>
      <c r="F362" s="37"/>
      <c r="G362" s="37" t="s">
        <v>257</v>
      </c>
      <c r="H362" s="37" t="s">
        <v>448</v>
      </c>
      <c r="I362" s="37">
        <v>1</v>
      </c>
      <c r="J362" s="37"/>
      <c r="K362" s="37" t="s">
        <v>223</v>
      </c>
      <c r="L362" s="40">
        <v>44830.720266203702</v>
      </c>
    </row>
    <row r="363" spans="1:12" x14ac:dyDescent="0.25">
      <c r="A363" s="38">
        <f>ROW(A2)</f>
        <v>2</v>
      </c>
      <c r="B363" s="39" t="s">
        <v>952</v>
      </c>
      <c r="C363" s="37" t="s">
        <v>467</v>
      </c>
      <c r="D363" s="37" t="s">
        <v>468</v>
      </c>
      <c r="E363" s="37"/>
      <c r="F363" s="37"/>
      <c r="G363" s="37"/>
      <c r="H363" s="37" t="s">
        <v>243</v>
      </c>
      <c r="I363" s="37">
        <v>20</v>
      </c>
      <c r="J363" s="37" t="s">
        <v>223</v>
      </c>
      <c r="K363" s="37" t="s">
        <v>223</v>
      </c>
      <c r="L363" s="40">
        <v>44830.720266203702</v>
      </c>
    </row>
    <row r="364" spans="1:12" x14ac:dyDescent="0.25">
      <c r="A364" s="38">
        <f>ROW(A2)</f>
        <v>2</v>
      </c>
      <c r="B364" s="39" t="s">
        <v>952</v>
      </c>
      <c r="C364" s="37" t="s">
        <v>469</v>
      </c>
      <c r="D364" s="37" t="s">
        <v>470</v>
      </c>
      <c r="E364" s="37"/>
      <c r="F364" s="37"/>
      <c r="G364" s="37"/>
      <c r="H364" s="37" t="s">
        <v>243</v>
      </c>
      <c r="I364" s="37">
        <v>10</v>
      </c>
      <c r="J364" s="37" t="s">
        <v>223</v>
      </c>
      <c r="K364" s="37" t="s">
        <v>223</v>
      </c>
      <c r="L364" s="40">
        <v>44830.720266203702</v>
      </c>
    </row>
    <row r="365" spans="1:12" x14ac:dyDescent="0.25">
      <c r="A365" s="38">
        <f>ROW(A2)</f>
        <v>2</v>
      </c>
      <c r="B365" s="39" t="s">
        <v>952</v>
      </c>
      <c r="C365" s="37" t="s">
        <v>1061</v>
      </c>
      <c r="D365" s="37" t="s">
        <v>1062</v>
      </c>
      <c r="E365" s="37"/>
      <c r="F365" s="37"/>
      <c r="G365" s="37"/>
      <c r="H365" s="37" t="s">
        <v>221</v>
      </c>
      <c r="I365" s="37">
        <v>6</v>
      </c>
      <c r="J365" s="37"/>
      <c r="K365" s="37" t="s">
        <v>223</v>
      </c>
      <c r="L365" s="40">
        <v>44830.720254629632</v>
      </c>
    </row>
    <row r="366" spans="1:12" x14ac:dyDescent="0.25">
      <c r="A366" s="38">
        <f>ROW(A2)</f>
        <v>2</v>
      </c>
      <c r="B366" s="39" t="s">
        <v>952</v>
      </c>
      <c r="C366" s="37" t="s">
        <v>512</v>
      </c>
      <c r="D366" s="37" t="s">
        <v>513</v>
      </c>
      <c r="E366" s="37"/>
      <c r="F366" s="37"/>
      <c r="G366" s="37" t="s">
        <v>269</v>
      </c>
      <c r="H366" s="37" t="s">
        <v>514</v>
      </c>
      <c r="I366" s="37">
        <v>2</v>
      </c>
      <c r="J366" s="37" t="s">
        <v>223</v>
      </c>
      <c r="K366" s="37" t="s">
        <v>223</v>
      </c>
      <c r="L366" s="40">
        <v>44830.720254629632</v>
      </c>
    </row>
    <row r="367" spans="1:12" x14ac:dyDescent="0.25">
      <c r="A367" s="38">
        <f>ROW(A2)</f>
        <v>2</v>
      </c>
      <c r="B367" s="39" t="s">
        <v>952</v>
      </c>
      <c r="C367" s="37" t="s">
        <v>433</v>
      </c>
      <c r="D367" s="37" t="s">
        <v>434</v>
      </c>
      <c r="E367" s="37"/>
      <c r="F367" s="37"/>
      <c r="G367" s="37" t="s">
        <v>419</v>
      </c>
      <c r="H367" s="37" t="s">
        <v>240</v>
      </c>
      <c r="I367" s="37">
        <v>8</v>
      </c>
      <c r="J367" s="37" t="s">
        <v>223</v>
      </c>
      <c r="K367" s="37" t="s">
        <v>223</v>
      </c>
      <c r="L367" s="40">
        <v>44830.720254629632</v>
      </c>
    </row>
    <row r="368" spans="1:12" x14ac:dyDescent="0.25">
      <c r="A368" s="38">
        <f>ROW(A2)</f>
        <v>2</v>
      </c>
      <c r="B368" s="39" t="s">
        <v>952</v>
      </c>
      <c r="C368" s="37" t="s">
        <v>253</v>
      </c>
      <c r="D368" s="37" t="s">
        <v>256</v>
      </c>
      <c r="E368" s="37"/>
      <c r="F368" s="37"/>
      <c r="G368" s="37" t="s">
        <v>257</v>
      </c>
      <c r="H368" s="37" t="s">
        <v>235</v>
      </c>
      <c r="I368" s="37">
        <v>2</v>
      </c>
      <c r="J368" s="37" t="s">
        <v>223</v>
      </c>
      <c r="K368" s="37" t="s">
        <v>223</v>
      </c>
      <c r="L368" s="40">
        <v>44830.720254629632</v>
      </c>
    </row>
    <row r="369" spans="1:12" x14ac:dyDescent="0.25">
      <c r="A369" s="38">
        <f>ROW(A2)</f>
        <v>2</v>
      </c>
      <c r="B369" s="39" t="s">
        <v>952</v>
      </c>
      <c r="C369" s="37" t="s">
        <v>441</v>
      </c>
      <c r="D369" s="37" t="s">
        <v>442</v>
      </c>
      <c r="E369" s="37"/>
      <c r="F369" s="37"/>
      <c r="G369" s="37" t="s">
        <v>419</v>
      </c>
      <c r="H369" s="37" t="s">
        <v>240</v>
      </c>
      <c r="I369" s="37">
        <v>8</v>
      </c>
      <c r="J369" s="37" t="s">
        <v>223</v>
      </c>
      <c r="K369" s="37" t="s">
        <v>223</v>
      </c>
      <c r="L369" s="40">
        <v>44830.720254629632</v>
      </c>
    </row>
    <row r="370" spans="1:12" x14ac:dyDescent="0.25">
      <c r="A370" s="38">
        <f>ROW(A2)</f>
        <v>2</v>
      </c>
      <c r="B370" s="39" t="s">
        <v>1063</v>
      </c>
      <c r="C370" s="37" t="s">
        <v>1074</v>
      </c>
      <c r="D370" s="37" t="s">
        <v>1075</v>
      </c>
      <c r="E370" s="37"/>
      <c r="F370" s="37"/>
      <c r="G370" s="37" t="s">
        <v>257</v>
      </c>
      <c r="H370" s="37" t="s">
        <v>448</v>
      </c>
      <c r="I370" s="37">
        <v>0</v>
      </c>
      <c r="J370" s="37"/>
      <c r="K370" s="37" t="s">
        <v>223</v>
      </c>
      <c r="L370" s="40">
        <v>44830.719212962962</v>
      </c>
    </row>
    <row r="371" spans="1:12" x14ac:dyDescent="0.25">
      <c r="A371" s="38">
        <f>ROW(A2)</f>
        <v>2</v>
      </c>
      <c r="B371" s="39" t="s">
        <v>1063</v>
      </c>
      <c r="C371" s="37" t="s">
        <v>1072</v>
      </c>
      <c r="D371" s="37" t="s">
        <v>1073</v>
      </c>
      <c r="E371" s="37"/>
      <c r="F371" s="37"/>
      <c r="G371" s="37"/>
      <c r="H371" s="37" t="s">
        <v>221</v>
      </c>
      <c r="I371" s="37">
        <v>0</v>
      </c>
      <c r="J371" s="37"/>
      <c r="K371" s="37" t="s">
        <v>223</v>
      </c>
      <c r="L371" s="40">
        <v>44830.717615740738</v>
      </c>
    </row>
    <row r="372" spans="1:12" x14ac:dyDescent="0.25">
      <c r="A372" s="38">
        <f>ROW(A2)</f>
        <v>2</v>
      </c>
      <c r="B372" s="39" t="s">
        <v>1063</v>
      </c>
      <c r="C372" s="37" t="s">
        <v>1070</v>
      </c>
      <c r="D372" s="37" t="s">
        <v>1071</v>
      </c>
      <c r="E372" s="37"/>
      <c r="F372" s="37"/>
      <c r="G372" s="37"/>
      <c r="H372" s="37" t="s">
        <v>221</v>
      </c>
      <c r="I372" s="37">
        <v>0</v>
      </c>
      <c r="J372" s="37"/>
      <c r="K372" s="37" t="s">
        <v>223</v>
      </c>
      <c r="L372" s="40">
        <v>44830.717349537037</v>
      </c>
    </row>
    <row r="373" spans="1:12" x14ac:dyDescent="0.25">
      <c r="A373" s="38">
        <f>ROW(A2)</f>
        <v>2</v>
      </c>
      <c r="B373" s="39" t="s">
        <v>1063</v>
      </c>
      <c r="C373" s="37" t="s">
        <v>1068</v>
      </c>
      <c r="D373" s="37" t="s">
        <v>1069</v>
      </c>
      <c r="E373" s="37"/>
      <c r="F373" s="37"/>
      <c r="G373" s="37" t="s">
        <v>257</v>
      </c>
      <c r="H373" s="37" t="s">
        <v>221</v>
      </c>
      <c r="I373" s="37">
        <v>0</v>
      </c>
      <c r="J373" s="37"/>
      <c r="K373" s="37" t="s">
        <v>32</v>
      </c>
      <c r="L373" s="40">
        <v>44830.717083333337</v>
      </c>
    </row>
    <row r="374" spans="1:12" x14ac:dyDescent="0.25">
      <c r="A374" s="38">
        <f>ROW(A2)</f>
        <v>2</v>
      </c>
      <c r="B374" s="39" t="s">
        <v>1063</v>
      </c>
      <c r="C374" s="37" t="s">
        <v>1066</v>
      </c>
      <c r="D374" s="37" t="s">
        <v>1067</v>
      </c>
      <c r="E374" s="37"/>
      <c r="F374" s="37"/>
      <c r="G374" s="37"/>
      <c r="H374" s="37" t="s">
        <v>221</v>
      </c>
      <c r="I374" s="37">
        <v>0</v>
      </c>
      <c r="J374" s="37"/>
      <c r="K374" s="37" t="s">
        <v>32</v>
      </c>
      <c r="L374" s="40">
        <v>44830.71466435185</v>
      </c>
    </row>
    <row r="375" spans="1:12" x14ac:dyDescent="0.25">
      <c r="A375" s="38">
        <f>ROW(A2)</f>
        <v>2</v>
      </c>
      <c r="B375" s="39" t="s">
        <v>1063</v>
      </c>
      <c r="C375" s="37" t="s">
        <v>1064</v>
      </c>
      <c r="D375" s="37" t="s">
        <v>1065</v>
      </c>
      <c r="E375" s="37"/>
      <c r="F375" s="37"/>
      <c r="G375" s="37" t="s">
        <v>257</v>
      </c>
      <c r="H375" s="37" t="s">
        <v>243</v>
      </c>
      <c r="I375" s="37">
        <v>0</v>
      </c>
      <c r="J375" s="37"/>
      <c r="K375" s="37" t="s">
        <v>223</v>
      </c>
      <c r="L375" s="40">
        <v>44830.714259259257</v>
      </c>
    </row>
    <row r="376" spans="1:12" x14ac:dyDescent="0.25">
      <c r="A376" s="38">
        <f>ROW(A2)</f>
        <v>2</v>
      </c>
      <c r="B376" s="39" t="s">
        <v>1063</v>
      </c>
      <c r="C376" s="37" t="s">
        <v>1061</v>
      </c>
      <c r="D376" s="37" t="s">
        <v>1062</v>
      </c>
      <c r="E376" s="37"/>
      <c r="F376" s="37"/>
      <c r="G376" s="37"/>
      <c r="H376" s="37" t="s">
        <v>221</v>
      </c>
      <c r="I376" s="37">
        <v>0</v>
      </c>
      <c r="J376" s="37"/>
      <c r="K376" s="37" t="s">
        <v>223</v>
      </c>
      <c r="L376" s="40">
        <v>44830.712071759262</v>
      </c>
    </row>
    <row r="377" spans="1:12" x14ac:dyDescent="0.25">
      <c r="A377" s="38">
        <f>ROW(A2)</f>
        <v>2</v>
      </c>
      <c r="B377" s="39" t="s">
        <v>957</v>
      </c>
      <c r="C377" s="37" t="s">
        <v>316</v>
      </c>
      <c r="D377" s="37">
        <v>10140100</v>
      </c>
      <c r="E377" s="37"/>
      <c r="F377" s="37"/>
      <c r="G377" s="37"/>
      <c r="H377" s="37" t="s">
        <v>235</v>
      </c>
      <c r="I377" s="37">
        <v>5</v>
      </c>
      <c r="J377" s="37" t="s">
        <v>223</v>
      </c>
      <c r="K377" s="37" t="s">
        <v>223</v>
      </c>
      <c r="L377" s="40">
        <v>44830.548958333333</v>
      </c>
    </row>
    <row r="378" spans="1:12" x14ac:dyDescent="0.25">
      <c r="A378" s="38">
        <f>ROW(A2)</f>
        <v>2</v>
      </c>
      <c r="B378" s="39" t="s">
        <v>957</v>
      </c>
      <c r="C378" s="37" t="s">
        <v>642</v>
      </c>
      <c r="D378" s="37" t="s">
        <v>643</v>
      </c>
      <c r="E378" s="37"/>
      <c r="F378" s="37"/>
      <c r="G378" s="37" t="s">
        <v>220</v>
      </c>
      <c r="H378" s="37" t="s">
        <v>221</v>
      </c>
      <c r="I378" s="37">
        <v>3</v>
      </c>
      <c r="J378" s="37" t="s">
        <v>223</v>
      </c>
      <c r="K378" s="37" t="s">
        <v>223</v>
      </c>
      <c r="L378" s="40">
        <v>44830.465243055558</v>
      </c>
    </row>
    <row r="379" spans="1:12" x14ac:dyDescent="0.25">
      <c r="A379" s="38">
        <f>ROW(A2)</f>
        <v>2</v>
      </c>
      <c r="B379" s="39" t="s">
        <v>957</v>
      </c>
      <c r="C379" s="37" t="s">
        <v>764</v>
      </c>
      <c r="D379" s="37" t="s">
        <v>765</v>
      </c>
      <c r="E379" s="37"/>
      <c r="F379" s="37"/>
      <c r="G379" s="37" t="s">
        <v>226</v>
      </c>
      <c r="H379" s="37" t="s">
        <v>221</v>
      </c>
      <c r="I379" s="37">
        <v>5</v>
      </c>
      <c r="J379" s="37"/>
      <c r="K379" s="37" t="s">
        <v>223</v>
      </c>
      <c r="L379" s="40">
        <v>44830.465243055558</v>
      </c>
    </row>
    <row r="380" spans="1:12" x14ac:dyDescent="0.25">
      <c r="A380" s="38">
        <f>ROW(A2)</f>
        <v>2</v>
      </c>
      <c r="B380" s="39" t="s">
        <v>952</v>
      </c>
      <c r="C380" s="37" t="s">
        <v>764</v>
      </c>
      <c r="D380" s="37" t="s">
        <v>765</v>
      </c>
      <c r="E380" s="37"/>
      <c r="F380" s="37"/>
      <c r="G380" s="37" t="s">
        <v>226</v>
      </c>
      <c r="H380" s="37" t="s">
        <v>221</v>
      </c>
      <c r="I380" s="37">
        <v>5</v>
      </c>
      <c r="J380" s="37"/>
      <c r="K380" s="37" t="s">
        <v>32</v>
      </c>
      <c r="L380" s="40">
        <v>44830.442083333335</v>
      </c>
    </row>
    <row r="381" spans="1:12" x14ac:dyDescent="0.25">
      <c r="A381" s="65">
        <f>ROW(A2)</f>
        <v>2</v>
      </c>
      <c r="B381" s="39" t="s">
        <v>957</v>
      </c>
      <c r="C381" s="9" t="s">
        <v>963</v>
      </c>
      <c r="D381" s="9" t="s">
        <v>601</v>
      </c>
      <c r="E381" s="9"/>
      <c r="F381" s="9"/>
      <c r="G381" s="9" t="s">
        <v>601</v>
      </c>
      <c r="H381" s="9" t="s">
        <v>235</v>
      </c>
      <c r="I381" s="9">
        <v>1</v>
      </c>
      <c r="J381" s="9" t="s">
        <v>32</v>
      </c>
      <c r="K381" s="9" t="s">
        <v>32</v>
      </c>
      <c r="L381" s="66">
        <v>44827</v>
      </c>
    </row>
    <row r="382" spans="1:12" x14ac:dyDescent="0.25">
      <c r="A382" s="38">
        <f t="shared" ref="A382:A445" si="1">ROW(A381)</f>
        <v>381</v>
      </c>
      <c r="B382" s="39" t="s">
        <v>957</v>
      </c>
      <c r="C382" s="37" t="s">
        <v>963</v>
      </c>
      <c r="D382" s="37" t="s">
        <v>601</v>
      </c>
      <c r="E382" s="37"/>
      <c r="F382" s="37"/>
      <c r="G382" s="37" t="s">
        <v>601</v>
      </c>
      <c r="H382" s="37" t="s">
        <v>235</v>
      </c>
      <c r="I382" s="37">
        <v>41</v>
      </c>
      <c r="J382" s="37" t="s">
        <v>32</v>
      </c>
      <c r="K382" s="37" t="s">
        <v>32</v>
      </c>
      <c r="L382" s="40">
        <v>44827</v>
      </c>
    </row>
    <row r="383" spans="1:12" x14ac:dyDescent="0.25">
      <c r="A383" s="38">
        <f t="shared" si="1"/>
        <v>382</v>
      </c>
      <c r="B383" s="39" t="s">
        <v>957</v>
      </c>
      <c r="C383" s="37" t="s">
        <v>963</v>
      </c>
      <c r="D383" s="37" t="s">
        <v>601</v>
      </c>
      <c r="E383" s="37"/>
      <c r="F383" s="37"/>
      <c r="G383" s="37" t="s">
        <v>601</v>
      </c>
      <c r="H383" s="37" t="s">
        <v>235</v>
      </c>
      <c r="I383" s="37">
        <v>42</v>
      </c>
      <c r="J383" s="37" t="s">
        <v>32</v>
      </c>
      <c r="K383" s="37" t="s">
        <v>32</v>
      </c>
      <c r="L383" s="40">
        <v>44827</v>
      </c>
    </row>
    <row r="384" spans="1:12" x14ac:dyDescent="0.25">
      <c r="A384" s="38">
        <f t="shared" si="1"/>
        <v>383</v>
      </c>
      <c r="B384" s="39" t="s">
        <v>957</v>
      </c>
      <c r="C384" s="37" t="s">
        <v>964</v>
      </c>
      <c r="D384" s="37" t="s">
        <v>325</v>
      </c>
      <c r="E384" s="37"/>
      <c r="F384" s="37"/>
      <c r="G384" s="37" t="s">
        <v>325</v>
      </c>
      <c r="H384" s="37" t="s">
        <v>235</v>
      </c>
      <c r="I384" s="37">
        <v>3</v>
      </c>
      <c r="J384" s="37" t="s">
        <v>32</v>
      </c>
      <c r="K384" s="37" t="s">
        <v>32</v>
      </c>
      <c r="L384" s="40">
        <v>44827</v>
      </c>
    </row>
    <row r="385" spans="1:12" x14ac:dyDescent="0.25">
      <c r="A385" s="38">
        <f t="shared" si="1"/>
        <v>384</v>
      </c>
      <c r="B385" s="39" t="s">
        <v>957</v>
      </c>
      <c r="C385" s="37" t="s">
        <v>964</v>
      </c>
      <c r="D385" s="37" t="s">
        <v>325</v>
      </c>
      <c r="E385" s="37"/>
      <c r="F385" s="37"/>
      <c r="G385" s="37" t="s">
        <v>325</v>
      </c>
      <c r="H385" s="37" t="s">
        <v>235</v>
      </c>
      <c r="I385" s="37">
        <v>1</v>
      </c>
      <c r="J385" s="37" t="s">
        <v>32</v>
      </c>
      <c r="K385" s="37" t="s">
        <v>32</v>
      </c>
      <c r="L385" s="40">
        <v>44827</v>
      </c>
    </row>
    <row r="386" spans="1:12" x14ac:dyDescent="0.25">
      <c r="A386" s="38">
        <f t="shared" si="1"/>
        <v>385</v>
      </c>
      <c r="B386" s="39" t="s">
        <v>952</v>
      </c>
      <c r="C386" s="37" t="s">
        <v>965</v>
      </c>
      <c r="D386" s="37" t="s">
        <v>383</v>
      </c>
      <c r="E386" s="37"/>
      <c r="F386" s="37"/>
      <c r="G386" s="37" t="s">
        <v>383</v>
      </c>
      <c r="H386" s="37" t="s">
        <v>966</v>
      </c>
      <c r="I386" s="37">
        <v>22</v>
      </c>
      <c r="J386" s="37" t="s">
        <v>32</v>
      </c>
      <c r="K386" s="37" t="s">
        <v>32</v>
      </c>
      <c r="L386" s="40">
        <v>44827</v>
      </c>
    </row>
    <row r="387" spans="1:12" x14ac:dyDescent="0.25">
      <c r="A387" s="38">
        <f t="shared" si="1"/>
        <v>386</v>
      </c>
      <c r="B387" s="39" t="s">
        <v>952</v>
      </c>
      <c r="C387" s="37" t="s">
        <v>963</v>
      </c>
      <c r="D387" s="37" t="s">
        <v>601</v>
      </c>
      <c r="E387" s="37"/>
      <c r="F387" s="37"/>
      <c r="G387" s="37" t="s">
        <v>601</v>
      </c>
      <c r="H387" s="37" t="s">
        <v>235</v>
      </c>
      <c r="I387" s="37">
        <v>1</v>
      </c>
      <c r="J387" s="37" t="s">
        <v>32</v>
      </c>
      <c r="K387" s="37" t="s">
        <v>32</v>
      </c>
      <c r="L387" s="40">
        <v>44827</v>
      </c>
    </row>
    <row r="388" spans="1:12" x14ac:dyDescent="0.25">
      <c r="A388" s="38">
        <f t="shared" si="1"/>
        <v>387</v>
      </c>
      <c r="B388" s="39" t="s">
        <v>952</v>
      </c>
      <c r="C388" s="37" t="s">
        <v>967</v>
      </c>
      <c r="D388" s="37" t="s">
        <v>606</v>
      </c>
      <c r="E388" s="37"/>
      <c r="F388" s="37"/>
      <c r="G388" s="37" t="s">
        <v>606</v>
      </c>
      <c r="H388" s="37" t="s">
        <v>235</v>
      </c>
      <c r="I388" s="37">
        <v>5</v>
      </c>
      <c r="J388" s="37" t="s">
        <v>32</v>
      </c>
      <c r="K388" s="37" t="s">
        <v>32</v>
      </c>
      <c r="L388" s="40">
        <v>44827</v>
      </c>
    </row>
    <row r="389" spans="1:12" x14ac:dyDescent="0.25">
      <c r="A389" s="38">
        <f t="shared" si="1"/>
        <v>388</v>
      </c>
      <c r="B389" s="39" t="s">
        <v>952</v>
      </c>
      <c r="C389" s="37" t="s">
        <v>968</v>
      </c>
      <c r="D389" s="37" t="s">
        <v>773</v>
      </c>
      <c r="E389" s="37"/>
      <c r="F389" s="37"/>
      <c r="G389" s="37" t="s">
        <v>773</v>
      </c>
      <c r="H389" s="37" t="s">
        <v>235</v>
      </c>
      <c r="I389" s="37">
        <v>1</v>
      </c>
      <c r="J389" s="37"/>
      <c r="K389" s="37" t="s">
        <v>32</v>
      </c>
      <c r="L389" s="40">
        <v>44827</v>
      </c>
    </row>
    <row r="390" spans="1:12" x14ac:dyDescent="0.25">
      <c r="A390" s="38">
        <f t="shared" si="1"/>
        <v>389</v>
      </c>
      <c r="B390" s="39" t="s">
        <v>957</v>
      </c>
      <c r="C390" s="37" t="s">
        <v>969</v>
      </c>
      <c r="D390" s="37" t="s">
        <v>777</v>
      </c>
      <c r="E390" s="37"/>
      <c r="F390" s="37"/>
      <c r="G390" s="37" t="s">
        <v>777</v>
      </c>
      <c r="H390" s="37" t="s">
        <v>235</v>
      </c>
      <c r="I390" s="37">
        <v>6</v>
      </c>
      <c r="J390" s="37"/>
      <c r="K390" s="37" t="s">
        <v>32</v>
      </c>
      <c r="L390" s="40">
        <v>44827</v>
      </c>
    </row>
    <row r="391" spans="1:12" x14ac:dyDescent="0.25">
      <c r="A391" s="38">
        <f t="shared" si="1"/>
        <v>390</v>
      </c>
      <c r="B391" s="39" t="s">
        <v>957</v>
      </c>
      <c r="C391" s="37" t="s">
        <v>970</v>
      </c>
      <c r="D391" s="37" t="s">
        <v>775</v>
      </c>
      <c r="E391" s="37"/>
      <c r="F391" s="37"/>
      <c r="G391" s="37" t="s">
        <v>775</v>
      </c>
      <c r="H391" s="37" t="s">
        <v>235</v>
      </c>
      <c r="I391" s="37">
        <v>2</v>
      </c>
      <c r="J391" s="37"/>
      <c r="K391" s="37" t="s">
        <v>32</v>
      </c>
      <c r="L391" s="40">
        <v>44827</v>
      </c>
    </row>
    <row r="392" spans="1:12" x14ac:dyDescent="0.25">
      <c r="A392" s="38">
        <f t="shared" si="1"/>
        <v>391</v>
      </c>
      <c r="B392" s="39" t="s">
        <v>952</v>
      </c>
      <c r="C392" s="37" t="s">
        <v>971</v>
      </c>
      <c r="D392" s="37" t="s">
        <v>624</v>
      </c>
      <c r="E392" s="37"/>
      <c r="F392" s="37" t="s">
        <v>972</v>
      </c>
      <c r="G392" s="37" t="s">
        <v>624</v>
      </c>
      <c r="H392" s="37" t="s">
        <v>235</v>
      </c>
      <c r="I392" s="37">
        <v>5</v>
      </c>
      <c r="J392" s="37"/>
      <c r="K392" s="37" t="s">
        <v>32</v>
      </c>
      <c r="L392" s="40">
        <v>44827</v>
      </c>
    </row>
    <row r="393" spans="1:12" x14ac:dyDescent="0.25">
      <c r="A393" s="38">
        <f t="shared" si="1"/>
        <v>392</v>
      </c>
      <c r="B393" s="39" t="s">
        <v>952</v>
      </c>
      <c r="C393" s="37" t="s">
        <v>421</v>
      </c>
      <c r="D393" s="37" t="s">
        <v>422</v>
      </c>
      <c r="E393" s="37"/>
      <c r="F393" s="37"/>
      <c r="G393" s="37" t="s">
        <v>422</v>
      </c>
      <c r="H393" s="37" t="s">
        <v>235</v>
      </c>
      <c r="I393" s="37">
        <v>4</v>
      </c>
      <c r="J393" s="37"/>
      <c r="K393" s="37" t="s">
        <v>32</v>
      </c>
      <c r="L393" s="40">
        <v>44827</v>
      </c>
    </row>
    <row r="394" spans="1:12" x14ac:dyDescent="0.25">
      <c r="A394" s="38">
        <f t="shared" si="1"/>
        <v>393</v>
      </c>
      <c r="B394" s="39" t="s">
        <v>952</v>
      </c>
      <c r="C394" s="37" t="s">
        <v>973</v>
      </c>
      <c r="D394" s="37" t="s">
        <v>770</v>
      </c>
      <c r="E394" s="37"/>
      <c r="F394" s="37" t="s">
        <v>233</v>
      </c>
      <c r="G394" s="37" t="s">
        <v>770</v>
      </c>
      <c r="H394" s="37" t="s">
        <v>235</v>
      </c>
      <c r="I394" s="37">
        <v>1</v>
      </c>
      <c r="J394" s="37" t="s">
        <v>32</v>
      </c>
      <c r="K394" s="37" t="s">
        <v>32</v>
      </c>
      <c r="L394" s="40">
        <v>44827</v>
      </c>
    </row>
    <row r="395" spans="1:12" x14ac:dyDescent="0.25">
      <c r="A395" s="38">
        <f t="shared" si="1"/>
        <v>394</v>
      </c>
      <c r="B395" s="39" t="s">
        <v>952</v>
      </c>
      <c r="C395" s="37" t="s">
        <v>489</v>
      </c>
      <c r="D395" s="37">
        <v>1311</v>
      </c>
      <c r="E395" s="37"/>
      <c r="F395" s="37"/>
      <c r="G395" s="37">
        <v>1311</v>
      </c>
      <c r="H395" s="37" t="s">
        <v>235</v>
      </c>
      <c r="I395" s="37">
        <v>2</v>
      </c>
      <c r="J395" s="37" t="s">
        <v>32</v>
      </c>
      <c r="K395" s="37" t="s">
        <v>32</v>
      </c>
      <c r="L395" s="40">
        <v>44826</v>
      </c>
    </row>
    <row r="396" spans="1:12" x14ac:dyDescent="0.25">
      <c r="A396" s="38">
        <f t="shared" si="1"/>
        <v>395</v>
      </c>
      <c r="B396" s="39" t="s">
        <v>952</v>
      </c>
      <c r="C396" s="37" t="s">
        <v>973</v>
      </c>
      <c r="D396" s="37" t="s">
        <v>770</v>
      </c>
      <c r="E396" s="37"/>
      <c r="F396" s="37" t="s">
        <v>233</v>
      </c>
      <c r="G396" s="37" t="s">
        <v>770</v>
      </c>
      <c r="H396" s="37" t="s">
        <v>235</v>
      </c>
      <c r="I396" s="37">
        <v>3</v>
      </c>
      <c r="J396" s="37"/>
      <c r="K396" s="37" t="s">
        <v>32</v>
      </c>
      <c r="L396" s="40">
        <v>44826</v>
      </c>
    </row>
    <row r="397" spans="1:12" x14ac:dyDescent="0.25">
      <c r="A397" s="38">
        <f t="shared" si="1"/>
        <v>396</v>
      </c>
      <c r="B397" s="39" t="s">
        <v>952</v>
      </c>
      <c r="C397" s="37" t="s">
        <v>766</v>
      </c>
      <c r="D397" s="37" t="s">
        <v>767</v>
      </c>
      <c r="E397" s="37"/>
      <c r="F397" s="37" t="s">
        <v>233</v>
      </c>
      <c r="G397" s="37" t="s">
        <v>767</v>
      </c>
      <c r="H397" s="37" t="s">
        <v>235</v>
      </c>
      <c r="I397" s="37">
        <v>6</v>
      </c>
      <c r="J397" s="37"/>
      <c r="K397" s="37" t="s">
        <v>32</v>
      </c>
      <c r="L397" s="40">
        <v>44826</v>
      </c>
    </row>
    <row r="398" spans="1:12" x14ac:dyDescent="0.25">
      <c r="A398" s="38">
        <f t="shared" si="1"/>
        <v>397</v>
      </c>
      <c r="B398" s="39" t="s">
        <v>957</v>
      </c>
      <c r="C398" s="37" t="s">
        <v>971</v>
      </c>
      <c r="D398" s="37" t="s">
        <v>624</v>
      </c>
      <c r="E398" s="37"/>
      <c r="F398" s="37" t="s">
        <v>972</v>
      </c>
      <c r="G398" s="37" t="s">
        <v>624</v>
      </c>
      <c r="H398" s="37" t="s">
        <v>235</v>
      </c>
      <c r="I398" s="37">
        <v>50</v>
      </c>
      <c r="J398" s="37"/>
      <c r="K398" s="37" t="s">
        <v>32</v>
      </c>
      <c r="L398" s="40">
        <v>44826</v>
      </c>
    </row>
    <row r="399" spans="1:12" x14ac:dyDescent="0.25">
      <c r="A399" s="38">
        <f t="shared" si="1"/>
        <v>398</v>
      </c>
      <c r="B399" s="39" t="s">
        <v>957</v>
      </c>
      <c r="C399" s="37" t="s">
        <v>971</v>
      </c>
      <c r="D399" s="37" t="s">
        <v>624</v>
      </c>
      <c r="E399" s="37"/>
      <c r="F399" s="37" t="s">
        <v>972</v>
      </c>
      <c r="G399" s="37" t="s">
        <v>624</v>
      </c>
      <c r="H399" s="37" t="s">
        <v>235</v>
      </c>
      <c r="I399" s="37">
        <v>20</v>
      </c>
      <c r="J399" s="37"/>
      <c r="K399" s="37" t="s">
        <v>32</v>
      </c>
      <c r="L399" s="40">
        <v>44826</v>
      </c>
    </row>
    <row r="400" spans="1:12" x14ac:dyDescent="0.25">
      <c r="A400" s="38">
        <f t="shared" si="1"/>
        <v>399</v>
      </c>
      <c r="B400" s="39" t="s">
        <v>952</v>
      </c>
      <c r="C400" s="37" t="s">
        <v>971</v>
      </c>
      <c r="D400" s="37" t="s">
        <v>624</v>
      </c>
      <c r="E400" s="37"/>
      <c r="F400" s="37" t="s">
        <v>972</v>
      </c>
      <c r="G400" s="37" t="s">
        <v>624</v>
      </c>
      <c r="H400" s="37" t="s">
        <v>235</v>
      </c>
      <c r="I400" s="37">
        <v>20</v>
      </c>
      <c r="J400" s="37"/>
      <c r="K400" s="37" t="s">
        <v>32</v>
      </c>
      <c r="L400" s="40">
        <v>44826</v>
      </c>
    </row>
    <row r="401" spans="1:12" x14ac:dyDescent="0.25">
      <c r="A401" s="38">
        <f t="shared" si="1"/>
        <v>400</v>
      </c>
      <c r="B401" s="39" t="s">
        <v>957</v>
      </c>
      <c r="C401" s="37" t="s">
        <v>421</v>
      </c>
      <c r="D401" s="37" t="s">
        <v>422</v>
      </c>
      <c r="E401" s="37"/>
      <c r="F401" s="37"/>
      <c r="G401" s="37" t="s">
        <v>422</v>
      </c>
      <c r="H401" s="37" t="s">
        <v>235</v>
      </c>
      <c r="I401" s="37">
        <v>9</v>
      </c>
      <c r="J401" s="37"/>
      <c r="K401" s="37" t="s">
        <v>974</v>
      </c>
      <c r="L401" s="40">
        <v>44826</v>
      </c>
    </row>
    <row r="402" spans="1:12" x14ac:dyDescent="0.25">
      <c r="A402" s="38">
        <f t="shared" si="1"/>
        <v>401</v>
      </c>
      <c r="B402" s="39" t="s">
        <v>957</v>
      </c>
      <c r="C402" s="37" t="s">
        <v>975</v>
      </c>
      <c r="D402" s="37" t="s">
        <v>765</v>
      </c>
      <c r="E402" s="37"/>
      <c r="F402" s="37"/>
      <c r="G402" s="37" t="s">
        <v>765</v>
      </c>
      <c r="H402" s="37" t="s">
        <v>235</v>
      </c>
      <c r="I402" s="37">
        <v>5</v>
      </c>
      <c r="J402" s="37"/>
      <c r="K402" s="37" t="s">
        <v>976</v>
      </c>
      <c r="L402" s="40">
        <v>44826</v>
      </c>
    </row>
    <row r="403" spans="1:12" x14ac:dyDescent="0.25">
      <c r="A403" s="38">
        <f t="shared" si="1"/>
        <v>402</v>
      </c>
      <c r="B403" s="39" t="s">
        <v>952</v>
      </c>
      <c r="C403" s="37" t="s">
        <v>421</v>
      </c>
      <c r="D403" s="37" t="s">
        <v>422</v>
      </c>
      <c r="E403" s="37"/>
      <c r="F403" s="37"/>
      <c r="G403" s="37" t="s">
        <v>422</v>
      </c>
      <c r="H403" s="37" t="s">
        <v>235</v>
      </c>
      <c r="I403" s="37">
        <v>9</v>
      </c>
      <c r="J403" s="37"/>
      <c r="K403" s="37" t="s">
        <v>974</v>
      </c>
      <c r="L403" s="40">
        <v>44826</v>
      </c>
    </row>
    <row r="404" spans="1:12" x14ac:dyDescent="0.25">
      <c r="A404" s="38">
        <f t="shared" si="1"/>
        <v>403</v>
      </c>
      <c r="B404" s="39" t="s">
        <v>952</v>
      </c>
      <c r="C404" s="37" t="s">
        <v>975</v>
      </c>
      <c r="D404" s="37" t="s">
        <v>765</v>
      </c>
      <c r="E404" s="37"/>
      <c r="F404" s="37"/>
      <c r="G404" s="37" t="s">
        <v>765</v>
      </c>
      <c r="H404" s="37" t="s">
        <v>235</v>
      </c>
      <c r="I404" s="37">
        <v>5</v>
      </c>
      <c r="J404" s="37"/>
      <c r="K404" s="37" t="s">
        <v>976</v>
      </c>
      <c r="L404" s="40">
        <v>44826</v>
      </c>
    </row>
    <row r="405" spans="1:12" x14ac:dyDescent="0.25">
      <c r="A405" s="38">
        <f t="shared" si="1"/>
        <v>404</v>
      </c>
      <c r="B405" s="39" t="s">
        <v>957</v>
      </c>
      <c r="C405" s="37" t="s">
        <v>977</v>
      </c>
      <c r="D405" s="37" t="s">
        <v>763</v>
      </c>
      <c r="E405" s="37"/>
      <c r="F405" s="37"/>
      <c r="G405" s="37" t="s">
        <v>763</v>
      </c>
      <c r="H405" s="37" t="s">
        <v>235</v>
      </c>
      <c r="I405" s="37">
        <v>1</v>
      </c>
      <c r="J405" s="37"/>
      <c r="K405" s="37" t="s">
        <v>32</v>
      </c>
      <c r="L405" s="40">
        <v>44826</v>
      </c>
    </row>
    <row r="406" spans="1:12" x14ac:dyDescent="0.25">
      <c r="A406" s="38">
        <f t="shared" si="1"/>
        <v>405</v>
      </c>
      <c r="B406" s="39" t="s">
        <v>957</v>
      </c>
      <c r="C406" s="37" t="s">
        <v>978</v>
      </c>
      <c r="D406" s="37" t="s">
        <v>979</v>
      </c>
      <c r="E406" s="37"/>
      <c r="F406" s="37"/>
      <c r="G406" s="37" t="s">
        <v>979</v>
      </c>
      <c r="H406" s="37" t="s">
        <v>235</v>
      </c>
      <c r="I406" s="37">
        <v>1</v>
      </c>
      <c r="J406" s="37"/>
      <c r="K406" s="37" t="s">
        <v>32</v>
      </c>
      <c r="L406" s="40">
        <v>44826</v>
      </c>
    </row>
    <row r="407" spans="1:12" x14ac:dyDescent="0.25">
      <c r="A407" s="38">
        <f t="shared" si="1"/>
        <v>406</v>
      </c>
      <c r="B407" s="39" t="s">
        <v>952</v>
      </c>
      <c r="C407" s="37" t="s">
        <v>977</v>
      </c>
      <c r="D407" s="37" t="s">
        <v>763</v>
      </c>
      <c r="E407" s="37"/>
      <c r="F407" s="37"/>
      <c r="G407" s="37" t="s">
        <v>763</v>
      </c>
      <c r="H407" s="37" t="s">
        <v>235</v>
      </c>
      <c r="I407" s="37">
        <v>1</v>
      </c>
      <c r="J407" s="37"/>
      <c r="K407" s="37" t="s">
        <v>32</v>
      </c>
      <c r="L407" s="40">
        <v>44826</v>
      </c>
    </row>
    <row r="408" spans="1:12" x14ac:dyDescent="0.25">
      <c r="A408" s="38">
        <f t="shared" si="1"/>
        <v>407</v>
      </c>
      <c r="B408" s="39" t="s">
        <v>952</v>
      </c>
      <c r="C408" s="37" t="s">
        <v>978</v>
      </c>
      <c r="D408" s="37" t="s">
        <v>979</v>
      </c>
      <c r="E408" s="37"/>
      <c r="F408" s="37"/>
      <c r="G408" s="37" t="s">
        <v>979</v>
      </c>
      <c r="H408" s="37" t="s">
        <v>612</v>
      </c>
      <c r="I408" s="37">
        <v>1</v>
      </c>
      <c r="J408" s="37"/>
      <c r="K408" s="37" t="s">
        <v>32</v>
      </c>
      <c r="L408" s="40">
        <v>44826</v>
      </c>
    </row>
    <row r="409" spans="1:12" x14ac:dyDescent="0.25">
      <c r="A409" s="38">
        <f t="shared" si="1"/>
        <v>408</v>
      </c>
      <c r="B409" s="39" t="s">
        <v>957</v>
      </c>
      <c r="C409" s="37" t="s">
        <v>980</v>
      </c>
      <c r="D409" s="37" t="s">
        <v>470</v>
      </c>
      <c r="E409" s="37"/>
      <c r="F409" s="37"/>
      <c r="G409" s="37" t="s">
        <v>470</v>
      </c>
      <c r="H409" s="37" t="s">
        <v>981</v>
      </c>
      <c r="I409" s="37">
        <v>30</v>
      </c>
      <c r="J409" s="37" t="s">
        <v>32</v>
      </c>
      <c r="K409" s="37" t="s">
        <v>32</v>
      </c>
      <c r="L409" s="40">
        <v>44825</v>
      </c>
    </row>
    <row r="410" spans="1:12" x14ac:dyDescent="0.25">
      <c r="A410" s="38">
        <f t="shared" si="1"/>
        <v>409</v>
      </c>
      <c r="B410" s="39" t="s">
        <v>952</v>
      </c>
      <c r="C410" s="37" t="s">
        <v>980</v>
      </c>
      <c r="D410" s="37" t="s">
        <v>470</v>
      </c>
      <c r="E410" s="37"/>
      <c r="F410" s="37"/>
      <c r="G410" s="37" t="s">
        <v>470</v>
      </c>
      <c r="H410" s="37" t="s">
        <v>981</v>
      </c>
      <c r="I410" s="37">
        <v>190</v>
      </c>
      <c r="J410" s="37" t="s">
        <v>32</v>
      </c>
      <c r="K410" s="37" t="s">
        <v>32</v>
      </c>
      <c r="L410" s="40">
        <v>44825</v>
      </c>
    </row>
    <row r="411" spans="1:12" x14ac:dyDescent="0.25">
      <c r="A411" s="38">
        <f t="shared" si="1"/>
        <v>410</v>
      </c>
      <c r="B411" s="39" t="s">
        <v>957</v>
      </c>
      <c r="C411" s="37" t="s">
        <v>982</v>
      </c>
      <c r="D411" s="37" t="s">
        <v>371</v>
      </c>
      <c r="E411" s="37"/>
      <c r="F411" s="37"/>
      <c r="G411" s="37" t="s">
        <v>371</v>
      </c>
      <c r="H411" s="37" t="s">
        <v>612</v>
      </c>
      <c r="I411" s="37">
        <v>1</v>
      </c>
      <c r="J411" s="37" t="s">
        <v>32</v>
      </c>
      <c r="K411" s="37" t="s">
        <v>32</v>
      </c>
      <c r="L411" s="40">
        <v>44825</v>
      </c>
    </row>
    <row r="412" spans="1:12" x14ac:dyDescent="0.25">
      <c r="A412" s="38">
        <f t="shared" si="1"/>
        <v>411</v>
      </c>
      <c r="B412" s="39" t="s">
        <v>957</v>
      </c>
      <c r="C412" s="37" t="s">
        <v>511</v>
      </c>
      <c r="D412" s="37" t="s">
        <v>761</v>
      </c>
      <c r="E412" s="37"/>
      <c r="F412" s="37"/>
      <c r="G412" s="37" t="s">
        <v>761</v>
      </c>
      <c r="H412" s="37" t="s">
        <v>612</v>
      </c>
      <c r="I412" s="37">
        <v>1</v>
      </c>
      <c r="J412" s="37"/>
      <c r="K412" s="37" t="s">
        <v>32</v>
      </c>
      <c r="L412" s="40">
        <v>44825</v>
      </c>
    </row>
    <row r="413" spans="1:12" x14ac:dyDescent="0.25">
      <c r="A413" s="38">
        <f t="shared" si="1"/>
        <v>412</v>
      </c>
      <c r="B413" s="39" t="s">
        <v>957</v>
      </c>
      <c r="C413" s="37" t="s">
        <v>328</v>
      </c>
      <c r="D413" s="37" t="s">
        <v>757</v>
      </c>
      <c r="E413" s="37"/>
      <c r="F413" s="37"/>
      <c r="G413" s="37" t="s">
        <v>757</v>
      </c>
      <c r="H413" s="37" t="s">
        <v>612</v>
      </c>
      <c r="I413" s="37">
        <v>1</v>
      </c>
      <c r="J413" s="37"/>
      <c r="K413" s="37" t="s">
        <v>32</v>
      </c>
      <c r="L413" s="40">
        <v>44825</v>
      </c>
    </row>
    <row r="414" spans="1:12" x14ac:dyDescent="0.25">
      <c r="A414" s="38">
        <f t="shared" si="1"/>
        <v>413</v>
      </c>
      <c r="B414" s="39" t="s">
        <v>957</v>
      </c>
      <c r="C414" s="37" t="s">
        <v>758</v>
      </c>
      <c r="D414" s="37" t="s">
        <v>759</v>
      </c>
      <c r="E414" s="37"/>
      <c r="F414" s="37"/>
      <c r="G414" s="37" t="s">
        <v>759</v>
      </c>
      <c r="H414" s="37" t="s">
        <v>612</v>
      </c>
      <c r="I414" s="37">
        <v>1</v>
      </c>
      <c r="J414" s="37"/>
      <c r="K414" s="37" t="s">
        <v>32</v>
      </c>
      <c r="L414" s="40">
        <v>44825</v>
      </c>
    </row>
    <row r="415" spans="1:12" x14ac:dyDescent="0.25">
      <c r="A415" s="38">
        <f t="shared" si="1"/>
        <v>414</v>
      </c>
      <c r="B415" s="39" t="s">
        <v>952</v>
      </c>
      <c r="C415" s="37" t="s">
        <v>983</v>
      </c>
      <c r="D415" s="37" t="s">
        <v>597</v>
      </c>
      <c r="E415" s="37"/>
      <c r="F415" s="37"/>
      <c r="G415" s="37" t="s">
        <v>597</v>
      </c>
      <c r="H415" s="37" t="s">
        <v>612</v>
      </c>
      <c r="I415" s="37">
        <v>16</v>
      </c>
      <c r="J415" s="37" t="s">
        <v>32</v>
      </c>
      <c r="K415" s="37" t="s">
        <v>32</v>
      </c>
      <c r="L415" s="40">
        <v>44825</v>
      </c>
    </row>
    <row r="416" spans="1:12" x14ac:dyDescent="0.25">
      <c r="A416" s="38">
        <f t="shared" si="1"/>
        <v>415</v>
      </c>
      <c r="B416" s="39" t="s">
        <v>957</v>
      </c>
      <c r="C416" s="37" t="s">
        <v>984</v>
      </c>
      <c r="D416" s="37" t="s">
        <v>454</v>
      </c>
      <c r="E416" s="37"/>
      <c r="F416" s="37"/>
      <c r="G416" s="37" t="s">
        <v>454</v>
      </c>
      <c r="H416" s="37" t="s">
        <v>981</v>
      </c>
      <c r="I416" s="37">
        <v>90</v>
      </c>
      <c r="J416" s="37" t="s">
        <v>32</v>
      </c>
      <c r="K416" s="37" t="s">
        <v>32</v>
      </c>
      <c r="L416" s="40">
        <v>44825</v>
      </c>
    </row>
    <row r="417" spans="1:12" x14ac:dyDescent="0.25">
      <c r="A417" s="38">
        <f t="shared" si="1"/>
        <v>416</v>
      </c>
      <c r="B417" s="39" t="s">
        <v>957</v>
      </c>
      <c r="C417" s="37" t="s">
        <v>985</v>
      </c>
      <c r="D417" s="37" t="s">
        <v>442</v>
      </c>
      <c r="E417" s="37"/>
      <c r="F417" s="37"/>
      <c r="G417" s="37" t="s">
        <v>442</v>
      </c>
      <c r="H417" s="37" t="s">
        <v>612</v>
      </c>
      <c r="I417" s="37">
        <v>8</v>
      </c>
      <c r="J417" s="37" t="s">
        <v>32</v>
      </c>
      <c r="K417" s="37" t="s">
        <v>32</v>
      </c>
      <c r="L417" s="40">
        <v>44825</v>
      </c>
    </row>
    <row r="418" spans="1:12" x14ac:dyDescent="0.25">
      <c r="A418" s="38">
        <f t="shared" si="1"/>
        <v>417</v>
      </c>
      <c r="B418" s="39" t="s">
        <v>957</v>
      </c>
      <c r="C418" s="37" t="s">
        <v>435</v>
      </c>
      <c r="D418" s="37" t="s">
        <v>436</v>
      </c>
      <c r="E418" s="37"/>
      <c r="F418" s="37"/>
      <c r="G418" s="37" t="s">
        <v>436</v>
      </c>
      <c r="H418" s="37" t="s">
        <v>612</v>
      </c>
      <c r="I418" s="37">
        <v>16</v>
      </c>
      <c r="J418" s="37" t="s">
        <v>32</v>
      </c>
      <c r="K418" s="37" t="s">
        <v>32</v>
      </c>
      <c r="L418" s="40">
        <v>44825</v>
      </c>
    </row>
    <row r="419" spans="1:12" x14ac:dyDescent="0.25">
      <c r="A419" s="38">
        <f t="shared" si="1"/>
        <v>418</v>
      </c>
      <c r="B419" s="39" t="s">
        <v>957</v>
      </c>
      <c r="C419" s="37" t="s">
        <v>986</v>
      </c>
      <c r="D419" s="37" t="s">
        <v>513</v>
      </c>
      <c r="E419" s="37"/>
      <c r="F419" s="37"/>
      <c r="G419" s="37" t="s">
        <v>513</v>
      </c>
      <c r="H419" s="37" t="s">
        <v>252</v>
      </c>
      <c r="I419" s="37">
        <v>2</v>
      </c>
      <c r="J419" s="37" t="s">
        <v>32</v>
      </c>
      <c r="K419" s="37" t="s">
        <v>32</v>
      </c>
      <c r="L419" s="40">
        <v>44825</v>
      </c>
    </row>
    <row r="420" spans="1:12" x14ac:dyDescent="0.25">
      <c r="A420" s="38">
        <f t="shared" si="1"/>
        <v>419</v>
      </c>
      <c r="B420" s="39" t="s">
        <v>957</v>
      </c>
      <c r="C420" s="37" t="s">
        <v>983</v>
      </c>
      <c r="D420" s="37" t="s">
        <v>597</v>
      </c>
      <c r="E420" s="37"/>
      <c r="F420" s="37"/>
      <c r="G420" s="37" t="s">
        <v>597</v>
      </c>
      <c r="H420" s="37" t="s">
        <v>612</v>
      </c>
      <c r="I420" s="37">
        <v>12</v>
      </c>
      <c r="J420" s="37" t="s">
        <v>32</v>
      </c>
      <c r="K420" s="37" t="s">
        <v>32</v>
      </c>
      <c r="L420" s="40">
        <v>44825</v>
      </c>
    </row>
    <row r="421" spans="1:12" x14ac:dyDescent="0.25">
      <c r="A421" s="38">
        <f t="shared" si="1"/>
        <v>420</v>
      </c>
      <c r="B421" s="39" t="s">
        <v>957</v>
      </c>
      <c r="C421" s="37" t="s">
        <v>753</v>
      </c>
      <c r="D421" s="37" t="s">
        <v>754</v>
      </c>
      <c r="E421" s="37"/>
      <c r="F421" s="37"/>
      <c r="G421" s="37" t="s">
        <v>754</v>
      </c>
      <c r="H421" s="37" t="s">
        <v>612</v>
      </c>
      <c r="I421" s="37">
        <v>2</v>
      </c>
      <c r="J421" s="37"/>
      <c r="K421" s="37" t="s">
        <v>32</v>
      </c>
      <c r="L421" s="40">
        <v>44825</v>
      </c>
    </row>
    <row r="422" spans="1:12" x14ac:dyDescent="0.25">
      <c r="A422" s="38">
        <f t="shared" si="1"/>
        <v>421</v>
      </c>
      <c r="B422" s="39" t="s">
        <v>957</v>
      </c>
      <c r="C422" s="37" t="s">
        <v>751</v>
      </c>
      <c r="D422" s="37" t="s">
        <v>752</v>
      </c>
      <c r="E422" s="37"/>
      <c r="F422" s="37"/>
      <c r="G422" s="37" t="s">
        <v>752</v>
      </c>
      <c r="H422" s="37" t="s">
        <v>612</v>
      </c>
      <c r="I422" s="37">
        <v>7</v>
      </c>
      <c r="J422" s="37"/>
      <c r="K422" s="37" t="s">
        <v>32</v>
      </c>
      <c r="L422" s="40">
        <v>44825</v>
      </c>
    </row>
    <row r="423" spans="1:12" x14ac:dyDescent="0.25">
      <c r="A423" s="38">
        <f t="shared" si="1"/>
        <v>422</v>
      </c>
      <c r="B423" s="39" t="s">
        <v>957</v>
      </c>
      <c r="C423" s="37" t="s">
        <v>987</v>
      </c>
      <c r="D423" s="37" t="s">
        <v>750</v>
      </c>
      <c r="E423" s="37"/>
      <c r="F423" s="37"/>
      <c r="G423" s="37" t="s">
        <v>750</v>
      </c>
      <c r="H423" s="37" t="s">
        <v>612</v>
      </c>
      <c r="I423" s="37">
        <v>5</v>
      </c>
      <c r="J423" s="37"/>
      <c r="K423" s="37" t="s">
        <v>32</v>
      </c>
      <c r="L423" s="40">
        <v>44825</v>
      </c>
    </row>
    <row r="424" spans="1:12" x14ac:dyDescent="0.25">
      <c r="A424" s="38">
        <f t="shared" si="1"/>
        <v>423</v>
      </c>
      <c r="B424" s="39" t="s">
        <v>957</v>
      </c>
      <c r="C424" s="37" t="s">
        <v>446</v>
      </c>
      <c r="D424" s="37" t="s">
        <v>447</v>
      </c>
      <c r="E424" s="37"/>
      <c r="F424" s="37"/>
      <c r="G424" s="37" t="s">
        <v>447</v>
      </c>
      <c r="H424" s="37" t="s">
        <v>988</v>
      </c>
      <c r="I424" s="37">
        <v>5</v>
      </c>
      <c r="J424" s="37"/>
      <c r="K424" s="37" t="s">
        <v>32</v>
      </c>
      <c r="L424" s="40">
        <v>44825</v>
      </c>
    </row>
    <row r="425" spans="1:12" x14ac:dyDescent="0.25">
      <c r="A425" s="38">
        <f t="shared" si="1"/>
        <v>424</v>
      </c>
      <c r="B425" s="39" t="s">
        <v>957</v>
      </c>
      <c r="C425" s="37" t="s">
        <v>662</v>
      </c>
      <c r="D425" s="37" t="s">
        <v>663</v>
      </c>
      <c r="E425" s="37"/>
      <c r="F425" s="37"/>
      <c r="G425" s="37" t="s">
        <v>663</v>
      </c>
      <c r="H425" s="37" t="s">
        <v>989</v>
      </c>
      <c r="I425" s="37">
        <v>20</v>
      </c>
      <c r="J425" s="37"/>
      <c r="K425" s="37" t="s">
        <v>32</v>
      </c>
      <c r="L425" s="40">
        <v>44825</v>
      </c>
    </row>
    <row r="426" spans="1:12" x14ac:dyDescent="0.25">
      <c r="A426" s="38">
        <f t="shared" si="1"/>
        <v>425</v>
      </c>
      <c r="B426" s="39" t="s">
        <v>957</v>
      </c>
      <c r="C426" s="37" t="s">
        <v>990</v>
      </c>
      <c r="D426" s="37" t="s">
        <v>745</v>
      </c>
      <c r="E426" s="37"/>
      <c r="F426" s="37"/>
      <c r="G426" s="37" t="s">
        <v>745</v>
      </c>
      <c r="H426" s="37" t="s">
        <v>612</v>
      </c>
      <c r="I426" s="37">
        <v>1</v>
      </c>
      <c r="J426" s="37"/>
      <c r="K426" s="37" t="s">
        <v>976</v>
      </c>
      <c r="L426" s="40">
        <v>44825</v>
      </c>
    </row>
    <row r="427" spans="1:12" x14ac:dyDescent="0.25">
      <c r="A427" s="38">
        <f t="shared" si="1"/>
        <v>426</v>
      </c>
      <c r="B427" s="39" t="s">
        <v>957</v>
      </c>
      <c r="C427" s="37" t="s">
        <v>991</v>
      </c>
      <c r="D427" s="37" t="s">
        <v>749</v>
      </c>
      <c r="E427" s="37"/>
      <c r="F427" s="37"/>
      <c r="G427" s="37" t="s">
        <v>749</v>
      </c>
      <c r="H427" s="37" t="s">
        <v>612</v>
      </c>
      <c r="I427" s="37">
        <v>5</v>
      </c>
      <c r="J427" s="37"/>
      <c r="K427" s="37" t="s">
        <v>976</v>
      </c>
      <c r="L427" s="40">
        <v>44825</v>
      </c>
    </row>
    <row r="428" spans="1:12" x14ac:dyDescent="0.25">
      <c r="A428" s="38">
        <f t="shared" si="1"/>
        <v>427</v>
      </c>
      <c r="B428" s="39" t="s">
        <v>957</v>
      </c>
      <c r="C428" s="37" t="s">
        <v>992</v>
      </c>
      <c r="D428" s="37" t="s">
        <v>747</v>
      </c>
      <c r="E428" s="37"/>
      <c r="F428" s="37"/>
      <c r="G428" s="37" t="s">
        <v>747</v>
      </c>
      <c r="H428" s="37" t="s">
        <v>989</v>
      </c>
      <c r="I428" s="37">
        <v>3</v>
      </c>
      <c r="J428" s="37"/>
      <c r="K428" s="37" t="s">
        <v>976</v>
      </c>
      <c r="L428" s="40">
        <v>44825</v>
      </c>
    </row>
    <row r="429" spans="1:12" x14ac:dyDescent="0.25">
      <c r="A429" s="38">
        <f t="shared" si="1"/>
        <v>428</v>
      </c>
      <c r="B429" s="39" t="s">
        <v>957</v>
      </c>
      <c r="C429" s="37" t="s">
        <v>993</v>
      </c>
      <c r="D429" s="37" t="s">
        <v>743</v>
      </c>
      <c r="E429" s="37"/>
      <c r="F429" s="37"/>
      <c r="G429" s="37" t="s">
        <v>743</v>
      </c>
      <c r="H429" s="37" t="s">
        <v>612</v>
      </c>
      <c r="I429" s="37">
        <v>10</v>
      </c>
      <c r="J429" s="37"/>
      <c r="K429" s="37" t="s">
        <v>976</v>
      </c>
      <c r="L429" s="40">
        <v>44825</v>
      </c>
    </row>
    <row r="430" spans="1:12" x14ac:dyDescent="0.25">
      <c r="A430" s="38">
        <f t="shared" si="1"/>
        <v>429</v>
      </c>
      <c r="B430" s="39" t="s">
        <v>957</v>
      </c>
      <c r="C430" s="37" t="s">
        <v>740</v>
      </c>
      <c r="D430" s="37" t="s">
        <v>741</v>
      </c>
      <c r="E430" s="37"/>
      <c r="F430" s="37"/>
      <c r="G430" s="37" t="s">
        <v>741</v>
      </c>
      <c r="H430" s="37" t="s">
        <v>612</v>
      </c>
      <c r="I430" s="37">
        <v>4</v>
      </c>
      <c r="J430" s="37"/>
      <c r="K430" s="37" t="s">
        <v>976</v>
      </c>
      <c r="L430" s="40">
        <v>44825</v>
      </c>
    </row>
    <row r="431" spans="1:12" x14ac:dyDescent="0.25">
      <c r="A431" s="38">
        <f t="shared" si="1"/>
        <v>430</v>
      </c>
      <c r="B431" s="39" t="s">
        <v>952</v>
      </c>
      <c r="C431" s="37" t="s">
        <v>446</v>
      </c>
      <c r="D431" s="37" t="s">
        <v>447</v>
      </c>
      <c r="E431" s="37"/>
      <c r="F431" s="37"/>
      <c r="G431" s="37" t="s">
        <v>447</v>
      </c>
      <c r="H431" s="37" t="s">
        <v>988</v>
      </c>
      <c r="I431" s="37">
        <v>5</v>
      </c>
      <c r="J431" s="37"/>
      <c r="K431" s="37" t="s">
        <v>32</v>
      </c>
      <c r="L431" s="40">
        <v>44825</v>
      </c>
    </row>
    <row r="432" spans="1:12" x14ac:dyDescent="0.25">
      <c r="A432" s="38">
        <f t="shared" si="1"/>
        <v>431</v>
      </c>
      <c r="B432" s="39" t="s">
        <v>952</v>
      </c>
      <c r="C432" s="37" t="s">
        <v>662</v>
      </c>
      <c r="D432" s="37" t="s">
        <v>663</v>
      </c>
      <c r="E432" s="37"/>
      <c r="F432" s="37"/>
      <c r="G432" s="37" t="s">
        <v>663</v>
      </c>
      <c r="H432" s="37" t="s">
        <v>989</v>
      </c>
      <c r="I432" s="37">
        <v>20</v>
      </c>
      <c r="J432" s="37"/>
      <c r="K432" s="37" t="s">
        <v>32</v>
      </c>
      <c r="L432" s="40">
        <v>44825</v>
      </c>
    </row>
    <row r="433" spans="1:12" x14ac:dyDescent="0.25">
      <c r="A433" s="38">
        <f t="shared" si="1"/>
        <v>432</v>
      </c>
      <c r="B433" s="39" t="s">
        <v>952</v>
      </c>
      <c r="C433" s="37" t="s">
        <v>991</v>
      </c>
      <c r="D433" s="37" t="s">
        <v>749</v>
      </c>
      <c r="E433" s="37"/>
      <c r="F433" s="37"/>
      <c r="G433" s="37" t="s">
        <v>749</v>
      </c>
      <c r="H433" s="37" t="s">
        <v>612</v>
      </c>
      <c r="I433" s="37">
        <v>5</v>
      </c>
      <c r="J433" s="37"/>
      <c r="K433" s="37" t="s">
        <v>976</v>
      </c>
      <c r="L433" s="40">
        <v>44825</v>
      </c>
    </row>
    <row r="434" spans="1:12" x14ac:dyDescent="0.25">
      <c r="A434" s="38">
        <f t="shared" si="1"/>
        <v>433</v>
      </c>
      <c r="B434" s="39" t="s">
        <v>952</v>
      </c>
      <c r="C434" s="37" t="s">
        <v>990</v>
      </c>
      <c r="D434" s="37" t="s">
        <v>745</v>
      </c>
      <c r="E434" s="37"/>
      <c r="F434" s="37"/>
      <c r="G434" s="37" t="s">
        <v>745</v>
      </c>
      <c r="H434" s="37" t="s">
        <v>612</v>
      </c>
      <c r="I434" s="37">
        <v>1</v>
      </c>
      <c r="J434" s="37"/>
      <c r="K434" s="37" t="s">
        <v>976</v>
      </c>
      <c r="L434" s="40">
        <v>44825</v>
      </c>
    </row>
    <row r="435" spans="1:12" x14ac:dyDescent="0.25">
      <c r="A435" s="38">
        <f t="shared" si="1"/>
        <v>434</v>
      </c>
      <c r="B435" s="39" t="s">
        <v>952</v>
      </c>
      <c r="C435" s="37" t="s">
        <v>993</v>
      </c>
      <c r="D435" s="37" t="s">
        <v>743</v>
      </c>
      <c r="E435" s="37"/>
      <c r="F435" s="37"/>
      <c r="G435" s="37" t="s">
        <v>743</v>
      </c>
      <c r="H435" s="37" t="s">
        <v>612</v>
      </c>
      <c r="I435" s="37">
        <v>10</v>
      </c>
      <c r="J435" s="37"/>
      <c r="K435" s="37" t="s">
        <v>976</v>
      </c>
      <c r="L435" s="40">
        <v>44825</v>
      </c>
    </row>
    <row r="436" spans="1:12" x14ac:dyDescent="0.25">
      <c r="A436" s="38">
        <f t="shared" si="1"/>
        <v>435</v>
      </c>
      <c r="B436" s="39" t="s">
        <v>952</v>
      </c>
      <c r="C436" s="37" t="s">
        <v>740</v>
      </c>
      <c r="D436" s="37" t="s">
        <v>741</v>
      </c>
      <c r="E436" s="37"/>
      <c r="F436" s="37"/>
      <c r="G436" s="37" t="s">
        <v>741</v>
      </c>
      <c r="H436" s="37" t="s">
        <v>612</v>
      </c>
      <c r="I436" s="37">
        <v>4</v>
      </c>
      <c r="J436" s="37"/>
      <c r="K436" s="37" t="s">
        <v>976</v>
      </c>
      <c r="L436" s="40">
        <v>44825</v>
      </c>
    </row>
    <row r="437" spans="1:12" x14ac:dyDescent="0.25">
      <c r="A437" s="38">
        <f t="shared" si="1"/>
        <v>436</v>
      </c>
      <c r="B437" s="39" t="s">
        <v>957</v>
      </c>
      <c r="C437" s="37" t="s">
        <v>948</v>
      </c>
      <c r="D437" s="37" t="s">
        <v>424</v>
      </c>
      <c r="E437" s="37"/>
      <c r="F437" s="37"/>
      <c r="G437" s="37" t="s">
        <v>424</v>
      </c>
      <c r="H437" s="37" t="s">
        <v>612</v>
      </c>
      <c r="I437" s="37">
        <v>11</v>
      </c>
      <c r="J437" s="37" t="s">
        <v>32</v>
      </c>
      <c r="K437" s="37" t="s">
        <v>32</v>
      </c>
      <c r="L437" s="40">
        <v>44825</v>
      </c>
    </row>
    <row r="438" spans="1:12" x14ac:dyDescent="0.25">
      <c r="A438" s="38">
        <f t="shared" si="1"/>
        <v>437</v>
      </c>
      <c r="B438" s="39" t="s">
        <v>957</v>
      </c>
      <c r="C438" s="37" t="s">
        <v>994</v>
      </c>
      <c r="D438" s="37" t="s">
        <v>622</v>
      </c>
      <c r="E438" s="37"/>
      <c r="F438" s="37"/>
      <c r="G438" s="37" t="s">
        <v>622</v>
      </c>
      <c r="H438" s="37" t="s">
        <v>612</v>
      </c>
      <c r="I438" s="37">
        <v>4</v>
      </c>
      <c r="J438" s="37" t="s">
        <v>32</v>
      </c>
      <c r="K438" s="37" t="s">
        <v>32</v>
      </c>
      <c r="L438" s="40">
        <v>44824</v>
      </c>
    </row>
    <row r="439" spans="1:12" x14ac:dyDescent="0.25">
      <c r="A439" s="38">
        <f t="shared" si="1"/>
        <v>438</v>
      </c>
      <c r="B439" s="39" t="s">
        <v>957</v>
      </c>
      <c r="C439" s="37" t="s">
        <v>995</v>
      </c>
      <c r="D439" s="37" t="s">
        <v>737</v>
      </c>
      <c r="E439" s="37"/>
      <c r="F439" s="37"/>
      <c r="G439" s="37" t="s">
        <v>737</v>
      </c>
      <c r="H439" s="37" t="s">
        <v>988</v>
      </c>
      <c r="I439" s="37">
        <v>15</v>
      </c>
      <c r="J439" s="37" t="s">
        <v>32</v>
      </c>
      <c r="K439" s="37" t="s">
        <v>32</v>
      </c>
      <c r="L439" s="40">
        <v>44824</v>
      </c>
    </row>
    <row r="440" spans="1:12" x14ac:dyDescent="0.25">
      <c r="A440" s="38">
        <f t="shared" si="1"/>
        <v>439</v>
      </c>
      <c r="B440" s="39" t="s">
        <v>957</v>
      </c>
      <c r="C440" s="37" t="s">
        <v>818</v>
      </c>
      <c r="D440" s="37" t="s">
        <v>426</v>
      </c>
      <c r="E440" s="37"/>
      <c r="F440" s="37"/>
      <c r="G440" s="37" t="s">
        <v>426</v>
      </c>
      <c r="H440" s="37" t="s">
        <v>612</v>
      </c>
      <c r="I440" s="37">
        <v>1</v>
      </c>
      <c r="J440" s="37" t="s">
        <v>32</v>
      </c>
      <c r="K440" s="37" t="s">
        <v>32</v>
      </c>
      <c r="L440" s="40">
        <v>44824</v>
      </c>
    </row>
    <row r="441" spans="1:12" x14ac:dyDescent="0.25">
      <c r="A441" s="38">
        <f t="shared" si="1"/>
        <v>440</v>
      </c>
      <c r="B441" s="39" t="s">
        <v>957</v>
      </c>
      <c r="C441" s="37" t="s">
        <v>818</v>
      </c>
      <c r="D441" s="37" t="s">
        <v>426</v>
      </c>
      <c r="E441" s="37"/>
      <c r="F441" s="37"/>
      <c r="G441" s="37" t="s">
        <v>426</v>
      </c>
      <c r="H441" s="37" t="s">
        <v>612</v>
      </c>
      <c r="I441" s="37">
        <v>1</v>
      </c>
      <c r="J441" s="37" t="s">
        <v>32</v>
      </c>
      <c r="K441" s="37" t="s">
        <v>32</v>
      </c>
      <c r="L441" s="40">
        <v>44824</v>
      </c>
    </row>
    <row r="442" spans="1:12" x14ac:dyDescent="0.25">
      <c r="A442" s="38">
        <f t="shared" si="1"/>
        <v>441</v>
      </c>
      <c r="B442" s="39" t="s">
        <v>957</v>
      </c>
      <c r="C442" s="37" t="s">
        <v>818</v>
      </c>
      <c r="D442" s="37" t="s">
        <v>426</v>
      </c>
      <c r="E442" s="37"/>
      <c r="F442" s="37"/>
      <c r="G442" s="37" t="s">
        <v>426</v>
      </c>
      <c r="H442" s="37" t="s">
        <v>235</v>
      </c>
      <c r="I442" s="37">
        <v>4</v>
      </c>
      <c r="J442" s="37" t="s">
        <v>32</v>
      </c>
      <c r="K442" s="37" t="s">
        <v>32</v>
      </c>
      <c r="L442" s="40">
        <v>44823</v>
      </c>
    </row>
    <row r="443" spans="1:12" x14ac:dyDescent="0.25">
      <c r="A443" s="38">
        <f t="shared" si="1"/>
        <v>442</v>
      </c>
      <c r="B443" s="39" t="s">
        <v>957</v>
      </c>
      <c r="C443" s="37" t="s">
        <v>640</v>
      </c>
      <c r="D443" s="37" t="s">
        <v>643</v>
      </c>
      <c r="E443" s="37"/>
      <c r="F443" s="37"/>
      <c r="G443" s="37" t="s">
        <v>643</v>
      </c>
      <c r="H443" s="37" t="s">
        <v>235</v>
      </c>
      <c r="I443" s="37">
        <v>3</v>
      </c>
      <c r="J443" s="37" t="s">
        <v>32</v>
      </c>
      <c r="K443" s="37" t="s">
        <v>32</v>
      </c>
      <c r="L443" s="40">
        <v>44823</v>
      </c>
    </row>
    <row r="444" spans="1:12" x14ac:dyDescent="0.25">
      <c r="A444" s="38">
        <f t="shared" si="1"/>
        <v>443</v>
      </c>
      <c r="B444" s="39" t="s">
        <v>957</v>
      </c>
      <c r="C444" s="37" t="s">
        <v>662</v>
      </c>
      <c r="D444" s="37" t="s">
        <v>663</v>
      </c>
      <c r="E444" s="37"/>
      <c r="F444" s="37"/>
      <c r="G444" s="37" t="s">
        <v>663</v>
      </c>
      <c r="H444" s="37" t="s">
        <v>989</v>
      </c>
      <c r="I444" s="37">
        <v>5</v>
      </c>
      <c r="J444" s="37"/>
      <c r="K444" s="37" t="s">
        <v>32</v>
      </c>
      <c r="L444" s="40">
        <v>44823</v>
      </c>
    </row>
    <row r="445" spans="1:12" x14ac:dyDescent="0.25">
      <c r="A445" s="38">
        <f t="shared" si="1"/>
        <v>444</v>
      </c>
      <c r="B445" s="39" t="s">
        <v>957</v>
      </c>
      <c r="C445" s="37" t="s">
        <v>446</v>
      </c>
      <c r="D445" s="37" t="s">
        <v>447</v>
      </c>
      <c r="E445" s="37"/>
      <c r="F445" s="37"/>
      <c r="G445" s="37" t="s">
        <v>447</v>
      </c>
      <c r="H445" s="37" t="s">
        <v>988</v>
      </c>
      <c r="I445" s="37">
        <v>5</v>
      </c>
      <c r="J445" s="37"/>
      <c r="K445" s="37" t="s">
        <v>32</v>
      </c>
      <c r="L445" s="40">
        <v>44823</v>
      </c>
    </row>
    <row r="446" spans="1:12" x14ac:dyDescent="0.25">
      <c r="A446" s="38">
        <f t="shared" ref="A446:A509" si="2">ROW(A445)</f>
        <v>445</v>
      </c>
      <c r="B446" s="39" t="s">
        <v>952</v>
      </c>
      <c r="C446" s="37" t="s">
        <v>662</v>
      </c>
      <c r="D446" s="37" t="s">
        <v>663</v>
      </c>
      <c r="E446" s="37"/>
      <c r="F446" s="37"/>
      <c r="G446" s="37" t="s">
        <v>663</v>
      </c>
      <c r="H446" s="37" t="s">
        <v>989</v>
      </c>
      <c r="I446" s="37">
        <v>5</v>
      </c>
      <c r="J446" s="37"/>
      <c r="K446" s="37" t="s">
        <v>32</v>
      </c>
      <c r="L446" s="40">
        <v>44823</v>
      </c>
    </row>
    <row r="447" spans="1:12" x14ac:dyDescent="0.25">
      <c r="A447" s="38">
        <f t="shared" si="2"/>
        <v>446</v>
      </c>
      <c r="B447" s="39" t="s">
        <v>952</v>
      </c>
      <c r="C447" s="37" t="s">
        <v>818</v>
      </c>
      <c r="D447" s="37" t="s">
        <v>426</v>
      </c>
      <c r="E447" s="37"/>
      <c r="F447" s="37"/>
      <c r="G447" s="37" t="s">
        <v>426</v>
      </c>
      <c r="H447" s="37" t="s">
        <v>235</v>
      </c>
      <c r="I447" s="37">
        <v>4</v>
      </c>
      <c r="J447" s="37" t="s">
        <v>32</v>
      </c>
      <c r="K447" s="37" t="s">
        <v>32</v>
      </c>
      <c r="L447" s="40">
        <v>44823</v>
      </c>
    </row>
    <row r="448" spans="1:12" x14ac:dyDescent="0.25">
      <c r="A448" s="38">
        <f t="shared" si="2"/>
        <v>447</v>
      </c>
      <c r="B448" s="39" t="s">
        <v>952</v>
      </c>
      <c r="C448" s="37" t="s">
        <v>640</v>
      </c>
      <c r="D448" s="37" t="s">
        <v>643</v>
      </c>
      <c r="E448" s="37"/>
      <c r="F448" s="37"/>
      <c r="G448" s="37" t="s">
        <v>643</v>
      </c>
      <c r="H448" s="37" t="s">
        <v>612</v>
      </c>
      <c r="I448" s="37">
        <v>3</v>
      </c>
      <c r="J448" s="37" t="s">
        <v>32</v>
      </c>
      <c r="K448" s="37" t="s">
        <v>32</v>
      </c>
      <c r="L448" s="40">
        <v>44823</v>
      </c>
    </row>
    <row r="449" spans="1:12" x14ac:dyDescent="0.25">
      <c r="A449" s="38">
        <f t="shared" si="2"/>
        <v>448</v>
      </c>
      <c r="B449" s="39" t="s">
        <v>952</v>
      </c>
      <c r="C449" s="37" t="s">
        <v>446</v>
      </c>
      <c r="D449" s="37" t="s">
        <v>447</v>
      </c>
      <c r="E449" s="37"/>
      <c r="F449" s="37"/>
      <c r="G449" s="37" t="s">
        <v>447</v>
      </c>
      <c r="H449" s="37" t="s">
        <v>988</v>
      </c>
      <c r="I449" s="37">
        <v>5</v>
      </c>
      <c r="J449" s="37"/>
      <c r="K449" s="37" t="s">
        <v>32</v>
      </c>
      <c r="L449" s="40">
        <v>44823</v>
      </c>
    </row>
    <row r="450" spans="1:12" x14ac:dyDescent="0.25">
      <c r="A450" s="38">
        <f t="shared" si="2"/>
        <v>449</v>
      </c>
      <c r="B450" s="39" t="s">
        <v>957</v>
      </c>
      <c r="C450" s="37" t="s">
        <v>640</v>
      </c>
      <c r="D450" s="37" t="s">
        <v>644</v>
      </c>
      <c r="E450" s="37"/>
      <c r="F450" s="37"/>
      <c r="G450" s="37" t="s">
        <v>644</v>
      </c>
      <c r="H450" s="37" t="s">
        <v>612</v>
      </c>
      <c r="I450" s="37">
        <v>1</v>
      </c>
      <c r="J450" s="37" t="s">
        <v>32</v>
      </c>
      <c r="K450" s="37" t="s">
        <v>32</v>
      </c>
      <c r="L450" s="40">
        <v>44823</v>
      </c>
    </row>
    <row r="451" spans="1:12" x14ac:dyDescent="0.25">
      <c r="A451" s="38">
        <f t="shared" si="2"/>
        <v>450</v>
      </c>
      <c r="B451" s="39" t="s">
        <v>957</v>
      </c>
      <c r="C451" s="37" t="s">
        <v>489</v>
      </c>
      <c r="D451" s="37" t="s">
        <v>490</v>
      </c>
      <c r="E451" s="37"/>
      <c r="F451" s="37"/>
      <c r="G451" s="37" t="s">
        <v>490</v>
      </c>
      <c r="H451" s="37" t="s">
        <v>612</v>
      </c>
      <c r="I451" s="37">
        <v>2</v>
      </c>
      <c r="J451" s="37" t="s">
        <v>996</v>
      </c>
      <c r="K451" s="37" t="s">
        <v>32</v>
      </c>
      <c r="L451" s="40">
        <v>44823</v>
      </c>
    </row>
    <row r="452" spans="1:12" x14ac:dyDescent="0.25">
      <c r="A452" s="38">
        <f t="shared" si="2"/>
        <v>451</v>
      </c>
      <c r="B452" s="39" t="s">
        <v>957</v>
      </c>
      <c r="C452" s="37" t="s">
        <v>997</v>
      </c>
      <c r="D452" s="37" t="s">
        <v>400</v>
      </c>
      <c r="E452" s="37"/>
      <c r="F452" s="37"/>
      <c r="G452" s="37" t="s">
        <v>400</v>
      </c>
      <c r="H452" s="37" t="s">
        <v>612</v>
      </c>
      <c r="I452" s="37">
        <v>6</v>
      </c>
      <c r="J452" s="37" t="s">
        <v>996</v>
      </c>
      <c r="K452" s="37" t="s">
        <v>32</v>
      </c>
      <c r="L452" s="40">
        <v>44823</v>
      </c>
    </row>
    <row r="453" spans="1:12" x14ac:dyDescent="0.25">
      <c r="A453" s="38">
        <f t="shared" si="2"/>
        <v>452</v>
      </c>
      <c r="B453" s="39" t="s">
        <v>957</v>
      </c>
      <c r="C453" s="37" t="s">
        <v>998</v>
      </c>
      <c r="D453" s="37" t="s">
        <v>272</v>
      </c>
      <c r="E453" s="37"/>
      <c r="F453" s="37"/>
      <c r="G453" s="37" t="s">
        <v>999</v>
      </c>
      <c r="H453" s="37" t="s">
        <v>612</v>
      </c>
      <c r="I453" s="37">
        <v>4</v>
      </c>
      <c r="J453" s="37" t="s">
        <v>996</v>
      </c>
      <c r="K453" s="37" t="s">
        <v>32</v>
      </c>
      <c r="L453" s="40">
        <v>44823</v>
      </c>
    </row>
    <row r="454" spans="1:12" x14ac:dyDescent="0.25">
      <c r="A454" s="38">
        <f t="shared" si="2"/>
        <v>453</v>
      </c>
      <c r="B454" s="39" t="s">
        <v>957</v>
      </c>
      <c r="C454" s="37" t="s">
        <v>1000</v>
      </c>
      <c r="D454" s="37" t="s">
        <v>683</v>
      </c>
      <c r="E454" s="37"/>
      <c r="F454" s="37"/>
      <c r="G454" s="37" t="s">
        <v>683</v>
      </c>
      <c r="H454" s="37" t="s">
        <v>612</v>
      </c>
      <c r="I454" s="37">
        <v>1</v>
      </c>
      <c r="J454" s="37"/>
      <c r="K454" s="37" t="s">
        <v>32</v>
      </c>
      <c r="L454" s="40">
        <v>44823</v>
      </c>
    </row>
    <row r="455" spans="1:12" x14ac:dyDescent="0.25">
      <c r="A455" s="38">
        <f t="shared" si="2"/>
        <v>454</v>
      </c>
      <c r="B455" s="39" t="s">
        <v>957</v>
      </c>
      <c r="C455" s="37" t="s">
        <v>533</v>
      </c>
      <c r="D455" s="37" t="s">
        <v>534</v>
      </c>
      <c r="E455" s="37"/>
      <c r="F455" s="37"/>
      <c r="G455" s="37" t="s">
        <v>534</v>
      </c>
      <c r="H455" s="37" t="s">
        <v>612</v>
      </c>
      <c r="I455" s="37">
        <v>3</v>
      </c>
      <c r="J455" s="37" t="s">
        <v>32</v>
      </c>
      <c r="K455" s="37" t="s">
        <v>32</v>
      </c>
      <c r="L455" s="40">
        <v>44823</v>
      </c>
    </row>
    <row r="456" spans="1:12" x14ac:dyDescent="0.25">
      <c r="A456" s="38">
        <f t="shared" si="2"/>
        <v>455</v>
      </c>
      <c r="B456" s="39" t="s">
        <v>957</v>
      </c>
      <c r="C456" s="37" t="s">
        <v>1001</v>
      </c>
      <c r="D456" s="37" t="s">
        <v>238</v>
      </c>
      <c r="E456" s="37"/>
      <c r="F456" s="37"/>
      <c r="G456" s="37" t="s">
        <v>238</v>
      </c>
      <c r="H456" s="37" t="s">
        <v>612</v>
      </c>
      <c r="I456" s="37">
        <v>1</v>
      </c>
      <c r="J456" s="37" t="s">
        <v>32</v>
      </c>
      <c r="K456" s="37" t="s">
        <v>32</v>
      </c>
      <c r="L456" s="40">
        <v>44823</v>
      </c>
    </row>
    <row r="457" spans="1:12" x14ac:dyDescent="0.25">
      <c r="A457" s="38">
        <f t="shared" si="2"/>
        <v>456</v>
      </c>
      <c r="B457" s="39" t="s">
        <v>957</v>
      </c>
      <c r="C457" s="37" t="s">
        <v>1002</v>
      </c>
      <c r="D457" s="37" t="s">
        <v>599</v>
      </c>
      <c r="E457" s="37"/>
      <c r="F457" s="37"/>
      <c r="G457" s="37" t="s">
        <v>599</v>
      </c>
      <c r="H457" s="37" t="s">
        <v>612</v>
      </c>
      <c r="I457" s="37">
        <v>1</v>
      </c>
      <c r="J457" s="37" t="s">
        <v>32</v>
      </c>
      <c r="K457" s="37" t="s">
        <v>32</v>
      </c>
      <c r="L457" s="40">
        <v>44823</v>
      </c>
    </row>
    <row r="458" spans="1:12" x14ac:dyDescent="0.25">
      <c r="A458" s="38">
        <f t="shared" si="2"/>
        <v>457</v>
      </c>
      <c r="B458" s="39" t="s">
        <v>957</v>
      </c>
      <c r="C458" s="37" t="s">
        <v>1003</v>
      </c>
      <c r="D458" s="37" t="s">
        <v>581</v>
      </c>
      <c r="E458" s="37"/>
      <c r="F458" s="37"/>
      <c r="G458" s="37" t="s">
        <v>581</v>
      </c>
      <c r="H458" s="37" t="s">
        <v>612</v>
      </c>
      <c r="I458" s="37">
        <v>1</v>
      </c>
      <c r="J458" s="37" t="s">
        <v>32</v>
      </c>
      <c r="K458" s="37" t="s">
        <v>32</v>
      </c>
      <c r="L458" s="40">
        <v>44823</v>
      </c>
    </row>
    <row r="459" spans="1:12" x14ac:dyDescent="0.25">
      <c r="A459" s="38">
        <f t="shared" si="2"/>
        <v>458</v>
      </c>
      <c r="B459" s="39" t="s">
        <v>952</v>
      </c>
      <c r="C459" s="37" t="s">
        <v>997</v>
      </c>
      <c r="D459" s="37" t="s">
        <v>400</v>
      </c>
      <c r="E459" s="37"/>
      <c r="F459" s="37"/>
      <c r="G459" s="37" t="s">
        <v>400</v>
      </c>
      <c r="H459" s="37" t="s">
        <v>612</v>
      </c>
      <c r="I459" s="37">
        <v>6</v>
      </c>
      <c r="J459" s="37" t="s">
        <v>996</v>
      </c>
      <c r="K459" s="37" t="s">
        <v>32</v>
      </c>
      <c r="L459" s="40">
        <v>44823</v>
      </c>
    </row>
    <row r="460" spans="1:12" x14ac:dyDescent="0.25">
      <c r="A460" s="38">
        <f t="shared" si="2"/>
        <v>459</v>
      </c>
      <c r="B460" s="39" t="s">
        <v>952</v>
      </c>
      <c r="C460" s="37" t="s">
        <v>489</v>
      </c>
      <c r="D460" s="37" t="s">
        <v>490</v>
      </c>
      <c r="E460" s="37"/>
      <c r="F460" s="37"/>
      <c r="G460" s="37" t="s">
        <v>490</v>
      </c>
      <c r="H460" s="37" t="s">
        <v>612</v>
      </c>
      <c r="I460" s="37">
        <v>2</v>
      </c>
      <c r="J460" s="37" t="s">
        <v>996</v>
      </c>
      <c r="K460" s="37" t="s">
        <v>32</v>
      </c>
      <c r="L460" s="40">
        <v>44823</v>
      </c>
    </row>
    <row r="461" spans="1:12" x14ac:dyDescent="0.25">
      <c r="A461" s="38">
        <f t="shared" si="2"/>
        <v>460</v>
      </c>
      <c r="B461" s="39" t="s">
        <v>952</v>
      </c>
      <c r="C461" s="37" t="s">
        <v>998</v>
      </c>
      <c r="D461" s="37" t="s">
        <v>272</v>
      </c>
      <c r="E461" s="37"/>
      <c r="F461" s="37"/>
      <c r="G461" s="37" t="s">
        <v>999</v>
      </c>
      <c r="H461" s="37" t="s">
        <v>612</v>
      </c>
      <c r="I461" s="37">
        <v>4</v>
      </c>
      <c r="J461" s="37" t="s">
        <v>996</v>
      </c>
      <c r="K461" s="37" t="s">
        <v>32</v>
      </c>
      <c r="L461" s="40">
        <v>44823</v>
      </c>
    </row>
    <row r="462" spans="1:12" x14ac:dyDescent="0.25">
      <c r="A462" s="38">
        <f t="shared" si="2"/>
        <v>461</v>
      </c>
      <c r="B462" s="39" t="s">
        <v>952</v>
      </c>
      <c r="C462" s="37" t="s">
        <v>1000</v>
      </c>
      <c r="D462" s="37" t="s">
        <v>683</v>
      </c>
      <c r="E462" s="37"/>
      <c r="F462" s="37"/>
      <c r="G462" s="37" t="s">
        <v>683</v>
      </c>
      <c r="H462" s="37" t="s">
        <v>612</v>
      </c>
      <c r="I462" s="37">
        <v>1</v>
      </c>
      <c r="J462" s="37"/>
      <c r="K462" s="37" t="s">
        <v>32</v>
      </c>
      <c r="L462" s="40">
        <v>44823</v>
      </c>
    </row>
    <row r="463" spans="1:12" x14ac:dyDescent="0.25">
      <c r="A463" s="38">
        <f t="shared" si="2"/>
        <v>462</v>
      </c>
      <c r="B463" s="39" t="s">
        <v>952</v>
      </c>
      <c r="C463" s="37" t="s">
        <v>533</v>
      </c>
      <c r="D463" s="37" t="s">
        <v>534</v>
      </c>
      <c r="E463" s="37"/>
      <c r="F463" s="37"/>
      <c r="G463" s="37" t="s">
        <v>534</v>
      </c>
      <c r="H463" s="37" t="s">
        <v>612</v>
      </c>
      <c r="I463" s="37">
        <v>3</v>
      </c>
      <c r="J463" s="37" t="s">
        <v>32</v>
      </c>
      <c r="K463" s="37" t="s">
        <v>32</v>
      </c>
      <c r="L463" s="40">
        <v>44823</v>
      </c>
    </row>
    <row r="464" spans="1:12" x14ac:dyDescent="0.25">
      <c r="A464" s="38">
        <f t="shared" si="2"/>
        <v>463</v>
      </c>
      <c r="B464" s="39" t="s">
        <v>952</v>
      </c>
      <c r="C464" s="37" t="s">
        <v>1001</v>
      </c>
      <c r="D464" s="37" t="s">
        <v>238</v>
      </c>
      <c r="E464" s="37"/>
      <c r="F464" s="37"/>
      <c r="G464" s="37" t="s">
        <v>238</v>
      </c>
      <c r="H464" s="37" t="s">
        <v>612</v>
      </c>
      <c r="I464" s="37">
        <v>1</v>
      </c>
      <c r="J464" s="37" t="s">
        <v>32</v>
      </c>
      <c r="K464" s="37" t="s">
        <v>32</v>
      </c>
      <c r="L464" s="40">
        <v>44823</v>
      </c>
    </row>
    <row r="465" spans="1:12" x14ac:dyDescent="0.25">
      <c r="A465" s="38">
        <f t="shared" si="2"/>
        <v>464</v>
      </c>
      <c r="B465" s="39" t="s">
        <v>952</v>
      </c>
      <c r="C465" s="37" t="s">
        <v>1002</v>
      </c>
      <c r="D465" s="37" t="s">
        <v>599</v>
      </c>
      <c r="E465" s="37"/>
      <c r="F465" s="37"/>
      <c r="G465" s="37" t="s">
        <v>599</v>
      </c>
      <c r="H465" s="37" t="s">
        <v>612</v>
      </c>
      <c r="I465" s="37">
        <v>1</v>
      </c>
      <c r="J465" s="37" t="s">
        <v>32</v>
      </c>
      <c r="K465" s="37" t="s">
        <v>32</v>
      </c>
      <c r="L465" s="40">
        <v>44823</v>
      </c>
    </row>
    <row r="466" spans="1:12" x14ac:dyDescent="0.25">
      <c r="A466" s="38">
        <f t="shared" si="2"/>
        <v>465</v>
      </c>
      <c r="B466" s="39" t="s">
        <v>952</v>
      </c>
      <c r="C466" s="37" t="s">
        <v>1003</v>
      </c>
      <c r="D466" s="37" t="s">
        <v>581</v>
      </c>
      <c r="E466" s="37"/>
      <c r="F466" s="37"/>
      <c r="G466" s="37" t="s">
        <v>581</v>
      </c>
      <c r="H466" s="37" t="s">
        <v>612</v>
      </c>
      <c r="I466" s="37">
        <v>1</v>
      </c>
      <c r="J466" s="37" t="s">
        <v>32</v>
      </c>
      <c r="K466" s="37" t="s">
        <v>32</v>
      </c>
      <c r="L466" s="40">
        <v>44823</v>
      </c>
    </row>
    <row r="467" spans="1:12" x14ac:dyDescent="0.25">
      <c r="A467" s="38">
        <f t="shared" si="2"/>
        <v>466</v>
      </c>
      <c r="B467" s="39" t="s">
        <v>957</v>
      </c>
      <c r="C467" s="37" t="s">
        <v>1004</v>
      </c>
      <c r="D467" s="37" t="s">
        <v>665</v>
      </c>
      <c r="E467" s="37"/>
      <c r="F467" s="37"/>
      <c r="G467" s="37" t="s">
        <v>665</v>
      </c>
      <c r="H467" s="37" t="s">
        <v>989</v>
      </c>
      <c r="I467" s="37">
        <v>1</v>
      </c>
      <c r="J467" s="37"/>
      <c r="K467" s="37" t="s">
        <v>32</v>
      </c>
      <c r="L467" s="40">
        <v>44823</v>
      </c>
    </row>
    <row r="468" spans="1:12" x14ac:dyDescent="0.25">
      <c r="A468" s="38">
        <f t="shared" si="2"/>
        <v>467</v>
      </c>
      <c r="B468" s="39" t="s">
        <v>957</v>
      </c>
      <c r="C468" s="37" t="s">
        <v>1005</v>
      </c>
      <c r="D468" s="37" t="s">
        <v>466</v>
      </c>
      <c r="E468" s="37"/>
      <c r="F468" s="37"/>
      <c r="G468" s="37" t="s">
        <v>466</v>
      </c>
      <c r="H468" s="37" t="s">
        <v>612</v>
      </c>
      <c r="I468" s="37">
        <v>1</v>
      </c>
      <c r="J468" s="37" t="s">
        <v>32</v>
      </c>
      <c r="K468" s="37" t="s">
        <v>32</v>
      </c>
      <c r="L468" s="40">
        <v>44823</v>
      </c>
    </row>
    <row r="469" spans="1:12" x14ac:dyDescent="0.25">
      <c r="A469" s="38">
        <f t="shared" si="2"/>
        <v>468</v>
      </c>
      <c r="B469" s="39" t="s">
        <v>957</v>
      </c>
      <c r="C469" s="37" t="s">
        <v>1006</v>
      </c>
      <c r="D469" s="37" t="s">
        <v>568</v>
      </c>
      <c r="E469" s="37"/>
      <c r="F469" s="37"/>
      <c r="G469" s="37" t="s">
        <v>568</v>
      </c>
      <c r="H469" s="37" t="s">
        <v>989</v>
      </c>
      <c r="I469" s="37">
        <v>1</v>
      </c>
      <c r="J469" s="37"/>
      <c r="K469" s="37" t="s">
        <v>32</v>
      </c>
      <c r="L469" s="40">
        <v>44823</v>
      </c>
    </row>
    <row r="470" spans="1:12" x14ac:dyDescent="0.25">
      <c r="A470" s="38">
        <f t="shared" si="2"/>
        <v>469</v>
      </c>
      <c r="B470" s="39" t="s">
        <v>952</v>
      </c>
      <c r="C470" s="37" t="s">
        <v>1005</v>
      </c>
      <c r="D470" s="37" t="s">
        <v>466</v>
      </c>
      <c r="E470" s="37"/>
      <c r="F470" s="37"/>
      <c r="G470" s="37" t="s">
        <v>466</v>
      </c>
      <c r="H470" s="37" t="s">
        <v>612</v>
      </c>
      <c r="I470" s="37">
        <v>1</v>
      </c>
      <c r="J470" s="37" t="s">
        <v>32</v>
      </c>
      <c r="K470" s="37" t="s">
        <v>32</v>
      </c>
      <c r="L470" s="40">
        <v>44823</v>
      </c>
    </row>
    <row r="471" spans="1:12" x14ac:dyDescent="0.25">
      <c r="A471" s="38">
        <f t="shared" si="2"/>
        <v>470</v>
      </c>
      <c r="B471" s="39" t="s">
        <v>952</v>
      </c>
      <c r="C471" s="37" t="s">
        <v>1004</v>
      </c>
      <c r="D471" s="37" t="s">
        <v>665</v>
      </c>
      <c r="E471" s="37"/>
      <c r="F471" s="37"/>
      <c r="G471" s="37" t="s">
        <v>665</v>
      </c>
      <c r="H471" s="37" t="s">
        <v>989</v>
      </c>
      <c r="I471" s="37">
        <v>1</v>
      </c>
      <c r="J471" s="37"/>
      <c r="K471" s="37" t="s">
        <v>32</v>
      </c>
      <c r="L471" s="40">
        <v>44823</v>
      </c>
    </row>
    <row r="472" spans="1:12" x14ac:dyDescent="0.25">
      <c r="A472" s="38">
        <f t="shared" si="2"/>
        <v>471</v>
      </c>
      <c r="B472" s="39" t="s">
        <v>952</v>
      </c>
      <c r="C472" s="37" t="s">
        <v>1006</v>
      </c>
      <c r="D472" s="37" t="s">
        <v>568</v>
      </c>
      <c r="E472" s="37"/>
      <c r="F472" s="37"/>
      <c r="G472" s="37" t="s">
        <v>568</v>
      </c>
      <c r="H472" s="37" t="s">
        <v>989</v>
      </c>
      <c r="I472" s="37">
        <v>1</v>
      </c>
      <c r="J472" s="37"/>
      <c r="K472" s="37" t="s">
        <v>32</v>
      </c>
      <c r="L472" s="40">
        <v>44823</v>
      </c>
    </row>
    <row r="473" spans="1:12" x14ac:dyDescent="0.25">
      <c r="A473" s="38">
        <f t="shared" si="2"/>
        <v>472</v>
      </c>
      <c r="B473" s="39" t="s">
        <v>957</v>
      </c>
      <c r="C473" s="37" t="s">
        <v>1007</v>
      </c>
      <c r="D473" s="37" t="s">
        <v>554</v>
      </c>
      <c r="E473" s="37"/>
      <c r="F473" s="37"/>
      <c r="G473" s="37" t="s">
        <v>554</v>
      </c>
      <c r="H473" s="37" t="s">
        <v>612</v>
      </c>
      <c r="I473" s="37">
        <v>150</v>
      </c>
      <c r="J473" s="37"/>
      <c r="K473" s="37">
        <v>44823</v>
      </c>
      <c r="L473" s="40">
        <v>44823</v>
      </c>
    </row>
    <row r="474" spans="1:12" x14ac:dyDescent="0.25">
      <c r="A474" s="38">
        <f t="shared" si="2"/>
        <v>473</v>
      </c>
      <c r="B474" s="39" t="s">
        <v>957</v>
      </c>
      <c r="C474" s="37" t="s">
        <v>378</v>
      </c>
      <c r="D474" s="37" t="s">
        <v>379</v>
      </c>
      <c r="E474" s="37"/>
      <c r="F474" s="37"/>
      <c r="G474" s="37" t="s">
        <v>379</v>
      </c>
      <c r="H474" s="37" t="s">
        <v>612</v>
      </c>
      <c r="I474" s="37">
        <v>5</v>
      </c>
      <c r="J474" s="37"/>
      <c r="K474" s="37" t="s">
        <v>32</v>
      </c>
      <c r="L474" s="40">
        <v>44823</v>
      </c>
    </row>
    <row r="475" spans="1:12" x14ac:dyDescent="0.25">
      <c r="A475" s="38">
        <f t="shared" si="2"/>
        <v>474</v>
      </c>
      <c r="B475" s="39" t="s">
        <v>957</v>
      </c>
      <c r="C475" s="37" t="s">
        <v>1008</v>
      </c>
      <c r="D475" s="37" t="s">
        <v>685</v>
      </c>
      <c r="E475" s="37"/>
      <c r="F475" s="37"/>
      <c r="G475" s="37" t="s">
        <v>685</v>
      </c>
      <c r="H475" s="37" t="s">
        <v>612</v>
      </c>
      <c r="I475" s="37">
        <v>6</v>
      </c>
      <c r="J475" s="37"/>
      <c r="K475" s="37" t="s">
        <v>32</v>
      </c>
      <c r="L475" s="40">
        <v>44823</v>
      </c>
    </row>
    <row r="476" spans="1:12" x14ac:dyDescent="0.25">
      <c r="A476" s="38">
        <f t="shared" si="2"/>
        <v>475</v>
      </c>
      <c r="B476" s="39" t="s">
        <v>957</v>
      </c>
      <c r="C476" s="37" t="s">
        <v>446</v>
      </c>
      <c r="D476" s="37" t="s">
        <v>447</v>
      </c>
      <c r="E476" s="37"/>
      <c r="F476" s="37"/>
      <c r="G476" s="37" t="s">
        <v>447</v>
      </c>
      <c r="H476" s="37" t="s">
        <v>988</v>
      </c>
      <c r="I476" s="37">
        <v>2</v>
      </c>
      <c r="J476" s="37"/>
      <c r="K476" s="37" t="s">
        <v>32</v>
      </c>
      <c r="L476" s="40">
        <v>44823</v>
      </c>
    </row>
    <row r="477" spans="1:12" x14ac:dyDescent="0.25">
      <c r="A477" s="38">
        <f t="shared" si="2"/>
        <v>476</v>
      </c>
      <c r="B477" s="39" t="s">
        <v>957</v>
      </c>
      <c r="C477" s="37" t="s">
        <v>662</v>
      </c>
      <c r="D477" s="37" t="s">
        <v>663</v>
      </c>
      <c r="E477" s="37"/>
      <c r="F477" s="37"/>
      <c r="G477" s="37" t="s">
        <v>663</v>
      </c>
      <c r="H477" s="37" t="s">
        <v>989</v>
      </c>
      <c r="I477" s="37">
        <v>8</v>
      </c>
      <c r="J477" s="37"/>
      <c r="K477" s="37" t="s">
        <v>32</v>
      </c>
      <c r="L477" s="40">
        <v>44823</v>
      </c>
    </row>
    <row r="478" spans="1:12" x14ac:dyDescent="0.25">
      <c r="A478" s="38">
        <f t="shared" si="2"/>
        <v>477</v>
      </c>
      <c r="B478" s="39" t="s">
        <v>957</v>
      </c>
      <c r="C478" s="37" t="s">
        <v>1009</v>
      </c>
      <c r="D478" s="37" t="s">
        <v>530</v>
      </c>
      <c r="E478" s="37"/>
      <c r="F478" s="37"/>
      <c r="G478" s="37" t="s">
        <v>530</v>
      </c>
      <c r="H478" s="37" t="s">
        <v>612</v>
      </c>
      <c r="I478" s="37">
        <v>30</v>
      </c>
      <c r="J478" s="37"/>
      <c r="K478" s="37" t="s">
        <v>32</v>
      </c>
      <c r="L478" s="40">
        <v>44823</v>
      </c>
    </row>
    <row r="479" spans="1:12" x14ac:dyDescent="0.25">
      <c r="A479" s="38">
        <f t="shared" si="2"/>
        <v>478</v>
      </c>
      <c r="B479" s="39" t="s">
        <v>952</v>
      </c>
      <c r="C479" s="37" t="s">
        <v>1007</v>
      </c>
      <c r="D479" s="37" t="s">
        <v>554</v>
      </c>
      <c r="E479" s="37"/>
      <c r="F479" s="37"/>
      <c r="G479" s="37" t="s">
        <v>554</v>
      </c>
      <c r="H479" s="37" t="s">
        <v>612</v>
      </c>
      <c r="I479" s="37">
        <v>150</v>
      </c>
      <c r="J479" s="37"/>
      <c r="K479" s="37" t="s">
        <v>32</v>
      </c>
      <c r="L479" s="40">
        <v>44823</v>
      </c>
    </row>
    <row r="480" spans="1:12" x14ac:dyDescent="0.25">
      <c r="A480" s="38">
        <f t="shared" si="2"/>
        <v>479</v>
      </c>
      <c r="B480" s="39" t="s">
        <v>952</v>
      </c>
      <c r="C480" s="37" t="s">
        <v>378</v>
      </c>
      <c r="D480" s="37" t="s">
        <v>379</v>
      </c>
      <c r="E480" s="37"/>
      <c r="F480" s="37"/>
      <c r="G480" s="37" t="s">
        <v>379</v>
      </c>
      <c r="H480" s="37" t="s">
        <v>612</v>
      </c>
      <c r="I480" s="37">
        <v>5</v>
      </c>
      <c r="J480" s="37"/>
      <c r="K480" s="37" t="s">
        <v>32</v>
      </c>
      <c r="L480" s="40">
        <v>44823</v>
      </c>
    </row>
    <row r="481" spans="1:12" x14ac:dyDescent="0.25">
      <c r="A481" s="38">
        <f t="shared" si="2"/>
        <v>480</v>
      </c>
      <c r="B481" s="39" t="s">
        <v>952</v>
      </c>
      <c r="C481" s="37" t="s">
        <v>1008</v>
      </c>
      <c r="D481" s="37" t="s">
        <v>685</v>
      </c>
      <c r="E481" s="37"/>
      <c r="F481" s="37"/>
      <c r="G481" s="37" t="s">
        <v>685</v>
      </c>
      <c r="H481" s="37" t="s">
        <v>612</v>
      </c>
      <c r="I481" s="37">
        <v>6</v>
      </c>
      <c r="J481" s="37"/>
      <c r="K481" s="37" t="s">
        <v>32</v>
      </c>
      <c r="L481" s="40">
        <v>44823</v>
      </c>
    </row>
    <row r="482" spans="1:12" x14ac:dyDescent="0.25">
      <c r="A482" s="38">
        <f t="shared" si="2"/>
        <v>481</v>
      </c>
      <c r="B482" s="39" t="s">
        <v>952</v>
      </c>
      <c r="C482" s="37" t="s">
        <v>971</v>
      </c>
      <c r="D482" s="37" t="s">
        <v>624</v>
      </c>
      <c r="E482" s="37"/>
      <c r="F482" s="37" t="s">
        <v>972</v>
      </c>
      <c r="G482" s="37" t="s">
        <v>624</v>
      </c>
      <c r="H482" s="37" t="s">
        <v>612</v>
      </c>
      <c r="I482" s="37">
        <v>50</v>
      </c>
      <c r="J482" s="37"/>
      <c r="K482" s="37" t="s">
        <v>32</v>
      </c>
      <c r="L482" s="40">
        <v>44823</v>
      </c>
    </row>
    <row r="483" spans="1:12" x14ac:dyDescent="0.25">
      <c r="A483" s="38">
        <f t="shared" si="2"/>
        <v>482</v>
      </c>
      <c r="B483" s="39" t="s">
        <v>952</v>
      </c>
      <c r="C483" s="37" t="s">
        <v>446</v>
      </c>
      <c r="D483" s="37" t="s">
        <v>447</v>
      </c>
      <c r="E483" s="37"/>
      <c r="F483" s="37"/>
      <c r="G483" s="37" t="s">
        <v>447</v>
      </c>
      <c r="H483" s="37" t="s">
        <v>988</v>
      </c>
      <c r="I483" s="37">
        <v>2</v>
      </c>
      <c r="J483" s="37"/>
      <c r="K483" s="37" t="s">
        <v>32</v>
      </c>
      <c r="L483" s="40">
        <v>44823</v>
      </c>
    </row>
    <row r="484" spans="1:12" x14ac:dyDescent="0.25">
      <c r="A484" s="38">
        <f t="shared" si="2"/>
        <v>483</v>
      </c>
      <c r="B484" s="39" t="s">
        <v>952</v>
      </c>
      <c r="C484" s="37" t="s">
        <v>662</v>
      </c>
      <c r="D484" s="37" t="s">
        <v>663</v>
      </c>
      <c r="E484" s="37"/>
      <c r="F484" s="37"/>
      <c r="G484" s="37" t="s">
        <v>663</v>
      </c>
      <c r="H484" s="37" t="s">
        <v>989</v>
      </c>
      <c r="I484" s="37">
        <v>8</v>
      </c>
      <c r="J484" s="37"/>
      <c r="K484" s="37" t="s">
        <v>32</v>
      </c>
      <c r="L484" s="40">
        <v>44823</v>
      </c>
    </row>
    <row r="485" spans="1:12" x14ac:dyDescent="0.25">
      <c r="A485" s="38">
        <f t="shared" si="2"/>
        <v>484</v>
      </c>
      <c r="B485" s="39" t="s">
        <v>952</v>
      </c>
      <c r="C485" s="37" t="s">
        <v>1009</v>
      </c>
      <c r="D485" s="37" t="s">
        <v>530</v>
      </c>
      <c r="E485" s="37"/>
      <c r="F485" s="37"/>
      <c r="G485" s="37" t="s">
        <v>530</v>
      </c>
      <c r="H485" s="37" t="s">
        <v>612</v>
      </c>
      <c r="I485" s="37">
        <v>30</v>
      </c>
      <c r="J485" s="37" t="s">
        <v>1010</v>
      </c>
      <c r="K485" s="37" t="s">
        <v>32</v>
      </c>
      <c r="L485" s="40">
        <v>44823</v>
      </c>
    </row>
    <row r="486" spans="1:12" x14ac:dyDescent="0.25">
      <c r="A486" s="38">
        <f t="shared" si="2"/>
        <v>485</v>
      </c>
      <c r="B486" s="39" t="s">
        <v>952</v>
      </c>
      <c r="C486" s="37" t="s">
        <v>1011</v>
      </c>
      <c r="D486" s="37" t="s">
        <v>919</v>
      </c>
      <c r="E486" s="37"/>
      <c r="F486" s="37"/>
      <c r="G486" s="37" t="s">
        <v>919</v>
      </c>
      <c r="H486" s="37" t="s">
        <v>612</v>
      </c>
      <c r="I486" s="37">
        <v>6</v>
      </c>
      <c r="J486" s="37"/>
      <c r="K486" s="37" t="s">
        <v>32</v>
      </c>
      <c r="L486" s="40">
        <v>44823</v>
      </c>
    </row>
    <row r="487" spans="1:12" x14ac:dyDescent="0.25">
      <c r="A487" s="38">
        <f t="shared" si="2"/>
        <v>486</v>
      </c>
      <c r="B487" s="39" t="s">
        <v>957</v>
      </c>
      <c r="C487" s="37" t="s">
        <v>1012</v>
      </c>
      <c r="D487" s="37" t="s">
        <v>739</v>
      </c>
      <c r="E487" s="37"/>
      <c r="F487" s="37"/>
      <c r="G487" s="37" t="s">
        <v>739</v>
      </c>
      <c r="H487" s="37" t="s">
        <v>981</v>
      </c>
      <c r="I487" s="37">
        <v>4</v>
      </c>
      <c r="J487" s="37" t="s">
        <v>32</v>
      </c>
      <c r="K487" s="37" t="s">
        <v>32</v>
      </c>
      <c r="L487" s="40">
        <v>44823</v>
      </c>
    </row>
    <row r="488" spans="1:12" x14ac:dyDescent="0.25">
      <c r="A488" s="38">
        <f t="shared" si="2"/>
        <v>487</v>
      </c>
      <c r="B488" s="39" t="s">
        <v>957</v>
      </c>
      <c r="C488" s="37" t="s">
        <v>1013</v>
      </c>
      <c r="D488" s="37" t="s">
        <v>335</v>
      </c>
      <c r="E488" s="37"/>
      <c r="F488" s="37"/>
      <c r="G488" s="37" t="s">
        <v>335</v>
      </c>
      <c r="H488" s="37" t="s">
        <v>981</v>
      </c>
      <c r="I488" s="37">
        <v>4</v>
      </c>
      <c r="J488" s="37" t="s">
        <v>32</v>
      </c>
      <c r="K488" s="37" t="s">
        <v>32</v>
      </c>
      <c r="L488" s="40">
        <v>44823</v>
      </c>
    </row>
    <row r="489" spans="1:12" x14ac:dyDescent="0.25">
      <c r="A489" s="38">
        <f t="shared" si="2"/>
        <v>488</v>
      </c>
      <c r="B489" s="39" t="s">
        <v>957</v>
      </c>
      <c r="C489" s="37" t="s">
        <v>1014</v>
      </c>
      <c r="D489" s="37" t="s">
        <v>595</v>
      </c>
      <c r="E489" s="37"/>
      <c r="F489" s="37"/>
      <c r="G489" s="37" t="s">
        <v>595</v>
      </c>
      <c r="H489" s="37" t="s">
        <v>981</v>
      </c>
      <c r="I489" s="37">
        <v>2</v>
      </c>
      <c r="J489" s="37" t="s">
        <v>32</v>
      </c>
      <c r="K489" s="37" t="s">
        <v>32</v>
      </c>
      <c r="L489" s="40">
        <v>44823</v>
      </c>
    </row>
    <row r="490" spans="1:12" x14ac:dyDescent="0.25">
      <c r="A490" s="38">
        <f t="shared" si="2"/>
        <v>489</v>
      </c>
      <c r="B490" s="39" t="s">
        <v>957</v>
      </c>
      <c r="C490" s="37" t="s">
        <v>1015</v>
      </c>
      <c r="D490" s="37" t="s">
        <v>416</v>
      </c>
      <c r="E490" s="37"/>
      <c r="F490" s="37"/>
      <c r="G490" s="37" t="s">
        <v>1016</v>
      </c>
      <c r="H490" s="37" t="s">
        <v>612</v>
      </c>
      <c r="I490" s="37">
        <v>2</v>
      </c>
      <c r="J490" s="37" t="s">
        <v>32</v>
      </c>
      <c r="K490" s="37" t="s">
        <v>32</v>
      </c>
      <c r="L490" s="40">
        <v>44823</v>
      </c>
    </row>
    <row r="491" spans="1:12" x14ac:dyDescent="0.25">
      <c r="A491" s="38">
        <f t="shared" si="2"/>
        <v>490</v>
      </c>
      <c r="B491" s="39" t="s">
        <v>957</v>
      </c>
      <c r="C491" s="37" t="s">
        <v>1017</v>
      </c>
      <c r="D491" s="37" t="s">
        <v>844</v>
      </c>
      <c r="E491" s="37"/>
      <c r="F491" s="37"/>
      <c r="G491" s="37" t="s">
        <v>844</v>
      </c>
      <c r="H491" s="37" t="s">
        <v>966</v>
      </c>
      <c r="I491" s="37">
        <v>1</v>
      </c>
      <c r="J491" s="37" t="s">
        <v>32</v>
      </c>
      <c r="K491" s="37" t="s">
        <v>32</v>
      </c>
      <c r="L491" s="40">
        <v>44823</v>
      </c>
    </row>
    <row r="492" spans="1:12" x14ac:dyDescent="0.25">
      <c r="A492" s="38">
        <f t="shared" si="2"/>
        <v>491</v>
      </c>
      <c r="B492" s="39" t="s">
        <v>957</v>
      </c>
      <c r="C492" s="37" t="s">
        <v>967</v>
      </c>
      <c r="D492" s="37" t="s">
        <v>606</v>
      </c>
      <c r="E492" s="37"/>
      <c r="F492" s="37"/>
      <c r="G492" s="37" t="s">
        <v>606</v>
      </c>
      <c r="H492" s="37" t="s">
        <v>612</v>
      </c>
      <c r="I492" s="37">
        <v>1</v>
      </c>
      <c r="J492" s="37" t="s">
        <v>32</v>
      </c>
      <c r="K492" s="37" t="s">
        <v>32</v>
      </c>
      <c r="L492" s="40">
        <v>44823</v>
      </c>
    </row>
    <row r="493" spans="1:12" x14ac:dyDescent="0.25">
      <c r="A493" s="38">
        <f t="shared" si="2"/>
        <v>492</v>
      </c>
      <c r="B493" s="39" t="s">
        <v>957</v>
      </c>
      <c r="C493" s="37" t="s">
        <v>1018</v>
      </c>
      <c r="D493" s="37" t="s">
        <v>711</v>
      </c>
      <c r="E493" s="37"/>
      <c r="F493" s="37"/>
      <c r="G493" s="37" t="s">
        <v>711</v>
      </c>
      <c r="H493" s="37" t="s">
        <v>988</v>
      </c>
      <c r="I493" s="37">
        <v>1</v>
      </c>
      <c r="J493" s="37" t="s">
        <v>32</v>
      </c>
      <c r="K493" s="37" t="s">
        <v>32</v>
      </c>
      <c r="L493" s="40">
        <v>44823</v>
      </c>
    </row>
    <row r="494" spans="1:12" x14ac:dyDescent="0.25">
      <c r="A494" s="38">
        <f t="shared" si="2"/>
        <v>493</v>
      </c>
      <c r="B494" s="39" t="s">
        <v>952</v>
      </c>
      <c r="C494" s="37" t="s">
        <v>1018</v>
      </c>
      <c r="D494" s="37" t="s">
        <v>711</v>
      </c>
      <c r="E494" s="37"/>
      <c r="F494" s="37"/>
      <c r="G494" s="37" t="s">
        <v>711</v>
      </c>
      <c r="H494" s="37" t="s">
        <v>988</v>
      </c>
      <c r="I494" s="37">
        <v>1</v>
      </c>
      <c r="J494" s="37" t="s">
        <v>32</v>
      </c>
      <c r="K494" s="37" t="s">
        <v>32</v>
      </c>
      <c r="L494" s="40">
        <v>44823</v>
      </c>
    </row>
    <row r="495" spans="1:12" x14ac:dyDescent="0.25">
      <c r="A495" s="38">
        <f t="shared" si="2"/>
        <v>494</v>
      </c>
      <c r="B495" s="39" t="s">
        <v>952</v>
      </c>
      <c r="C495" s="37" t="s">
        <v>733</v>
      </c>
      <c r="D495" s="37" t="s">
        <v>721</v>
      </c>
      <c r="E495" s="37"/>
      <c r="F495" s="37"/>
      <c r="G495" s="37" t="s">
        <v>721</v>
      </c>
      <c r="H495" s="37" t="s">
        <v>988</v>
      </c>
      <c r="I495" s="37">
        <v>1</v>
      </c>
      <c r="J495" s="37" t="s">
        <v>32</v>
      </c>
      <c r="K495" s="37" t="s">
        <v>32</v>
      </c>
      <c r="L495" s="40">
        <v>44823</v>
      </c>
    </row>
    <row r="496" spans="1:12" x14ac:dyDescent="0.25">
      <c r="A496" s="38">
        <f t="shared" si="2"/>
        <v>495</v>
      </c>
      <c r="B496" s="39" t="s">
        <v>952</v>
      </c>
      <c r="C496" s="37" t="s">
        <v>1019</v>
      </c>
      <c r="D496" s="37" t="s">
        <v>717</v>
      </c>
      <c r="E496" s="37"/>
      <c r="F496" s="37"/>
      <c r="G496" s="37" t="s">
        <v>717</v>
      </c>
      <c r="H496" s="37" t="s">
        <v>988</v>
      </c>
      <c r="I496" s="37">
        <v>1</v>
      </c>
      <c r="J496" s="37" t="s">
        <v>32</v>
      </c>
      <c r="K496" s="37" t="s">
        <v>32</v>
      </c>
      <c r="L496" s="40">
        <v>44823</v>
      </c>
    </row>
    <row r="497" spans="1:12" x14ac:dyDescent="0.25">
      <c r="A497" s="38">
        <f t="shared" si="2"/>
        <v>496</v>
      </c>
      <c r="B497" s="39" t="s">
        <v>952</v>
      </c>
      <c r="C497" s="37" t="s">
        <v>330</v>
      </c>
      <c r="D497" s="37" t="s">
        <v>331</v>
      </c>
      <c r="E497" s="37"/>
      <c r="F497" s="37"/>
      <c r="G497" s="37" t="s">
        <v>331</v>
      </c>
      <c r="H497" s="37" t="s">
        <v>252</v>
      </c>
      <c r="I497" s="37">
        <v>1</v>
      </c>
      <c r="J497" s="37"/>
      <c r="K497" s="37" t="s">
        <v>32</v>
      </c>
      <c r="L497" s="40">
        <v>44823</v>
      </c>
    </row>
    <row r="498" spans="1:12" x14ac:dyDescent="0.25">
      <c r="A498" s="38">
        <f t="shared" si="2"/>
        <v>497</v>
      </c>
      <c r="B498" s="39" t="s">
        <v>952</v>
      </c>
      <c r="C498" s="37" t="s">
        <v>1020</v>
      </c>
      <c r="D498" s="37" t="s">
        <v>565</v>
      </c>
      <c r="E498" s="37"/>
      <c r="F498" s="37"/>
      <c r="G498" s="37" t="s">
        <v>565</v>
      </c>
      <c r="H498" s="37" t="s">
        <v>612</v>
      </c>
      <c r="I498" s="37">
        <v>25</v>
      </c>
      <c r="J498" s="37"/>
      <c r="K498" s="37" t="s">
        <v>32</v>
      </c>
      <c r="L498" s="40">
        <v>44823</v>
      </c>
    </row>
    <row r="499" spans="1:12" x14ac:dyDescent="0.25">
      <c r="A499" s="38">
        <f t="shared" si="2"/>
        <v>498</v>
      </c>
      <c r="B499" s="39" t="s">
        <v>952</v>
      </c>
      <c r="C499" s="37" t="s">
        <v>1021</v>
      </c>
      <c r="D499" s="37" t="s">
        <v>593</v>
      </c>
      <c r="E499" s="37"/>
      <c r="F499" s="37"/>
      <c r="G499" s="37" t="s">
        <v>593</v>
      </c>
      <c r="H499" s="37" t="s">
        <v>612</v>
      </c>
      <c r="I499" s="37">
        <v>30</v>
      </c>
      <c r="J499" s="37"/>
      <c r="K499" s="37" t="s">
        <v>32</v>
      </c>
      <c r="L499" s="40">
        <v>44823</v>
      </c>
    </row>
    <row r="500" spans="1:12" x14ac:dyDescent="0.25">
      <c r="A500" s="38">
        <f t="shared" si="2"/>
        <v>499</v>
      </c>
      <c r="B500" s="39" t="s">
        <v>952</v>
      </c>
      <c r="C500" s="37" t="s">
        <v>1022</v>
      </c>
      <c r="D500" s="37" t="s">
        <v>563</v>
      </c>
      <c r="E500" s="37"/>
      <c r="F500" s="37"/>
      <c r="G500" s="37" t="s">
        <v>563</v>
      </c>
      <c r="H500" s="37" t="s">
        <v>612</v>
      </c>
      <c r="I500" s="37">
        <v>20</v>
      </c>
      <c r="J500" s="37"/>
      <c r="K500" s="37" t="s">
        <v>32</v>
      </c>
      <c r="L500" s="40">
        <v>44823</v>
      </c>
    </row>
    <row r="501" spans="1:12" x14ac:dyDescent="0.25">
      <c r="A501" s="38">
        <f t="shared" si="2"/>
        <v>500</v>
      </c>
      <c r="B501" s="39" t="s">
        <v>952</v>
      </c>
      <c r="C501" s="37" t="s">
        <v>1023</v>
      </c>
      <c r="D501" s="37" t="s">
        <v>552</v>
      </c>
      <c r="E501" s="37"/>
      <c r="F501" s="37"/>
      <c r="G501" s="37" t="s">
        <v>552</v>
      </c>
      <c r="H501" s="37" t="s">
        <v>612</v>
      </c>
      <c r="I501" s="37">
        <v>40</v>
      </c>
      <c r="J501" s="37"/>
      <c r="K501" s="37" t="s">
        <v>32</v>
      </c>
      <c r="L501" s="40">
        <v>44823</v>
      </c>
    </row>
    <row r="502" spans="1:12" x14ac:dyDescent="0.25">
      <c r="A502" s="38">
        <f t="shared" si="2"/>
        <v>501</v>
      </c>
      <c r="B502" s="39" t="s">
        <v>952</v>
      </c>
      <c r="C502" s="37" t="s">
        <v>656</v>
      </c>
      <c r="D502" s="37" t="s">
        <v>657</v>
      </c>
      <c r="E502" s="37"/>
      <c r="F502" s="37"/>
      <c r="G502" s="37" t="s">
        <v>657</v>
      </c>
      <c r="H502" s="37" t="s">
        <v>612</v>
      </c>
      <c r="I502" s="37">
        <v>10</v>
      </c>
      <c r="J502" s="37" t="s">
        <v>1024</v>
      </c>
      <c r="K502" s="37" t="s">
        <v>32</v>
      </c>
      <c r="L502" s="40">
        <v>44823</v>
      </c>
    </row>
    <row r="503" spans="1:12" x14ac:dyDescent="0.25">
      <c r="A503" s="38">
        <f t="shared" si="2"/>
        <v>502</v>
      </c>
      <c r="B503" s="39" t="s">
        <v>952</v>
      </c>
      <c r="C503" s="37" t="s">
        <v>461</v>
      </c>
      <c r="D503" s="37" t="s">
        <v>462</v>
      </c>
      <c r="E503" s="37"/>
      <c r="F503" s="37"/>
      <c r="G503" s="37" t="s">
        <v>462</v>
      </c>
      <c r="H503" s="37" t="s">
        <v>981</v>
      </c>
      <c r="I503" s="37">
        <v>11</v>
      </c>
      <c r="J503" s="37" t="s">
        <v>1024</v>
      </c>
      <c r="K503" s="37" t="s">
        <v>32</v>
      </c>
      <c r="L503" s="40">
        <v>44823</v>
      </c>
    </row>
    <row r="504" spans="1:12" x14ac:dyDescent="0.25">
      <c r="A504" s="38">
        <f t="shared" si="2"/>
        <v>503</v>
      </c>
      <c r="B504" s="39" t="s">
        <v>952</v>
      </c>
      <c r="C504" s="37" t="s">
        <v>1025</v>
      </c>
      <c r="D504" s="37" t="s">
        <v>460</v>
      </c>
      <c r="E504" s="37"/>
      <c r="F504" s="37"/>
      <c r="G504" s="37" t="s">
        <v>460</v>
      </c>
      <c r="H504" s="37" t="s">
        <v>981</v>
      </c>
      <c r="I504" s="37">
        <v>5</v>
      </c>
      <c r="J504" s="37" t="s">
        <v>1024</v>
      </c>
      <c r="K504" s="37" t="s">
        <v>32</v>
      </c>
      <c r="L504" s="40">
        <v>44823</v>
      </c>
    </row>
    <row r="505" spans="1:12" x14ac:dyDescent="0.25">
      <c r="A505" s="38">
        <f t="shared" si="2"/>
        <v>504</v>
      </c>
      <c r="B505" s="39" t="s">
        <v>952</v>
      </c>
      <c r="C505" s="37" t="s">
        <v>449</v>
      </c>
      <c r="D505" s="37" t="s">
        <v>450</v>
      </c>
      <c r="E505" s="37"/>
      <c r="F505" s="37"/>
      <c r="G505" s="37" t="s">
        <v>450</v>
      </c>
      <c r="H505" s="37" t="s">
        <v>981</v>
      </c>
      <c r="I505" s="37">
        <v>12</v>
      </c>
      <c r="J505" s="37" t="s">
        <v>32</v>
      </c>
      <c r="K505" s="37" t="s">
        <v>32</v>
      </c>
      <c r="L505" s="40">
        <v>44823</v>
      </c>
    </row>
    <row r="506" spans="1:12" x14ac:dyDescent="0.25">
      <c r="A506" s="38">
        <f t="shared" si="2"/>
        <v>505</v>
      </c>
      <c r="B506" s="39" t="s">
        <v>952</v>
      </c>
      <c r="C506" s="37" t="s">
        <v>1026</v>
      </c>
      <c r="D506" s="37" t="s">
        <v>294</v>
      </c>
      <c r="E506" s="37"/>
      <c r="F506" s="37"/>
      <c r="G506" s="37" t="s">
        <v>294</v>
      </c>
      <c r="H506" s="37" t="s">
        <v>263</v>
      </c>
      <c r="I506" s="37">
        <v>1</v>
      </c>
      <c r="J506" s="37" t="s">
        <v>32</v>
      </c>
      <c r="K506" s="37" t="s">
        <v>32</v>
      </c>
      <c r="L506" s="40">
        <v>44823</v>
      </c>
    </row>
    <row r="507" spans="1:12" x14ac:dyDescent="0.25">
      <c r="A507" s="38">
        <f t="shared" si="2"/>
        <v>506</v>
      </c>
      <c r="B507" s="39" t="s">
        <v>952</v>
      </c>
      <c r="C507" s="37" t="s">
        <v>1027</v>
      </c>
      <c r="D507" s="37" t="s">
        <v>715</v>
      </c>
      <c r="E507" s="37"/>
      <c r="F507" s="37"/>
      <c r="G507" s="37" t="s">
        <v>715</v>
      </c>
      <c r="H507" s="37" t="s">
        <v>988</v>
      </c>
      <c r="I507" s="37">
        <v>2</v>
      </c>
      <c r="J507" s="37" t="s">
        <v>1024</v>
      </c>
      <c r="K507" s="37" t="s">
        <v>32</v>
      </c>
      <c r="L507" s="40">
        <v>44823</v>
      </c>
    </row>
    <row r="508" spans="1:12" x14ac:dyDescent="0.25">
      <c r="A508" s="38">
        <f t="shared" si="2"/>
        <v>507</v>
      </c>
      <c r="B508" s="39" t="s">
        <v>952</v>
      </c>
      <c r="C508" s="37" t="s">
        <v>1028</v>
      </c>
      <c r="D508" s="37" t="s">
        <v>305</v>
      </c>
      <c r="E508" s="37"/>
      <c r="F508" s="37"/>
      <c r="G508" s="37" t="s">
        <v>305</v>
      </c>
      <c r="H508" s="37" t="s">
        <v>612</v>
      </c>
      <c r="I508" s="37">
        <v>2</v>
      </c>
      <c r="J508" s="37" t="s">
        <v>1024</v>
      </c>
      <c r="K508" s="37" t="s">
        <v>32</v>
      </c>
      <c r="L508" s="40">
        <v>44823</v>
      </c>
    </row>
    <row r="509" spans="1:12" x14ac:dyDescent="0.25">
      <c r="A509" s="38">
        <f t="shared" si="2"/>
        <v>508</v>
      </c>
      <c r="B509" s="39" t="s">
        <v>952</v>
      </c>
      <c r="C509" s="37" t="s">
        <v>1029</v>
      </c>
      <c r="D509" s="37" t="s">
        <v>365</v>
      </c>
      <c r="E509" s="37"/>
      <c r="F509" s="37"/>
      <c r="G509" s="37" t="s">
        <v>365</v>
      </c>
      <c r="H509" s="37" t="s">
        <v>612</v>
      </c>
      <c r="I509" s="37">
        <v>1</v>
      </c>
      <c r="J509" s="37" t="s">
        <v>1024</v>
      </c>
      <c r="K509" s="37" t="s">
        <v>32</v>
      </c>
      <c r="L509" s="40">
        <v>44823</v>
      </c>
    </row>
    <row r="510" spans="1:12" x14ac:dyDescent="0.25">
      <c r="A510" s="38">
        <f t="shared" ref="A510:A573" si="3">ROW(A509)</f>
        <v>509</v>
      </c>
      <c r="B510" s="39" t="s">
        <v>952</v>
      </c>
      <c r="C510" s="37" t="s">
        <v>1030</v>
      </c>
      <c r="D510" s="37" t="s">
        <v>279</v>
      </c>
      <c r="E510" s="37"/>
      <c r="F510" s="37"/>
      <c r="G510" s="37" t="s">
        <v>279</v>
      </c>
      <c r="H510" s="37" t="s">
        <v>1031</v>
      </c>
      <c r="I510" s="37">
        <v>2</v>
      </c>
      <c r="J510" s="37" t="s">
        <v>1024</v>
      </c>
      <c r="K510" s="37" t="s">
        <v>32</v>
      </c>
      <c r="L510" s="40">
        <v>44823</v>
      </c>
    </row>
    <row r="511" spans="1:12" x14ac:dyDescent="0.25">
      <c r="A511" s="38">
        <f t="shared" si="3"/>
        <v>510</v>
      </c>
      <c r="B511" s="39" t="s">
        <v>952</v>
      </c>
      <c r="C511" s="37" t="s">
        <v>1032</v>
      </c>
      <c r="D511" s="37" t="s">
        <v>486</v>
      </c>
      <c r="E511" s="37"/>
      <c r="F511" s="37" t="s">
        <v>233</v>
      </c>
      <c r="G511" s="37" t="s">
        <v>486</v>
      </c>
      <c r="H511" s="37" t="s">
        <v>612</v>
      </c>
      <c r="I511" s="37">
        <v>1</v>
      </c>
      <c r="J511" s="37" t="s">
        <v>1024</v>
      </c>
      <c r="K511" s="37" t="s">
        <v>32</v>
      </c>
      <c r="L511" s="40">
        <v>44823</v>
      </c>
    </row>
    <row r="512" spans="1:12" x14ac:dyDescent="0.25">
      <c r="A512" s="38">
        <f t="shared" si="3"/>
        <v>511</v>
      </c>
      <c r="B512" s="39" t="s">
        <v>952</v>
      </c>
      <c r="C512" s="37" t="s">
        <v>1033</v>
      </c>
      <c r="D512" s="37">
        <v>2032</v>
      </c>
      <c r="E512" s="37"/>
      <c r="F512" s="37" t="s">
        <v>233</v>
      </c>
      <c r="G512" s="37">
        <v>2032</v>
      </c>
      <c r="H512" s="37" t="s">
        <v>1031</v>
      </c>
      <c r="I512" s="37">
        <v>1</v>
      </c>
      <c r="J512" s="37" t="s">
        <v>1024</v>
      </c>
      <c r="K512" s="37" t="s">
        <v>32</v>
      </c>
      <c r="L512" s="40">
        <v>44823</v>
      </c>
    </row>
    <row r="513" spans="1:12" x14ac:dyDescent="0.25">
      <c r="A513" s="38">
        <f t="shared" si="3"/>
        <v>512</v>
      </c>
      <c r="B513" s="39" t="s">
        <v>957</v>
      </c>
      <c r="C513" s="37" t="s">
        <v>1034</v>
      </c>
      <c r="D513" s="37" t="s">
        <v>572</v>
      </c>
      <c r="E513" s="37"/>
      <c r="F513" s="37"/>
      <c r="G513" s="37" t="s">
        <v>572</v>
      </c>
      <c r="H513" s="37" t="s">
        <v>612</v>
      </c>
      <c r="I513" s="37">
        <v>1</v>
      </c>
      <c r="J513" s="37" t="s">
        <v>1010</v>
      </c>
      <c r="K513" s="37" t="s">
        <v>32</v>
      </c>
      <c r="L513" s="40">
        <v>44823</v>
      </c>
    </row>
    <row r="514" spans="1:12" x14ac:dyDescent="0.25">
      <c r="A514" s="38">
        <f t="shared" si="3"/>
        <v>513</v>
      </c>
      <c r="B514" s="39" t="s">
        <v>952</v>
      </c>
      <c r="C514" s="37" t="s">
        <v>1034</v>
      </c>
      <c r="D514" s="37" t="s">
        <v>572</v>
      </c>
      <c r="E514" s="37"/>
      <c r="F514" s="37"/>
      <c r="G514" s="37" t="s">
        <v>572</v>
      </c>
      <c r="H514" s="37" t="s">
        <v>612</v>
      </c>
      <c r="I514" s="37">
        <v>1</v>
      </c>
      <c r="J514" s="37" t="s">
        <v>1010</v>
      </c>
      <c r="K514" s="37" t="s">
        <v>32</v>
      </c>
      <c r="L514" s="40">
        <v>44823</v>
      </c>
    </row>
    <row r="515" spans="1:12" x14ac:dyDescent="0.25">
      <c r="A515" s="38">
        <f t="shared" si="3"/>
        <v>514</v>
      </c>
      <c r="B515" s="39" t="s">
        <v>957</v>
      </c>
      <c r="C515" s="37" t="s">
        <v>1034</v>
      </c>
      <c r="D515" s="37" t="s">
        <v>572</v>
      </c>
      <c r="E515" s="37"/>
      <c r="F515" s="37"/>
      <c r="G515" s="37" t="s">
        <v>572</v>
      </c>
      <c r="H515" s="37" t="s">
        <v>612</v>
      </c>
      <c r="I515" s="37">
        <v>1</v>
      </c>
      <c r="J515" s="37" t="s">
        <v>1010</v>
      </c>
      <c r="K515" s="37" t="s">
        <v>32</v>
      </c>
      <c r="L515" s="40">
        <v>44823</v>
      </c>
    </row>
    <row r="516" spans="1:12" x14ac:dyDescent="0.25">
      <c r="A516" s="38">
        <f t="shared" si="3"/>
        <v>515</v>
      </c>
      <c r="B516" s="39" t="s">
        <v>952</v>
      </c>
      <c r="C516" s="37" t="s">
        <v>1034</v>
      </c>
      <c r="D516" s="37" t="s">
        <v>572</v>
      </c>
      <c r="E516" s="37"/>
      <c r="F516" s="37"/>
      <c r="G516" s="37" t="s">
        <v>572</v>
      </c>
      <c r="H516" s="37" t="s">
        <v>612</v>
      </c>
      <c r="I516" s="37">
        <v>1</v>
      </c>
      <c r="J516" s="37" t="s">
        <v>1010</v>
      </c>
      <c r="K516" s="37" t="s">
        <v>32</v>
      </c>
      <c r="L516" s="40">
        <v>44823</v>
      </c>
    </row>
    <row r="517" spans="1:12" x14ac:dyDescent="0.25">
      <c r="A517" s="38">
        <f t="shared" si="3"/>
        <v>516</v>
      </c>
      <c r="B517" s="39" t="s">
        <v>957</v>
      </c>
      <c r="C517" s="37" t="s">
        <v>1003</v>
      </c>
      <c r="D517" s="37" t="s">
        <v>581</v>
      </c>
      <c r="E517" s="37"/>
      <c r="F517" s="37"/>
      <c r="G517" s="37" t="s">
        <v>581</v>
      </c>
      <c r="H517" s="37" t="s">
        <v>612</v>
      </c>
      <c r="I517" s="37">
        <v>2</v>
      </c>
      <c r="J517" s="37" t="s">
        <v>32</v>
      </c>
      <c r="K517" s="37" t="s">
        <v>32</v>
      </c>
      <c r="L517" s="40">
        <v>44821</v>
      </c>
    </row>
    <row r="518" spans="1:12" x14ac:dyDescent="0.25">
      <c r="A518" s="38">
        <f t="shared" si="3"/>
        <v>517</v>
      </c>
      <c r="B518" s="39" t="s">
        <v>957</v>
      </c>
      <c r="C518" s="37" t="s">
        <v>1035</v>
      </c>
      <c r="D518" s="37" t="s">
        <v>619</v>
      </c>
      <c r="E518" s="37"/>
      <c r="F518" s="37"/>
      <c r="G518" s="37" t="s">
        <v>619</v>
      </c>
      <c r="H518" s="37" t="s">
        <v>1036</v>
      </c>
      <c r="I518" s="37">
        <v>2</v>
      </c>
      <c r="J518" s="37" t="s">
        <v>32</v>
      </c>
      <c r="K518" s="37" t="s">
        <v>32</v>
      </c>
      <c r="L518" s="40">
        <v>44821</v>
      </c>
    </row>
    <row r="519" spans="1:12" x14ac:dyDescent="0.25">
      <c r="A519" s="38">
        <f t="shared" si="3"/>
        <v>518</v>
      </c>
      <c r="B519" s="39" t="s">
        <v>957</v>
      </c>
      <c r="C519" s="37" t="s">
        <v>1037</v>
      </c>
      <c r="D519" s="37" t="s">
        <v>508</v>
      </c>
      <c r="E519" s="37"/>
      <c r="F519" s="37"/>
      <c r="G519" s="37" t="s">
        <v>508</v>
      </c>
      <c r="H519" s="37" t="s">
        <v>612</v>
      </c>
      <c r="I519" s="37">
        <v>1</v>
      </c>
      <c r="J519" s="37" t="s">
        <v>32</v>
      </c>
      <c r="K519" s="37" t="s">
        <v>32</v>
      </c>
      <c r="L519" s="40">
        <v>44821</v>
      </c>
    </row>
    <row r="520" spans="1:12" x14ac:dyDescent="0.25">
      <c r="A520" s="38">
        <f t="shared" si="3"/>
        <v>519</v>
      </c>
      <c r="B520" s="39" t="s">
        <v>957</v>
      </c>
      <c r="C520" s="37" t="s">
        <v>1002</v>
      </c>
      <c r="D520" s="37" t="s">
        <v>599</v>
      </c>
      <c r="E520" s="37"/>
      <c r="F520" s="37"/>
      <c r="G520" s="37" t="s">
        <v>599</v>
      </c>
      <c r="H520" s="37" t="s">
        <v>612</v>
      </c>
      <c r="I520" s="37">
        <v>1</v>
      </c>
      <c r="J520" s="37" t="s">
        <v>32</v>
      </c>
      <c r="K520" s="37" t="s">
        <v>32</v>
      </c>
      <c r="L520" s="40">
        <v>44821</v>
      </c>
    </row>
    <row r="521" spans="1:12" x14ac:dyDescent="0.25">
      <c r="A521" s="38">
        <f t="shared" si="3"/>
        <v>520</v>
      </c>
      <c r="B521" s="39" t="s">
        <v>957</v>
      </c>
      <c r="C521" s="37" t="s">
        <v>1001</v>
      </c>
      <c r="D521" s="37" t="s">
        <v>238</v>
      </c>
      <c r="E521" s="37"/>
      <c r="F521" s="37"/>
      <c r="G521" s="37" t="s">
        <v>238</v>
      </c>
      <c r="H521" s="37" t="s">
        <v>612</v>
      </c>
      <c r="I521" s="37">
        <v>1</v>
      </c>
      <c r="J521" s="37" t="s">
        <v>32</v>
      </c>
      <c r="K521" s="37" t="s">
        <v>32</v>
      </c>
      <c r="L521" s="40">
        <v>44821</v>
      </c>
    </row>
    <row r="522" spans="1:12" x14ac:dyDescent="0.25">
      <c r="A522" s="38">
        <f t="shared" si="3"/>
        <v>521</v>
      </c>
      <c r="B522" s="39" t="s">
        <v>957</v>
      </c>
      <c r="C522" s="37" t="s">
        <v>533</v>
      </c>
      <c r="D522" s="37" t="s">
        <v>534</v>
      </c>
      <c r="E522" s="37"/>
      <c r="F522" s="37"/>
      <c r="G522" s="37" t="s">
        <v>534</v>
      </c>
      <c r="H522" s="37" t="s">
        <v>612</v>
      </c>
      <c r="I522" s="37">
        <v>2</v>
      </c>
      <c r="J522" s="37" t="s">
        <v>32</v>
      </c>
      <c r="K522" s="37" t="s">
        <v>32</v>
      </c>
      <c r="L522" s="40">
        <v>44821</v>
      </c>
    </row>
    <row r="523" spans="1:12" x14ac:dyDescent="0.25">
      <c r="A523" s="38">
        <f t="shared" si="3"/>
        <v>522</v>
      </c>
      <c r="B523" s="39" t="s">
        <v>957</v>
      </c>
      <c r="C523" s="37" t="s">
        <v>1017</v>
      </c>
      <c r="D523" s="37" t="s">
        <v>844</v>
      </c>
      <c r="E523" s="37"/>
      <c r="F523" s="37"/>
      <c r="G523" s="37" t="s">
        <v>844</v>
      </c>
      <c r="H523" s="37" t="s">
        <v>981</v>
      </c>
      <c r="I523" s="37">
        <v>2</v>
      </c>
      <c r="J523" s="37" t="s">
        <v>1024</v>
      </c>
      <c r="K523" s="37" t="s">
        <v>32</v>
      </c>
      <c r="L523" s="40">
        <v>44821</v>
      </c>
    </row>
    <row r="524" spans="1:12" x14ac:dyDescent="0.25">
      <c r="A524" s="38">
        <f t="shared" si="3"/>
        <v>523</v>
      </c>
      <c r="B524" s="39" t="s">
        <v>957</v>
      </c>
      <c r="C524" s="37" t="s">
        <v>1038</v>
      </c>
      <c r="D524" s="37" t="s">
        <v>628</v>
      </c>
      <c r="E524" s="37"/>
      <c r="F524" s="37"/>
      <c r="G524" s="37" t="s">
        <v>628</v>
      </c>
      <c r="H524" s="37" t="s">
        <v>612</v>
      </c>
      <c r="I524" s="37">
        <v>1</v>
      </c>
      <c r="J524" s="37" t="s">
        <v>1024</v>
      </c>
      <c r="K524" s="37" t="s">
        <v>976</v>
      </c>
      <c r="L524" s="40">
        <v>44821</v>
      </c>
    </row>
    <row r="525" spans="1:12" x14ac:dyDescent="0.25">
      <c r="A525" s="38">
        <f t="shared" si="3"/>
        <v>524</v>
      </c>
      <c r="B525" s="39" t="s">
        <v>952</v>
      </c>
      <c r="C525" s="37" t="s">
        <v>963</v>
      </c>
      <c r="D525" s="37" t="s">
        <v>601</v>
      </c>
      <c r="E525" s="37"/>
      <c r="F525" s="37"/>
      <c r="G525" s="37" t="s">
        <v>601</v>
      </c>
      <c r="H525" s="37" t="s">
        <v>612</v>
      </c>
      <c r="I525" s="37">
        <v>24</v>
      </c>
      <c r="J525" s="37" t="s">
        <v>32</v>
      </c>
      <c r="K525" s="37" t="s">
        <v>32</v>
      </c>
      <c r="L525" s="40">
        <v>44821</v>
      </c>
    </row>
    <row r="526" spans="1:12" x14ac:dyDescent="0.25">
      <c r="A526" s="38">
        <f t="shared" si="3"/>
        <v>525</v>
      </c>
      <c r="B526" s="39" t="s">
        <v>952</v>
      </c>
      <c r="C526" s="37" t="s">
        <v>818</v>
      </c>
      <c r="D526" s="37" t="s">
        <v>426</v>
      </c>
      <c r="E526" s="37"/>
      <c r="F526" s="37"/>
      <c r="G526" s="37" t="s">
        <v>426</v>
      </c>
      <c r="H526" s="37" t="s">
        <v>612</v>
      </c>
      <c r="I526" s="37">
        <v>40</v>
      </c>
      <c r="J526" s="37" t="s">
        <v>32</v>
      </c>
      <c r="K526" s="37" t="s">
        <v>32</v>
      </c>
      <c r="L526" s="40" t="s">
        <v>1039</v>
      </c>
    </row>
    <row r="527" spans="1:12" x14ac:dyDescent="0.25">
      <c r="A527" s="38">
        <f t="shared" si="3"/>
        <v>526</v>
      </c>
      <c r="B527" s="39" t="s">
        <v>952</v>
      </c>
      <c r="C527" s="37" t="s">
        <v>1040</v>
      </c>
      <c r="D527" s="37" t="s">
        <v>709</v>
      </c>
      <c r="E527" s="37"/>
      <c r="F527" s="37"/>
      <c r="G527" s="37" t="s">
        <v>709</v>
      </c>
      <c r="H527" s="37" t="s">
        <v>988</v>
      </c>
      <c r="I527" s="37">
        <v>20</v>
      </c>
      <c r="J527" s="37" t="s">
        <v>32</v>
      </c>
      <c r="K527" s="37" t="s">
        <v>32</v>
      </c>
      <c r="L527" s="40">
        <v>44821</v>
      </c>
    </row>
    <row r="528" spans="1:12" x14ac:dyDescent="0.25">
      <c r="A528" s="38">
        <f t="shared" si="3"/>
        <v>527</v>
      </c>
      <c r="B528" s="39" t="s">
        <v>952</v>
      </c>
      <c r="C528" s="37" t="s">
        <v>983</v>
      </c>
      <c r="D528" s="37" t="s">
        <v>597</v>
      </c>
      <c r="E528" s="37"/>
      <c r="F528" s="37"/>
      <c r="G528" s="37" t="s">
        <v>597</v>
      </c>
      <c r="H528" s="37" t="s">
        <v>612</v>
      </c>
      <c r="I528" s="37">
        <v>32</v>
      </c>
      <c r="J528" s="37" t="s">
        <v>32</v>
      </c>
      <c r="K528" s="37" t="s">
        <v>32</v>
      </c>
      <c r="L528" s="40">
        <v>44821</v>
      </c>
    </row>
    <row r="529" spans="1:12" x14ac:dyDescent="0.25">
      <c r="A529" s="38">
        <f t="shared" si="3"/>
        <v>528</v>
      </c>
      <c r="B529" s="39" t="s">
        <v>952</v>
      </c>
      <c r="C529" s="37" t="s">
        <v>751</v>
      </c>
      <c r="D529" s="37">
        <v>4605</v>
      </c>
      <c r="E529" s="37"/>
      <c r="F529" s="37"/>
      <c r="G529" s="37">
        <v>4605</v>
      </c>
      <c r="H529" s="37" t="s">
        <v>612</v>
      </c>
      <c r="I529" s="37">
        <v>38</v>
      </c>
      <c r="J529" s="37" t="s">
        <v>32</v>
      </c>
      <c r="K529" s="37" t="s">
        <v>32</v>
      </c>
      <c r="L529" s="40">
        <v>44821</v>
      </c>
    </row>
    <row r="530" spans="1:12" x14ac:dyDescent="0.25">
      <c r="A530" s="38">
        <f t="shared" si="3"/>
        <v>529</v>
      </c>
      <c r="B530" s="39" t="s">
        <v>952</v>
      </c>
      <c r="C530" s="37" t="s">
        <v>753</v>
      </c>
      <c r="D530" s="37">
        <v>4604</v>
      </c>
      <c r="E530" s="37"/>
      <c r="F530" s="37"/>
      <c r="G530" s="37">
        <v>4604</v>
      </c>
      <c r="H530" s="37" t="s">
        <v>612</v>
      </c>
      <c r="I530" s="37">
        <v>10</v>
      </c>
      <c r="J530" s="37" t="s">
        <v>32</v>
      </c>
      <c r="K530" s="37" t="s">
        <v>32</v>
      </c>
      <c r="L530" s="40">
        <v>44821</v>
      </c>
    </row>
    <row r="531" spans="1:12" x14ac:dyDescent="0.25">
      <c r="A531" s="38">
        <f t="shared" si="3"/>
        <v>530</v>
      </c>
      <c r="B531" s="39" t="s">
        <v>952</v>
      </c>
      <c r="C531" s="37" t="s">
        <v>987</v>
      </c>
      <c r="D531" s="37">
        <v>4601</v>
      </c>
      <c r="E531" s="37"/>
      <c r="F531" s="37"/>
      <c r="G531" s="37">
        <v>4601</v>
      </c>
      <c r="H531" s="37" t="s">
        <v>612</v>
      </c>
      <c r="I531" s="37">
        <v>24</v>
      </c>
      <c r="J531" s="37" t="s">
        <v>32</v>
      </c>
      <c r="K531" s="37" t="s">
        <v>32</v>
      </c>
      <c r="L531" s="40">
        <v>44821</v>
      </c>
    </row>
    <row r="532" spans="1:12" x14ac:dyDescent="0.25">
      <c r="A532" s="38">
        <f t="shared" si="3"/>
        <v>531</v>
      </c>
      <c r="B532" s="39" t="s">
        <v>952</v>
      </c>
      <c r="C532" s="37" t="s">
        <v>980</v>
      </c>
      <c r="D532" s="37" t="s">
        <v>470</v>
      </c>
      <c r="E532" s="37"/>
      <c r="F532" s="37"/>
      <c r="G532" s="37" t="s">
        <v>470</v>
      </c>
      <c r="H532" s="37" t="s">
        <v>966</v>
      </c>
      <c r="I532" s="37">
        <v>40</v>
      </c>
      <c r="J532" s="37" t="s">
        <v>32</v>
      </c>
      <c r="K532" s="37" t="s">
        <v>32</v>
      </c>
      <c r="L532" s="40">
        <v>44821</v>
      </c>
    </row>
    <row r="533" spans="1:12" x14ac:dyDescent="0.25">
      <c r="A533" s="38">
        <f t="shared" si="3"/>
        <v>532</v>
      </c>
      <c r="B533" s="39" t="s">
        <v>952</v>
      </c>
      <c r="C533" s="37" t="s">
        <v>1041</v>
      </c>
      <c r="D533" s="37" t="s">
        <v>1042</v>
      </c>
      <c r="E533" s="37"/>
      <c r="F533" s="37"/>
      <c r="G533" s="37" t="s">
        <v>468</v>
      </c>
      <c r="H533" s="37" t="s">
        <v>988</v>
      </c>
      <c r="I533" s="37">
        <v>300</v>
      </c>
      <c r="J533" s="37" t="s">
        <v>32</v>
      </c>
      <c r="K533" s="37" t="s">
        <v>32</v>
      </c>
      <c r="L533" s="40">
        <v>44821</v>
      </c>
    </row>
    <row r="534" spans="1:12" x14ac:dyDescent="0.25">
      <c r="A534" s="38">
        <f t="shared" si="3"/>
        <v>533</v>
      </c>
      <c r="B534" s="39" t="s">
        <v>952</v>
      </c>
      <c r="C534" s="37" t="s">
        <v>1026</v>
      </c>
      <c r="D534" s="37" t="s">
        <v>294</v>
      </c>
      <c r="E534" s="37"/>
      <c r="F534" s="37"/>
      <c r="G534" s="37" t="s">
        <v>294</v>
      </c>
      <c r="H534" s="37" t="s">
        <v>263</v>
      </c>
      <c r="I534" s="37">
        <v>6</v>
      </c>
      <c r="J534" s="37" t="s">
        <v>32</v>
      </c>
      <c r="K534" s="37" t="s">
        <v>32</v>
      </c>
      <c r="L534" s="40">
        <v>44821</v>
      </c>
    </row>
    <row r="535" spans="1:12" x14ac:dyDescent="0.25">
      <c r="A535" s="38">
        <f t="shared" si="3"/>
        <v>534</v>
      </c>
      <c r="B535" s="39" t="s">
        <v>952</v>
      </c>
      <c r="C535" s="37" t="s">
        <v>963</v>
      </c>
      <c r="D535" s="37" t="s">
        <v>601</v>
      </c>
      <c r="E535" s="37"/>
      <c r="F535" s="37"/>
      <c r="G535" s="37" t="s">
        <v>601</v>
      </c>
      <c r="H535" s="37" t="s">
        <v>612</v>
      </c>
      <c r="I535" s="37">
        <v>16</v>
      </c>
      <c r="J535" s="37" t="s">
        <v>32</v>
      </c>
      <c r="K535" s="37" t="s">
        <v>32</v>
      </c>
      <c r="L535" s="40">
        <v>44821</v>
      </c>
    </row>
    <row r="536" spans="1:12" x14ac:dyDescent="0.25">
      <c r="A536" s="38">
        <f t="shared" si="3"/>
        <v>535</v>
      </c>
      <c r="B536" s="39" t="s">
        <v>952</v>
      </c>
      <c r="C536" s="37" t="s">
        <v>753</v>
      </c>
      <c r="D536" s="37">
        <v>4604</v>
      </c>
      <c r="E536" s="37"/>
      <c r="F536" s="37"/>
      <c r="G536" s="37">
        <v>4604</v>
      </c>
      <c r="H536" s="37" t="s">
        <v>612</v>
      </c>
      <c r="I536" s="37">
        <v>4</v>
      </c>
      <c r="J536" s="37" t="s">
        <v>32</v>
      </c>
      <c r="K536" s="37" t="s">
        <v>32</v>
      </c>
      <c r="L536" s="40">
        <v>44821</v>
      </c>
    </row>
    <row r="537" spans="1:12" x14ac:dyDescent="0.25">
      <c r="A537" s="38">
        <f t="shared" si="3"/>
        <v>536</v>
      </c>
      <c r="B537" s="39" t="s">
        <v>952</v>
      </c>
      <c r="C537" s="37" t="s">
        <v>751</v>
      </c>
      <c r="D537" s="37">
        <v>4605</v>
      </c>
      <c r="E537" s="37"/>
      <c r="F537" s="37"/>
      <c r="G537" s="37">
        <v>4605</v>
      </c>
      <c r="H537" s="37" t="s">
        <v>612</v>
      </c>
      <c r="I537" s="37">
        <v>4</v>
      </c>
      <c r="J537" s="37" t="s">
        <v>32</v>
      </c>
      <c r="K537" s="37" t="s">
        <v>32</v>
      </c>
      <c r="L537" s="40">
        <v>44821</v>
      </c>
    </row>
    <row r="538" spans="1:12" x14ac:dyDescent="0.25">
      <c r="A538" s="38">
        <f t="shared" si="3"/>
        <v>537</v>
      </c>
      <c r="B538" s="39" t="s">
        <v>952</v>
      </c>
      <c r="C538" s="37" t="s">
        <v>987</v>
      </c>
      <c r="D538" s="37">
        <v>4601</v>
      </c>
      <c r="E538" s="37"/>
      <c r="F538" s="37"/>
      <c r="G538" s="37">
        <v>4601</v>
      </c>
      <c r="H538" s="37" t="s">
        <v>612</v>
      </c>
      <c r="I538" s="37">
        <v>4</v>
      </c>
      <c r="J538" s="37" t="s">
        <v>32</v>
      </c>
      <c r="K538" s="37" t="s">
        <v>32</v>
      </c>
      <c r="L538" s="40">
        <v>44821</v>
      </c>
    </row>
    <row r="539" spans="1:12" x14ac:dyDescent="0.25">
      <c r="A539" s="38">
        <f t="shared" si="3"/>
        <v>538</v>
      </c>
      <c r="B539" s="39" t="s">
        <v>952</v>
      </c>
      <c r="C539" s="37" t="s">
        <v>1043</v>
      </c>
      <c r="D539" s="37" t="s">
        <v>434</v>
      </c>
      <c r="E539" s="37"/>
      <c r="F539" s="37"/>
      <c r="G539" s="37" t="s">
        <v>434</v>
      </c>
      <c r="H539" s="37" t="s">
        <v>612</v>
      </c>
      <c r="I539" s="37">
        <v>64</v>
      </c>
      <c r="J539" s="37" t="s">
        <v>32</v>
      </c>
      <c r="K539" s="37" t="s">
        <v>32</v>
      </c>
      <c r="L539" s="40">
        <v>44821</v>
      </c>
    </row>
    <row r="540" spans="1:12" x14ac:dyDescent="0.25">
      <c r="A540" s="38">
        <f t="shared" si="3"/>
        <v>539</v>
      </c>
      <c r="B540" s="39" t="s">
        <v>952</v>
      </c>
      <c r="C540" s="37" t="s">
        <v>511</v>
      </c>
      <c r="D540" s="37">
        <v>1430</v>
      </c>
      <c r="E540" s="37"/>
      <c r="F540" s="37"/>
      <c r="G540" s="37">
        <v>1430</v>
      </c>
      <c r="H540" s="37" t="s">
        <v>612</v>
      </c>
      <c r="I540" s="37">
        <v>10</v>
      </c>
      <c r="J540" s="37" t="s">
        <v>32</v>
      </c>
      <c r="K540" s="37" t="s">
        <v>32</v>
      </c>
      <c r="L540" s="40">
        <v>44821</v>
      </c>
    </row>
    <row r="541" spans="1:12" x14ac:dyDescent="0.25">
      <c r="A541" s="38">
        <f t="shared" si="3"/>
        <v>540</v>
      </c>
      <c r="B541" s="39" t="s">
        <v>952</v>
      </c>
      <c r="C541" s="37" t="s">
        <v>758</v>
      </c>
      <c r="D541" s="37">
        <v>1401</v>
      </c>
      <c r="E541" s="37"/>
      <c r="F541" s="37"/>
      <c r="G541" s="37">
        <v>1401</v>
      </c>
      <c r="H541" s="37" t="s">
        <v>612</v>
      </c>
      <c r="I541" s="37">
        <v>3</v>
      </c>
      <c r="J541" s="37" t="s">
        <v>32</v>
      </c>
      <c r="K541" s="37" t="s">
        <v>32</v>
      </c>
      <c r="L541" s="40">
        <v>44821</v>
      </c>
    </row>
    <row r="542" spans="1:12" x14ac:dyDescent="0.25">
      <c r="A542" s="38">
        <f t="shared" si="3"/>
        <v>541</v>
      </c>
      <c r="B542" s="39" t="s">
        <v>952</v>
      </c>
      <c r="C542" s="37" t="s">
        <v>328</v>
      </c>
      <c r="D542" s="37">
        <v>1402</v>
      </c>
      <c r="E542" s="37"/>
      <c r="F542" s="37"/>
      <c r="G542" s="37">
        <v>1402</v>
      </c>
      <c r="H542" s="37" t="s">
        <v>612</v>
      </c>
      <c r="I542" s="37">
        <v>8</v>
      </c>
      <c r="J542" s="37" t="s">
        <v>32</v>
      </c>
      <c r="K542" s="37" t="s">
        <v>32</v>
      </c>
      <c r="L542" s="40">
        <v>44821</v>
      </c>
    </row>
    <row r="543" spans="1:12" x14ac:dyDescent="0.25">
      <c r="A543" s="38">
        <f t="shared" si="3"/>
        <v>542</v>
      </c>
      <c r="B543" s="39" t="s">
        <v>952</v>
      </c>
      <c r="C543" s="37" t="s">
        <v>1044</v>
      </c>
      <c r="D543" s="37" t="s">
        <v>528</v>
      </c>
      <c r="E543" s="37"/>
      <c r="F543" s="37"/>
      <c r="G543" s="37" t="s">
        <v>528</v>
      </c>
      <c r="H543" s="37" t="s">
        <v>263</v>
      </c>
      <c r="I543" s="37">
        <v>1</v>
      </c>
      <c r="J543" s="37" t="s">
        <v>32</v>
      </c>
      <c r="K543" s="37" t="s">
        <v>32</v>
      </c>
      <c r="L543" s="40">
        <v>44821</v>
      </c>
    </row>
    <row r="544" spans="1:12" x14ac:dyDescent="0.25">
      <c r="A544" s="38">
        <f t="shared" si="3"/>
        <v>543</v>
      </c>
      <c r="B544" s="39" t="s">
        <v>957</v>
      </c>
      <c r="C544" s="37" t="s">
        <v>1045</v>
      </c>
      <c r="D544" s="37" t="s">
        <v>693</v>
      </c>
      <c r="E544" s="37"/>
      <c r="F544" s="37"/>
      <c r="G544" s="37" t="s">
        <v>693</v>
      </c>
      <c r="H544" s="37" t="s">
        <v>612</v>
      </c>
      <c r="I544" s="37">
        <v>1</v>
      </c>
      <c r="J544" s="37"/>
      <c r="K544" s="37" t="s">
        <v>32</v>
      </c>
      <c r="L544" s="40">
        <v>44819</v>
      </c>
    </row>
    <row r="545" spans="1:12" x14ac:dyDescent="0.25">
      <c r="A545" s="38">
        <f t="shared" si="3"/>
        <v>544</v>
      </c>
      <c r="B545" s="39" t="s">
        <v>957</v>
      </c>
      <c r="C545" s="37" t="s">
        <v>1045</v>
      </c>
      <c r="D545" s="37" t="s">
        <v>693</v>
      </c>
      <c r="E545" s="37"/>
      <c r="F545" s="37"/>
      <c r="G545" s="37" t="s">
        <v>693</v>
      </c>
      <c r="H545" s="37" t="s">
        <v>612</v>
      </c>
      <c r="I545" s="37">
        <v>3</v>
      </c>
      <c r="J545" s="37"/>
      <c r="K545" s="37" t="s">
        <v>32</v>
      </c>
      <c r="L545" s="40">
        <v>44819</v>
      </c>
    </row>
    <row r="546" spans="1:12" x14ac:dyDescent="0.25">
      <c r="A546" s="38">
        <f t="shared" si="3"/>
        <v>545</v>
      </c>
      <c r="B546" s="39" t="s">
        <v>952</v>
      </c>
      <c r="C546" s="37" t="s">
        <v>1045</v>
      </c>
      <c r="D546" s="37" t="s">
        <v>693</v>
      </c>
      <c r="E546" s="37"/>
      <c r="F546" s="37"/>
      <c r="G546" s="37" t="s">
        <v>693</v>
      </c>
      <c r="H546" s="37" t="s">
        <v>612</v>
      </c>
      <c r="I546" s="37">
        <v>1</v>
      </c>
      <c r="J546" s="37"/>
      <c r="K546" s="37" t="s">
        <v>32</v>
      </c>
      <c r="L546" s="40">
        <v>44819</v>
      </c>
    </row>
    <row r="547" spans="1:12" x14ac:dyDescent="0.25">
      <c r="A547" s="38">
        <f t="shared" si="3"/>
        <v>546</v>
      </c>
      <c r="B547" s="39" t="s">
        <v>952</v>
      </c>
      <c r="C547" s="37" t="s">
        <v>1045</v>
      </c>
      <c r="D547" s="37" t="s">
        <v>693</v>
      </c>
      <c r="E547" s="37"/>
      <c r="F547" s="37"/>
      <c r="G547" s="37" t="s">
        <v>693</v>
      </c>
      <c r="H547" s="37" t="s">
        <v>612</v>
      </c>
      <c r="I547" s="37">
        <v>3</v>
      </c>
      <c r="J547" s="37"/>
      <c r="K547" s="37" t="s">
        <v>32</v>
      </c>
      <c r="L547" s="40">
        <v>44819</v>
      </c>
    </row>
    <row r="548" spans="1:12" x14ac:dyDescent="0.25">
      <c r="A548" s="38">
        <f t="shared" si="3"/>
        <v>547</v>
      </c>
      <c r="B548" s="39" t="s">
        <v>957</v>
      </c>
      <c r="C548" s="37" t="s">
        <v>1046</v>
      </c>
      <c r="D548" s="37" t="s">
        <v>242</v>
      </c>
      <c r="E548" s="37"/>
      <c r="F548" s="37"/>
      <c r="G548" s="37" t="s">
        <v>242</v>
      </c>
      <c r="H548" s="37" t="s">
        <v>981</v>
      </c>
      <c r="I548" s="37">
        <v>60</v>
      </c>
      <c r="J548" s="37" t="s">
        <v>32</v>
      </c>
      <c r="K548" s="37" t="s">
        <v>32</v>
      </c>
      <c r="L548" s="40">
        <v>44819</v>
      </c>
    </row>
    <row r="549" spans="1:12" x14ac:dyDescent="0.25">
      <c r="A549" s="38">
        <f t="shared" si="3"/>
        <v>548</v>
      </c>
      <c r="B549" s="39" t="s">
        <v>957</v>
      </c>
      <c r="C549" s="37" t="s">
        <v>971</v>
      </c>
      <c r="D549" s="37" t="s">
        <v>624</v>
      </c>
      <c r="E549" s="37"/>
      <c r="F549" s="37" t="s">
        <v>972</v>
      </c>
      <c r="G549" s="37" t="s">
        <v>624</v>
      </c>
      <c r="H549" s="37" t="s">
        <v>612</v>
      </c>
      <c r="I549" s="37">
        <v>1</v>
      </c>
      <c r="J549" s="37"/>
      <c r="K549" s="37" t="s">
        <v>32</v>
      </c>
      <c r="L549" s="40">
        <v>44819</v>
      </c>
    </row>
    <row r="550" spans="1:12" x14ac:dyDescent="0.25">
      <c r="A550" s="38">
        <f t="shared" si="3"/>
        <v>549</v>
      </c>
      <c r="B550" s="39" t="s">
        <v>957</v>
      </c>
      <c r="C550" s="37" t="s">
        <v>978</v>
      </c>
      <c r="D550" s="37" t="s">
        <v>979</v>
      </c>
      <c r="E550" s="37"/>
      <c r="F550" s="37"/>
      <c r="G550" s="37" t="s">
        <v>979</v>
      </c>
      <c r="H550" s="37" t="s">
        <v>612</v>
      </c>
      <c r="I550" s="37">
        <v>4</v>
      </c>
      <c r="J550" s="37"/>
      <c r="K550" s="37" t="s">
        <v>32</v>
      </c>
      <c r="L550" s="40">
        <v>44819</v>
      </c>
    </row>
    <row r="551" spans="1:12" x14ac:dyDescent="0.25">
      <c r="A551" s="38">
        <f t="shared" si="3"/>
        <v>550</v>
      </c>
      <c r="B551" s="39" t="s">
        <v>952</v>
      </c>
      <c r="C551" s="37" t="s">
        <v>971</v>
      </c>
      <c r="D551" s="37" t="s">
        <v>624</v>
      </c>
      <c r="E551" s="37"/>
      <c r="F551" s="37" t="s">
        <v>972</v>
      </c>
      <c r="G551" s="37" t="s">
        <v>624</v>
      </c>
      <c r="H551" s="37" t="s">
        <v>612</v>
      </c>
      <c r="I551" s="37">
        <v>2</v>
      </c>
      <c r="J551" s="37"/>
      <c r="K551" s="37" t="s">
        <v>32</v>
      </c>
      <c r="L551" s="40">
        <v>44819</v>
      </c>
    </row>
    <row r="552" spans="1:12" x14ac:dyDescent="0.25">
      <c r="A552" s="38">
        <f t="shared" si="3"/>
        <v>551</v>
      </c>
      <c r="B552" s="39" t="s">
        <v>952</v>
      </c>
      <c r="C552" s="37" t="s">
        <v>978</v>
      </c>
      <c r="D552" s="37" t="s">
        <v>979</v>
      </c>
      <c r="E552" s="37"/>
      <c r="F552" s="37"/>
      <c r="G552" s="37" t="s">
        <v>979</v>
      </c>
      <c r="H552" s="37" t="s">
        <v>612</v>
      </c>
      <c r="I552" s="37">
        <v>4</v>
      </c>
      <c r="J552" s="37"/>
      <c r="K552" s="37" t="s">
        <v>32</v>
      </c>
      <c r="L552" s="40">
        <v>44819</v>
      </c>
    </row>
    <row r="553" spans="1:12" x14ac:dyDescent="0.25">
      <c r="A553" s="38">
        <f t="shared" si="3"/>
        <v>552</v>
      </c>
      <c r="B553" s="39" t="s">
        <v>952</v>
      </c>
      <c r="C553" s="37" t="s">
        <v>1047</v>
      </c>
      <c r="D553" s="37" t="s">
        <v>228</v>
      </c>
      <c r="E553" s="37" t="s">
        <v>1048</v>
      </c>
      <c r="F553" s="37"/>
      <c r="G553" s="37" t="s">
        <v>228</v>
      </c>
      <c r="H553" s="37" t="s">
        <v>612</v>
      </c>
      <c r="I553" s="37">
        <v>1</v>
      </c>
      <c r="J553" s="37" t="s">
        <v>32</v>
      </c>
      <c r="K553" s="37" t="s">
        <v>32</v>
      </c>
      <c r="L553" s="40">
        <v>44818</v>
      </c>
    </row>
    <row r="554" spans="1:12" x14ac:dyDescent="0.25">
      <c r="A554" s="38">
        <f t="shared" si="3"/>
        <v>553</v>
      </c>
      <c r="B554" s="39" t="s">
        <v>952</v>
      </c>
      <c r="C554" s="37" t="s">
        <v>634</v>
      </c>
      <c r="D554" s="37" t="s">
        <v>1049</v>
      </c>
      <c r="E554" s="37"/>
      <c r="F554" s="37" t="s">
        <v>1050</v>
      </c>
      <c r="G554" s="37" t="s">
        <v>1049</v>
      </c>
      <c r="H554" s="37" t="s">
        <v>612</v>
      </c>
      <c r="I554" s="37">
        <v>1</v>
      </c>
      <c r="J554" s="37" t="s">
        <v>32</v>
      </c>
      <c r="K554" s="37" t="s">
        <v>32</v>
      </c>
      <c r="L554" s="40">
        <v>44818</v>
      </c>
    </row>
    <row r="555" spans="1:12" x14ac:dyDescent="0.25">
      <c r="A555" s="38">
        <f t="shared" si="3"/>
        <v>554</v>
      </c>
      <c r="B555" s="39" t="s">
        <v>957</v>
      </c>
      <c r="C555" s="37" t="s">
        <v>1047</v>
      </c>
      <c r="D555" s="37" t="s">
        <v>228</v>
      </c>
      <c r="E555" s="37" t="s">
        <v>1048</v>
      </c>
      <c r="F555" s="37"/>
      <c r="G555" s="37" t="s">
        <v>228</v>
      </c>
      <c r="H555" s="37" t="s">
        <v>612</v>
      </c>
      <c r="I555" s="37">
        <v>1</v>
      </c>
      <c r="J555" s="37" t="s">
        <v>32</v>
      </c>
      <c r="K555" s="37" t="s">
        <v>32</v>
      </c>
      <c r="L555" s="40">
        <v>44818</v>
      </c>
    </row>
    <row r="556" spans="1:12" x14ac:dyDescent="0.25">
      <c r="A556" s="38">
        <f t="shared" si="3"/>
        <v>555</v>
      </c>
      <c r="B556" s="39" t="s">
        <v>957</v>
      </c>
      <c r="C556" s="37" t="s">
        <v>634</v>
      </c>
      <c r="D556" s="37" t="s">
        <v>1049</v>
      </c>
      <c r="E556" s="37"/>
      <c r="F556" s="37" t="s">
        <v>1050</v>
      </c>
      <c r="G556" s="37" t="s">
        <v>1049</v>
      </c>
      <c r="H556" s="37" t="s">
        <v>612</v>
      </c>
      <c r="I556" s="37">
        <v>1</v>
      </c>
      <c r="J556" s="37" t="s">
        <v>32</v>
      </c>
      <c r="K556" s="37" t="s">
        <v>32</v>
      </c>
      <c r="L556" s="40">
        <v>44818</v>
      </c>
    </row>
    <row r="557" spans="1:12" x14ac:dyDescent="0.25">
      <c r="A557" s="38">
        <f t="shared" si="3"/>
        <v>556</v>
      </c>
      <c r="B557" s="39" t="s">
        <v>952</v>
      </c>
      <c r="C557" s="37" t="s">
        <v>948</v>
      </c>
      <c r="D557" s="37" t="s">
        <v>424</v>
      </c>
      <c r="E557" s="37"/>
      <c r="F557" s="37"/>
      <c r="G557" s="37" t="s">
        <v>424</v>
      </c>
      <c r="H557" s="37" t="s">
        <v>612</v>
      </c>
      <c r="I557" s="37">
        <v>2</v>
      </c>
      <c r="J557" s="37" t="s">
        <v>32</v>
      </c>
      <c r="K557" s="37" t="s">
        <v>32</v>
      </c>
      <c r="L557" s="40">
        <v>44818</v>
      </c>
    </row>
    <row r="558" spans="1:12" x14ac:dyDescent="0.25">
      <c r="A558" s="38">
        <f t="shared" si="3"/>
        <v>557</v>
      </c>
      <c r="B558" s="39" t="s">
        <v>952</v>
      </c>
      <c r="C558" s="37" t="s">
        <v>1005</v>
      </c>
      <c r="D558" s="37" t="s">
        <v>466</v>
      </c>
      <c r="E558" s="37"/>
      <c r="F558" s="37"/>
      <c r="G558" s="37" t="s">
        <v>466</v>
      </c>
      <c r="H558" s="37" t="s">
        <v>612</v>
      </c>
      <c r="I558" s="37">
        <v>1</v>
      </c>
      <c r="J558" s="37" t="s">
        <v>32</v>
      </c>
      <c r="K558" s="37" t="s">
        <v>32</v>
      </c>
      <c r="L558" s="40">
        <v>44818</v>
      </c>
    </row>
    <row r="559" spans="1:12" x14ac:dyDescent="0.25">
      <c r="A559" s="38">
        <f t="shared" si="3"/>
        <v>558</v>
      </c>
      <c r="B559" s="39" t="s">
        <v>952</v>
      </c>
      <c r="C559" s="37" t="s">
        <v>634</v>
      </c>
      <c r="D559" s="37" t="s">
        <v>1049</v>
      </c>
      <c r="E559" s="37"/>
      <c r="F559" s="37" t="s">
        <v>1050</v>
      </c>
      <c r="G559" s="37" t="s">
        <v>1049</v>
      </c>
      <c r="H559" s="37" t="s">
        <v>612</v>
      </c>
      <c r="I559" s="37">
        <v>1</v>
      </c>
      <c r="J559" s="37" t="s">
        <v>32</v>
      </c>
      <c r="K559" s="37" t="s">
        <v>32</v>
      </c>
      <c r="L559" s="40">
        <v>44818</v>
      </c>
    </row>
    <row r="560" spans="1:12" x14ac:dyDescent="0.25">
      <c r="A560" s="38">
        <f t="shared" si="3"/>
        <v>559</v>
      </c>
      <c r="B560" s="39" t="s">
        <v>952</v>
      </c>
      <c r="C560" s="37" t="s">
        <v>967</v>
      </c>
      <c r="D560" s="37" t="s">
        <v>609</v>
      </c>
      <c r="E560" s="37"/>
      <c r="F560" s="37" t="s">
        <v>1051</v>
      </c>
      <c r="G560" s="37" t="s">
        <v>609</v>
      </c>
      <c r="H560" s="37" t="s">
        <v>612</v>
      </c>
      <c r="I560" s="37">
        <v>2</v>
      </c>
      <c r="J560" s="37"/>
      <c r="K560" s="37" t="s">
        <v>32</v>
      </c>
      <c r="L560" s="40">
        <v>44818</v>
      </c>
    </row>
    <row r="561" spans="1:12" x14ac:dyDescent="0.25">
      <c r="A561" s="38">
        <f t="shared" si="3"/>
        <v>560</v>
      </c>
      <c r="B561" s="39" t="s">
        <v>957</v>
      </c>
      <c r="C561" s="37" t="s">
        <v>1046</v>
      </c>
      <c r="D561" s="37" t="s">
        <v>242</v>
      </c>
      <c r="E561" s="37"/>
      <c r="F561" s="37"/>
      <c r="G561" s="37" t="s">
        <v>242</v>
      </c>
      <c r="H561" s="37" t="s">
        <v>981</v>
      </c>
      <c r="I561" s="37">
        <v>60</v>
      </c>
      <c r="J561" s="37" t="s">
        <v>32</v>
      </c>
      <c r="K561" s="37" t="s">
        <v>32</v>
      </c>
      <c r="L561" s="40">
        <v>44818</v>
      </c>
    </row>
    <row r="562" spans="1:12" x14ac:dyDescent="0.25">
      <c r="A562" s="38">
        <f t="shared" si="3"/>
        <v>561</v>
      </c>
      <c r="B562" s="39" t="s">
        <v>952</v>
      </c>
      <c r="C562" s="37" t="s">
        <v>1005</v>
      </c>
      <c r="D562" s="37" t="s">
        <v>466</v>
      </c>
      <c r="E562" s="37"/>
      <c r="F562" s="37"/>
      <c r="G562" s="37" t="s">
        <v>466</v>
      </c>
      <c r="H562" s="37" t="s">
        <v>612</v>
      </c>
      <c r="I562" s="37">
        <v>2</v>
      </c>
      <c r="J562" s="37" t="s">
        <v>32</v>
      </c>
      <c r="K562" s="37" t="s">
        <v>32</v>
      </c>
      <c r="L562" s="40">
        <v>44818</v>
      </c>
    </row>
    <row r="563" spans="1:12" x14ac:dyDescent="0.25">
      <c r="A563" s="38">
        <f t="shared" si="3"/>
        <v>562</v>
      </c>
      <c r="B563" s="39" t="s">
        <v>952</v>
      </c>
      <c r="C563" s="37" t="s">
        <v>1052</v>
      </c>
      <c r="D563" s="37" t="s">
        <v>219</v>
      </c>
      <c r="E563" s="37"/>
      <c r="F563" s="37" t="s">
        <v>1053</v>
      </c>
      <c r="G563" s="37" t="s">
        <v>219</v>
      </c>
      <c r="H563" s="37" t="s">
        <v>612</v>
      </c>
      <c r="I563" s="37">
        <v>18</v>
      </c>
      <c r="J563" s="37"/>
      <c r="K563" s="37" t="s">
        <v>32</v>
      </c>
      <c r="L563" s="40">
        <v>44818</v>
      </c>
    </row>
    <row r="564" spans="1:12" x14ac:dyDescent="0.25">
      <c r="A564" s="38">
        <f t="shared" si="3"/>
        <v>563</v>
      </c>
      <c r="B564" s="39" t="s">
        <v>957</v>
      </c>
      <c r="C564" s="37" t="s">
        <v>1052</v>
      </c>
      <c r="D564" s="37" t="s">
        <v>219</v>
      </c>
      <c r="E564" s="37"/>
      <c r="F564" s="37" t="s">
        <v>1053</v>
      </c>
      <c r="G564" s="37" t="s">
        <v>219</v>
      </c>
      <c r="H564" s="37" t="s">
        <v>612</v>
      </c>
      <c r="I564" s="37">
        <v>18</v>
      </c>
      <c r="J564" s="37"/>
      <c r="K564" s="37" t="s">
        <v>32</v>
      </c>
      <c r="L564" s="40">
        <v>44818</v>
      </c>
    </row>
    <row r="565" spans="1:12" x14ac:dyDescent="0.25">
      <c r="A565" s="38">
        <f t="shared" si="3"/>
        <v>564</v>
      </c>
      <c r="B565" s="39" t="s">
        <v>957</v>
      </c>
      <c r="C565" s="37" t="s">
        <v>1054</v>
      </c>
      <c r="D565" s="37" t="s">
        <v>307</v>
      </c>
      <c r="E565" s="37"/>
      <c r="F565" s="37"/>
      <c r="G565" s="37" t="s">
        <v>1055</v>
      </c>
      <c r="H565" s="37" t="s">
        <v>612</v>
      </c>
      <c r="I565" s="37">
        <v>4</v>
      </c>
      <c r="J565" s="37" t="s">
        <v>32</v>
      </c>
      <c r="K565" s="37" t="s">
        <v>32</v>
      </c>
      <c r="L565" s="40">
        <v>44818</v>
      </c>
    </row>
    <row r="566" spans="1:12" x14ac:dyDescent="0.25">
      <c r="A566" s="38">
        <f t="shared" si="3"/>
        <v>565</v>
      </c>
      <c r="B566" s="39" t="s">
        <v>957</v>
      </c>
      <c r="C566" s="37" t="s">
        <v>1054</v>
      </c>
      <c r="D566" s="37" t="s">
        <v>307</v>
      </c>
      <c r="E566" s="37"/>
      <c r="F566" s="37"/>
      <c r="G566" s="37" t="s">
        <v>1056</v>
      </c>
      <c r="H566" s="37" t="s">
        <v>612</v>
      </c>
      <c r="I566" s="37">
        <v>4</v>
      </c>
      <c r="J566" s="37" t="s">
        <v>32</v>
      </c>
      <c r="K566" s="37" t="s">
        <v>32</v>
      </c>
      <c r="L566" s="40">
        <v>44818</v>
      </c>
    </row>
    <row r="567" spans="1:12" x14ac:dyDescent="0.25">
      <c r="A567" s="38">
        <f t="shared" si="3"/>
        <v>566</v>
      </c>
      <c r="B567" s="39" t="s">
        <v>952</v>
      </c>
      <c r="C567" s="37" t="s">
        <v>1057</v>
      </c>
      <c r="D567" s="37" t="s">
        <v>516</v>
      </c>
      <c r="E567" s="37"/>
      <c r="F567" s="37"/>
      <c r="G567" s="37" t="s">
        <v>516</v>
      </c>
      <c r="H567" s="37" t="s">
        <v>612</v>
      </c>
      <c r="I567" s="37">
        <v>2</v>
      </c>
      <c r="J567" s="37" t="s">
        <v>1058</v>
      </c>
      <c r="K567" s="37" t="s">
        <v>32</v>
      </c>
      <c r="L567" s="40">
        <v>44818</v>
      </c>
    </row>
    <row r="568" spans="1:12" x14ac:dyDescent="0.25">
      <c r="A568" s="38">
        <f t="shared" si="3"/>
        <v>567</v>
      </c>
      <c r="B568" s="39" t="s">
        <v>957</v>
      </c>
      <c r="C568" s="37" t="s">
        <v>1057</v>
      </c>
      <c r="D568" s="37" t="s">
        <v>516</v>
      </c>
      <c r="E568" s="37"/>
      <c r="F568" s="37"/>
      <c r="G568" s="37" t="s">
        <v>516</v>
      </c>
      <c r="H568" s="37" t="s">
        <v>612</v>
      </c>
      <c r="I568" s="37">
        <v>2</v>
      </c>
      <c r="J568" s="37" t="s">
        <v>1058</v>
      </c>
      <c r="K568" s="37" t="s">
        <v>32</v>
      </c>
      <c r="L568" s="40">
        <v>44818</v>
      </c>
    </row>
    <row r="569" spans="1:12" x14ac:dyDescent="0.25">
      <c r="A569" s="38">
        <f t="shared" si="3"/>
        <v>568</v>
      </c>
      <c r="B569" s="39" t="s">
        <v>957</v>
      </c>
      <c r="C569" s="37" t="s">
        <v>1005</v>
      </c>
      <c r="D569" s="37" t="s">
        <v>466</v>
      </c>
      <c r="E569" s="37"/>
      <c r="F569" s="37"/>
      <c r="G569" s="37" t="s">
        <v>466</v>
      </c>
      <c r="H569" s="37" t="s">
        <v>612</v>
      </c>
      <c r="I569" s="37">
        <v>2</v>
      </c>
      <c r="J569" s="37" t="s">
        <v>32</v>
      </c>
      <c r="K569" s="37" t="s">
        <v>32</v>
      </c>
      <c r="L569" s="40">
        <v>44818</v>
      </c>
    </row>
    <row r="570" spans="1:12" x14ac:dyDescent="0.25">
      <c r="A570" s="38">
        <f t="shared" si="3"/>
        <v>569</v>
      </c>
      <c r="B570" s="39" t="s">
        <v>952</v>
      </c>
      <c r="C570" s="37" t="s">
        <v>889</v>
      </c>
      <c r="D570" s="37" t="s">
        <v>422</v>
      </c>
      <c r="E570" s="37"/>
      <c r="F570" s="37"/>
      <c r="G570" s="37" t="s">
        <v>422</v>
      </c>
      <c r="H570" s="37"/>
      <c r="I570" s="37">
        <v>13</v>
      </c>
      <c r="J570" s="37"/>
      <c r="K570" s="37" t="s">
        <v>974</v>
      </c>
      <c r="L570" s="40">
        <v>44817</v>
      </c>
    </row>
    <row r="571" spans="1:12" x14ac:dyDescent="0.25">
      <c r="A571" s="38">
        <f t="shared" si="3"/>
        <v>570</v>
      </c>
      <c r="B571" s="39" t="s">
        <v>952</v>
      </c>
      <c r="C571" s="37" t="s">
        <v>640</v>
      </c>
      <c r="D571" s="37" t="s">
        <v>644</v>
      </c>
      <c r="E571" s="37"/>
      <c r="F571" s="37"/>
      <c r="G571" s="37" t="s">
        <v>644</v>
      </c>
      <c r="H571" s="37"/>
      <c r="I571" s="37">
        <v>38</v>
      </c>
      <c r="J571" s="37"/>
      <c r="K571" s="37" t="s">
        <v>974</v>
      </c>
      <c r="L571" s="40">
        <v>44817</v>
      </c>
    </row>
    <row r="572" spans="1:12" x14ac:dyDescent="0.25">
      <c r="A572" s="38">
        <f t="shared" si="3"/>
        <v>571</v>
      </c>
      <c r="B572" s="39" t="s">
        <v>952</v>
      </c>
      <c r="C572" s="37" t="s">
        <v>640</v>
      </c>
      <c r="D572" s="37" t="s">
        <v>644</v>
      </c>
      <c r="E572" s="37"/>
      <c r="F572" s="37"/>
      <c r="G572" s="37" t="s">
        <v>644</v>
      </c>
      <c r="H572" s="37"/>
      <c r="I572" s="37">
        <v>38</v>
      </c>
      <c r="J572" s="37"/>
      <c r="K572" s="37" t="s">
        <v>974</v>
      </c>
      <c r="L572" s="40">
        <v>44817</v>
      </c>
    </row>
    <row r="573" spans="1:12" x14ac:dyDescent="0.25">
      <c r="A573" s="38">
        <f t="shared" si="3"/>
        <v>572</v>
      </c>
      <c r="B573" s="39" t="s">
        <v>952</v>
      </c>
      <c r="C573" s="37" t="s">
        <v>889</v>
      </c>
      <c r="D573" s="37" t="s">
        <v>422</v>
      </c>
      <c r="E573" s="37"/>
      <c r="F573" s="37"/>
      <c r="G573" s="37" t="s">
        <v>422</v>
      </c>
      <c r="H573" s="37"/>
      <c r="I573" s="37">
        <v>13</v>
      </c>
      <c r="J573" s="37"/>
      <c r="K573" s="37" t="s">
        <v>974</v>
      </c>
      <c r="L573" s="40">
        <v>44817</v>
      </c>
    </row>
    <row r="574" spans="1:12" x14ac:dyDescent="0.25">
      <c r="A574" s="65"/>
      <c r="B574" s="39"/>
      <c r="C574" s="9"/>
      <c r="D574" s="9"/>
      <c r="E574" s="9"/>
      <c r="F574" s="9"/>
      <c r="G574" s="9"/>
      <c r="H574" s="9"/>
      <c r="I574" s="9"/>
      <c r="J574" s="9"/>
      <c r="K574" s="9"/>
      <c r="L574" s="66"/>
    </row>
    <row r="575" spans="1:12" x14ac:dyDescent="0.25">
      <c r="L575"/>
    </row>
    <row r="576" spans="1:12" x14ac:dyDescent="0.25">
      <c r="L576"/>
    </row>
    <row r="577" spans="12:12" x14ac:dyDescent="0.25">
      <c r="L577"/>
    </row>
    <row r="578" spans="12:12" x14ac:dyDescent="0.25">
      <c r="L578"/>
    </row>
    <row r="579" spans="12:12" x14ac:dyDescent="0.25">
      <c r="L579"/>
    </row>
    <row r="580" spans="12:12" x14ac:dyDescent="0.25">
      <c r="L580"/>
    </row>
    <row r="581" spans="12:12" x14ac:dyDescent="0.25">
      <c r="L581"/>
    </row>
    <row r="582" spans="12:12" x14ac:dyDescent="0.25">
      <c r="L582"/>
    </row>
    <row r="583" spans="12:12" x14ac:dyDescent="0.25">
      <c r="L583"/>
    </row>
    <row r="584" spans="12:12" x14ac:dyDescent="0.25">
      <c r="L584"/>
    </row>
    <row r="585" spans="12:12" x14ac:dyDescent="0.25">
      <c r="L585"/>
    </row>
    <row r="586" spans="12:12" x14ac:dyDescent="0.25">
      <c r="L586"/>
    </row>
    <row r="587" spans="12:12" x14ac:dyDescent="0.25">
      <c r="L587"/>
    </row>
    <row r="588" spans="12:12" x14ac:dyDescent="0.25">
      <c r="L588"/>
    </row>
    <row r="589" spans="12:12" x14ac:dyDescent="0.25">
      <c r="L589"/>
    </row>
    <row r="590" spans="12:12" x14ac:dyDescent="0.25">
      <c r="L590"/>
    </row>
    <row r="591" spans="12:12" x14ac:dyDescent="0.25">
      <c r="L591"/>
    </row>
    <row r="592" spans="12:12" x14ac:dyDescent="0.25">
      <c r="L592"/>
    </row>
    <row r="593" spans="12:12" x14ac:dyDescent="0.25">
      <c r="L593"/>
    </row>
    <row r="594" spans="12:12" x14ac:dyDescent="0.25">
      <c r="L594"/>
    </row>
    <row r="595" spans="12:12" x14ac:dyDescent="0.25">
      <c r="L595"/>
    </row>
    <row r="596" spans="12:12" x14ac:dyDescent="0.25">
      <c r="L596"/>
    </row>
    <row r="597" spans="12:12" x14ac:dyDescent="0.25">
      <c r="L597"/>
    </row>
    <row r="598" spans="12:12" x14ac:dyDescent="0.25">
      <c r="L598"/>
    </row>
    <row r="599" spans="12:12" x14ac:dyDescent="0.25">
      <c r="L599"/>
    </row>
    <row r="600" spans="12:12" x14ac:dyDescent="0.25">
      <c r="L600"/>
    </row>
    <row r="601" spans="12:12" x14ac:dyDescent="0.25">
      <c r="L601"/>
    </row>
    <row r="602" spans="12:12" x14ac:dyDescent="0.25">
      <c r="L602"/>
    </row>
    <row r="603" spans="12:12" x14ac:dyDescent="0.25">
      <c r="L603"/>
    </row>
    <row r="604" spans="12:12" x14ac:dyDescent="0.25">
      <c r="L604"/>
    </row>
    <row r="605" spans="12:12" x14ac:dyDescent="0.25">
      <c r="L605"/>
    </row>
    <row r="606" spans="12:12" x14ac:dyDescent="0.25">
      <c r="L606"/>
    </row>
    <row r="607" spans="12:12" x14ac:dyDescent="0.25">
      <c r="L607"/>
    </row>
    <row r="608" spans="12:12" x14ac:dyDescent="0.25">
      <c r="L608"/>
    </row>
    <row r="609" spans="12:12" x14ac:dyDescent="0.25">
      <c r="L609"/>
    </row>
    <row r="610" spans="12:12" x14ac:dyDescent="0.25">
      <c r="L610"/>
    </row>
    <row r="611" spans="12:12" x14ac:dyDescent="0.25">
      <c r="L611"/>
    </row>
    <row r="612" spans="12:12" x14ac:dyDescent="0.25">
      <c r="L612"/>
    </row>
    <row r="613" spans="12:12" x14ac:dyDescent="0.25">
      <c r="L613"/>
    </row>
    <row r="614" spans="12:12" x14ac:dyDescent="0.25">
      <c r="L614"/>
    </row>
    <row r="615" spans="12:12" x14ac:dyDescent="0.25">
      <c r="L615"/>
    </row>
    <row r="616" spans="12:12" x14ac:dyDescent="0.25">
      <c r="L616"/>
    </row>
    <row r="617" spans="12:12" x14ac:dyDescent="0.25">
      <c r="L617"/>
    </row>
    <row r="618" spans="12:12" x14ac:dyDescent="0.25">
      <c r="L618"/>
    </row>
    <row r="619" spans="12:12" x14ac:dyDescent="0.25">
      <c r="L619"/>
    </row>
    <row r="620" spans="12:12" x14ac:dyDescent="0.25">
      <c r="L620"/>
    </row>
    <row r="621" spans="12:12" x14ac:dyDescent="0.25">
      <c r="L621"/>
    </row>
    <row r="622" spans="12:12" x14ac:dyDescent="0.25">
      <c r="L622"/>
    </row>
    <row r="623" spans="12:12" x14ac:dyDescent="0.25">
      <c r="L623"/>
    </row>
    <row r="624" spans="12:12" x14ac:dyDescent="0.25">
      <c r="L624"/>
    </row>
    <row r="625" spans="12:12" x14ac:dyDescent="0.25">
      <c r="L625"/>
    </row>
    <row r="626" spans="12:12" x14ac:dyDescent="0.25">
      <c r="L626"/>
    </row>
    <row r="627" spans="12:12" x14ac:dyDescent="0.25">
      <c r="L627"/>
    </row>
    <row r="628" spans="12:12" x14ac:dyDescent="0.25">
      <c r="L628"/>
    </row>
    <row r="629" spans="12:12" x14ac:dyDescent="0.25">
      <c r="L629"/>
    </row>
    <row r="630" spans="12:12" x14ac:dyDescent="0.25">
      <c r="L630"/>
    </row>
    <row r="631" spans="12:12" x14ac:dyDescent="0.25">
      <c r="L631"/>
    </row>
    <row r="632" spans="12:12" x14ac:dyDescent="0.25">
      <c r="L632"/>
    </row>
    <row r="633" spans="12:12" x14ac:dyDescent="0.25">
      <c r="L633"/>
    </row>
    <row r="634" spans="12:12" x14ac:dyDescent="0.25">
      <c r="L634"/>
    </row>
    <row r="635" spans="12:12" x14ac:dyDescent="0.25">
      <c r="L635"/>
    </row>
    <row r="636" spans="12:12" x14ac:dyDescent="0.25">
      <c r="L636"/>
    </row>
    <row r="637" spans="12:12" x14ac:dyDescent="0.25">
      <c r="L637"/>
    </row>
    <row r="638" spans="12:12" x14ac:dyDescent="0.25">
      <c r="L638"/>
    </row>
    <row r="639" spans="12:12" x14ac:dyDescent="0.25">
      <c r="L639"/>
    </row>
    <row r="640" spans="12:12" x14ac:dyDescent="0.25">
      <c r="L640"/>
    </row>
    <row r="641" spans="12:12" x14ac:dyDescent="0.25">
      <c r="L641"/>
    </row>
    <row r="642" spans="12:12" x14ac:dyDescent="0.25">
      <c r="L642"/>
    </row>
    <row r="643" spans="12:12" x14ac:dyDescent="0.25">
      <c r="L643"/>
    </row>
    <row r="644" spans="12:12" x14ac:dyDescent="0.25">
      <c r="L644"/>
    </row>
    <row r="645" spans="12:12" x14ac:dyDescent="0.25">
      <c r="L645"/>
    </row>
    <row r="646" spans="12:12" x14ac:dyDescent="0.25">
      <c r="L646"/>
    </row>
    <row r="647" spans="12:12" x14ac:dyDescent="0.25">
      <c r="L647"/>
    </row>
    <row r="648" spans="12:12" x14ac:dyDescent="0.25">
      <c r="L648"/>
    </row>
    <row r="649" spans="12:12" x14ac:dyDescent="0.25">
      <c r="L649"/>
    </row>
    <row r="650" spans="12:12" x14ac:dyDescent="0.25">
      <c r="L650"/>
    </row>
    <row r="651" spans="12:12" x14ac:dyDescent="0.25">
      <c r="L651"/>
    </row>
    <row r="652" spans="12:12" x14ac:dyDescent="0.25">
      <c r="L652"/>
    </row>
    <row r="653" spans="12:12" x14ac:dyDescent="0.25">
      <c r="L653"/>
    </row>
    <row r="654" spans="12:12" x14ac:dyDescent="0.25">
      <c r="L654"/>
    </row>
    <row r="655" spans="12:12" x14ac:dyDescent="0.25">
      <c r="L655"/>
    </row>
    <row r="656" spans="12:12" x14ac:dyDescent="0.25">
      <c r="L656"/>
    </row>
    <row r="657" spans="12:12" x14ac:dyDescent="0.25">
      <c r="L657"/>
    </row>
    <row r="658" spans="12:12" x14ac:dyDescent="0.25">
      <c r="L658"/>
    </row>
    <row r="659" spans="12:12" x14ac:dyDescent="0.25">
      <c r="L659"/>
    </row>
    <row r="660" spans="12:12" x14ac:dyDescent="0.25">
      <c r="L660"/>
    </row>
    <row r="661" spans="12:12" x14ac:dyDescent="0.25">
      <c r="L661"/>
    </row>
    <row r="662" spans="12:12" x14ac:dyDescent="0.25">
      <c r="L662"/>
    </row>
    <row r="663" spans="12:12" x14ac:dyDescent="0.25">
      <c r="L663"/>
    </row>
    <row r="664" spans="12:12" x14ac:dyDescent="0.25">
      <c r="L664"/>
    </row>
    <row r="665" spans="12:12" x14ac:dyDescent="0.25">
      <c r="L665"/>
    </row>
    <row r="666" spans="12:12" x14ac:dyDescent="0.25">
      <c r="L666"/>
    </row>
    <row r="667" spans="12:12" x14ac:dyDescent="0.25">
      <c r="L667"/>
    </row>
    <row r="668" spans="12:12" x14ac:dyDescent="0.25">
      <c r="L668"/>
    </row>
    <row r="669" spans="12:12" x14ac:dyDescent="0.25">
      <c r="L669"/>
    </row>
    <row r="670" spans="12:12" x14ac:dyDescent="0.25">
      <c r="L670"/>
    </row>
    <row r="671" spans="12:12" x14ac:dyDescent="0.25">
      <c r="L671"/>
    </row>
    <row r="672" spans="12:12" x14ac:dyDescent="0.25">
      <c r="L672"/>
    </row>
    <row r="673" spans="12:12" x14ac:dyDescent="0.25">
      <c r="L673"/>
    </row>
    <row r="674" spans="12:12" x14ac:dyDescent="0.25">
      <c r="L674"/>
    </row>
    <row r="675" spans="12:12" x14ac:dyDescent="0.25">
      <c r="L675"/>
    </row>
    <row r="676" spans="12:12" x14ac:dyDescent="0.25">
      <c r="L676"/>
    </row>
    <row r="677" spans="12:12" x14ac:dyDescent="0.25">
      <c r="L677"/>
    </row>
    <row r="678" spans="12:12" x14ac:dyDescent="0.25">
      <c r="L678"/>
    </row>
    <row r="679" spans="12:12" x14ac:dyDescent="0.25">
      <c r="L679"/>
    </row>
    <row r="680" spans="12:12" x14ac:dyDescent="0.25">
      <c r="L680"/>
    </row>
    <row r="681" spans="12:12" x14ac:dyDescent="0.25">
      <c r="L681"/>
    </row>
    <row r="682" spans="12:12" x14ac:dyDescent="0.25">
      <c r="L682"/>
    </row>
    <row r="683" spans="12:12" x14ac:dyDescent="0.25">
      <c r="L683"/>
    </row>
    <row r="684" spans="12:12" x14ac:dyDescent="0.25">
      <c r="L684"/>
    </row>
    <row r="685" spans="12:12" x14ac:dyDescent="0.25">
      <c r="L685"/>
    </row>
    <row r="686" spans="12:12" x14ac:dyDescent="0.25">
      <c r="L686"/>
    </row>
    <row r="687" spans="12:12" x14ac:dyDescent="0.25">
      <c r="L687"/>
    </row>
    <row r="688" spans="12:12" x14ac:dyDescent="0.25">
      <c r="L688"/>
    </row>
    <row r="689" spans="12:12" x14ac:dyDescent="0.25">
      <c r="L689"/>
    </row>
    <row r="690" spans="12:12" x14ac:dyDescent="0.25">
      <c r="L690"/>
    </row>
    <row r="691" spans="12:12" x14ac:dyDescent="0.25">
      <c r="L691"/>
    </row>
    <row r="692" spans="12:12" x14ac:dyDescent="0.25">
      <c r="L692"/>
    </row>
    <row r="693" spans="12:12" x14ac:dyDescent="0.25">
      <c r="L693"/>
    </row>
    <row r="694" spans="12:12" x14ac:dyDescent="0.25">
      <c r="L694"/>
    </row>
    <row r="695" spans="12:12" x14ac:dyDescent="0.25">
      <c r="L695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8" tint="-0.249977111117893"/>
  </sheetPr>
  <dimension ref="A1:D11"/>
  <sheetViews>
    <sheetView workbookViewId="0">
      <selection activeCell="C16" sqref="C16"/>
    </sheetView>
  </sheetViews>
  <sheetFormatPr baseColWidth="10" defaultRowHeight="15" x14ac:dyDescent="0.25"/>
  <cols>
    <col min="1" max="1" width="11.42578125" style="14"/>
    <col min="2" max="2" width="22.85546875" customWidth="1"/>
    <col min="3" max="3" width="25.5703125" customWidth="1"/>
    <col min="4" max="4" width="62" customWidth="1"/>
  </cols>
  <sheetData>
    <row r="1" spans="1:4" ht="30" customHeight="1" x14ac:dyDescent="0.25">
      <c r="A1" s="3" t="s">
        <v>0</v>
      </c>
      <c r="B1" s="3" t="s">
        <v>25</v>
      </c>
      <c r="C1" s="3" t="s">
        <v>1</v>
      </c>
      <c r="D1" s="3" t="s">
        <v>26</v>
      </c>
    </row>
    <row r="2" spans="1:4" x14ac:dyDescent="0.25">
      <c r="A2" s="104"/>
      <c r="B2" s="37"/>
      <c r="C2" s="37"/>
      <c r="D2" s="37"/>
    </row>
    <row r="3" spans="1:4" x14ac:dyDescent="0.25">
      <c r="A3" s="105">
        <v>1</v>
      </c>
      <c r="B3" s="9" t="s">
        <v>281</v>
      </c>
      <c r="C3" s="9"/>
      <c r="D3" s="9"/>
    </row>
    <row r="4" spans="1:4" x14ac:dyDescent="0.25">
      <c r="A4" s="104">
        <v>2</v>
      </c>
      <c r="B4" s="37" t="s">
        <v>273</v>
      </c>
      <c r="C4" s="37"/>
      <c r="D4" s="37"/>
    </row>
    <row r="5" spans="1:4" x14ac:dyDescent="0.25">
      <c r="A5" s="105">
        <v>3</v>
      </c>
      <c r="B5" s="37" t="s">
        <v>286</v>
      </c>
      <c r="C5" s="37"/>
      <c r="D5" s="37"/>
    </row>
    <row r="6" spans="1:4" x14ac:dyDescent="0.25">
      <c r="A6" s="104">
        <v>4</v>
      </c>
      <c r="B6" s="37" t="s">
        <v>778</v>
      </c>
      <c r="C6" s="37"/>
      <c r="D6" s="37"/>
    </row>
    <row r="7" spans="1:4" x14ac:dyDescent="0.25">
      <c r="A7" s="105">
        <v>5</v>
      </c>
      <c r="B7" s="37" t="s">
        <v>779</v>
      </c>
      <c r="C7" s="37"/>
      <c r="D7" s="37"/>
    </row>
    <row r="8" spans="1:4" x14ac:dyDescent="0.25">
      <c r="A8" s="104">
        <v>6</v>
      </c>
      <c r="B8" s="37" t="s">
        <v>532</v>
      </c>
      <c r="C8" s="37"/>
      <c r="D8" s="37"/>
    </row>
    <row r="9" spans="1:4" x14ac:dyDescent="0.25">
      <c r="A9" s="105">
        <v>7</v>
      </c>
      <c r="B9" s="37" t="s">
        <v>780</v>
      </c>
      <c r="C9" s="37"/>
      <c r="D9" s="37"/>
    </row>
    <row r="10" spans="1:4" x14ac:dyDescent="0.25">
      <c r="A10" s="104">
        <v>8</v>
      </c>
      <c r="B10" s="37" t="s">
        <v>223</v>
      </c>
      <c r="C10" s="37"/>
      <c r="D10" s="103"/>
    </row>
    <row r="11" spans="1:4" ht="15.75" thickBot="1" x14ac:dyDescent="0.3">
      <c r="A11" s="106"/>
      <c r="B11" s="37"/>
      <c r="C11" s="37"/>
      <c r="D11" s="37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8" tint="-0.249977111117893"/>
  </sheetPr>
  <dimension ref="A1:FN66"/>
  <sheetViews>
    <sheetView topLeftCell="A10" workbookViewId="0">
      <selection activeCell="C35" sqref="C35"/>
    </sheetView>
  </sheetViews>
  <sheetFormatPr baseColWidth="10" defaultRowHeight="15" x14ac:dyDescent="0.25"/>
  <cols>
    <col min="2" max="2" width="16" style="53" customWidth="1"/>
    <col min="3" max="3" width="36.85546875" customWidth="1"/>
    <col min="4" max="4" width="33.85546875" style="29" bestFit="1" customWidth="1"/>
    <col min="5" max="5" width="14.7109375" customWidth="1"/>
    <col min="6" max="6" width="16.28515625" customWidth="1"/>
    <col min="7" max="7" width="15.42578125" customWidth="1"/>
    <col min="8" max="169" width="17" customWidth="1"/>
    <col min="170" max="170" width="15.85546875" bestFit="1" customWidth="1"/>
  </cols>
  <sheetData>
    <row r="1" spans="1:170" ht="30" customHeight="1" thickBot="1" x14ac:dyDescent="0.3">
      <c r="A1" s="2" t="s">
        <v>0</v>
      </c>
      <c r="B1" s="51" t="s">
        <v>28</v>
      </c>
      <c r="C1" s="3" t="s">
        <v>29</v>
      </c>
      <c r="D1" s="27" t="s">
        <v>24</v>
      </c>
      <c r="E1" s="3" t="s">
        <v>30</v>
      </c>
      <c r="F1" s="3" t="s">
        <v>31</v>
      </c>
      <c r="G1" s="4" t="s">
        <v>32</v>
      </c>
      <c r="H1" s="20" t="s">
        <v>33</v>
      </c>
      <c r="I1" s="3" t="s">
        <v>34</v>
      </c>
      <c r="J1" s="3" t="s">
        <v>4</v>
      </c>
      <c r="K1" s="3" t="s">
        <v>23</v>
      </c>
      <c r="L1" s="3" t="s">
        <v>35</v>
      </c>
      <c r="M1" s="3" t="s">
        <v>36</v>
      </c>
      <c r="N1" s="3" t="s">
        <v>7</v>
      </c>
      <c r="O1" s="21" t="s">
        <v>37</v>
      </c>
      <c r="P1" s="20" t="s">
        <v>38</v>
      </c>
      <c r="Q1" s="3" t="s">
        <v>46</v>
      </c>
      <c r="R1" s="3" t="s">
        <v>47</v>
      </c>
      <c r="S1" s="3" t="s">
        <v>48</v>
      </c>
      <c r="T1" s="3" t="s">
        <v>49</v>
      </c>
      <c r="U1" s="3" t="s">
        <v>50</v>
      </c>
      <c r="V1" s="3" t="s">
        <v>51</v>
      </c>
      <c r="W1" s="21" t="s">
        <v>52</v>
      </c>
      <c r="X1" s="20" t="s">
        <v>53</v>
      </c>
      <c r="Y1" s="3" t="s">
        <v>39</v>
      </c>
      <c r="Z1" s="3" t="s">
        <v>54</v>
      </c>
      <c r="AA1" s="3" t="s">
        <v>55</v>
      </c>
      <c r="AB1" s="3" t="s">
        <v>56</v>
      </c>
      <c r="AC1" s="3" t="s">
        <v>57</v>
      </c>
      <c r="AD1" s="3" t="s">
        <v>58</v>
      </c>
      <c r="AE1" s="21" t="s">
        <v>59</v>
      </c>
      <c r="AF1" s="20" t="s">
        <v>60</v>
      </c>
      <c r="AG1" s="3" t="s">
        <v>61</v>
      </c>
      <c r="AH1" s="3" t="s">
        <v>40</v>
      </c>
      <c r="AI1" s="3" t="s">
        <v>62</v>
      </c>
      <c r="AJ1" s="3" t="s">
        <v>63</v>
      </c>
      <c r="AK1" s="3" t="s">
        <v>64</v>
      </c>
      <c r="AL1" s="3" t="s">
        <v>65</v>
      </c>
      <c r="AM1" s="21" t="s">
        <v>66</v>
      </c>
      <c r="AN1" s="20" t="s">
        <v>67</v>
      </c>
      <c r="AO1" s="3" t="s">
        <v>68</v>
      </c>
      <c r="AP1" s="3" t="s">
        <v>69</v>
      </c>
      <c r="AQ1" s="3" t="s">
        <v>41</v>
      </c>
      <c r="AR1" s="3" t="s">
        <v>70</v>
      </c>
      <c r="AS1" s="3" t="s">
        <v>71</v>
      </c>
      <c r="AT1" s="3" t="s">
        <v>72</v>
      </c>
      <c r="AU1" s="21" t="s">
        <v>73</v>
      </c>
      <c r="AV1" s="20" t="s">
        <v>74</v>
      </c>
      <c r="AW1" s="3" t="s">
        <v>75</v>
      </c>
      <c r="AX1" s="3" t="s">
        <v>76</v>
      </c>
      <c r="AY1" s="3" t="s">
        <v>83</v>
      </c>
      <c r="AZ1" s="3" t="s">
        <v>42</v>
      </c>
      <c r="BA1" s="3" t="s">
        <v>77</v>
      </c>
      <c r="BB1" s="3" t="s">
        <v>78</v>
      </c>
      <c r="BC1" s="21" t="s">
        <v>79</v>
      </c>
      <c r="BD1" s="20" t="s">
        <v>80</v>
      </c>
      <c r="BE1" s="3" t="s">
        <v>81</v>
      </c>
      <c r="BF1" s="3" t="s">
        <v>82</v>
      </c>
      <c r="BG1" s="3" t="s">
        <v>90</v>
      </c>
      <c r="BH1" s="3" t="s">
        <v>84</v>
      </c>
      <c r="BI1" s="3" t="s">
        <v>43</v>
      </c>
      <c r="BJ1" s="3" t="s">
        <v>85</v>
      </c>
      <c r="BK1" s="21" t="s">
        <v>86</v>
      </c>
      <c r="BL1" s="20" t="s">
        <v>87</v>
      </c>
      <c r="BM1" s="3" t="s">
        <v>88</v>
      </c>
      <c r="BN1" s="3" t="s">
        <v>89</v>
      </c>
      <c r="BO1" s="3" t="s">
        <v>97</v>
      </c>
      <c r="BP1" s="3" t="s">
        <v>91</v>
      </c>
      <c r="BQ1" s="3" t="s">
        <v>92</v>
      </c>
      <c r="BR1" s="3" t="s">
        <v>44</v>
      </c>
      <c r="BS1" s="21" t="s">
        <v>93</v>
      </c>
      <c r="BT1" s="20" t="s">
        <v>94</v>
      </c>
      <c r="BU1" s="3" t="s">
        <v>95</v>
      </c>
      <c r="BV1" s="3" t="s">
        <v>96</v>
      </c>
      <c r="BW1" s="3" t="s">
        <v>104</v>
      </c>
      <c r="BX1" s="3" t="s">
        <v>98</v>
      </c>
      <c r="BY1" s="3" t="s">
        <v>99</v>
      </c>
      <c r="BZ1" s="3" t="s">
        <v>100</v>
      </c>
      <c r="CA1" s="21" t="s">
        <v>45</v>
      </c>
      <c r="CB1" s="20" t="s">
        <v>101</v>
      </c>
      <c r="CC1" s="3" t="s">
        <v>102</v>
      </c>
      <c r="CD1" s="3" t="s">
        <v>103</v>
      </c>
      <c r="CE1" s="3" t="s">
        <v>112</v>
      </c>
      <c r="CF1" s="3" t="s">
        <v>105</v>
      </c>
      <c r="CG1" s="3" t="s">
        <v>106</v>
      </c>
      <c r="CH1" s="3" t="s">
        <v>107</v>
      </c>
      <c r="CI1" s="21" t="s">
        <v>108</v>
      </c>
      <c r="CJ1" s="20" t="s">
        <v>109</v>
      </c>
      <c r="CK1" s="3" t="s">
        <v>110</v>
      </c>
      <c r="CL1" s="3" t="s">
        <v>111</v>
      </c>
      <c r="CM1" s="3" t="s">
        <v>120</v>
      </c>
      <c r="CN1" s="3" t="s">
        <v>113</v>
      </c>
      <c r="CO1" s="3" t="s">
        <v>114</v>
      </c>
      <c r="CP1" s="3" t="s">
        <v>115</v>
      </c>
      <c r="CQ1" s="21" t="s">
        <v>116</v>
      </c>
      <c r="CR1" s="20" t="s">
        <v>117</v>
      </c>
      <c r="CS1" s="3" t="s">
        <v>118</v>
      </c>
      <c r="CT1" s="3" t="s">
        <v>119</v>
      </c>
      <c r="CU1" s="3" t="s">
        <v>168</v>
      </c>
      <c r="CV1" s="3" t="s">
        <v>121</v>
      </c>
      <c r="CW1" s="3" t="s">
        <v>122</v>
      </c>
      <c r="CX1" s="3" t="s">
        <v>123</v>
      </c>
      <c r="CY1" s="21" t="s">
        <v>124</v>
      </c>
      <c r="CZ1" s="20" t="s">
        <v>133</v>
      </c>
      <c r="DA1" s="3" t="s">
        <v>169</v>
      </c>
      <c r="DB1" s="3" t="s">
        <v>170</v>
      </c>
      <c r="DC1" s="3" t="s">
        <v>171</v>
      </c>
      <c r="DD1" s="3" t="s">
        <v>172</v>
      </c>
      <c r="DE1" s="3" t="s">
        <v>173</v>
      </c>
      <c r="DF1" s="3" t="s">
        <v>174</v>
      </c>
      <c r="DG1" s="21" t="s">
        <v>125</v>
      </c>
      <c r="DH1" s="20" t="s">
        <v>140</v>
      </c>
      <c r="DI1" s="3" t="s">
        <v>134</v>
      </c>
      <c r="DJ1" s="3" t="s">
        <v>175</v>
      </c>
      <c r="DK1" s="3" t="s">
        <v>176</v>
      </c>
      <c r="DL1" s="3" t="s">
        <v>177</v>
      </c>
      <c r="DM1" s="3" t="s">
        <v>178</v>
      </c>
      <c r="DN1" s="3" t="s">
        <v>179</v>
      </c>
      <c r="DO1" s="21" t="s">
        <v>126</v>
      </c>
      <c r="DP1" s="20" t="s">
        <v>147</v>
      </c>
      <c r="DQ1" s="3" t="s">
        <v>141</v>
      </c>
      <c r="DR1" s="3" t="s">
        <v>135</v>
      </c>
      <c r="DS1" s="3" t="s">
        <v>183</v>
      </c>
      <c r="DT1" s="3" t="s">
        <v>180</v>
      </c>
      <c r="DU1" s="3" t="s">
        <v>181</v>
      </c>
      <c r="DV1" s="3" t="s">
        <v>182</v>
      </c>
      <c r="DW1" s="21" t="s">
        <v>127</v>
      </c>
      <c r="DX1" s="20" t="s">
        <v>153</v>
      </c>
      <c r="DY1" s="3" t="s">
        <v>148</v>
      </c>
      <c r="DZ1" s="3" t="s">
        <v>142</v>
      </c>
      <c r="EA1" s="3" t="s">
        <v>136</v>
      </c>
      <c r="EB1" s="3" t="s">
        <v>184</v>
      </c>
      <c r="EC1" s="3" t="s">
        <v>185</v>
      </c>
      <c r="ED1" s="3" t="s">
        <v>186</v>
      </c>
      <c r="EE1" s="21" t="s">
        <v>128</v>
      </c>
      <c r="EF1" s="20" t="s">
        <v>158</v>
      </c>
      <c r="EG1" s="3" t="s">
        <v>154</v>
      </c>
      <c r="EH1" s="3" t="s">
        <v>149</v>
      </c>
      <c r="EI1" s="3" t="s">
        <v>143</v>
      </c>
      <c r="EJ1" s="3" t="s">
        <v>137</v>
      </c>
      <c r="EK1" s="3" t="s">
        <v>187</v>
      </c>
      <c r="EL1" s="3" t="s">
        <v>188</v>
      </c>
      <c r="EM1" s="21" t="s">
        <v>129</v>
      </c>
      <c r="EN1" s="17" t="s">
        <v>162</v>
      </c>
      <c r="EO1" s="18" t="s">
        <v>159</v>
      </c>
      <c r="EP1" s="18" t="s">
        <v>155</v>
      </c>
      <c r="EQ1" s="18" t="s">
        <v>150</v>
      </c>
      <c r="ER1" s="18" t="s">
        <v>144</v>
      </c>
      <c r="ES1" s="18" t="s">
        <v>138</v>
      </c>
      <c r="ET1" s="18" t="s">
        <v>189</v>
      </c>
      <c r="EU1" s="19" t="s">
        <v>130</v>
      </c>
      <c r="EV1" s="20" t="s">
        <v>165</v>
      </c>
      <c r="EW1" s="3" t="s">
        <v>163</v>
      </c>
      <c r="EX1" s="3" t="s">
        <v>160</v>
      </c>
      <c r="EY1" s="3" t="s">
        <v>156</v>
      </c>
      <c r="EZ1" s="3" t="s">
        <v>151</v>
      </c>
      <c r="FA1" s="3" t="s">
        <v>145</v>
      </c>
      <c r="FB1" s="3" t="s">
        <v>139</v>
      </c>
      <c r="FC1" s="21" t="s">
        <v>131</v>
      </c>
      <c r="FD1" s="20" t="s">
        <v>167</v>
      </c>
      <c r="FE1" s="3" t="s">
        <v>166</v>
      </c>
      <c r="FF1" s="3" t="s">
        <v>164</v>
      </c>
      <c r="FG1" s="3" t="s">
        <v>161</v>
      </c>
      <c r="FH1" s="3" t="s">
        <v>157</v>
      </c>
      <c r="FI1" s="3" t="s">
        <v>152</v>
      </c>
      <c r="FJ1" s="3" t="s">
        <v>146</v>
      </c>
      <c r="FK1" s="21" t="s">
        <v>132</v>
      </c>
      <c r="FL1" s="3" t="s">
        <v>200</v>
      </c>
      <c r="FM1" s="3" t="s">
        <v>201</v>
      </c>
      <c r="FN1" s="3" t="s">
        <v>214</v>
      </c>
    </row>
    <row r="2" spans="1:170" x14ac:dyDescent="0.25">
      <c r="A2" s="7">
        <f t="shared" ref="A2" si="0">ROW(A1)</f>
        <v>1</v>
      </c>
      <c r="B2" s="39"/>
      <c r="C2" s="9"/>
      <c r="D2" s="28"/>
      <c r="E2" s="12"/>
      <c r="F2" s="12"/>
      <c r="G2" s="16"/>
      <c r="H2" s="22"/>
      <c r="I2" s="12"/>
      <c r="J2" s="12"/>
      <c r="K2" s="12"/>
      <c r="L2" s="12"/>
      <c r="M2" s="12"/>
      <c r="N2" s="12"/>
      <c r="O2" s="23"/>
      <c r="P2" s="22"/>
      <c r="Q2" s="12"/>
      <c r="R2" s="12"/>
      <c r="S2" s="12"/>
      <c r="T2" s="12"/>
      <c r="U2" s="12"/>
      <c r="V2" s="12"/>
      <c r="W2" s="23"/>
      <c r="X2" s="22"/>
      <c r="Y2" s="12"/>
      <c r="Z2" s="12"/>
      <c r="AA2" s="12"/>
      <c r="AB2" s="12"/>
      <c r="AC2" s="12"/>
      <c r="AD2" s="12"/>
      <c r="AE2" s="23"/>
      <c r="AF2" s="22"/>
      <c r="AG2" s="12"/>
      <c r="AH2" s="12"/>
      <c r="AI2" s="12"/>
      <c r="AJ2" s="12"/>
      <c r="AK2" s="12"/>
      <c r="AL2" s="12"/>
      <c r="AM2" s="23"/>
      <c r="AN2" s="22"/>
      <c r="AO2" s="12"/>
      <c r="AP2" s="12"/>
      <c r="AQ2" s="12"/>
      <c r="AR2" s="12"/>
      <c r="AS2" s="12"/>
      <c r="AT2" s="12"/>
      <c r="AU2" s="23"/>
      <c r="AV2" s="22"/>
      <c r="AW2" s="12"/>
      <c r="AX2" s="12"/>
      <c r="AY2" s="12"/>
      <c r="AZ2" s="12"/>
      <c r="BA2" s="12"/>
      <c r="BB2" s="12"/>
      <c r="BC2" s="23"/>
      <c r="BD2" s="22"/>
      <c r="BE2" s="12"/>
      <c r="BF2" s="12"/>
      <c r="BG2" s="12"/>
      <c r="BH2" s="12"/>
      <c r="BI2" s="12"/>
      <c r="BJ2" s="12"/>
      <c r="BK2" s="23"/>
      <c r="BL2" s="22"/>
      <c r="BM2" s="12"/>
      <c r="BN2" s="12"/>
      <c r="BO2" s="12"/>
      <c r="BP2" s="12"/>
      <c r="BQ2" s="12"/>
      <c r="BR2" s="12"/>
      <c r="BS2" s="23"/>
      <c r="BT2" s="22"/>
      <c r="BU2" s="12"/>
      <c r="BV2" s="12"/>
      <c r="BW2" s="12"/>
      <c r="BX2" s="12"/>
      <c r="BY2" s="12"/>
      <c r="BZ2" s="12"/>
      <c r="CA2" s="23"/>
      <c r="CB2" s="22"/>
      <c r="CC2" s="12"/>
      <c r="CD2" s="12"/>
      <c r="CE2" s="12"/>
      <c r="CF2" s="12"/>
      <c r="CG2" s="12"/>
      <c r="CH2" s="12"/>
      <c r="CI2" s="23"/>
      <c r="CJ2" s="22"/>
      <c r="CK2" s="12"/>
      <c r="CL2" s="12"/>
      <c r="CM2" s="12"/>
      <c r="CN2" s="12"/>
      <c r="CO2" s="12"/>
      <c r="CP2" s="12"/>
      <c r="CQ2" s="23"/>
      <c r="CR2" s="22"/>
      <c r="CS2" s="12"/>
      <c r="CT2" s="12"/>
      <c r="CU2" s="12"/>
      <c r="CV2" s="12"/>
      <c r="CW2" s="12"/>
      <c r="CX2" s="12"/>
      <c r="CY2" s="23"/>
      <c r="CZ2" s="22"/>
      <c r="DA2" s="12"/>
      <c r="DB2" s="12"/>
      <c r="DC2" s="12"/>
      <c r="DD2" s="12"/>
      <c r="DE2" s="12"/>
      <c r="DF2" s="12"/>
      <c r="DG2" s="23"/>
      <c r="DH2" s="22"/>
      <c r="DI2" s="12"/>
      <c r="DJ2" s="12"/>
      <c r="DK2" s="12"/>
      <c r="DL2" s="12"/>
      <c r="DM2" s="12"/>
      <c r="DN2" s="12"/>
      <c r="DO2" s="23"/>
      <c r="DP2" s="22"/>
      <c r="DQ2" s="12"/>
      <c r="DR2" s="12"/>
      <c r="DS2" s="12"/>
      <c r="DT2" s="12"/>
      <c r="DU2" s="12"/>
      <c r="DV2" s="12"/>
      <c r="DW2" s="23"/>
      <c r="DX2" s="22"/>
      <c r="DY2" s="12"/>
      <c r="DZ2" s="12"/>
      <c r="EA2" s="12"/>
      <c r="EB2" s="12"/>
      <c r="EC2" s="12"/>
      <c r="ED2" s="12"/>
      <c r="EE2" s="23"/>
      <c r="EF2" s="22"/>
      <c r="EG2" s="12"/>
      <c r="EH2" s="12"/>
      <c r="EI2" s="12"/>
      <c r="EJ2" s="12"/>
      <c r="EK2" s="12"/>
      <c r="EL2" s="12"/>
      <c r="EM2" s="23"/>
      <c r="EN2" s="24"/>
      <c r="EO2" s="25"/>
      <c r="EP2" s="25"/>
      <c r="EQ2" s="25"/>
      <c r="ER2" s="25"/>
      <c r="ES2" s="25"/>
      <c r="ET2" s="25"/>
      <c r="EU2" s="26"/>
      <c r="EV2" s="22"/>
      <c r="EW2" s="12"/>
      <c r="EX2" s="12"/>
      <c r="EY2" s="12"/>
      <c r="EZ2" s="12"/>
      <c r="FA2" s="12"/>
      <c r="FB2" s="12"/>
      <c r="FC2" s="23"/>
      <c r="FD2" s="22"/>
      <c r="FE2" s="12"/>
      <c r="FF2" s="12"/>
      <c r="FG2" s="12"/>
      <c r="FH2" s="12"/>
      <c r="FI2" s="12"/>
      <c r="FJ2" s="12"/>
      <c r="FK2" s="23"/>
      <c r="FL2" s="36"/>
      <c r="FM2" s="36"/>
      <c r="FN2" s="36"/>
    </row>
    <row r="3" spans="1:170" x14ac:dyDescent="0.25">
      <c r="A3" s="38">
        <f>ROW(A2)</f>
        <v>2</v>
      </c>
      <c r="B3" s="52" t="s">
        <v>1364</v>
      </c>
      <c r="C3" s="37" t="s">
        <v>798</v>
      </c>
      <c r="D3" s="48">
        <v>44865.379953703705</v>
      </c>
      <c r="E3" s="37" t="s">
        <v>1325</v>
      </c>
      <c r="F3" s="37" t="s">
        <v>784</v>
      </c>
      <c r="G3" s="37" t="s">
        <v>785</v>
      </c>
      <c r="H3" s="49" t="s">
        <v>737</v>
      </c>
      <c r="I3" s="37" t="s">
        <v>736</v>
      </c>
      <c r="J3" s="37" t="s">
        <v>448</v>
      </c>
      <c r="K3" s="37">
        <v>8</v>
      </c>
      <c r="L3" s="37"/>
      <c r="M3" s="37"/>
      <c r="N3" s="37" t="s">
        <v>223</v>
      </c>
      <c r="O3" s="50" t="s">
        <v>32</v>
      </c>
      <c r="P3" s="49" t="s">
        <v>426</v>
      </c>
      <c r="Q3" s="37" t="s">
        <v>425</v>
      </c>
      <c r="R3" s="37" t="s">
        <v>221</v>
      </c>
      <c r="S3" s="37">
        <v>6</v>
      </c>
      <c r="T3" s="37"/>
      <c r="U3" s="37"/>
      <c r="V3" s="37" t="s">
        <v>223</v>
      </c>
      <c r="W3" s="50" t="s">
        <v>32</v>
      </c>
      <c r="X3" s="49" t="s">
        <v>622</v>
      </c>
      <c r="Y3" s="37" t="s">
        <v>621</v>
      </c>
      <c r="Z3" s="37" t="s">
        <v>235</v>
      </c>
      <c r="AA3" s="37">
        <v>1</v>
      </c>
      <c r="AB3" s="37"/>
      <c r="AC3" s="37"/>
      <c r="AD3" s="37" t="s">
        <v>223</v>
      </c>
      <c r="AE3" s="50" t="s">
        <v>32</v>
      </c>
      <c r="AF3" s="49"/>
      <c r="AG3" s="37"/>
      <c r="AH3" s="37"/>
      <c r="AI3" s="37"/>
      <c r="AJ3" s="37"/>
      <c r="AK3" s="37"/>
      <c r="AL3" s="37"/>
      <c r="AM3" s="50"/>
      <c r="AN3" s="49"/>
      <c r="AO3" s="37"/>
      <c r="AP3" s="37"/>
      <c r="AQ3" s="37"/>
      <c r="AR3" s="37"/>
      <c r="AS3" s="37"/>
      <c r="AT3" s="37"/>
      <c r="AU3" s="50"/>
      <c r="AV3" s="49"/>
      <c r="AW3" s="37"/>
      <c r="AX3" s="37"/>
      <c r="AY3" s="37"/>
      <c r="AZ3" s="37"/>
      <c r="BA3" s="37"/>
      <c r="BB3" s="37"/>
      <c r="BC3" s="50"/>
      <c r="BD3" s="49"/>
      <c r="BE3" s="37"/>
      <c r="BF3" s="37"/>
      <c r="BG3" s="37"/>
      <c r="BH3" s="37"/>
      <c r="BI3" s="37"/>
      <c r="BJ3" s="37"/>
      <c r="BK3" s="50"/>
      <c r="BL3" s="49"/>
      <c r="BM3" s="37"/>
      <c r="BN3" s="37"/>
      <c r="BO3" s="37"/>
      <c r="BP3" s="37"/>
      <c r="BQ3" s="37"/>
      <c r="BR3" s="37"/>
      <c r="BS3" s="50"/>
      <c r="BT3" s="49"/>
      <c r="BU3" s="37"/>
      <c r="BV3" s="37"/>
      <c r="BW3" s="37"/>
      <c r="BX3" s="37"/>
      <c r="BY3" s="37"/>
      <c r="BZ3" s="37"/>
      <c r="CA3" s="50"/>
      <c r="CB3" s="49"/>
      <c r="CC3" s="37"/>
      <c r="CD3" s="37"/>
      <c r="CE3" s="37"/>
      <c r="CF3" s="37"/>
      <c r="CG3" s="37"/>
      <c r="CH3" s="37"/>
      <c r="CI3" s="50"/>
      <c r="CJ3" s="49"/>
      <c r="CK3" s="37"/>
      <c r="CL3" s="37"/>
      <c r="CM3" s="37"/>
      <c r="CN3" s="37"/>
      <c r="CO3" s="37"/>
      <c r="CP3" s="37"/>
      <c r="CQ3" s="50"/>
      <c r="CR3" s="49"/>
      <c r="CS3" s="37"/>
      <c r="CT3" s="37"/>
      <c r="CU3" s="37"/>
      <c r="CV3" s="37"/>
      <c r="CW3" s="37"/>
      <c r="CX3" s="37"/>
      <c r="CY3" s="50"/>
      <c r="CZ3" s="49"/>
      <c r="DA3" s="37"/>
      <c r="DB3" s="37"/>
      <c r="DC3" s="37"/>
      <c r="DD3" s="37"/>
      <c r="DE3" s="37"/>
      <c r="DF3" s="37"/>
      <c r="DG3" s="50"/>
      <c r="DH3" s="49"/>
      <c r="DI3" s="37"/>
      <c r="DJ3" s="37"/>
      <c r="DK3" s="37"/>
      <c r="DL3" s="37"/>
      <c r="DM3" s="37"/>
      <c r="DN3" s="37"/>
      <c r="DO3" s="50"/>
      <c r="DP3" s="49"/>
      <c r="DQ3" s="37"/>
      <c r="DR3" s="37"/>
      <c r="DS3" s="37"/>
      <c r="DT3" s="37"/>
      <c r="DU3" s="37"/>
      <c r="DV3" s="37"/>
      <c r="DW3" s="50"/>
      <c r="DX3" s="49"/>
      <c r="DY3" s="37"/>
      <c r="DZ3" s="37"/>
      <c r="EA3" s="37"/>
      <c r="EB3" s="37"/>
      <c r="EC3" s="37"/>
      <c r="ED3" s="37"/>
      <c r="EE3" s="50"/>
      <c r="EF3" s="49"/>
      <c r="EG3" s="37"/>
      <c r="EH3" s="37"/>
      <c r="EI3" s="37"/>
      <c r="EJ3" s="37"/>
      <c r="EK3" s="37"/>
      <c r="EL3" s="37"/>
      <c r="EM3" s="50"/>
      <c r="EN3" s="22"/>
      <c r="EO3" s="12"/>
      <c r="EP3" s="12"/>
      <c r="EQ3" s="12"/>
      <c r="ER3" s="12"/>
      <c r="ES3" s="12"/>
      <c r="ET3" s="12"/>
      <c r="EU3" s="23"/>
      <c r="EV3" s="49"/>
      <c r="EW3" s="37"/>
      <c r="EX3" s="37"/>
      <c r="EY3" s="37"/>
      <c r="EZ3" s="37"/>
      <c r="FA3" s="37"/>
      <c r="FB3" s="37"/>
      <c r="FC3" s="50"/>
      <c r="FD3" s="49"/>
      <c r="FE3" s="37"/>
      <c r="FF3" s="37"/>
      <c r="FG3" s="37"/>
      <c r="FH3" s="37"/>
      <c r="FI3" s="37"/>
      <c r="FJ3" s="37"/>
      <c r="FK3" s="50"/>
      <c r="FL3" s="37" t="s">
        <v>223</v>
      </c>
      <c r="FM3" s="37" t="s">
        <v>223</v>
      </c>
      <c r="FN3" s="37"/>
    </row>
    <row r="4" spans="1:170" x14ac:dyDescent="0.25">
      <c r="A4" s="38">
        <f>ROW(A2)</f>
        <v>2</v>
      </c>
      <c r="B4" s="52" t="s">
        <v>1361</v>
      </c>
      <c r="C4" s="37" t="s">
        <v>1159</v>
      </c>
      <c r="D4" s="48">
        <v>44865.377199074072</v>
      </c>
      <c r="E4" s="37" t="s">
        <v>784</v>
      </c>
      <c r="F4" s="37" t="s">
        <v>784</v>
      </c>
      <c r="G4" s="37" t="s">
        <v>785</v>
      </c>
      <c r="H4" s="49">
        <v>4600</v>
      </c>
      <c r="I4" s="37" t="s">
        <v>362</v>
      </c>
      <c r="J4" s="37" t="s">
        <v>235</v>
      </c>
      <c r="K4" s="37">
        <v>11</v>
      </c>
      <c r="L4" s="37"/>
      <c r="M4" s="37"/>
      <c r="N4" s="37" t="s">
        <v>223</v>
      </c>
      <c r="O4" s="50" t="s">
        <v>32</v>
      </c>
      <c r="P4" s="49" t="s">
        <v>371</v>
      </c>
      <c r="Q4" s="37" t="s">
        <v>370</v>
      </c>
      <c r="R4" s="37" t="s">
        <v>240</v>
      </c>
      <c r="S4" s="37">
        <v>7</v>
      </c>
      <c r="T4" s="37"/>
      <c r="U4" s="37"/>
      <c r="V4" s="37" t="s">
        <v>223</v>
      </c>
      <c r="W4" s="50" t="s">
        <v>32</v>
      </c>
      <c r="X4" s="49" t="s">
        <v>294</v>
      </c>
      <c r="Y4" s="37" t="s">
        <v>293</v>
      </c>
      <c r="Z4" s="37" t="s">
        <v>263</v>
      </c>
      <c r="AA4" s="37">
        <v>7</v>
      </c>
      <c r="AB4" s="37"/>
      <c r="AC4" s="37"/>
      <c r="AD4" s="37" t="s">
        <v>223</v>
      </c>
      <c r="AE4" s="50" t="s">
        <v>32</v>
      </c>
      <c r="AF4" s="49" t="s">
        <v>592</v>
      </c>
      <c r="AG4" s="37" t="s">
        <v>591</v>
      </c>
      <c r="AH4" s="37" t="s">
        <v>560</v>
      </c>
      <c r="AI4" s="37">
        <v>1</v>
      </c>
      <c r="AJ4" s="37"/>
      <c r="AK4" s="37"/>
      <c r="AL4" s="37" t="s">
        <v>223</v>
      </c>
      <c r="AM4" s="50" t="s">
        <v>32</v>
      </c>
      <c r="AN4" s="49" t="s">
        <v>559</v>
      </c>
      <c r="AO4" s="37" t="s">
        <v>558</v>
      </c>
      <c r="AP4" s="37" t="s">
        <v>560</v>
      </c>
      <c r="AQ4" s="37">
        <v>1</v>
      </c>
      <c r="AR4" s="37"/>
      <c r="AS4" s="37"/>
      <c r="AT4" s="37" t="s">
        <v>223</v>
      </c>
      <c r="AU4" s="50" t="s">
        <v>32</v>
      </c>
      <c r="AV4" s="49" t="s">
        <v>661</v>
      </c>
      <c r="AW4" s="37" t="s">
        <v>660</v>
      </c>
      <c r="AX4" s="37" t="s">
        <v>221</v>
      </c>
      <c r="AY4" s="37">
        <v>100</v>
      </c>
      <c r="AZ4" s="37"/>
      <c r="BA4" s="37"/>
      <c r="BB4" s="37" t="s">
        <v>223</v>
      </c>
      <c r="BC4" s="50" t="s">
        <v>32</v>
      </c>
      <c r="BD4" s="49" t="s">
        <v>426</v>
      </c>
      <c r="BE4" s="37" t="s">
        <v>425</v>
      </c>
      <c r="BF4" s="37" t="s">
        <v>221</v>
      </c>
      <c r="BG4" s="37">
        <v>15</v>
      </c>
      <c r="BH4" s="37"/>
      <c r="BI4" s="37"/>
      <c r="BJ4" s="37" t="s">
        <v>223</v>
      </c>
      <c r="BK4" s="50" t="s">
        <v>32</v>
      </c>
      <c r="BL4" s="49"/>
      <c r="BM4" s="37"/>
      <c r="BN4" s="37"/>
      <c r="BO4" s="37"/>
      <c r="BP4" s="37"/>
      <c r="BQ4" s="37"/>
      <c r="BR4" s="37"/>
      <c r="BS4" s="50"/>
      <c r="BT4" s="49"/>
      <c r="BU4" s="37"/>
      <c r="BV4" s="37"/>
      <c r="BW4" s="37"/>
      <c r="BX4" s="37"/>
      <c r="BY4" s="37"/>
      <c r="BZ4" s="37"/>
      <c r="CA4" s="50"/>
      <c r="CB4" s="49"/>
      <c r="CC4" s="37"/>
      <c r="CD4" s="37"/>
      <c r="CE4" s="37"/>
      <c r="CF4" s="37"/>
      <c r="CG4" s="37"/>
      <c r="CH4" s="37"/>
      <c r="CI4" s="50"/>
      <c r="CJ4" s="49"/>
      <c r="CK4" s="37"/>
      <c r="CL4" s="37"/>
      <c r="CM4" s="37"/>
      <c r="CN4" s="37"/>
      <c r="CO4" s="37"/>
      <c r="CP4" s="37"/>
      <c r="CQ4" s="50"/>
      <c r="CR4" s="49"/>
      <c r="CS4" s="37"/>
      <c r="CT4" s="37"/>
      <c r="CU4" s="37"/>
      <c r="CV4" s="37"/>
      <c r="CW4" s="37"/>
      <c r="CX4" s="37"/>
      <c r="CY4" s="50"/>
      <c r="CZ4" s="49"/>
      <c r="DA4" s="37"/>
      <c r="DB4" s="37"/>
      <c r="DC4" s="37"/>
      <c r="DD4" s="37"/>
      <c r="DE4" s="37"/>
      <c r="DF4" s="37"/>
      <c r="DG4" s="50"/>
      <c r="DH4" s="49"/>
      <c r="DI4" s="37"/>
      <c r="DJ4" s="37"/>
      <c r="DK4" s="37"/>
      <c r="DL4" s="37"/>
      <c r="DM4" s="37"/>
      <c r="DN4" s="37"/>
      <c r="DO4" s="50"/>
      <c r="DP4" s="49"/>
      <c r="DQ4" s="37"/>
      <c r="DR4" s="37"/>
      <c r="DS4" s="37"/>
      <c r="DT4" s="37"/>
      <c r="DU4" s="37"/>
      <c r="DV4" s="37"/>
      <c r="DW4" s="50"/>
      <c r="DX4" s="49"/>
      <c r="DY4" s="37"/>
      <c r="DZ4" s="37"/>
      <c r="EA4" s="37"/>
      <c r="EB4" s="37"/>
      <c r="EC4" s="37"/>
      <c r="ED4" s="37"/>
      <c r="EE4" s="50"/>
      <c r="EF4" s="49"/>
      <c r="EG4" s="37"/>
      <c r="EH4" s="37"/>
      <c r="EI4" s="37"/>
      <c r="EJ4" s="37"/>
      <c r="EK4" s="37"/>
      <c r="EL4" s="37"/>
      <c r="EM4" s="50"/>
      <c r="EN4" s="22"/>
      <c r="EO4" s="12"/>
      <c r="EP4" s="12"/>
      <c r="EQ4" s="12"/>
      <c r="ER4" s="12"/>
      <c r="ES4" s="12"/>
      <c r="ET4" s="12"/>
      <c r="EU4" s="23"/>
      <c r="EV4" s="49"/>
      <c r="EW4" s="37"/>
      <c r="EX4" s="37"/>
      <c r="EY4" s="37"/>
      <c r="EZ4" s="37"/>
      <c r="FA4" s="37"/>
      <c r="FB4" s="37"/>
      <c r="FC4" s="50"/>
      <c r="FD4" s="49"/>
      <c r="FE4" s="37"/>
      <c r="FF4" s="37"/>
      <c r="FG4" s="37"/>
      <c r="FH4" s="37"/>
      <c r="FI4" s="37"/>
      <c r="FJ4" s="37"/>
      <c r="FK4" s="50"/>
      <c r="FL4" s="37" t="s">
        <v>223</v>
      </c>
      <c r="FM4" s="37" t="s">
        <v>223</v>
      </c>
      <c r="FN4" s="37"/>
    </row>
    <row r="5" spans="1:170" x14ac:dyDescent="0.25">
      <c r="A5" s="38">
        <f>ROW(A2)</f>
        <v>2</v>
      </c>
      <c r="B5" s="52" t="s">
        <v>1348</v>
      </c>
      <c r="C5" s="37" t="s">
        <v>1330</v>
      </c>
      <c r="D5" s="48">
        <v>44859.590219907404</v>
      </c>
      <c r="E5" s="37" t="s">
        <v>783</v>
      </c>
      <c r="F5" s="37" t="s">
        <v>805</v>
      </c>
      <c r="G5" s="37" t="s">
        <v>785</v>
      </c>
      <c r="H5" s="49" t="s">
        <v>1345</v>
      </c>
      <c r="I5" s="37" t="s">
        <v>1344</v>
      </c>
      <c r="J5" s="37" t="s">
        <v>221</v>
      </c>
      <c r="K5" s="37">
        <v>1</v>
      </c>
      <c r="L5" s="37"/>
      <c r="M5" s="37"/>
      <c r="N5" s="37" t="s">
        <v>223</v>
      </c>
      <c r="O5" s="50" t="s">
        <v>1346</v>
      </c>
      <c r="P5" s="49"/>
      <c r="Q5" s="37"/>
      <c r="R5" s="37"/>
      <c r="S5" s="37"/>
      <c r="T5" s="37"/>
      <c r="U5" s="37"/>
      <c r="V5" s="37"/>
      <c r="W5" s="50"/>
      <c r="X5" s="49"/>
      <c r="Y5" s="37"/>
      <c r="Z5" s="37"/>
      <c r="AA5" s="37"/>
      <c r="AB5" s="37"/>
      <c r="AC5" s="37"/>
      <c r="AD5" s="37"/>
      <c r="AE5" s="50"/>
      <c r="AF5" s="49"/>
      <c r="AG5" s="37"/>
      <c r="AH5" s="37"/>
      <c r="AI5" s="37"/>
      <c r="AJ5" s="37"/>
      <c r="AK5" s="37"/>
      <c r="AL5" s="37"/>
      <c r="AM5" s="50"/>
      <c r="AN5" s="49"/>
      <c r="AO5" s="37"/>
      <c r="AP5" s="37"/>
      <c r="AQ5" s="37"/>
      <c r="AR5" s="37"/>
      <c r="AS5" s="37"/>
      <c r="AT5" s="37"/>
      <c r="AU5" s="50"/>
      <c r="AV5" s="49"/>
      <c r="AW5" s="37"/>
      <c r="AX5" s="37"/>
      <c r="AY5" s="37"/>
      <c r="AZ5" s="37"/>
      <c r="BA5" s="37"/>
      <c r="BB5" s="37"/>
      <c r="BC5" s="50"/>
      <c r="BD5" s="49"/>
      <c r="BE5" s="37"/>
      <c r="BF5" s="37"/>
      <c r="BG5" s="37"/>
      <c r="BH5" s="37"/>
      <c r="BI5" s="37"/>
      <c r="BJ5" s="37"/>
      <c r="BK5" s="50"/>
      <c r="BL5" s="49"/>
      <c r="BM5" s="37"/>
      <c r="BN5" s="37"/>
      <c r="BO5" s="37"/>
      <c r="BP5" s="37"/>
      <c r="BQ5" s="37"/>
      <c r="BR5" s="37"/>
      <c r="BS5" s="50"/>
      <c r="BT5" s="49"/>
      <c r="BU5" s="37"/>
      <c r="BV5" s="37"/>
      <c r="BW5" s="37"/>
      <c r="BX5" s="37"/>
      <c r="BY5" s="37"/>
      <c r="BZ5" s="37"/>
      <c r="CA5" s="50"/>
      <c r="CB5" s="49"/>
      <c r="CC5" s="37"/>
      <c r="CD5" s="37"/>
      <c r="CE5" s="37"/>
      <c r="CF5" s="37"/>
      <c r="CG5" s="37"/>
      <c r="CH5" s="37"/>
      <c r="CI5" s="50"/>
      <c r="CJ5" s="49"/>
      <c r="CK5" s="37"/>
      <c r="CL5" s="37"/>
      <c r="CM5" s="37"/>
      <c r="CN5" s="37"/>
      <c r="CO5" s="37"/>
      <c r="CP5" s="37"/>
      <c r="CQ5" s="50"/>
      <c r="CR5" s="49"/>
      <c r="CS5" s="37"/>
      <c r="CT5" s="37"/>
      <c r="CU5" s="37"/>
      <c r="CV5" s="37"/>
      <c r="CW5" s="37"/>
      <c r="CX5" s="37"/>
      <c r="CY5" s="50"/>
      <c r="CZ5" s="49"/>
      <c r="DA5" s="37"/>
      <c r="DB5" s="37"/>
      <c r="DC5" s="37"/>
      <c r="DD5" s="37"/>
      <c r="DE5" s="37"/>
      <c r="DF5" s="37"/>
      <c r="DG5" s="50"/>
      <c r="DH5" s="49"/>
      <c r="DI5" s="37"/>
      <c r="DJ5" s="37"/>
      <c r="DK5" s="37"/>
      <c r="DL5" s="37"/>
      <c r="DM5" s="37"/>
      <c r="DN5" s="37"/>
      <c r="DO5" s="50"/>
      <c r="DP5" s="49"/>
      <c r="DQ5" s="37"/>
      <c r="DR5" s="37"/>
      <c r="DS5" s="37"/>
      <c r="DT5" s="37"/>
      <c r="DU5" s="37"/>
      <c r="DV5" s="37"/>
      <c r="DW5" s="50"/>
      <c r="DX5" s="49"/>
      <c r="DY5" s="37"/>
      <c r="DZ5" s="37"/>
      <c r="EA5" s="37"/>
      <c r="EB5" s="37"/>
      <c r="EC5" s="37"/>
      <c r="ED5" s="37"/>
      <c r="EE5" s="50"/>
      <c r="EF5" s="49"/>
      <c r="EG5" s="37"/>
      <c r="EH5" s="37"/>
      <c r="EI5" s="37"/>
      <c r="EJ5" s="37"/>
      <c r="EK5" s="37"/>
      <c r="EL5" s="37"/>
      <c r="EM5" s="50"/>
      <c r="EN5" s="22"/>
      <c r="EO5" s="12"/>
      <c r="EP5" s="12"/>
      <c r="EQ5" s="12"/>
      <c r="ER5" s="12"/>
      <c r="ES5" s="12"/>
      <c r="ET5" s="12"/>
      <c r="EU5" s="23"/>
      <c r="EV5" s="49"/>
      <c r="EW5" s="37"/>
      <c r="EX5" s="37"/>
      <c r="EY5" s="37"/>
      <c r="EZ5" s="37"/>
      <c r="FA5" s="37"/>
      <c r="FB5" s="37"/>
      <c r="FC5" s="50"/>
      <c r="FD5" s="49"/>
      <c r="FE5" s="37"/>
      <c r="FF5" s="37"/>
      <c r="FG5" s="37"/>
      <c r="FH5" s="37"/>
      <c r="FI5" s="37"/>
      <c r="FJ5" s="37"/>
      <c r="FK5" s="50"/>
      <c r="FL5" s="37" t="s">
        <v>629</v>
      </c>
      <c r="FM5" s="37" t="s">
        <v>629</v>
      </c>
      <c r="FN5" s="37"/>
    </row>
    <row r="6" spans="1:170" x14ac:dyDescent="0.25">
      <c r="A6" s="38">
        <f>ROW(A2)</f>
        <v>2</v>
      </c>
      <c r="B6" s="52" t="s">
        <v>1343</v>
      </c>
      <c r="C6" s="37" t="s">
        <v>1141</v>
      </c>
      <c r="D6" s="48">
        <v>44859.578692129631</v>
      </c>
      <c r="E6" s="37" t="s">
        <v>783</v>
      </c>
      <c r="F6" s="37" t="s">
        <v>784</v>
      </c>
      <c r="G6" s="37" t="s">
        <v>785</v>
      </c>
      <c r="H6" s="49" t="s">
        <v>1336</v>
      </c>
      <c r="I6" s="37" t="s">
        <v>1335</v>
      </c>
      <c r="J6" s="37" t="s">
        <v>221</v>
      </c>
      <c r="K6" s="37">
        <v>4</v>
      </c>
      <c r="L6" s="37"/>
      <c r="M6" s="37"/>
      <c r="N6" s="37" t="s">
        <v>1259</v>
      </c>
      <c r="O6" s="50" t="s">
        <v>1341</v>
      </c>
      <c r="P6" s="49" t="s">
        <v>1338</v>
      </c>
      <c r="Q6" s="37" t="s">
        <v>1337</v>
      </c>
      <c r="R6" s="37" t="s">
        <v>221</v>
      </c>
      <c r="S6" s="37">
        <v>1</v>
      </c>
      <c r="T6" s="37"/>
      <c r="U6" s="37"/>
      <c r="V6" s="37" t="s">
        <v>1259</v>
      </c>
      <c r="W6" s="50" t="s">
        <v>1341</v>
      </c>
      <c r="X6" s="49" t="s">
        <v>1266</v>
      </c>
      <c r="Y6" s="37" t="s">
        <v>1265</v>
      </c>
      <c r="Z6" s="37" t="s">
        <v>1267</v>
      </c>
      <c r="AA6" s="37">
        <v>1</v>
      </c>
      <c r="AB6" s="37"/>
      <c r="AC6" s="37"/>
      <c r="AD6" s="37" t="s">
        <v>1262</v>
      </c>
      <c r="AE6" s="50" t="s">
        <v>1341</v>
      </c>
      <c r="AF6" s="49" t="s">
        <v>661</v>
      </c>
      <c r="AG6" s="37" t="s">
        <v>660</v>
      </c>
      <c r="AH6" s="37" t="s">
        <v>221</v>
      </c>
      <c r="AI6" s="37">
        <v>50</v>
      </c>
      <c r="AJ6" s="37"/>
      <c r="AK6" s="37"/>
      <c r="AL6" s="37" t="s">
        <v>1259</v>
      </c>
      <c r="AM6" s="50" t="s">
        <v>1341</v>
      </c>
      <c r="AN6" s="49" t="s">
        <v>1340</v>
      </c>
      <c r="AO6" s="37" t="s">
        <v>1339</v>
      </c>
      <c r="AP6" s="37" t="s">
        <v>221</v>
      </c>
      <c r="AQ6" s="37">
        <v>50</v>
      </c>
      <c r="AR6" s="37"/>
      <c r="AS6" s="37"/>
      <c r="AT6" s="37" t="s">
        <v>1259</v>
      </c>
      <c r="AU6" s="50" t="s">
        <v>1341</v>
      </c>
      <c r="AV6" s="49"/>
      <c r="AW6" s="37"/>
      <c r="AX6" s="37"/>
      <c r="AY6" s="37"/>
      <c r="AZ6" s="37"/>
      <c r="BA6" s="37"/>
      <c r="BB6" s="37"/>
      <c r="BC6" s="50"/>
      <c r="BD6" s="49"/>
      <c r="BE6" s="37"/>
      <c r="BF6" s="37"/>
      <c r="BG6" s="37"/>
      <c r="BH6" s="37"/>
      <c r="BI6" s="37"/>
      <c r="BJ6" s="37"/>
      <c r="BK6" s="50"/>
      <c r="BL6" s="49"/>
      <c r="BM6" s="37"/>
      <c r="BN6" s="37"/>
      <c r="BO6" s="37"/>
      <c r="BP6" s="37"/>
      <c r="BQ6" s="37"/>
      <c r="BR6" s="37"/>
      <c r="BS6" s="50"/>
      <c r="BT6" s="49"/>
      <c r="BU6" s="37"/>
      <c r="BV6" s="37"/>
      <c r="BW6" s="37"/>
      <c r="BX6" s="37"/>
      <c r="BY6" s="37"/>
      <c r="BZ6" s="37"/>
      <c r="CA6" s="50"/>
      <c r="CB6" s="49"/>
      <c r="CC6" s="37"/>
      <c r="CD6" s="37"/>
      <c r="CE6" s="37"/>
      <c r="CF6" s="37"/>
      <c r="CG6" s="37"/>
      <c r="CH6" s="37"/>
      <c r="CI6" s="50"/>
      <c r="CJ6" s="49"/>
      <c r="CK6" s="37"/>
      <c r="CL6" s="37"/>
      <c r="CM6" s="37"/>
      <c r="CN6" s="37"/>
      <c r="CO6" s="37"/>
      <c r="CP6" s="37"/>
      <c r="CQ6" s="50"/>
      <c r="CR6" s="49"/>
      <c r="CS6" s="37"/>
      <c r="CT6" s="37"/>
      <c r="CU6" s="37"/>
      <c r="CV6" s="37"/>
      <c r="CW6" s="37"/>
      <c r="CX6" s="37"/>
      <c r="CY6" s="50"/>
      <c r="CZ6" s="49"/>
      <c r="DA6" s="37"/>
      <c r="DB6" s="37"/>
      <c r="DC6" s="37"/>
      <c r="DD6" s="37"/>
      <c r="DE6" s="37"/>
      <c r="DF6" s="37"/>
      <c r="DG6" s="50"/>
      <c r="DH6" s="49"/>
      <c r="DI6" s="37"/>
      <c r="DJ6" s="37"/>
      <c r="DK6" s="37"/>
      <c r="DL6" s="37"/>
      <c r="DM6" s="37"/>
      <c r="DN6" s="37"/>
      <c r="DO6" s="50"/>
      <c r="DP6" s="49"/>
      <c r="DQ6" s="37"/>
      <c r="DR6" s="37"/>
      <c r="DS6" s="37"/>
      <c r="DT6" s="37"/>
      <c r="DU6" s="37"/>
      <c r="DV6" s="37"/>
      <c r="DW6" s="50"/>
      <c r="DX6" s="49"/>
      <c r="DY6" s="37"/>
      <c r="DZ6" s="37"/>
      <c r="EA6" s="37"/>
      <c r="EB6" s="37"/>
      <c r="EC6" s="37"/>
      <c r="ED6" s="37"/>
      <c r="EE6" s="50"/>
      <c r="EF6" s="49"/>
      <c r="EG6" s="37"/>
      <c r="EH6" s="37"/>
      <c r="EI6" s="37"/>
      <c r="EJ6" s="37"/>
      <c r="EK6" s="37"/>
      <c r="EL6" s="37"/>
      <c r="EM6" s="50"/>
      <c r="EN6" s="22"/>
      <c r="EO6" s="12"/>
      <c r="EP6" s="12"/>
      <c r="EQ6" s="12"/>
      <c r="ER6" s="12"/>
      <c r="ES6" s="12"/>
      <c r="ET6" s="12"/>
      <c r="EU6" s="23"/>
      <c r="EV6" s="49"/>
      <c r="EW6" s="37"/>
      <c r="EX6" s="37"/>
      <c r="EY6" s="37"/>
      <c r="EZ6" s="37"/>
      <c r="FA6" s="37"/>
      <c r="FB6" s="37"/>
      <c r="FC6" s="50"/>
      <c r="FD6" s="49"/>
      <c r="FE6" s="37"/>
      <c r="FF6" s="37"/>
      <c r="FG6" s="37"/>
      <c r="FH6" s="37"/>
      <c r="FI6" s="37"/>
      <c r="FJ6" s="37"/>
      <c r="FK6" s="50"/>
      <c r="FL6" s="37"/>
      <c r="FM6" s="37"/>
      <c r="FN6" s="37"/>
    </row>
    <row r="7" spans="1:170" x14ac:dyDescent="0.25">
      <c r="A7" s="38">
        <f>ROW(A2)</f>
        <v>2</v>
      </c>
      <c r="B7" s="52" t="s">
        <v>1334</v>
      </c>
      <c r="C7" s="37" t="s">
        <v>1141</v>
      </c>
      <c r="D7" s="48">
        <v>44859.56386574074</v>
      </c>
      <c r="E7" s="37" t="s">
        <v>783</v>
      </c>
      <c r="F7" s="37" t="s">
        <v>805</v>
      </c>
      <c r="G7" s="37" t="s">
        <v>785</v>
      </c>
      <c r="H7" s="49" t="s">
        <v>711</v>
      </c>
      <c r="I7" s="37" t="s">
        <v>710</v>
      </c>
      <c r="J7" s="37" t="s">
        <v>448</v>
      </c>
      <c r="K7" s="37">
        <v>3</v>
      </c>
      <c r="L7" s="37"/>
      <c r="M7" s="37"/>
      <c r="N7" s="37" t="s">
        <v>223</v>
      </c>
      <c r="O7" s="50" t="s">
        <v>1332</v>
      </c>
      <c r="P7" s="49">
        <v>2220</v>
      </c>
      <c r="Q7" s="37" t="s">
        <v>405</v>
      </c>
      <c r="R7" s="37" t="s">
        <v>235</v>
      </c>
      <c r="S7" s="37">
        <v>9</v>
      </c>
      <c r="T7" s="37"/>
      <c r="U7" s="37"/>
      <c r="V7" s="37" t="s">
        <v>223</v>
      </c>
      <c r="W7" s="50" t="s">
        <v>1332</v>
      </c>
      <c r="X7" s="49"/>
      <c r="Y7" s="37"/>
      <c r="Z7" s="37"/>
      <c r="AA7" s="37"/>
      <c r="AB7" s="37"/>
      <c r="AC7" s="37"/>
      <c r="AD7" s="37"/>
      <c r="AE7" s="50"/>
      <c r="AF7" s="49"/>
      <c r="AG7" s="37"/>
      <c r="AH7" s="37"/>
      <c r="AI7" s="37"/>
      <c r="AJ7" s="37"/>
      <c r="AK7" s="37"/>
      <c r="AL7" s="37"/>
      <c r="AM7" s="50"/>
      <c r="AN7" s="49"/>
      <c r="AO7" s="37"/>
      <c r="AP7" s="37"/>
      <c r="AQ7" s="37"/>
      <c r="AR7" s="37"/>
      <c r="AS7" s="37"/>
      <c r="AT7" s="37"/>
      <c r="AU7" s="50"/>
      <c r="AV7" s="49"/>
      <c r="AW7" s="37"/>
      <c r="AX7" s="37"/>
      <c r="AY7" s="37"/>
      <c r="AZ7" s="37"/>
      <c r="BA7" s="37"/>
      <c r="BB7" s="37"/>
      <c r="BC7" s="50"/>
      <c r="BD7" s="49"/>
      <c r="BE7" s="37"/>
      <c r="BF7" s="37"/>
      <c r="BG7" s="37"/>
      <c r="BH7" s="37"/>
      <c r="BI7" s="37"/>
      <c r="BJ7" s="37"/>
      <c r="BK7" s="50"/>
      <c r="BL7" s="49"/>
      <c r="BM7" s="37"/>
      <c r="BN7" s="37"/>
      <c r="BO7" s="37"/>
      <c r="BP7" s="37"/>
      <c r="BQ7" s="37"/>
      <c r="BR7" s="37"/>
      <c r="BS7" s="50"/>
      <c r="BT7" s="49"/>
      <c r="BU7" s="37"/>
      <c r="BV7" s="37"/>
      <c r="BW7" s="37"/>
      <c r="BX7" s="37"/>
      <c r="BY7" s="37"/>
      <c r="BZ7" s="37"/>
      <c r="CA7" s="50"/>
      <c r="CB7" s="49"/>
      <c r="CC7" s="37"/>
      <c r="CD7" s="37"/>
      <c r="CE7" s="37"/>
      <c r="CF7" s="37"/>
      <c r="CG7" s="37"/>
      <c r="CH7" s="37"/>
      <c r="CI7" s="50"/>
      <c r="CJ7" s="49"/>
      <c r="CK7" s="37"/>
      <c r="CL7" s="37"/>
      <c r="CM7" s="37"/>
      <c r="CN7" s="37"/>
      <c r="CO7" s="37"/>
      <c r="CP7" s="37"/>
      <c r="CQ7" s="50"/>
      <c r="CR7" s="49"/>
      <c r="CS7" s="37"/>
      <c r="CT7" s="37"/>
      <c r="CU7" s="37"/>
      <c r="CV7" s="37"/>
      <c r="CW7" s="37"/>
      <c r="CX7" s="37"/>
      <c r="CY7" s="50"/>
      <c r="CZ7" s="49"/>
      <c r="DA7" s="37"/>
      <c r="DB7" s="37"/>
      <c r="DC7" s="37"/>
      <c r="DD7" s="37"/>
      <c r="DE7" s="37"/>
      <c r="DF7" s="37"/>
      <c r="DG7" s="50"/>
      <c r="DH7" s="49"/>
      <c r="DI7" s="37"/>
      <c r="DJ7" s="37"/>
      <c r="DK7" s="37"/>
      <c r="DL7" s="37"/>
      <c r="DM7" s="37"/>
      <c r="DN7" s="37"/>
      <c r="DO7" s="50"/>
      <c r="DP7" s="49"/>
      <c r="DQ7" s="37"/>
      <c r="DR7" s="37"/>
      <c r="DS7" s="37"/>
      <c r="DT7" s="37"/>
      <c r="DU7" s="37"/>
      <c r="DV7" s="37"/>
      <c r="DW7" s="50"/>
      <c r="DX7" s="49"/>
      <c r="DY7" s="37"/>
      <c r="DZ7" s="37"/>
      <c r="EA7" s="37"/>
      <c r="EB7" s="37"/>
      <c r="EC7" s="37"/>
      <c r="ED7" s="37"/>
      <c r="EE7" s="50"/>
      <c r="EF7" s="49"/>
      <c r="EG7" s="37"/>
      <c r="EH7" s="37"/>
      <c r="EI7" s="37"/>
      <c r="EJ7" s="37"/>
      <c r="EK7" s="37"/>
      <c r="EL7" s="37"/>
      <c r="EM7" s="50"/>
      <c r="EN7" s="22"/>
      <c r="EO7" s="12"/>
      <c r="EP7" s="12"/>
      <c r="EQ7" s="12"/>
      <c r="ER7" s="12"/>
      <c r="ES7" s="12"/>
      <c r="ET7" s="12"/>
      <c r="EU7" s="23"/>
      <c r="EV7" s="49"/>
      <c r="EW7" s="37"/>
      <c r="EX7" s="37"/>
      <c r="EY7" s="37"/>
      <c r="EZ7" s="37"/>
      <c r="FA7" s="37"/>
      <c r="FB7" s="37"/>
      <c r="FC7" s="50"/>
      <c r="FD7" s="49"/>
      <c r="FE7" s="37"/>
      <c r="FF7" s="37"/>
      <c r="FG7" s="37"/>
      <c r="FH7" s="37"/>
      <c r="FI7" s="37"/>
      <c r="FJ7" s="37"/>
      <c r="FK7" s="50"/>
      <c r="FL7" s="37" t="s">
        <v>1262</v>
      </c>
      <c r="FM7" s="37" t="s">
        <v>1259</v>
      </c>
      <c r="FN7" s="37"/>
    </row>
    <row r="8" spans="1:170" x14ac:dyDescent="0.25">
      <c r="A8" s="38">
        <f>ROW(A2)</f>
        <v>2</v>
      </c>
      <c r="B8" s="52" t="s">
        <v>1331</v>
      </c>
      <c r="C8" s="37" t="s">
        <v>1330</v>
      </c>
      <c r="D8" s="48">
        <v>44859.550891203704</v>
      </c>
      <c r="E8" s="37" t="s">
        <v>783</v>
      </c>
      <c r="F8" s="37" t="s">
        <v>784</v>
      </c>
      <c r="G8" s="37" t="s">
        <v>785</v>
      </c>
      <c r="H8" s="49" t="s">
        <v>1327</v>
      </c>
      <c r="I8" s="37" t="s">
        <v>1326</v>
      </c>
      <c r="J8" s="37" t="s">
        <v>221</v>
      </c>
      <c r="K8" s="37">
        <v>22</v>
      </c>
      <c r="L8" s="37"/>
      <c r="M8" s="37"/>
      <c r="N8" s="37" t="s">
        <v>223</v>
      </c>
      <c r="O8" s="50" t="s">
        <v>1328</v>
      </c>
      <c r="P8" s="49"/>
      <c r="Q8" s="37"/>
      <c r="R8" s="37"/>
      <c r="S8" s="37"/>
      <c r="T8" s="37"/>
      <c r="U8" s="37"/>
      <c r="V8" s="37"/>
      <c r="W8" s="50"/>
      <c r="X8" s="49"/>
      <c r="Y8" s="37"/>
      <c r="Z8" s="37"/>
      <c r="AA8" s="37"/>
      <c r="AB8" s="37"/>
      <c r="AC8" s="37"/>
      <c r="AD8" s="37"/>
      <c r="AE8" s="50"/>
      <c r="AF8" s="49"/>
      <c r="AG8" s="37"/>
      <c r="AH8" s="37"/>
      <c r="AI8" s="37"/>
      <c r="AJ8" s="37"/>
      <c r="AK8" s="37"/>
      <c r="AL8" s="37"/>
      <c r="AM8" s="50"/>
      <c r="AN8" s="49"/>
      <c r="AO8" s="37"/>
      <c r="AP8" s="37"/>
      <c r="AQ8" s="37"/>
      <c r="AR8" s="37"/>
      <c r="AS8" s="37"/>
      <c r="AT8" s="37"/>
      <c r="AU8" s="50"/>
      <c r="AV8" s="49"/>
      <c r="AW8" s="37"/>
      <c r="AX8" s="37"/>
      <c r="AY8" s="37"/>
      <c r="AZ8" s="37"/>
      <c r="BA8" s="37"/>
      <c r="BB8" s="37"/>
      <c r="BC8" s="50"/>
      <c r="BD8" s="49"/>
      <c r="BE8" s="37"/>
      <c r="BF8" s="37"/>
      <c r="BG8" s="37"/>
      <c r="BH8" s="37"/>
      <c r="BI8" s="37"/>
      <c r="BJ8" s="37"/>
      <c r="BK8" s="50"/>
      <c r="BL8" s="49"/>
      <c r="BM8" s="37"/>
      <c r="BN8" s="37"/>
      <c r="BO8" s="37"/>
      <c r="BP8" s="37"/>
      <c r="BQ8" s="37"/>
      <c r="BR8" s="37"/>
      <c r="BS8" s="50"/>
      <c r="BT8" s="49"/>
      <c r="BU8" s="37"/>
      <c r="BV8" s="37"/>
      <c r="BW8" s="37"/>
      <c r="BX8" s="37"/>
      <c r="BY8" s="37"/>
      <c r="BZ8" s="37"/>
      <c r="CA8" s="50"/>
      <c r="CB8" s="49"/>
      <c r="CC8" s="37"/>
      <c r="CD8" s="37"/>
      <c r="CE8" s="37"/>
      <c r="CF8" s="37"/>
      <c r="CG8" s="37"/>
      <c r="CH8" s="37"/>
      <c r="CI8" s="50"/>
      <c r="CJ8" s="49"/>
      <c r="CK8" s="37"/>
      <c r="CL8" s="37"/>
      <c r="CM8" s="37"/>
      <c r="CN8" s="37"/>
      <c r="CO8" s="37"/>
      <c r="CP8" s="37"/>
      <c r="CQ8" s="50"/>
      <c r="CR8" s="49"/>
      <c r="CS8" s="37"/>
      <c r="CT8" s="37"/>
      <c r="CU8" s="37"/>
      <c r="CV8" s="37"/>
      <c r="CW8" s="37"/>
      <c r="CX8" s="37"/>
      <c r="CY8" s="50"/>
      <c r="CZ8" s="49"/>
      <c r="DA8" s="37"/>
      <c r="DB8" s="37"/>
      <c r="DC8" s="37"/>
      <c r="DD8" s="37"/>
      <c r="DE8" s="37"/>
      <c r="DF8" s="37"/>
      <c r="DG8" s="50"/>
      <c r="DH8" s="49"/>
      <c r="DI8" s="37"/>
      <c r="DJ8" s="37"/>
      <c r="DK8" s="37"/>
      <c r="DL8" s="37"/>
      <c r="DM8" s="37"/>
      <c r="DN8" s="37"/>
      <c r="DO8" s="50"/>
      <c r="DP8" s="49"/>
      <c r="DQ8" s="37"/>
      <c r="DR8" s="37"/>
      <c r="DS8" s="37"/>
      <c r="DT8" s="37"/>
      <c r="DU8" s="37"/>
      <c r="DV8" s="37"/>
      <c r="DW8" s="50"/>
      <c r="DX8" s="49"/>
      <c r="DY8" s="37"/>
      <c r="DZ8" s="37"/>
      <c r="EA8" s="37"/>
      <c r="EB8" s="37"/>
      <c r="EC8" s="37"/>
      <c r="ED8" s="37"/>
      <c r="EE8" s="50"/>
      <c r="EF8" s="49"/>
      <c r="EG8" s="37"/>
      <c r="EH8" s="37"/>
      <c r="EI8" s="37"/>
      <c r="EJ8" s="37"/>
      <c r="EK8" s="37"/>
      <c r="EL8" s="37"/>
      <c r="EM8" s="50"/>
      <c r="EN8" s="22"/>
      <c r="EO8" s="12"/>
      <c r="EP8" s="12"/>
      <c r="EQ8" s="12"/>
      <c r="ER8" s="12"/>
      <c r="ES8" s="12"/>
      <c r="ET8" s="12"/>
      <c r="EU8" s="23"/>
      <c r="EV8" s="49"/>
      <c r="EW8" s="37"/>
      <c r="EX8" s="37"/>
      <c r="EY8" s="37"/>
      <c r="EZ8" s="37"/>
      <c r="FA8" s="37"/>
      <c r="FB8" s="37"/>
      <c r="FC8" s="50"/>
      <c r="FD8" s="49"/>
      <c r="FE8" s="37"/>
      <c r="FF8" s="37"/>
      <c r="FG8" s="37"/>
      <c r="FH8" s="37"/>
      <c r="FI8" s="37"/>
      <c r="FJ8" s="37"/>
      <c r="FK8" s="50"/>
      <c r="FL8" s="37" t="s">
        <v>223</v>
      </c>
      <c r="FM8" s="37" t="s">
        <v>223</v>
      </c>
      <c r="FN8" s="37"/>
    </row>
    <row r="9" spans="1:170" x14ac:dyDescent="0.25">
      <c r="A9" s="38">
        <f>ROW(A2)</f>
        <v>2</v>
      </c>
      <c r="B9" s="52" t="s">
        <v>1324</v>
      </c>
      <c r="C9" s="37" t="s">
        <v>823</v>
      </c>
      <c r="D9" s="48">
        <v>44859.507743055554</v>
      </c>
      <c r="E9" s="37" t="s">
        <v>1325</v>
      </c>
      <c r="F9" s="37" t="s">
        <v>784</v>
      </c>
      <c r="G9" s="37" t="s">
        <v>785</v>
      </c>
      <c r="H9" s="49" t="s">
        <v>381</v>
      </c>
      <c r="I9" s="37" t="s">
        <v>380</v>
      </c>
      <c r="J9" s="37" t="s">
        <v>382</v>
      </c>
      <c r="K9" s="37">
        <v>1</v>
      </c>
      <c r="L9" s="37"/>
      <c r="M9" s="37"/>
      <c r="N9" s="37" t="s">
        <v>223</v>
      </c>
      <c r="O9" s="50" t="s">
        <v>1322</v>
      </c>
      <c r="P9" s="49"/>
      <c r="Q9" s="37"/>
      <c r="R9" s="37"/>
      <c r="S9" s="37"/>
      <c r="T9" s="37"/>
      <c r="U9" s="37"/>
      <c r="V9" s="37"/>
      <c r="W9" s="50"/>
      <c r="X9" s="49"/>
      <c r="Y9" s="37"/>
      <c r="Z9" s="37"/>
      <c r="AA9" s="37"/>
      <c r="AB9" s="37"/>
      <c r="AC9" s="37"/>
      <c r="AD9" s="37"/>
      <c r="AE9" s="50"/>
      <c r="AF9" s="49"/>
      <c r="AG9" s="37"/>
      <c r="AH9" s="37"/>
      <c r="AI9" s="37"/>
      <c r="AJ9" s="37"/>
      <c r="AK9" s="37"/>
      <c r="AL9" s="37"/>
      <c r="AM9" s="50"/>
      <c r="AN9" s="49"/>
      <c r="AO9" s="37"/>
      <c r="AP9" s="37"/>
      <c r="AQ9" s="37"/>
      <c r="AR9" s="37"/>
      <c r="AS9" s="37"/>
      <c r="AT9" s="37"/>
      <c r="AU9" s="50"/>
      <c r="AV9" s="49"/>
      <c r="AW9" s="37"/>
      <c r="AX9" s="37"/>
      <c r="AY9" s="37"/>
      <c r="AZ9" s="37"/>
      <c r="BA9" s="37"/>
      <c r="BB9" s="37"/>
      <c r="BC9" s="50"/>
      <c r="BD9" s="49"/>
      <c r="BE9" s="37"/>
      <c r="BF9" s="37"/>
      <c r="BG9" s="37"/>
      <c r="BH9" s="37"/>
      <c r="BI9" s="37"/>
      <c r="BJ9" s="37"/>
      <c r="BK9" s="50"/>
      <c r="BL9" s="49"/>
      <c r="BM9" s="37"/>
      <c r="BN9" s="37"/>
      <c r="BO9" s="37"/>
      <c r="BP9" s="37"/>
      <c r="BQ9" s="37"/>
      <c r="BR9" s="37"/>
      <c r="BS9" s="50"/>
      <c r="BT9" s="49"/>
      <c r="BU9" s="37"/>
      <c r="BV9" s="37"/>
      <c r="BW9" s="37"/>
      <c r="BX9" s="37"/>
      <c r="BY9" s="37"/>
      <c r="BZ9" s="37"/>
      <c r="CA9" s="50"/>
      <c r="CB9" s="49"/>
      <c r="CC9" s="37"/>
      <c r="CD9" s="37"/>
      <c r="CE9" s="37"/>
      <c r="CF9" s="37"/>
      <c r="CG9" s="37"/>
      <c r="CH9" s="37"/>
      <c r="CI9" s="50"/>
      <c r="CJ9" s="49"/>
      <c r="CK9" s="37"/>
      <c r="CL9" s="37"/>
      <c r="CM9" s="37"/>
      <c r="CN9" s="37"/>
      <c r="CO9" s="37"/>
      <c r="CP9" s="37"/>
      <c r="CQ9" s="50"/>
      <c r="CR9" s="49"/>
      <c r="CS9" s="37"/>
      <c r="CT9" s="37"/>
      <c r="CU9" s="37"/>
      <c r="CV9" s="37"/>
      <c r="CW9" s="37"/>
      <c r="CX9" s="37"/>
      <c r="CY9" s="50"/>
      <c r="CZ9" s="49"/>
      <c r="DA9" s="37"/>
      <c r="DB9" s="37"/>
      <c r="DC9" s="37"/>
      <c r="DD9" s="37"/>
      <c r="DE9" s="37"/>
      <c r="DF9" s="37"/>
      <c r="DG9" s="50"/>
      <c r="DH9" s="49"/>
      <c r="DI9" s="37"/>
      <c r="DJ9" s="37"/>
      <c r="DK9" s="37"/>
      <c r="DL9" s="37"/>
      <c r="DM9" s="37"/>
      <c r="DN9" s="37"/>
      <c r="DO9" s="50"/>
      <c r="DP9" s="49"/>
      <c r="DQ9" s="37"/>
      <c r="DR9" s="37"/>
      <c r="DS9" s="37"/>
      <c r="DT9" s="37"/>
      <c r="DU9" s="37"/>
      <c r="DV9" s="37"/>
      <c r="DW9" s="50"/>
      <c r="DX9" s="49"/>
      <c r="DY9" s="37"/>
      <c r="DZ9" s="37"/>
      <c r="EA9" s="37"/>
      <c r="EB9" s="37"/>
      <c r="EC9" s="37"/>
      <c r="ED9" s="37"/>
      <c r="EE9" s="50"/>
      <c r="EF9" s="49"/>
      <c r="EG9" s="37"/>
      <c r="EH9" s="37"/>
      <c r="EI9" s="37"/>
      <c r="EJ9" s="37"/>
      <c r="EK9" s="37"/>
      <c r="EL9" s="37"/>
      <c r="EM9" s="50"/>
      <c r="EN9" s="22"/>
      <c r="EO9" s="12"/>
      <c r="EP9" s="12"/>
      <c r="EQ9" s="12"/>
      <c r="ER9" s="12"/>
      <c r="ES9" s="12"/>
      <c r="ET9" s="12"/>
      <c r="EU9" s="23"/>
      <c r="EV9" s="49"/>
      <c r="EW9" s="37"/>
      <c r="EX9" s="37"/>
      <c r="EY9" s="37"/>
      <c r="EZ9" s="37"/>
      <c r="FA9" s="37"/>
      <c r="FB9" s="37"/>
      <c r="FC9" s="50"/>
      <c r="FD9" s="49"/>
      <c r="FE9" s="37"/>
      <c r="FF9" s="37"/>
      <c r="FG9" s="37"/>
      <c r="FH9" s="37"/>
      <c r="FI9" s="37"/>
      <c r="FJ9" s="37"/>
      <c r="FK9" s="50"/>
      <c r="FL9" s="37" t="s">
        <v>223</v>
      </c>
      <c r="FM9" s="37" t="s">
        <v>223</v>
      </c>
      <c r="FN9" s="37"/>
    </row>
    <row r="10" spans="1:170" x14ac:dyDescent="0.25">
      <c r="A10" s="38">
        <f>ROW(A2)</f>
        <v>2</v>
      </c>
      <c r="B10" s="52" t="s">
        <v>1321</v>
      </c>
      <c r="C10" s="37" t="s">
        <v>1315</v>
      </c>
      <c r="D10" s="48">
        <v>44859.504074074073</v>
      </c>
      <c r="E10" s="37" t="s">
        <v>955</v>
      </c>
      <c r="F10" s="37" t="s">
        <v>784</v>
      </c>
      <c r="G10" s="37" t="s">
        <v>785</v>
      </c>
      <c r="H10" s="49" t="s">
        <v>1318</v>
      </c>
      <c r="I10" s="37" t="s">
        <v>1317</v>
      </c>
      <c r="J10" s="37" t="s">
        <v>231</v>
      </c>
      <c r="K10" s="37">
        <v>10</v>
      </c>
      <c r="L10" s="37"/>
      <c r="M10" s="37"/>
      <c r="N10" s="37" t="s">
        <v>223</v>
      </c>
      <c r="O10" s="50" t="s">
        <v>1319</v>
      </c>
      <c r="P10" s="49"/>
      <c r="Q10" s="37"/>
      <c r="R10" s="37"/>
      <c r="S10" s="37"/>
      <c r="T10" s="37"/>
      <c r="U10" s="37"/>
      <c r="V10" s="37"/>
      <c r="W10" s="50"/>
      <c r="X10" s="49"/>
      <c r="Y10" s="37"/>
      <c r="Z10" s="37"/>
      <c r="AA10" s="37"/>
      <c r="AB10" s="37"/>
      <c r="AC10" s="37"/>
      <c r="AD10" s="37"/>
      <c r="AE10" s="50"/>
      <c r="AF10" s="49"/>
      <c r="AG10" s="37"/>
      <c r="AH10" s="37"/>
      <c r="AI10" s="37"/>
      <c r="AJ10" s="37"/>
      <c r="AK10" s="37"/>
      <c r="AL10" s="37"/>
      <c r="AM10" s="50"/>
      <c r="AN10" s="49"/>
      <c r="AO10" s="37"/>
      <c r="AP10" s="37"/>
      <c r="AQ10" s="37"/>
      <c r="AR10" s="37"/>
      <c r="AS10" s="37"/>
      <c r="AT10" s="37"/>
      <c r="AU10" s="50"/>
      <c r="AV10" s="49"/>
      <c r="AW10" s="37"/>
      <c r="AX10" s="37"/>
      <c r="AY10" s="37"/>
      <c r="AZ10" s="37"/>
      <c r="BA10" s="37"/>
      <c r="BB10" s="37"/>
      <c r="BC10" s="50"/>
      <c r="BD10" s="49"/>
      <c r="BE10" s="37"/>
      <c r="BF10" s="37"/>
      <c r="BG10" s="37"/>
      <c r="BH10" s="37"/>
      <c r="BI10" s="37"/>
      <c r="BJ10" s="37"/>
      <c r="BK10" s="50"/>
      <c r="BL10" s="49"/>
      <c r="BM10" s="37"/>
      <c r="BN10" s="37"/>
      <c r="BO10" s="37"/>
      <c r="BP10" s="37"/>
      <c r="BQ10" s="37"/>
      <c r="BR10" s="37"/>
      <c r="BS10" s="50"/>
      <c r="BT10" s="49"/>
      <c r="BU10" s="37"/>
      <c r="BV10" s="37"/>
      <c r="BW10" s="37"/>
      <c r="BX10" s="37"/>
      <c r="BY10" s="37"/>
      <c r="BZ10" s="37"/>
      <c r="CA10" s="50"/>
      <c r="CB10" s="49"/>
      <c r="CC10" s="37"/>
      <c r="CD10" s="37"/>
      <c r="CE10" s="37"/>
      <c r="CF10" s="37"/>
      <c r="CG10" s="37"/>
      <c r="CH10" s="37"/>
      <c r="CI10" s="50"/>
      <c r="CJ10" s="49"/>
      <c r="CK10" s="37"/>
      <c r="CL10" s="37"/>
      <c r="CM10" s="37"/>
      <c r="CN10" s="37"/>
      <c r="CO10" s="37"/>
      <c r="CP10" s="37"/>
      <c r="CQ10" s="50"/>
      <c r="CR10" s="49"/>
      <c r="CS10" s="37"/>
      <c r="CT10" s="37"/>
      <c r="CU10" s="37"/>
      <c r="CV10" s="37"/>
      <c r="CW10" s="37"/>
      <c r="CX10" s="37"/>
      <c r="CY10" s="50"/>
      <c r="CZ10" s="49"/>
      <c r="DA10" s="37"/>
      <c r="DB10" s="37"/>
      <c r="DC10" s="37"/>
      <c r="DD10" s="37"/>
      <c r="DE10" s="37"/>
      <c r="DF10" s="37"/>
      <c r="DG10" s="50"/>
      <c r="DH10" s="49"/>
      <c r="DI10" s="37"/>
      <c r="DJ10" s="37"/>
      <c r="DK10" s="37"/>
      <c r="DL10" s="37"/>
      <c r="DM10" s="37"/>
      <c r="DN10" s="37"/>
      <c r="DO10" s="50"/>
      <c r="DP10" s="49"/>
      <c r="DQ10" s="37"/>
      <c r="DR10" s="37"/>
      <c r="DS10" s="37"/>
      <c r="DT10" s="37"/>
      <c r="DU10" s="37"/>
      <c r="DV10" s="37"/>
      <c r="DW10" s="50"/>
      <c r="DX10" s="49"/>
      <c r="DY10" s="37"/>
      <c r="DZ10" s="37"/>
      <c r="EA10" s="37"/>
      <c r="EB10" s="37"/>
      <c r="EC10" s="37"/>
      <c r="ED10" s="37"/>
      <c r="EE10" s="50"/>
      <c r="EF10" s="49"/>
      <c r="EG10" s="37"/>
      <c r="EH10" s="37"/>
      <c r="EI10" s="37"/>
      <c r="EJ10" s="37"/>
      <c r="EK10" s="37"/>
      <c r="EL10" s="37"/>
      <c r="EM10" s="50"/>
      <c r="EN10" s="22"/>
      <c r="EO10" s="12"/>
      <c r="EP10" s="12"/>
      <c r="EQ10" s="12"/>
      <c r="ER10" s="12"/>
      <c r="ES10" s="12"/>
      <c r="ET10" s="12"/>
      <c r="EU10" s="23"/>
      <c r="EV10" s="49"/>
      <c r="EW10" s="37"/>
      <c r="EX10" s="37"/>
      <c r="EY10" s="37"/>
      <c r="EZ10" s="37"/>
      <c r="FA10" s="37"/>
      <c r="FB10" s="37"/>
      <c r="FC10" s="50"/>
      <c r="FD10" s="49"/>
      <c r="FE10" s="37"/>
      <c r="FF10" s="37"/>
      <c r="FG10" s="37"/>
      <c r="FH10" s="37"/>
      <c r="FI10" s="37"/>
      <c r="FJ10" s="37"/>
      <c r="FK10" s="50"/>
      <c r="FL10" s="37" t="s">
        <v>223</v>
      </c>
      <c r="FM10" s="37" t="s">
        <v>223</v>
      </c>
      <c r="FN10" s="37"/>
    </row>
    <row r="11" spans="1:170" x14ac:dyDescent="0.25">
      <c r="A11" s="38">
        <f>ROW(A2)</f>
        <v>2</v>
      </c>
      <c r="B11" s="52" t="s">
        <v>1316</v>
      </c>
      <c r="C11" s="37" t="s">
        <v>1315</v>
      </c>
      <c r="D11" s="48">
        <v>44859.500590277778</v>
      </c>
      <c r="E11" s="37" t="s">
        <v>955</v>
      </c>
      <c r="F11" s="37" t="s">
        <v>784</v>
      </c>
      <c r="G11" s="37" t="s">
        <v>785</v>
      </c>
      <c r="H11" s="49" t="s">
        <v>1312</v>
      </c>
      <c r="I11" s="37" t="s">
        <v>1311</v>
      </c>
      <c r="J11" s="37" t="s">
        <v>221</v>
      </c>
      <c r="K11" s="37">
        <v>2</v>
      </c>
      <c r="L11" s="37"/>
      <c r="M11" s="37"/>
      <c r="N11" s="37" t="s">
        <v>223</v>
      </c>
      <c r="O11" s="50" t="s">
        <v>1313</v>
      </c>
      <c r="P11" s="49"/>
      <c r="Q11" s="37"/>
      <c r="R11" s="37"/>
      <c r="S11" s="37"/>
      <c r="T11" s="37"/>
      <c r="U11" s="37"/>
      <c r="V11" s="37"/>
      <c r="W11" s="50"/>
      <c r="X11" s="49"/>
      <c r="Y11" s="37"/>
      <c r="Z11" s="37"/>
      <c r="AA11" s="37"/>
      <c r="AB11" s="37"/>
      <c r="AC11" s="37"/>
      <c r="AD11" s="37"/>
      <c r="AE11" s="50"/>
      <c r="AF11" s="49"/>
      <c r="AG11" s="37"/>
      <c r="AH11" s="37"/>
      <c r="AI11" s="37"/>
      <c r="AJ11" s="37"/>
      <c r="AK11" s="37"/>
      <c r="AL11" s="37"/>
      <c r="AM11" s="50"/>
      <c r="AN11" s="49"/>
      <c r="AO11" s="37"/>
      <c r="AP11" s="37"/>
      <c r="AQ11" s="37"/>
      <c r="AR11" s="37"/>
      <c r="AS11" s="37"/>
      <c r="AT11" s="37"/>
      <c r="AU11" s="50"/>
      <c r="AV11" s="49"/>
      <c r="AW11" s="37"/>
      <c r="AX11" s="37"/>
      <c r="AY11" s="37"/>
      <c r="AZ11" s="37"/>
      <c r="BA11" s="37"/>
      <c r="BB11" s="37"/>
      <c r="BC11" s="50"/>
      <c r="BD11" s="49"/>
      <c r="BE11" s="37"/>
      <c r="BF11" s="37"/>
      <c r="BG11" s="37"/>
      <c r="BH11" s="37"/>
      <c r="BI11" s="37"/>
      <c r="BJ11" s="37"/>
      <c r="BK11" s="50"/>
      <c r="BL11" s="49"/>
      <c r="BM11" s="37"/>
      <c r="BN11" s="37"/>
      <c r="BO11" s="37"/>
      <c r="BP11" s="37"/>
      <c r="BQ11" s="37"/>
      <c r="BR11" s="37"/>
      <c r="BS11" s="50"/>
      <c r="BT11" s="49"/>
      <c r="BU11" s="37"/>
      <c r="BV11" s="37"/>
      <c r="BW11" s="37"/>
      <c r="BX11" s="37"/>
      <c r="BY11" s="37"/>
      <c r="BZ11" s="37"/>
      <c r="CA11" s="50"/>
      <c r="CB11" s="49"/>
      <c r="CC11" s="37"/>
      <c r="CD11" s="37"/>
      <c r="CE11" s="37"/>
      <c r="CF11" s="37"/>
      <c r="CG11" s="37"/>
      <c r="CH11" s="37"/>
      <c r="CI11" s="50"/>
      <c r="CJ11" s="49"/>
      <c r="CK11" s="37"/>
      <c r="CL11" s="37"/>
      <c r="CM11" s="37"/>
      <c r="CN11" s="37"/>
      <c r="CO11" s="37"/>
      <c r="CP11" s="37"/>
      <c r="CQ11" s="50"/>
      <c r="CR11" s="49"/>
      <c r="CS11" s="37"/>
      <c r="CT11" s="37"/>
      <c r="CU11" s="37"/>
      <c r="CV11" s="37"/>
      <c r="CW11" s="37"/>
      <c r="CX11" s="37"/>
      <c r="CY11" s="50"/>
      <c r="CZ11" s="49"/>
      <c r="DA11" s="37"/>
      <c r="DB11" s="37"/>
      <c r="DC11" s="37"/>
      <c r="DD11" s="37"/>
      <c r="DE11" s="37"/>
      <c r="DF11" s="37"/>
      <c r="DG11" s="50"/>
      <c r="DH11" s="49"/>
      <c r="DI11" s="37"/>
      <c r="DJ11" s="37"/>
      <c r="DK11" s="37"/>
      <c r="DL11" s="37"/>
      <c r="DM11" s="37"/>
      <c r="DN11" s="37"/>
      <c r="DO11" s="50"/>
      <c r="DP11" s="49"/>
      <c r="DQ11" s="37"/>
      <c r="DR11" s="37"/>
      <c r="DS11" s="37"/>
      <c r="DT11" s="37"/>
      <c r="DU11" s="37"/>
      <c r="DV11" s="37"/>
      <c r="DW11" s="50"/>
      <c r="DX11" s="49"/>
      <c r="DY11" s="37"/>
      <c r="DZ11" s="37"/>
      <c r="EA11" s="37"/>
      <c r="EB11" s="37"/>
      <c r="EC11" s="37"/>
      <c r="ED11" s="37"/>
      <c r="EE11" s="50"/>
      <c r="EF11" s="49"/>
      <c r="EG11" s="37"/>
      <c r="EH11" s="37"/>
      <c r="EI11" s="37"/>
      <c r="EJ11" s="37"/>
      <c r="EK11" s="37"/>
      <c r="EL11" s="37"/>
      <c r="EM11" s="50"/>
      <c r="EN11" s="22"/>
      <c r="EO11" s="12"/>
      <c r="EP11" s="12"/>
      <c r="EQ11" s="12"/>
      <c r="ER11" s="12"/>
      <c r="ES11" s="12"/>
      <c r="ET11" s="12"/>
      <c r="EU11" s="23"/>
      <c r="EV11" s="49"/>
      <c r="EW11" s="37"/>
      <c r="EX11" s="37"/>
      <c r="EY11" s="37"/>
      <c r="EZ11" s="37"/>
      <c r="FA11" s="37"/>
      <c r="FB11" s="37"/>
      <c r="FC11" s="50"/>
      <c r="FD11" s="49"/>
      <c r="FE11" s="37"/>
      <c r="FF11" s="37"/>
      <c r="FG11" s="37"/>
      <c r="FH11" s="37"/>
      <c r="FI11" s="37"/>
      <c r="FJ11" s="37"/>
      <c r="FK11" s="50"/>
      <c r="FL11" s="37" t="s">
        <v>223</v>
      </c>
      <c r="FM11" s="37" t="s">
        <v>223</v>
      </c>
      <c r="FN11" s="37"/>
    </row>
    <row r="12" spans="1:170" x14ac:dyDescent="0.25">
      <c r="A12" s="38">
        <f>ROW(A2)</f>
        <v>2</v>
      </c>
      <c r="B12" s="52" t="s">
        <v>1310</v>
      </c>
      <c r="C12" s="37" t="s">
        <v>1308</v>
      </c>
      <c r="D12" s="48">
        <v>44859.497164351851</v>
      </c>
      <c r="E12" s="37" t="s">
        <v>1309</v>
      </c>
      <c r="F12" s="37" t="s">
        <v>784</v>
      </c>
      <c r="G12" s="37" t="s">
        <v>785</v>
      </c>
      <c r="H12" s="49" t="s">
        <v>1305</v>
      </c>
      <c r="I12" s="37" t="s">
        <v>1304</v>
      </c>
      <c r="J12" s="37" t="s">
        <v>221</v>
      </c>
      <c r="K12" s="37">
        <v>3</v>
      </c>
      <c r="L12" s="37"/>
      <c r="M12" s="37"/>
      <c r="N12" s="37" t="s">
        <v>223</v>
      </c>
      <c r="O12" s="50" t="s">
        <v>1306</v>
      </c>
      <c r="P12" s="49"/>
      <c r="Q12" s="37"/>
      <c r="R12" s="37"/>
      <c r="S12" s="37"/>
      <c r="T12" s="37"/>
      <c r="U12" s="37"/>
      <c r="V12" s="37"/>
      <c r="W12" s="50"/>
      <c r="X12" s="49"/>
      <c r="Y12" s="37"/>
      <c r="Z12" s="37"/>
      <c r="AA12" s="37"/>
      <c r="AB12" s="37"/>
      <c r="AC12" s="37"/>
      <c r="AD12" s="37"/>
      <c r="AE12" s="50"/>
      <c r="AF12" s="49"/>
      <c r="AG12" s="37"/>
      <c r="AH12" s="37"/>
      <c r="AI12" s="37"/>
      <c r="AJ12" s="37"/>
      <c r="AK12" s="37"/>
      <c r="AL12" s="37"/>
      <c r="AM12" s="50"/>
      <c r="AN12" s="49"/>
      <c r="AO12" s="37"/>
      <c r="AP12" s="37"/>
      <c r="AQ12" s="37"/>
      <c r="AR12" s="37"/>
      <c r="AS12" s="37"/>
      <c r="AT12" s="37"/>
      <c r="AU12" s="50"/>
      <c r="AV12" s="49"/>
      <c r="AW12" s="37"/>
      <c r="AX12" s="37"/>
      <c r="AY12" s="37"/>
      <c r="AZ12" s="37"/>
      <c r="BA12" s="37"/>
      <c r="BB12" s="37"/>
      <c r="BC12" s="50"/>
      <c r="BD12" s="49"/>
      <c r="BE12" s="37"/>
      <c r="BF12" s="37"/>
      <c r="BG12" s="37"/>
      <c r="BH12" s="37"/>
      <c r="BI12" s="37"/>
      <c r="BJ12" s="37"/>
      <c r="BK12" s="50"/>
      <c r="BL12" s="49"/>
      <c r="BM12" s="37"/>
      <c r="BN12" s="37"/>
      <c r="BO12" s="37"/>
      <c r="BP12" s="37"/>
      <c r="BQ12" s="37"/>
      <c r="BR12" s="37"/>
      <c r="BS12" s="50"/>
      <c r="BT12" s="49"/>
      <c r="BU12" s="37"/>
      <c r="BV12" s="37"/>
      <c r="BW12" s="37"/>
      <c r="BX12" s="37"/>
      <c r="BY12" s="37"/>
      <c r="BZ12" s="37"/>
      <c r="CA12" s="50"/>
      <c r="CB12" s="49"/>
      <c r="CC12" s="37"/>
      <c r="CD12" s="37"/>
      <c r="CE12" s="37"/>
      <c r="CF12" s="37"/>
      <c r="CG12" s="37"/>
      <c r="CH12" s="37"/>
      <c r="CI12" s="50"/>
      <c r="CJ12" s="49"/>
      <c r="CK12" s="37"/>
      <c r="CL12" s="37"/>
      <c r="CM12" s="37"/>
      <c r="CN12" s="37"/>
      <c r="CO12" s="37"/>
      <c r="CP12" s="37"/>
      <c r="CQ12" s="50"/>
      <c r="CR12" s="49"/>
      <c r="CS12" s="37"/>
      <c r="CT12" s="37"/>
      <c r="CU12" s="37"/>
      <c r="CV12" s="37"/>
      <c r="CW12" s="37"/>
      <c r="CX12" s="37"/>
      <c r="CY12" s="50"/>
      <c r="CZ12" s="49"/>
      <c r="DA12" s="37"/>
      <c r="DB12" s="37"/>
      <c r="DC12" s="37"/>
      <c r="DD12" s="37"/>
      <c r="DE12" s="37"/>
      <c r="DF12" s="37"/>
      <c r="DG12" s="50"/>
      <c r="DH12" s="49"/>
      <c r="DI12" s="37"/>
      <c r="DJ12" s="37"/>
      <c r="DK12" s="37"/>
      <c r="DL12" s="37"/>
      <c r="DM12" s="37"/>
      <c r="DN12" s="37"/>
      <c r="DO12" s="50"/>
      <c r="DP12" s="49"/>
      <c r="DQ12" s="37"/>
      <c r="DR12" s="37"/>
      <c r="DS12" s="37"/>
      <c r="DT12" s="37"/>
      <c r="DU12" s="37"/>
      <c r="DV12" s="37"/>
      <c r="DW12" s="50"/>
      <c r="DX12" s="49"/>
      <c r="DY12" s="37"/>
      <c r="DZ12" s="37"/>
      <c r="EA12" s="37"/>
      <c r="EB12" s="37"/>
      <c r="EC12" s="37"/>
      <c r="ED12" s="37"/>
      <c r="EE12" s="50"/>
      <c r="EF12" s="49"/>
      <c r="EG12" s="37"/>
      <c r="EH12" s="37"/>
      <c r="EI12" s="37"/>
      <c r="EJ12" s="37"/>
      <c r="EK12" s="37"/>
      <c r="EL12" s="37"/>
      <c r="EM12" s="50"/>
      <c r="EN12" s="22"/>
      <c r="EO12" s="12"/>
      <c r="EP12" s="12"/>
      <c r="EQ12" s="12"/>
      <c r="ER12" s="12"/>
      <c r="ES12" s="12"/>
      <c r="ET12" s="12"/>
      <c r="EU12" s="23"/>
      <c r="EV12" s="49"/>
      <c r="EW12" s="37"/>
      <c r="EX12" s="37"/>
      <c r="EY12" s="37"/>
      <c r="EZ12" s="37"/>
      <c r="FA12" s="37"/>
      <c r="FB12" s="37"/>
      <c r="FC12" s="50"/>
      <c r="FD12" s="49"/>
      <c r="FE12" s="37"/>
      <c r="FF12" s="37"/>
      <c r="FG12" s="37"/>
      <c r="FH12" s="37"/>
      <c r="FI12" s="37"/>
      <c r="FJ12" s="37"/>
      <c r="FK12" s="50"/>
      <c r="FL12" s="37" t="s">
        <v>223</v>
      </c>
      <c r="FM12" s="37" t="s">
        <v>223</v>
      </c>
      <c r="FN12" s="37"/>
    </row>
    <row r="13" spans="1:170" x14ac:dyDescent="0.25">
      <c r="A13" s="38">
        <f>ROW(A2)</f>
        <v>2</v>
      </c>
      <c r="B13" s="52" t="s">
        <v>1303</v>
      </c>
      <c r="C13" s="37" t="s">
        <v>1301</v>
      </c>
      <c r="D13" s="48">
        <v>44859.490474537037</v>
      </c>
      <c r="E13" s="37" t="s">
        <v>816</v>
      </c>
      <c r="F13" s="37" t="s">
        <v>805</v>
      </c>
      <c r="G13" s="37" t="s">
        <v>785</v>
      </c>
      <c r="H13" s="49" t="s">
        <v>1257</v>
      </c>
      <c r="I13" s="37" t="s">
        <v>1256</v>
      </c>
      <c r="J13" s="37" t="s">
        <v>1258</v>
      </c>
      <c r="K13" s="37">
        <v>2</v>
      </c>
      <c r="L13" s="37"/>
      <c r="M13" s="37"/>
      <c r="N13" s="37" t="s">
        <v>1259</v>
      </c>
      <c r="O13" s="50" t="s">
        <v>1299</v>
      </c>
      <c r="P13" s="49" t="s">
        <v>1261</v>
      </c>
      <c r="Q13" s="37" t="s">
        <v>1260</v>
      </c>
      <c r="R13" s="37" t="s">
        <v>221</v>
      </c>
      <c r="S13" s="37">
        <v>1</v>
      </c>
      <c r="T13" s="37"/>
      <c r="U13" s="37"/>
      <c r="V13" s="37" t="s">
        <v>1262</v>
      </c>
      <c r="W13" s="50" t="s">
        <v>1299</v>
      </c>
      <c r="X13" s="49" t="s">
        <v>447</v>
      </c>
      <c r="Y13" s="37" t="s">
        <v>446</v>
      </c>
      <c r="Z13" s="37" t="s">
        <v>448</v>
      </c>
      <c r="AA13" s="37">
        <v>1</v>
      </c>
      <c r="AB13" s="37"/>
      <c r="AC13" s="37"/>
      <c r="AD13" s="37" t="s">
        <v>1259</v>
      </c>
      <c r="AE13" s="50" t="s">
        <v>1299</v>
      </c>
      <c r="AF13" s="49" t="s">
        <v>663</v>
      </c>
      <c r="AG13" s="37" t="s">
        <v>662</v>
      </c>
      <c r="AH13" s="37" t="s">
        <v>570</v>
      </c>
      <c r="AI13" s="37">
        <v>2</v>
      </c>
      <c r="AJ13" s="37"/>
      <c r="AK13" s="37"/>
      <c r="AL13" s="37" t="s">
        <v>1259</v>
      </c>
      <c r="AM13" s="50" t="s">
        <v>1299</v>
      </c>
      <c r="AN13" s="49" t="s">
        <v>1264</v>
      </c>
      <c r="AO13" s="37" t="s">
        <v>1263</v>
      </c>
      <c r="AP13" s="37" t="s">
        <v>221</v>
      </c>
      <c r="AQ13" s="37">
        <v>2</v>
      </c>
      <c r="AR13" s="37"/>
      <c r="AS13" s="37"/>
      <c r="AT13" s="37" t="s">
        <v>1259</v>
      </c>
      <c r="AU13" s="50" t="s">
        <v>1302</v>
      </c>
      <c r="AV13" s="49" t="s">
        <v>1266</v>
      </c>
      <c r="AW13" s="37" t="s">
        <v>1265</v>
      </c>
      <c r="AX13" s="37" t="s">
        <v>1267</v>
      </c>
      <c r="AY13" s="37">
        <v>1</v>
      </c>
      <c r="AZ13" s="37"/>
      <c r="BA13" s="37"/>
      <c r="BB13" s="37" t="s">
        <v>1262</v>
      </c>
      <c r="BC13" s="50" t="s">
        <v>1302</v>
      </c>
      <c r="BD13" s="49" t="s">
        <v>1269</v>
      </c>
      <c r="BE13" s="37" t="s">
        <v>1268</v>
      </c>
      <c r="BF13" s="37" t="s">
        <v>221</v>
      </c>
      <c r="BG13" s="37">
        <v>2</v>
      </c>
      <c r="BH13" s="37"/>
      <c r="BI13" s="37"/>
      <c r="BJ13" s="37" t="s">
        <v>1259</v>
      </c>
      <c r="BK13" s="50" t="s">
        <v>1302</v>
      </c>
      <c r="BL13" s="49"/>
      <c r="BM13" s="37"/>
      <c r="BN13" s="37"/>
      <c r="BO13" s="37"/>
      <c r="BP13" s="37"/>
      <c r="BQ13" s="37"/>
      <c r="BR13" s="37"/>
      <c r="BS13" s="50"/>
      <c r="BT13" s="49"/>
      <c r="BU13" s="37"/>
      <c r="BV13" s="37"/>
      <c r="BW13" s="37"/>
      <c r="BX13" s="37"/>
      <c r="BY13" s="37"/>
      <c r="BZ13" s="37"/>
      <c r="CA13" s="50"/>
      <c r="CB13" s="49"/>
      <c r="CC13" s="37"/>
      <c r="CD13" s="37"/>
      <c r="CE13" s="37"/>
      <c r="CF13" s="37"/>
      <c r="CG13" s="37"/>
      <c r="CH13" s="37"/>
      <c r="CI13" s="50"/>
      <c r="CJ13" s="49"/>
      <c r="CK13" s="37"/>
      <c r="CL13" s="37"/>
      <c r="CM13" s="37"/>
      <c r="CN13" s="37"/>
      <c r="CO13" s="37"/>
      <c r="CP13" s="37"/>
      <c r="CQ13" s="50"/>
      <c r="CR13" s="49"/>
      <c r="CS13" s="37"/>
      <c r="CT13" s="37"/>
      <c r="CU13" s="37"/>
      <c r="CV13" s="37"/>
      <c r="CW13" s="37"/>
      <c r="CX13" s="37"/>
      <c r="CY13" s="50"/>
      <c r="CZ13" s="49"/>
      <c r="DA13" s="37"/>
      <c r="DB13" s="37"/>
      <c r="DC13" s="37"/>
      <c r="DD13" s="37"/>
      <c r="DE13" s="37"/>
      <c r="DF13" s="37"/>
      <c r="DG13" s="50"/>
      <c r="DH13" s="49"/>
      <c r="DI13" s="37"/>
      <c r="DJ13" s="37"/>
      <c r="DK13" s="37"/>
      <c r="DL13" s="37"/>
      <c r="DM13" s="37"/>
      <c r="DN13" s="37"/>
      <c r="DO13" s="50"/>
      <c r="DP13" s="49"/>
      <c r="DQ13" s="37"/>
      <c r="DR13" s="37"/>
      <c r="DS13" s="37"/>
      <c r="DT13" s="37"/>
      <c r="DU13" s="37"/>
      <c r="DV13" s="37"/>
      <c r="DW13" s="50"/>
      <c r="DX13" s="49"/>
      <c r="DY13" s="37"/>
      <c r="DZ13" s="37"/>
      <c r="EA13" s="37"/>
      <c r="EB13" s="37"/>
      <c r="EC13" s="37"/>
      <c r="ED13" s="37"/>
      <c r="EE13" s="50"/>
      <c r="EF13" s="49"/>
      <c r="EG13" s="37"/>
      <c r="EH13" s="37"/>
      <c r="EI13" s="37"/>
      <c r="EJ13" s="37"/>
      <c r="EK13" s="37"/>
      <c r="EL13" s="37"/>
      <c r="EM13" s="50"/>
      <c r="EN13" s="22"/>
      <c r="EO13" s="12"/>
      <c r="EP13" s="12"/>
      <c r="EQ13" s="12"/>
      <c r="ER13" s="12"/>
      <c r="ES13" s="12"/>
      <c r="ET13" s="12"/>
      <c r="EU13" s="23"/>
      <c r="EV13" s="49"/>
      <c r="EW13" s="37"/>
      <c r="EX13" s="37"/>
      <c r="EY13" s="37"/>
      <c r="EZ13" s="37"/>
      <c r="FA13" s="37"/>
      <c r="FB13" s="37"/>
      <c r="FC13" s="50"/>
      <c r="FD13" s="49"/>
      <c r="FE13" s="37"/>
      <c r="FF13" s="37"/>
      <c r="FG13" s="37"/>
      <c r="FH13" s="37"/>
      <c r="FI13" s="37"/>
      <c r="FJ13" s="37"/>
      <c r="FK13" s="50"/>
      <c r="FL13" s="37" t="s">
        <v>1262</v>
      </c>
      <c r="FM13" s="37" t="s">
        <v>1259</v>
      </c>
      <c r="FN13" s="37"/>
    </row>
    <row r="14" spans="1:170" x14ac:dyDescent="0.25">
      <c r="A14" s="38">
        <f>ROW(A2)</f>
        <v>2</v>
      </c>
      <c r="B14" s="52" t="s">
        <v>1298</v>
      </c>
      <c r="C14" s="37" t="s">
        <v>929</v>
      </c>
      <c r="D14" s="48">
        <v>44858.756655092591</v>
      </c>
      <c r="E14" s="37" t="s">
        <v>784</v>
      </c>
      <c r="F14" s="37" t="s">
        <v>784</v>
      </c>
      <c r="G14" s="37" t="s">
        <v>785</v>
      </c>
      <c r="H14" s="49" t="s">
        <v>747</v>
      </c>
      <c r="I14" s="37" t="s">
        <v>746</v>
      </c>
      <c r="J14" s="37" t="s">
        <v>570</v>
      </c>
      <c r="K14" s="37">
        <v>2</v>
      </c>
      <c r="L14" s="37"/>
      <c r="M14" s="37"/>
      <c r="N14" s="37" t="s">
        <v>629</v>
      </c>
      <c r="O14" s="50" t="s">
        <v>223</v>
      </c>
      <c r="P14" s="49"/>
      <c r="Q14" s="37"/>
      <c r="R14" s="37"/>
      <c r="S14" s="37"/>
      <c r="T14" s="37"/>
      <c r="U14" s="37"/>
      <c r="V14" s="37"/>
      <c r="W14" s="50"/>
      <c r="X14" s="49"/>
      <c r="Y14" s="37"/>
      <c r="Z14" s="37"/>
      <c r="AA14" s="37"/>
      <c r="AB14" s="37"/>
      <c r="AC14" s="37"/>
      <c r="AD14" s="37"/>
      <c r="AE14" s="50"/>
      <c r="AF14" s="49"/>
      <c r="AG14" s="37"/>
      <c r="AH14" s="37"/>
      <c r="AI14" s="37"/>
      <c r="AJ14" s="37"/>
      <c r="AK14" s="37"/>
      <c r="AL14" s="37"/>
      <c r="AM14" s="50"/>
      <c r="AN14" s="49"/>
      <c r="AO14" s="37"/>
      <c r="AP14" s="37"/>
      <c r="AQ14" s="37"/>
      <c r="AR14" s="37"/>
      <c r="AS14" s="37"/>
      <c r="AT14" s="37"/>
      <c r="AU14" s="50"/>
      <c r="AV14" s="49"/>
      <c r="AW14" s="37"/>
      <c r="AX14" s="37"/>
      <c r="AY14" s="37"/>
      <c r="AZ14" s="37"/>
      <c r="BA14" s="37"/>
      <c r="BB14" s="37"/>
      <c r="BC14" s="50"/>
      <c r="BD14" s="49"/>
      <c r="BE14" s="37"/>
      <c r="BF14" s="37"/>
      <c r="BG14" s="37"/>
      <c r="BH14" s="37"/>
      <c r="BI14" s="37"/>
      <c r="BJ14" s="37"/>
      <c r="BK14" s="50"/>
      <c r="BL14" s="49"/>
      <c r="BM14" s="37"/>
      <c r="BN14" s="37"/>
      <c r="BO14" s="37"/>
      <c r="BP14" s="37"/>
      <c r="BQ14" s="37"/>
      <c r="BR14" s="37"/>
      <c r="BS14" s="50"/>
      <c r="BT14" s="49"/>
      <c r="BU14" s="37"/>
      <c r="BV14" s="37"/>
      <c r="BW14" s="37"/>
      <c r="BX14" s="37"/>
      <c r="BY14" s="37"/>
      <c r="BZ14" s="37"/>
      <c r="CA14" s="50"/>
      <c r="CB14" s="49"/>
      <c r="CC14" s="37"/>
      <c r="CD14" s="37"/>
      <c r="CE14" s="37"/>
      <c r="CF14" s="37"/>
      <c r="CG14" s="37"/>
      <c r="CH14" s="37"/>
      <c r="CI14" s="50"/>
      <c r="CJ14" s="49"/>
      <c r="CK14" s="37"/>
      <c r="CL14" s="37"/>
      <c r="CM14" s="37"/>
      <c r="CN14" s="37"/>
      <c r="CO14" s="37"/>
      <c r="CP14" s="37"/>
      <c r="CQ14" s="50"/>
      <c r="CR14" s="49"/>
      <c r="CS14" s="37"/>
      <c r="CT14" s="37"/>
      <c r="CU14" s="37"/>
      <c r="CV14" s="37"/>
      <c r="CW14" s="37"/>
      <c r="CX14" s="37"/>
      <c r="CY14" s="50"/>
      <c r="CZ14" s="49"/>
      <c r="DA14" s="37"/>
      <c r="DB14" s="37"/>
      <c r="DC14" s="37"/>
      <c r="DD14" s="37"/>
      <c r="DE14" s="37"/>
      <c r="DF14" s="37"/>
      <c r="DG14" s="50"/>
      <c r="DH14" s="49"/>
      <c r="DI14" s="37"/>
      <c r="DJ14" s="37"/>
      <c r="DK14" s="37"/>
      <c r="DL14" s="37"/>
      <c r="DM14" s="37"/>
      <c r="DN14" s="37"/>
      <c r="DO14" s="50"/>
      <c r="DP14" s="49"/>
      <c r="DQ14" s="37"/>
      <c r="DR14" s="37"/>
      <c r="DS14" s="37"/>
      <c r="DT14" s="37"/>
      <c r="DU14" s="37"/>
      <c r="DV14" s="37"/>
      <c r="DW14" s="50"/>
      <c r="DX14" s="49"/>
      <c r="DY14" s="37"/>
      <c r="DZ14" s="37"/>
      <c r="EA14" s="37"/>
      <c r="EB14" s="37"/>
      <c r="EC14" s="37"/>
      <c r="ED14" s="37"/>
      <c r="EE14" s="50"/>
      <c r="EF14" s="49"/>
      <c r="EG14" s="37"/>
      <c r="EH14" s="37"/>
      <c r="EI14" s="37"/>
      <c r="EJ14" s="37"/>
      <c r="EK14" s="37"/>
      <c r="EL14" s="37"/>
      <c r="EM14" s="50"/>
      <c r="EN14" s="22"/>
      <c r="EO14" s="12"/>
      <c r="EP14" s="12"/>
      <c r="EQ14" s="12"/>
      <c r="ER14" s="12"/>
      <c r="ES14" s="12"/>
      <c r="ET14" s="12"/>
      <c r="EU14" s="23"/>
      <c r="EV14" s="49"/>
      <c r="EW14" s="37"/>
      <c r="EX14" s="37"/>
      <c r="EY14" s="37"/>
      <c r="EZ14" s="37"/>
      <c r="FA14" s="37"/>
      <c r="FB14" s="37"/>
      <c r="FC14" s="50"/>
      <c r="FD14" s="49"/>
      <c r="FE14" s="37"/>
      <c r="FF14" s="37"/>
      <c r="FG14" s="37"/>
      <c r="FH14" s="37"/>
      <c r="FI14" s="37"/>
      <c r="FJ14" s="37"/>
      <c r="FK14" s="50"/>
      <c r="FL14" s="37" t="s">
        <v>223</v>
      </c>
      <c r="FM14" s="37" t="s">
        <v>223</v>
      </c>
      <c r="FN14" s="37"/>
    </row>
    <row r="15" spans="1:170" x14ac:dyDescent="0.25">
      <c r="A15" s="38">
        <f>ROW(A2)</f>
        <v>2</v>
      </c>
      <c r="B15" s="52" t="s">
        <v>1296</v>
      </c>
      <c r="C15" s="37" t="s">
        <v>929</v>
      </c>
      <c r="D15" s="48">
        <v>44858.75545138889</v>
      </c>
      <c r="E15" s="37" t="s">
        <v>784</v>
      </c>
      <c r="F15" s="37" t="s">
        <v>784</v>
      </c>
      <c r="G15" s="37" t="s">
        <v>785</v>
      </c>
      <c r="H15" s="49" t="s">
        <v>597</v>
      </c>
      <c r="I15" s="37" t="s">
        <v>596</v>
      </c>
      <c r="J15" s="37" t="s">
        <v>235</v>
      </c>
      <c r="K15" s="37">
        <v>32</v>
      </c>
      <c r="L15" s="37"/>
      <c r="M15" s="37"/>
      <c r="N15" s="37" t="s">
        <v>223</v>
      </c>
      <c r="O15" s="50" t="s">
        <v>930</v>
      </c>
      <c r="P15" s="49">
        <v>7250</v>
      </c>
      <c r="Q15" s="37" t="s">
        <v>372</v>
      </c>
      <c r="R15" s="37" t="s">
        <v>240</v>
      </c>
      <c r="S15" s="37">
        <v>16</v>
      </c>
      <c r="T15" s="37"/>
      <c r="U15" s="37"/>
      <c r="V15" s="37" t="s">
        <v>223</v>
      </c>
      <c r="W15" s="50" t="s">
        <v>930</v>
      </c>
      <c r="X15" s="49" t="s">
        <v>513</v>
      </c>
      <c r="Y15" s="37" t="s">
        <v>512</v>
      </c>
      <c r="Z15" s="37" t="s">
        <v>514</v>
      </c>
      <c r="AA15" s="37">
        <v>16</v>
      </c>
      <c r="AB15" s="37"/>
      <c r="AC15" s="37"/>
      <c r="AD15" s="37" t="s">
        <v>223</v>
      </c>
      <c r="AE15" s="50" t="s">
        <v>930</v>
      </c>
      <c r="AF15" s="49" t="s">
        <v>442</v>
      </c>
      <c r="AG15" s="37" t="s">
        <v>441</v>
      </c>
      <c r="AH15" s="37" t="s">
        <v>240</v>
      </c>
      <c r="AI15" s="37">
        <v>64</v>
      </c>
      <c r="AJ15" s="37"/>
      <c r="AK15" s="37"/>
      <c r="AL15" s="37" t="s">
        <v>223</v>
      </c>
      <c r="AM15" s="50" t="s">
        <v>930</v>
      </c>
      <c r="AN15" s="49" t="s">
        <v>709</v>
      </c>
      <c r="AO15" s="37" t="s">
        <v>708</v>
      </c>
      <c r="AP15" s="37" t="s">
        <v>448</v>
      </c>
      <c r="AQ15" s="37">
        <v>20</v>
      </c>
      <c r="AR15" s="37"/>
      <c r="AS15" s="37"/>
      <c r="AT15" s="37" t="s">
        <v>223</v>
      </c>
      <c r="AU15" s="50" t="s">
        <v>930</v>
      </c>
      <c r="AV15" s="49" t="s">
        <v>1284</v>
      </c>
      <c r="AW15" s="37" t="s">
        <v>1283</v>
      </c>
      <c r="AX15" s="37" t="s">
        <v>221</v>
      </c>
      <c r="AY15" s="37">
        <v>200</v>
      </c>
      <c r="AZ15" s="37"/>
      <c r="BA15" s="37"/>
      <c r="BB15" s="37" t="s">
        <v>223</v>
      </c>
      <c r="BC15" s="50" t="s">
        <v>930</v>
      </c>
      <c r="BD15" s="49" t="s">
        <v>426</v>
      </c>
      <c r="BE15" s="37" t="s">
        <v>425</v>
      </c>
      <c r="BF15" s="37" t="s">
        <v>221</v>
      </c>
      <c r="BG15" s="37">
        <v>40</v>
      </c>
      <c r="BH15" s="37"/>
      <c r="BI15" s="37"/>
      <c r="BJ15" s="37" t="s">
        <v>223</v>
      </c>
      <c r="BK15" s="50" t="s">
        <v>930</v>
      </c>
      <c r="BL15" s="49" t="s">
        <v>333</v>
      </c>
      <c r="BM15" s="37" t="s">
        <v>332</v>
      </c>
      <c r="BN15" s="37" t="s">
        <v>240</v>
      </c>
      <c r="BO15" s="37">
        <v>1</v>
      </c>
      <c r="BP15" s="37"/>
      <c r="BQ15" s="37"/>
      <c r="BR15" s="37" t="s">
        <v>32</v>
      </c>
      <c r="BS15" s="50" t="s">
        <v>930</v>
      </c>
      <c r="BT15" s="49" t="s">
        <v>1288</v>
      </c>
      <c r="BU15" s="37" t="s">
        <v>1287</v>
      </c>
      <c r="BV15" s="37" t="s">
        <v>221</v>
      </c>
      <c r="BW15" s="37">
        <v>100</v>
      </c>
      <c r="BX15" s="37"/>
      <c r="BY15" s="37"/>
      <c r="BZ15" s="37" t="s">
        <v>223</v>
      </c>
      <c r="CA15" s="50" t="s">
        <v>1293</v>
      </c>
      <c r="CB15" s="49" t="s">
        <v>530</v>
      </c>
      <c r="CC15" s="37" t="s">
        <v>529</v>
      </c>
      <c r="CD15" s="37" t="s">
        <v>221</v>
      </c>
      <c r="CE15" s="37">
        <v>10</v>
      </c>
      <c r="CF15" s="37"/>
      <c r="CG15" s="37"/>
      <c r="CH15" s="37" t="s">
        <v>223</v>
      </c>
      <c r="CI15" s="50" t="s">
        <v>1292</v>
      </c>
      <c r="CJ15" s="49" t="s">
        <v>663</v>
      </c>
      <c r="CK15" s="37" t="s">
        <v>662</v>
      </c>
      <c r="CL15" s="37" t="s">
        <v>570</v>
      </c>
      <c r="CM15" s="37">
        <v>8</v>
      </c>
      <c r="CN15" s="37"/>
      <c r="CO15" s="37"/>
      <c r="CP15" s="37" t="s">
        <v>223</v>
      </c>
      <c r="CQ15" s="50" t="s">
        <v>1291</v>
      </c>
      <c r="CR15" s="49" t="s">
        <v>447</v>
      </c>
      <c r="CS15" s="37" t="s">
        <v>446</v>
      </c>
      <c r="CT15" s="37" t="s">
        <v>448</v>
      </c>
      <c r="CU15" s="37">
        <v>1</v>
      </c>
      <c r="CV15" s="37"/>
      <c r="CW15" s="37"/>
      <c r="CX15" s="37" t="s">
        <v>223</v>
      </c>
      <c r="CY15" s="50" t="s">
        <v>1291</v>
      </c>
      <c r="CZ15" s="49" t="s">
        <v>1286</v>
      </c>
      <c r="DA15" s="37" t="s">
        <v>1285</v>
      </c>
      <c r="DB15" s="37" t="s">
        <v>382</v>
      </c>
      <c r="DC15" s="37">
        <v>4</v>
      </c>
      <c r="DD15" s="37"/>
      <c r="DE15" s="37"/>
      <c r="DF15" s="37" t="s">
        <v>223</v>
      </c>
      <c r="DG15" s="50" t="s">
        <v>1290</v>
      </c>
      <c r="DH15" s="49"/>
      <c r="DI15" s="37"/>
      <c r="DJ15" s="37"/>
      <c r="DK15" s="37"/>
      <c r="DL15" s="37"/>
      <c r="DM15" s="37"/>
      <c r="DN15" s="37"/>
      <c r="DO15" s="50"/>
      <c r="DP15" s="49"/>
      <c r="DQ15" s="37"/>
      <c r="DR15" s="37"/>
      <c r="DS15" s="37"/>
      <c r="DT15" s="37"/>
      <c r="DU15" s="37"/>
      <c r="DV15" s="37"/>
      <c r="DW15" s="50"/>
      <c r="DX15" s="49"/>
      <c r="DY15" s="37"/>
      <c r="DZ15" s="37"/>
      <c r="EA15" s="37"/>
      <c r="EB15" s="37"/>
      <c r="EC15" s="37"/>
      <c r="ED15" s="37"/>
      <c r="EE15" s="50"/>
      <c r="EF15" s="49"/>
      <c r="EG15" s="37"/>
      <c r="EH15" s="37"/>
      <c r="EI15" s="37"/>
      <c r="EJ15" s="37"/>
      <c r="EK15" s="37"/>
      <c r="EL15" s="37"/>
      <c r="EM15" s="50"/>
      <c r="EN15" s="22"/>
      <c r="EO15" s="12"/>
      <c r="EP15" s="12"/>
      <c r="EQ15" s="12"/>
      <c r="ER15" s="12"/>
      <c r="ES15" s="12"/>
      <c r="ET15" s="12"/>
      <c r="EU15" s="23"/>
      <c r="EV15" s="49"/>
      <c r="EW15" s="37"/>
      <c r="EX15" s="37"/>
      <c r="EY15" s="37"/>
      <c r="EZ15" s="37"/>
      <c r="FA15" s="37"/>
      <c r="FB15" s="37"/>
      <c r="FC15" s="50"/>
      <c r="FD15" s="49"/>
      <c r="FE15" s="37"/>
      <c r="FF15" s="37"/>
      <c r="FG15" s="37"/>
      <c r="FH15" s="37"/>
      <c r="FI15" s="37"/>
      <c r="FJ15" s="37"/>
      <c r="FK15" s="50"/>
      <c r="FL15" s="37" t="s">
        <v>223</v>
      </c>
      <c r="FM15" s="37" t="s">
        <v>223</v>
      </c>
      <c r="FN15" s="37"/>
    </row>
    <row r="16" spans="1:170" x14ac:dyDescent="0.25">
      <c r="A16" s="38">
        <f>ROW(A2)</f>
        <v>2</v>
      </c>
      <c r="B16" s="52" t="s">
        <v>1294</v>
      </c>
      <c r="C16" s="37" t="s">
        <v>929</v>
      </c>
      <c r="D16" s="48">
        <v>44858.752175925925</v>
      </c>
      <c r="E16" s="37" t="s">
        <v>784</v>
      </c>
      <c r="F16" s="37" t="s">
        <v>784</v>
      </c>
      <c r="G16" s="37" t="s">
        <v>785</v>
      </c>
      <c r="H16" s="49">
        <v>1402</v>
      </c>
      <c r="I16" s="37" t="s">
        <v>328</v>
      </c>
      <c r="J16" s="37" t="s">
        <v>240</v>
      </c>
      <c r="K16" s="37">
        <v>7</v>
      </c>
      <c r="L16" s="37"/>
      <c r="M16" s="37"/>
      <c r="N16" s="37" t="s">
        <v>223</v>
      </c>
      <c r="O16" s="50" t="s">
        <v>223</v>
      </c>
      <c r="P16" s="49">
        <v>1401</v>
      </c>
      <c r="Q16" s="37" t="s">
        <v>477</v>
      </c>
      <c r="R16" s="37" t="s">
        <v>240</v>
      </c>
      <c r="S16" s="37">
        <v>3</v>
      </c>
      <c r="T16" s="37"/>
      <c r="U16" s="37"/>
      <c r="V16" s="37" t="s">
        <v>223</v>
      </c>
      <c r="W16" s="50" t="s">
        <v>223</v>
      </c>
      <c r="X16" s="49">
        <v>1400</v>
      </c>
      <c r="Y16" s="37" t="s">
        <v>566</v>
      </c>
      <c r="Z16" s="37" t="s">
        <v>243</v>
      </c>
      <c r="AA16" s="37">
        <v>1</v>
      </c>
      <c r="AB16" s="37"/>
      <c r="AC16" s="37"/>
      <c r="AD16" s="37" t="s">
        <v>223</v>
      </c>
      <c r="AE16" s="50" t="s">
        <v>223</v>
      </c>
      <c r="AF16" s="49">
        <v>1430</v>
      </c>
      <c r="AG16" s="37" t="s">
        <v>511</v>
      </c>
      <c r="AH16" s="37" t="s">
        <v>240</v>
      </c>
      <c r="AI16" s="37">
        <v>10</v>
      </c>
      <c r="AJ16" s="37"/>
      <c r="AK16" s="37"/>
      <c r="AL16" s="37" t="s">
        <v>223</v>
      </c>
      <c r="AM16" s="50" t="s">
        <v>223</v>
      </c>
      <c r="AN16" s="49" t="s">
        <v>434</v>
      </c>
      <c r="AO16" s="37" t="s">
        <v>433</v>
      </c>
      <c r="AP16" s="37" t="s">
        <v>240</v>
      </c>
      <c r="AQ16" s="37">
        <v>64</v>
      </c>
      <c r="AR16" s="37"/>
      <c r="AS16" s="37"/>
      <c r="AT16" s="37" t="s">
        <v>223</v>
      </c>
      <c r="AU16" s="50" t="s">
        <v>223</v>
      </c>
      <c r="AV16" s="49" t="s">
        <v>262</v>
      </c>
      <c r="AW16" s="37" t="s">
        <v>259</v>
      </c>
      <c r="AX16" s="37" t="s">
        <v>263</v>
      </c>
      <c r="AY16" s="37">
        <v>1</v>
      </c>
      <c r="AZ16" s="37"/>
      <c r="BA16" s="37"/>
      <c r="BB16" s="37" t="s">
        <v>223</v>
      </c>
      <c r="BC16" s="50" t="s">
        <v>223</v>
      </c>
      <c r="BD16" s="49" t="s">
        <v>528</v>
      </c>
      <c r="BE16" s="37" t="s">
        <v>527</v>
      </c>
      <c r="BF16" s="37" t="s">
        <v>263</v>
      </c>
      <c r="BG16" s="37">
        <v>1</v>
      </c>
      <c r="BH16" s="37"/>
      <c r="BI16" s="37"/>
      <c r="BJ16" s="37" t="s">
        <v>223</v>
      </c>
      <c r="BK16" s="50" t="s">
        <v>32</v>
      </c>
      <c r="BL16" s="49">
        <v>4601</v>
      </c>
      <c r="BM16" s="37" t="s">
        <v>329</v>
      </c>
      <c r="BN16" s="37" t="s">
        <v>240</v>
      </c>
      <c r="BO16" s="37">
        <v>28</v>
      </c>
      <c r="BP16" s="37"/>
      <c r="BQ16" s="37"/>
      <c r="BR16" s="37" t="s">
        <v>223</v>
      </c>
      <c r="BS16" s="50" t="s">
        <v>1295</v>
      </c>
      <c r="BT16" s="49">
        <v>4605</v>
      </c>
      <c r="BU16" s="37" t="s">
        <v>478</v>
      </c>
      <c r="BV16" s="37" t="s">
        <v>240</v>
      </c>
      <c r="BW16" s="37">
        <v>42</v>
      </c>
      <c r="BX16" s="37"/>
      <c r="BY16" s="37"/>
      <c r="BZ16" s="37" t="s">
        <v>223</v>
      </c>
      <c r="CA16" s="50" t="s">
        <v>1295</v>
      </c>
      <c r="CB16" s="49">
        <v>4604</v>
      </c>
      <c r="CC16" s="37" t="s">
        <v>655</v>
      </c>
      <c r="CD16" s="37" t="s">
        <v>240</v>
      </c>
      <c r="CE16" s="37">
        <v>14</v>
      </c>
      <c r="CF16" s="37"/>
      <c r="CG16" s="37"/>
      <c r="CH16" s="37" t="s">
        <v>223</v>
      </c>
      <c r="CI16" s="50" t="s">
        <v>1295</v>
      </c>
      <c r="CJ16" s="49" t="s">
        <v>436</v>
      </c>
      <c r="CK16" s="37" t="s">
        <v>435</v>
      </c>
      <c r="CL16" s="37" t="s">
        <v>235</v>
      </c>
      <c r="CM16" s="37">
        <v>128</v>
      </c>
      <c r="CN16" s="37"/>
      <c r="CO16" s="37"/>
      <c r="CP16" s="37" t="s">
        <v>223</v>
      </c>
      <c r="CQ16" s="50" t="s">
        <v>223</v>
      </c>
      <c r="CR16" s="49" t="s">
        <v>451</v>
      </c>
      <c r="CS16" s="37" t="s">
        <v>449</v>
      </c>
      <c r="CT16" s="37" t="s">
        <v>243</v>
      </c>
      <c r="CU16" s="37">
        <v>750</v>
      </c>
      <c r="CV16" s="37"/>
      <c r="CW16" s="37"/>
      <c r="CX16" s="37" t="s">
        <v>223</v>
      </c>
      <c r="CY16" s="50" t="s">
        <v>32</v>
      </c>
      <c r="CZ16" s="49" t="s">
        <v>661</v>
      </c>
      <c r="DA16" s="37" t="s">
        <v>660</v>
      </c>
      <c r="DB16" s="37" t="s">
        <v>221</v>
      </c>
      <c r="DC16" s="37">
        <v>200</v>
      </c>
      <c r="DD16" s="37"/>
      <c r="DE16" s="37"/>
      <c r="DF16" s="37" t="s">
        <v>223</v>
      </c>
      <c r="DG16" s="50" t="s">
        <v>223</v>
      </c>
      <c r="DH16" s="49" t="s">
        <v>556</v>
      </c>
      <c r="DI16" s="37" t="s">
        <v>555</v>
      </c>
      <c r="DJ16" s="37" t="s">
        <v>557</v>
      </c>
      <c r="DK16" s="37">
        <v>1</v>
      </c>
      <c r="DL16" s="37"/>
      <c r="DM16" s="37"/>
      <c r="DN16" s="37" t="s">
        <v>223</v>
      </c>
      <c r="DO16" s="50" t="s">
        <v>223</v>
      </c>
      <c r="DP16" s="49" t="s">
        <v>592</v>
      </c>
      <c r="DQ16" s="37" t="s">
        <v>591</v>
      </c>
      <c r="DR16" s="37" t="s">
        <v>560</v>
      </c>
      <c r="DS16" s="37">
        <v>1</v>
      </c>
      <c r="DT16" s="37"/>
      <c r="DU16" s="37"/>
      <c r="DV16" s="37" t="s">
        <v>223</v>
      </c>
      <c r="DW16" s="50" t="s">
        <v>223</v>
      </c>
      <c r="DX16" s="49" t="s">
        <v>601</v>
      </c>
      <c r="DY16" s="37" t="s">
        <v>600</v>
      </c>
      <c r="DZ16" s="37" t="s">
        <v>235</v>
      </c>
      <c r="EA16" s="37">
        <v>40</v>
      </c>
      <c r="EB16" s="37"/>
      <c r="EC16" s="37"/>
      <c r="ED16" s="37" t="s">
        <v>223</v>
      </c>
      <c r="EE16" s="50" t="s">
        <v>1295</v>
      </c>
      <c r="EF16" s="49" t="s">
        <v>294</v>
      </c>
      <c r="EG16" s="37" t="s">
        <v>293</v>
      </c>
      <c r="EH16" s="37" t="s">
        <v>263</v>
      </c>
      <c r="EI16" s="37">
        <v>6</v>
      </c>
      <c r="EJ16" s="37"/>
      <c r="EK16" s="37"/>
      <c r="EL16" s="37" t="s">
        <v>223</v>
      </c>
      <c r="EM16" s="50" t="s">
        <v>223</v>
      </c>
      <c r="EN16" s="22" t="s">
        <v>371</v>
      </c>
      <c r="EO16" s="12" t="s">
        <v>370</v>
      </c>
      <c r="EP16" s="12" t="s">
        <v>240</v>
      </c>
      <c r="EQ16" s="12">
        <v>6</v>
      </c>
      <c r="ER16" s="12"/>
      <c r="ES16" s="12"/>
      <c r="ET16" s="12" t="s">
        <v>223</v>
      </c>
      <c r="EU16" s="23" t="s">
        <v>223</v>
      </c>
      <c r="EV16" s="49" t="s">
        <v>468</v>
      </c>
      <c r="EW16" s="37" t="s">
        <v>467</v>
      </c>
      <c r="EX16" s="37" t="s">
        <v>243</v>
      </c>
      <c r="EY16" s="37">
        <v>60</v>
      </c>
      <c r="EZ16" s="37"/>
      <c r="FA16" s="37"/>
      <c r="FB16" s="37" t="s">
        <v>223</v>
      </c>
      <c r="FC16" s="50" t="s">
        <v>930</v>
      </c>
      <c r="FD16" s="49" t="s">
        <v>470</v>
      </c>
      <c r="FE16" s="37" t="s">
        <v>469</v>
      </c>
      <c r="FF16" s="37" t="s">
        <v>243</v>
      </c>
      <c r="FG16" s="37">
        <v>40</v>
      </c>
      <c r="FH16" s="37"/>
      <c r="FI16" s="37"/>
      <c r="FJ16" s="37" t="s">
        <v>223</v>
      </c>
      <c r="FK16" s="50" t="s">
        <v>930</v>
      </c>
      <c r="FL16" s="37" t="s">
        <v>32</v>
      </c>
      <c r="FM16" s="37" t="s">
        <v>223</v>
      </c>
      <c r="FN16" s="37"/>
    </row>
    <row r="17" spans="1:170" x14ac:dyDescent="0.25">
      <c r="A17" s="38">
        <f>ROW(A2)</f>
        <v>2</v>
      </c>
      <c r="B17" s="52" t="s">
        <v>1280</v>
      </c>
      <c r="C17" s="37" t="s">
        <v>1279</v>
      </c>
      <c r="D17" s="48">
        <v>44858.3983912037</v>
      </c>
      <c r="E17" s="37" t="s">
        <v>784</v>
      </c>
      <c r="F17" s="37" t="s">
        <v>784</v>
      </c>
      <c r="G17" s="37" t="s">
        <v>785</v>
      </c>
      <c r="H17" s="49" t="s">
        <v>1277</v>
      </c>
      <c r="I17" s="37" t="s">
        <v>1276</v>
      </c>
      <c r="J17" s="37" t="s">
        <v>221</v>
      </c>
      <c r="K17" s="37">
        <v>1</v>
      </c>
      <c r="L17" s="37">
        <v>0.84899999999999998</v>
      </c>
      <c r="M17" s="37">
        <v>2.2250000000000001</v>
      </c>
      <c r="N17" s="37" t="s">
        <v>32</v>
      </c>
      <c r="O17" s="50"/>
      <c r="P17" s="49"/>
      <c r="Q17" s="37"/>
      <c r="R17" s="37"/>
      <c r="S17" s="37"/>
      <c r="T17" s="37"/>
      <c r="U17" s="37"/>
      <c r="V17" s="37"/>
      <c r="W17" s="50"/>
      <c r="X17" s="49"/>
      <c r="Y17" s="37"/>
      <c r="Z17" s="37"/>
      <c r="AA17" s="37"/>
      <c r="AB17" s="37"/>
      <c r="AC17" s="37"/>
      <c r="AD17" s="37"/>
      <c r="AE17" s="50"/>
      <c r="AF17" s="49"/>
      <c r="AG17" s="37"/>
      <c r="AH17" s="37"/>
      <c r="AI17" s="37"/>
      <c r="AJ17" s="37"/>
      <c r="AK17" s="37"/>
      <c r="AL17" s="37"/>
      <c r="AM17" s="50"/>
      <c r="AN17" s="49"/>
      <c r="AO17" s="37"/>
      <c r="AP17" s="37"/>
      <c r="AQ17" s="37"/>
      <c r="AR17" s="37"/>
      <c r="AS17" s="37"/>
      <c r="AT17" s="37"/>
      <c r="AU17" s="50"/>
      <c r="AV17" s="49"/>
      <c r="AW17" s="37"/>
      <c r="AX17" s="37"/>
      <c r="AY17" s="37"/>
      <c r="AZ17" s="37"/>
      <c r="BA17" s="37"/>
      <c r="BB17" s="37"/>
      <c r="BC17" s="50"/>
      <c r="BD17" s="49"/>
      <c r="BE17" s="37"/>
      <c r="BF17" s="37"/>
      <c r="BG17" s="37"/>
      <c r="BH17" s="37"/>
      <c r="BI17" s="37"/>
      <c r="BJ17" s="37"/>
      <c r="BK17" s="50"/>
      <c r="BL17" s="49"/>
      <c r="BM17" s="37"/>
      <c r="BN17" s="37"/>
      <c r="BO17" s="37"/>
      <c r="BP17" s="37"/>
      <c r="BQ17" s="37"/>
      <c r="BR17" s="37"/>
      <c r="BS17" s="50"/>
      <c r="BT17" s="49"/>
      <c r="BU17" s="37"/>
      <c r="BV17" s="37"/>
      <c r="BW17" s="37"/>
      <c r="BX17" s="37"/>
      <c r="BY17" s="37"/>
      <c r="BZ17" s="37"/>
      <c r="CA17" s="50"/>
      <c r="CB17" s="49"/>
      <c r="CC17" s="37"/>
      <c r="CD17" s="37"/>
      <c r="CE17" s="37"/>
      <c r="CF17" s="37"/>
      <c r="CG17" s="37"/>
      <c r="CH17" s="37"/>
      <c r="CI17" s="50"/>
      <c r="CJ17" s="49"/>
      <c r="CK17" s="37"/>
      <c r="CL17" s="37"/>
      <c r="CM17" s="37"/>
      <c r="CN17" s="37"/>
      <c r="CO17" s="37"/>
      <c r="CP17" s="37"/>
      <c r="CQ17" s="50"/>
      <c r="CR17" s="49"/>
      <c r="CS17" s="37"/>
      <c r="CT17" s="37"/>
      <c r="CU17" s="37"/>
      <c r="CV17" s="37"/>
      <c r="CW17" s="37"/>
      <c r="CX17" s="37"/>
      <c r="CY17" s="50"/>
      <c r="CZ17" s="49"/>
      <c r="DA17" s="37"/>
      <c r="DB17" s="37"/>
      <c r="DC17" s="37"/>
      <c r="DD17" s="37"/>
      <c r="DE17" s="37"/>
      <c r="DF17" s="37"/>
      <c r="DG17" s="50"/>
      <c r="DH17" s="49"/>
      <c r="DI17" s="37"/>
      <c r="DJ17" s="37"/>
      <c r="DK17" s="37"/>
      <c r="DL17" s="37"/>
      <c r="DM17" s="37"/>
      <c r="DN17" s="37"/>
      <c r="DO17" s="50"/>
      <c r="DP17" s="49"/>
      <c r="DQ17" s="37"/>
      <c r="DR17" s="37"/>
      <c r="DS17" s="37"/>
      <c r="DT17" s="37"/>
      <c r="DU17" s="37"/>
      <c r="DV17" s="37"/>
      <c r="DW17" s="50"/>
      <c r="DX17" s="49"/>
      <c r="DY17" s="37"/>
      <c r="DZ17" s="37"/>
      <c r="EA17" s="37"/>
      <c r="EB17" s="37"/>
      <c r="EC17" s="37"/>
      <c r="ED17" s="37"/>
      <c r="EE17" s="50"/>
      <c r="EF17" s="49"/>
      <c r="EG17" s="37"/>
      <c r="EH17" s="37"/>
      <c r="EI17" s="37"/>
      <c r="EJ17" s="37"/>
      <c r="EK17" s="37"/>
      <c r="EL17" s="37"/>
      <c r="EM17" s="50"/>
      <c r="EN17" s="22"/>
      <c r="EO17" s="12"/>
      <c r="EP17" s="12"/>
      <c r="EQ17" s="12"/>
      <c r="ER17" s="12"/>
      <c r="ES17" s="12"/>
      <c r="ET17" s="12"/>
      <c r="EU17" s="23"/>
      <c r="EV17" s="49"/>
      <c r="EW17" s="37"/>
      <c r="EX17" s="37"/>
      <c r="EY17" s="37"/>
      <c r="EZ17" s="37"/>
      <c r="FA17" s="37"/>
      <c r="FB17" s="37"/>
      <c r="FC17" s="50"/>
      <c r="FD17" s="49"/>
      <c r="FE17" s="37"/>
      <c r="FF17" s="37"/>
      <c r="FG17" s="37"/>
      <c r="FH17" s="37"/>
      <c r="FI17" s="37"/>
      <c r="FJ17" s="37"/>
      <c r="FK17" s="50"/>
      <c r="FL17" s="37" t="s">
        <v>223</v>
      </c>
      <c r="FM17" s="37" t="s">
        <v>223</v>
      </c>
      <c r="FN17" s="37"/>
    </row>
    <row r="18" spans="1:170" x14ac:dyDescent="0.25">
      <c r="A18" s="38">
        <f>ROW(A2)</f>
        <v>2</v>
      </c>
      <c r="B18" s="52" t="s">
        <v>1275</v>
      </c>
      <c r="C18" s="37" t="s">
        <v>1274</v>
      </c>
      <c r="D18" s="48">
        <v>44858.390115740738</v>
      </c>
      <c r="E18" s="37" t="s">
        <v>784</v>
      </c>
      <c r="F18" s="37" t="s">
        <v>784</v>
      </c>
      <c r="G18" s="37" t="s">
        <v>785</v>
      </c>
      <c r="H18" s="49" t="s">
        <v>1271</v>
      </c>
      <c r="I18" s="37" t="s">
        <v>1270</v>
      </c>
      <c r="J18" s="37" t="s">
        <v>221</v>
      </c>
      <c r="K18" s="37">
        <v>1</v>
      </c>
      <c r="L18" s="37"/>
      <c r="M18" s="37"/>
      <c r="N18" s="37" t="s">
        <v>32</v>
      </c>
      <c r="O18" s="50" t="s">
        <v>1272</v>
      </c>
      <c r="P18" s="49"/>
      <c r="Q18" s="37"/>
      <c r="R18" s="37"/>
      <c r="S18" s="37"/>
      <c r="T18" s="37"/>
      <c r="U18" s="37"/>
      <c r="V18" s="37"/>
      <c r="W18" s="50"/>
      <c r="X18" s="49"/>
      <c r="Y18" s="37"/>
      <c r="Z18" s="37"/>
      <c r="AA18" s="37"/>
      <c r="AB18" s="37"/>
      <c r="AC18" s="37"/>
      <c r="AD18" s="37"/>
      <c r="AE18" s="50"/>
      <c r="AF18" s="49"/>
      <c r="AG18" s="37"/>
      <c r="AH18" s="37"/>
      <c r="AI18" s="37"/>
      <c r="AJ18" s="37"/>
      <c r="AK18" s="37"/>
      <c r="AL18" s="37"/>
      <c r="AM18" s="50"/>
      <c r="AN18" s="49"/>
      <c r="AO18" s="37"/>
      <c r="AP18" s="37"/>
      <c r="AQ18" s="37"/>
      <c r="AR18" s="37"/>
      <c r="AS18" s="37"/>
      <c r="AT18" s="37"/>
      <c r="AU18" s="50"/>
      <c r="AV18" s="49"/>
      <c r="AW18" s="37"/>
      <c r="AX18" s="37"/>
      <c r="AY18" s="37"/>
      <c r="AZ18" s="37"/>
      <c r="BA18" s="37"/>
      <c r="BB18" s="37"/>
      <c r="BC18" s="50"/>
      <c r="BD18" s="49"/>
      <c r="BE18" s="37"/>
      <c r="BF18" s="37"/>
      <c r="BG18" s="37"/>
      <c r="BH18" s="37"/>
      <c r="BI18" s="37"/>
      <c r="BJ18" s="37"/>
      <c r="BK18" s="50"/>
      <c r="BL18" s="49"/>
      <c r="BM18" s="37"/>
      <c r="BN18" s="37"/>
      <c r="BO18" s="37"/>
      <c r="BP18" s="37"/>
      <c r="BQ18" s="37"/>
      <c r="BR18" s="37"/>
      <c r="BS18" s="50"/>
      <c r="BT18" s="49"/>
      <c r="BU18" s="37"/>
      <c r="BV18" s="37"/>
      <c r="BW18" s="37"/>
      <c r="BX18" s="37"/>
      <c r="BY18" s="37"/>
      <c r="BZ18" s="37"/>
      <c r="CA18" s="50"/>
      <c r="CB18" s="49"/>
      <c r="CC18" s="37"/>
      <c r="CD18" s="37"/>
      <c r="CE18" s="37"/>
      <c r="CF18" s="37"/>
      <c r="CG18" s="37"/>
      <c r="CH18" s="37"/>
      <c r="CI18" s="50"/>
      <c r="CJ18" s="49"/>
      <c r="CK18" s="37"/>
      <c r="CL18" s="37"/>
      <c r="CM18" s="37"/>
      <c r="CN18" s="37"/>
      <c r="CO18" s="37"/>
      <c r="CP18" s="37"/>
      <c r="CQ18" s="50"/>
      <c r="CR18" s="49"/>
      <c r="CS18" s="37"/>
      <c r="CT18" s="37"/>
      <c r="CU18" s="37"/>
      <c r="CV18" s="37"/>
      <c r="CW18" s="37"/>
      <c r="CX18" s="37"/>
      <c r="CY18" s="50"/>
      <c r="CZ18" s="49"/>
      <c r="DA18" s="37"/>
      <c r="DB18" s="37"/>
      <c r="DC18" s="37"/>
      <c r="DD18" s="37"/>
      <c r="DE18" s="37"/>
      <c r="DF18" s="37"/>
      <c r="DG18" s="50"/>
      <c r="DH18" s="49"/>
      <c r="DI18" s="37"/>
      <c r="DJ18" s="37"/>
      <c r="DK18" s="37"/>
      <c r="DL18" s="37"/>
      <c r="DM18" s="37"/>
      <c r="DN18" s="37"/>
      <c r="DO18" s="50"/>
      <c r="DP18" s="49"/>
      <c r="DQ18" s="37"/>
      <c r="DR18" s="37"/>
      <c r="DS18" s="37"/>
      <c r="DT18" s="37"/>
      <c r="DU18" s="37"/>
      <c r="DV18" s="37"/>
      <c r="DW18" s="50"/>
      <c r="DX18" s="49"/>
      <c r="DY18" s="37"/>
      <c r="DZ18" s="37"/>
      <c r="EA18" s="37"/>
      <c r="EB18" s="37"/>
      <c r="EC18" s="37"/>
      <c r="ED18" s="37"/>
      <c r="EE18" s="50"/>
      <c r="EF18" s="49"/>
      <c r="EG18" s="37"/>
      <c r="EH18" s="37"/>
      <c r="EI18" s="37"/>
      <c r="EJ18" s="37"/>
      <c r="EK18" s="37"/>
      <c r="EL18" s="37"/>
      <c r="EM18" s="50"/>
      <c r="EN18" s="22"/>
      <c r="EO18" s="12"/>
      <c r="EP18" s="12"/>
      <c r="EQ18" s="12"/>
      <c r="ER18" s="12"/>
      <c r="ES18" s="12"/>
      <c r="ET18" s="12"/>
      <c r="EU18" s="23"/>
      <c r="EV18" s="49"/>
      <c r="EW18" s="37"/>
      <c r="EX18" s="37"/>
      <c r="EY18" s="37"/>
      <c r="EZ18" s="37"/>
      <c r="FA18" s="37"/>
      <c r="FB18" s="37"/>
      <c r="FC18" s="50"/>
      <c r="FD18" s="49"/>
      <c r="FE18" s="37"/>
      <c r="FF18" s="37"/>
      <c r="FG18" s="37"/>
      <c r="FH18" s="37"/>
      <c r="FI18" s="37"/>
      <c r="FJ18" s="37"/>
      <c r="FK18" s="50"/>
      <c r="FL18" s="37" t="s">
        <v>223</v>
      </c>
      <c r="FM18" s="37" t="s">
        <v>223</v>
      </c>
      <c r="FN18" s="37"/>
    </row>
    <row r="19" spans="1:170" x14ac:dyDescent="0.25">
      <c r="A19" s="38">
        <f>ROW(A2)</f>
        <v>2</v>
      </c>
      <c r="B19" s="52" t="s">
        <v>1255</v>
      </c>
      <c r="C19" s="37" t="s">
        <v>1254</v>
      </c>
      <c r="D19" s="48">
        <v>44847.624988425923</v>
      </c>
      <c r="E19" s="37" t="s">
        <v>784</v>
      </c>
      <c r="F19" s="37" t="s">
        <v>784</v>
      </c>
      <c r="G19" s="37" t="s">
        <v>785</v>
      </c>
      <c r="H19" s="49" t="s">
        <v>383</v>
      </c>
      <c r="I19" s="37" t="s">
        <v>380</v>
      </c>
      <c r="J19" s="37" t="s">
        <v>382</v>
      </c>
      <c r="K19" s="37">
        <v>1</v>
      </c>
      <c r="L19" s="37"/>
      <c r="M19" s="37"/>
      <c r="N19" s="37" t="s">
        <v>223</v>
      </c>
      <c r="O19" s="50" t="s">
        <v>223</v>
      </c>
      <c r="P19" s="49" t="s">
        <v>1238</v>
      </c>
      <c r="Q19" s="37" t="s">
        <v>1237</v>
      </c>
      <c r="R19" s="37" t="s">
        <v>221</v>
      </c>
      <c r="S19" s="37">
        <v>30</v>
      </c>
      <c r="T19" s="37"/>
      <c r="U19" s="37"/>
      <c r="V19" s="37" t="s">
        <v>32</v>
      </c>
      <c r="W19" s="50" t="s">
        <v>223</v>
      </c>
      <c r="X19" s="49" t="s">
        <v>260</v>
      </c>
      <c r="Y19" s="37" t="s">
        <v>259</v>
      </c>
      <c r="Z19" s="37" t="s">
        <v>235</v>
      </c>
      <c r="AA19" s="37">
        <v>2</v>
      </c>
      <c r="AB19" s="37"/>
      <c r="AC19" s="37"/>
      <c r="AD19" s="37" t="s">
        <v>223</v>
      </c>
      <c r="AE19" s="50" t="s">
        <v>223</v>
      </c>
      <c r="AF19" s="49" t="s">
        <v>468</v>
      </c>
      <c r="AG19" s="37" t="s">
        <v>467</v>
      </c>
      <c r="AH19" s="37" t="s">
        <v>243</v>
      </c>
      <c r="AI19" s="37">
        <v>7</v>
      </c>
      <c r="AJ19" s="37"/>
      <c r="AK19" s="37"/>
      <c r="AL19" s="37" t="s">
        <v>223</v>
      </c>
      <c r="AM19" s="50" t="s">
        <v>32</v>
      </c>
      <c r="AN19" s="49" t="s">
        <v>470</v>
      </c>
      <c r="AO19" s="37" t="s">
        <v>469</v>
      </c>
      <c r="AP19" s="37" t="s">
        <v>243</v>
      </c>
      <c r="AQ19" s="37">
        <v>12</v>
      </c>
      <c r="AR19" s="37"/>
      <c r="AS19" s="37"/>
      <c r="AT19" s="37" t="s">
        <v>223</v>
      </c>
      <c r="AU19" s="50" t="s">
        <v>223</v>
      </c>
      <c r="AV19" s="49" t="s">
        <v>606</v>
      </c>
      <c r="AW19" s="37" t="s">
        <v>605</v>
      </c>
      <c r="AX19" s="37" t="s">
        <v>235</v>
      </c>
      <c r="AY19" s="37">
        <v>2</v>
      </c>
      <c r="AZ19" s="37"/>
      <c r="BA19" s="37"/>
      <c r="BB19" s="37" t="s">
        <v>223</v>
      </c>
      <c r="BC19" s="50" t="s">
        <v>32</v>
      </c>
      <c r="BD19" s="49" t="s">
        <v>424</v>
      </c>
      <c r="BE19" s="37" t="s">
        <v>423</v>
      </c>
      <c r="BF19" s="37" t="s">
        <v>221</v>
      </c>
      <c r="BG19" s="37">
        <v>2</v>
      </c>
      <c r="BH19" s="37"/>
      <c r="BI19" s="37"/>
      <c r="BJ19" s="37" t="s">
        <v>223</v>
      </c>
      <c r="BK19" s="50" t="s">
        <v>32</v>
      </c>
      <c r="BL19" s="49" t="s">
        <v>1240</v>
      </c>
      <c r="BM19" s="37" t="s">
        <v>1239</v>
      </c>
      <c r="BN19" s="37" t="s">
        <v>221</v>
      </c>
      <c r="BO19" s="37">
        <v>1</v>
      </c>
      <c r="BP19" s="37"/>
      <c r="BQ19" s="37"/>
      <c r="BR19" s="37" t="s">
        <v>223</v>
      </c>
      <c r="BS19" s="50" t="s">
        <v>223</v>
      </c>
      <c r="BT19" s="49" t="s">
        <v>1242</v>
      </c>
      <c r="BU19" s="37" t="s">
        <v>1241</v>
      </c>
      <c r="BV19" s="37" t="s">
        <v>221</v>
      </c>
      <c r="BW19" s="37">
        <v>2</v>
      </c>
      <c r="BX19" s="37"/>
      <c r="BY19" s="37"/>
      <c r="BZ19" s="37" t="s">
        <v>223</v>
      </c>
      <c r="CA19" s="50" t="s">
        <v>223</v>
      </c>
      <c r="CB19" s="49" t="s">
        <v>1244</v>
      </c>
      <c r="CC19" s="37" t="s">
        <v>1243</v>
      </c>
      <c r="CD19" s="37" t="s">
        <v>221</v>
      </c>
      <c r="CE19" s="37">
        <v>1</v>
      </c>
      <c r="CF19" s="37"/>
      <c r="CG19" s="37"/>
      <c r="CH19" s="37" t="s">
        <v>223</v>
      </c>
      <c r="CI19" s="50" t="s">
        <v>223</v>
      </c>
      <c r="CJ19" s="49" t="s">
        <v>1246</v>
      </c>
      <c r="CK19" s="37" t="s">
        <v>1245</v>
      </c>
      <c r="CL19" s="37" t="s">
        <v>221</v>
      </c>
      <c r="CM19" s="37">
        <v>1</v>
      </c>
      <c r="CN19" s="37"/>
      <c r="CO19" s="37"/>
      <c r="CP19" s="37" t="s">
        <v>223</v>
      </c>
      <c r="CQ19" s="50" t="s">
        <v>223</v>
      </c>
      <c r="CR19" s="49" t="s">
        <v>1248</v>
      </c>
      <c r="CS19" s="37" t="s">
        <v>1247</v>
      </c>
      <c r="CT19" s="37" t="s">
        <v>221</v>
      </c>
      <c r="CU19" s="37">
        <v>1</v>
      </c>
      <c r="CV19" s="37"/>
      <c r="CW19" s="37"/>
      <c r="CX19" s="37" t="s">
        <v>223</v>
      </c>
      <c r="CY19" s="50" t="s">
        <v>223</v>
      </c>
      <c r="CZ19" s="49" t="s">
        <v>1250</v>
      </c>
      <c r="DA19" s="37" t="s">
        <v>1249</v>
      </c>
      <c r="DB19" s="37" t="s">
        <v>243</v>
      </c>
      <c r="DC19" s="37">
        <v>1</v>
      </c>
      <c r="DD19" s="37"/>
      <c r="DE19" s="37"/>
      <c r="DF19" s="37" t="s">
        <v>223</v>
      </c>
      <c r="DG19" s="50"/>
      <c r="DH19" s="49" t="s">
        <v>1252</v>
      </c>
      <c r="DI19" s="37" t="s">
        <v>1251</v>
      </c>
      <c r="DJ19" s="37" t="s">
        <v>221</v>
      </c>
      <c r="DK19" s="37">
        <v>1</v>
      </c>
      <c r="DL19" s="37"/>
      <c r="DM19" s="37"/>
      <c r="DN19" s="37" t="s">
        <v>223</v>
      </c>
      <c r="DO19" s="50"/>
      <c r="DP19" s="49" t="s">
        <v>661</v>
      </c>
      <c r="DQ19" s="37" t="s">
        <v>660</v>
      </c>
      <c r="DR19" s="37" t="s">
        <v>221</v>
      </c>
      <c r="DS19" s="37">
        <v>20</v>
      </c>
      <c r="DT19" s="37"/>
      <c r="DU19" s="37"/>
      <c r="DV19" s="37" t="s">
        <v>223</v>
      </c>
      <c r="DW19" s="50"/>
      <c r="DX19" s="49" t="s">
        <v>434</v>
      </c>
      <c r="DY19" s="37" t="s">
        <v>433</v>
      </c>
      <c r="DZ19" s="37" t="s">
        <v>240</v>
      </c>
      <c r="EA19" s="37">
        <v>2</v>
      </c>
      <c r="EB19" s="37"/>
      <c r="EC19" s="37"/>
      <c r="ED19" s="37" t="s">
        <v>223</v>
      </c>
      <c r="EE19" s="50"/>
      <c r="EF19" s="49" t="s">
        <v>432</v>
      </c>
      <c r="EG19" s="37" t="s">
        <v>431</v>
      </c>
      <c r="EH19" s="37" t="s">
        <v>235</v>
      </c>
      <c r="EI19" s="37">
        <v>6</v>
      </c>
      <c r="EJ19" s="37"/>
      <c r="EK19" s="37"/>
      <c r="EL19" s="37" t="s">
        <v>223</v>
      </c>
      <c r="EM19" s="50"/>
      <c r="EN19" s="22" t="s">
        <v>689</v>
      </c>
      <c r="EO19" s="12" t="s">
        <v>688</v>
      </c>
      <c r="EP19" s="12" t="s">
        <v>235</v>
      </c>
      <c r="EQ19" s="12">
        <v>2</v>
      </c>
      <c r="ER19" s="12"/>
      <c r="ES19" s="12"/>
      <c r="ET19" s="12" t="s">
        <v>223</v>
      </c>
      <c r="EU19" s="23"/>
      <c r="EV19" s="49" t="s">
        <v>743</v>
      </c>
      <c r="EW19" s="37" t="s">
        <v>742</v>
      </c>
      <c r="EX19" s="37" t="s">
        <v>221</v>
      </c>
      <c r="EY19" s="37">
        <v>1</v>
      </c>
      <c r="EZ19" s="37"/>
      <c r="FA19" s="37"/>
      <c r="FB19" s="37" t="s">
        <v>629</v>
      </c>
      <c r="FC19" s="50" t="s">
        <v>223</v>
      </c>
      <c r="FD19" s="49" t="s">
        <v>548</v>
      </c>
      <c r="FE19" s="37" t="s">
        <v>547</v>
      </c>
      <c r="FF19" s="37" t="s">
        <v>243</v>
      </c>
      <c r="FG19" s="37">
        <v>4</v>
      </c>
      <c r="FH19" s="37"/>
      <c r="FI19" s="37"/>
      <c r="FJ19" s="37" t="s">
        <v>223</v>
      </c>
      <c r="FK19" s="50"/>
      <c r="FL19" s="37" t="s">
        <v>223</v>
      </c>
      <c r="FM19" s="37" t="s">
        <v>223</v>
      </c>
      <c r="FN19" s="37"/>
    </row>
    <row r="20" spans="1:170" x14ac:dyDescent="0.25">
      <c r="A20" s="38">
        <f>ROW(A2)</f>
        <v>2</v>
      </c>
      <c r="B20" s="52" t="s">
        <v>1236</v>
      </c>
      <c r="C20" s="37" t="s">
        <v>839</v>
      </c>
      <c r="D20" s="48">
        <v>44846.628252314818</v>
      </c>
      <c r="E20" s="37" t="s">
        <v>784</v>
      </c>
      <c r="F20" s="37" t="s">
        <v>784</v>
      </c>
      <c r="G20" s="37" t="s">
        <v>785</v>
      </c>
      <c r="H20" s="49" t="s">
        <v>1062</v>
      </c>
      <c r="I20" s="37" t="s">
        <v>1061</v>
      </c>
      <c r="J20" s="37" t="s">
        <v>221</v>
      </c>
      <c r="K20" s="37">
        <v>2</v>
      </c>
      <c r="L20" s="37"/>
      <c r="M20" s="37"/>
      <c r="N20" s="37" t="s">
        <v>223</v>
      </c>
      <c r="O20" s="50" t="s">
        <v>32</v>
      </c>
      <c r="P20" s="49" t="s">
        <v>1210</v>
      </c>
      <c r="Q20" s="37" t="s">
        <v>1209</v>
      </c>
      <c r="R20" s="37" t="s">
        <v>221</v>
      </c>
      <c r="S20" s="37">
        <v>2</v>
      </c>
      <c r="T20" s="37"/>
      <c r="U20" s="37"/>
      <c r="V20" s="37" t="s">
        <v>32</v>
      </c>
      <c r="W20" s="50" t="s">
        <v>223</v>
      </c>
      <c r="X20" s="49" t="s">
        <v>756</v>
      </c>
      <c r="Y20" s="37" t="s">
        <v>755</v>
      </c>
      <c r="Z20" s="37" t="s">
        <v>221</v>
      </c>
      <c r="AA20" s="37">
        <v>1</v>
      </c>
      <c r="AB20" s="37"/>
      <c r="AC20" s="37"/>
      <c r="AD20" s="37" t="s">
        <v>223</v>
      </c>
      <c r="AE20" s="50" t="s">
        <v>223</v>
      </c>
      <c r="AF20" s="49" t="s">
        <v>1200</v>
      </c>
      <c r="AG20" s="37" t="s">
        <v>1199</v>
      </c>
      <c r="AH20" s="37" t="s">
        <v>221</v>
      </c>
      <c r="AI20" s="37">
        <v>5</v>
      </c>
      <c r="AJ20" s="37"/>
      <c r="AK20" s="37"/>
      <c r="AL20" s="37" t="s">
        <v>32</v>
      </c>
      <c r="AM20" s="50" t="s">
        <v>1230</v>
      </c>
      <c r="AN20" s="49" t="s">
        <v>1202</v>
      </c>
      <c r="AO20" s="37" t="s">
        <v>1201</v>
      </c>
      <c r="AP20" s="37" t="s">
        <v>252</v>
      </c>
      <c r="AQ20" s="37">
        <v>5</v>
      </c>
      <c r="AR20" s="37"/>
      <c r="AS20" s="37"/>
      <c r="AT20" s="37" t="s">
        <v>223</v>
      </c>
      <c r="AU20" s="50" t="s">
        <v>1230</v>
      </c>
      <c r="AV20" s="49" t="s">
        <v>1204</v>
      </c>
      <c r="AW20" s="37" t="s">
        <v>1203</v>
      </c>
      <c r="AX20" s="37" t="s">
        <v>221</v>
      </c>
      <c r="AY20" s="37">
        <v>5</v>
      </c>
      <c r="AZ20" s="37"/>
      <c r="BA20" s="37"/>
      <c r="BB20" s="37" t="s">
        <v>223</v>
      </c>
      <c r="BC20" s="50" t="s">
        <v>1231</v>
      </c>
      <c r="BD20" s="49" t="s">
        <v>1206</v>
      </c>
      <c r="BE20" s="37" t="s">
        <v>1205</v>
      </c>
      <c r="BF20" s="37" t="s">
        <v>221</v>
      </c>
      <c r="BG20" s="37">
        <v>5</v>
      </c>
      <c r="BH20" s="37"/>
      <c r="BI20" s="37"/>
      <c r="BJ20" s="37" t="s">
        <v>223</v>
      </c>
      <c r="BK20" s="50" t="s">
        <v>1231</v>
      </c>
      <c r="BL20" s="49" t="s">
        <v>1208</v>
      </c>
      <c r="BM20" s="37" t="s">
        <v>1207</v>
      </c>
      <c r="BN20" s="37" t="s">
        <v>221</v>
      </c>
      <c r="BO20" s="37">
        <v>2</v>
      </c>
      <c r="BP20" s="37"/>
      <c r="BQ20" s="37"/>
      <c r="BR20" s="37" t="s">
        <v>223</v>
      </c>
      <c r="BS20" s="50" t="s">
        <v>1232</v>
      </c>
      <c r="BT20" s="49" t="s">
        <v>717</v>
      </c>
      <c r="BU20" s="37" t="s">
        <v>716</v>
      </c>
      <c r="BV20" s="37" t="s">
        <v>448</v>
      </c>
      <c r="BW20" s="37">
        <v>5</v>
      </c>
      <c r="BX20" s="37"/>
      <c r="BY20" s="37"/>
      <c r="BZ20" s="37" t="s">
        <v>223</v>
      </c>
      <c r="CA20" s="50" t="s">
        <v>1230</v>
      </c>
      <c r="CB20" s="49" t="s">
        <v>1212</v>
      </c>
      <c r="CC20" s="37" t="s">
        <v>1211</v>
      </c>
      <c r="CD20" s="37" t="s">
        <v>221</v>
      </c>
      <c r="CE20" s="37">
        <v>2</v>
      </c>
      <c r="CF20" s="37"/>
      <c r="CG20" s="37"/>
      <c r="CH20" s="37" t="s">
        <v>223</v>
      </c>
      <c r="CI20" s="50" t="s">
        <v>1233</v>
      </c>
      <c r="CJ20" s="49" t="s">
        <v>1214</v>
      </c>
      <c r="CK20" s="37" t="s">
        <v>1213</v>
      </c>
      <c r="CL20" s="37" t="s">
        <v>221</v>
      </c>
      <c r="CM20" s="37">
        <v>1</v>
      </c>
      <c r="CN20" s="37"/>
      <c r="CO20" s="37"/>
      <c r="CP20" s="37" t="s">
        <v>223</v>
      </c>
      <c r="CQ20" s="50" t="s">
        <v>1233</v>
      </c>
      <c r="CR20" s="49" t="s">
        <v>1216</v>
      </c>
      <c r="CS20" s="37" t="s">
        <v>1215</v>
      </c>
      <c r="CT20" s="37" t="s">
        <v>221</v>
      </c>
      <c r="CU20" s="37">
        <v>1</v>
      </c>
      <c r="CV20" s="37"/>
      <c r="CW20" s="37"/>
      <c r="CX20" s="37" t="s">
        <v>223</v>
      </c>
      <c r="CY20" s="50" t="s">
        <v>1233</v>
      </c>
      <c r="CZ20" s="49" t="s">
        <v>262</v>
      </c>
      <c r="DA20" s="37" t="s">
        <v>259</v>
      </c>
      <c r="DB20" s="37" t="s">
        <v>263</v>
      </c>
      <c r="DC20" s="37">
        <v>10</v>
      </c>
      <c r="DD20" s="37"/>
      <c r="DE20" s="37"/>
      <c r="DF20" s="37" t="s">
        <v>223</v>
      </c>
      <c r="DG20" s="50" t="s">
        <v>1233</v>
      </c>
      <c r="DH20" s="49" t="s">
        <v>1218</v>
      </c>
      <c r="DI20" s="37" t="s">
        <v>1217</v>
      </c>
      <c r="DJ20" s="37" t="s">
        <v>243</v>
      </c>
      <c r="DK20" s="37">
        <v>30</v>
      </c>
      <c r="DL20" s="37"/>
      <c r="DM20" s="37"/>
      <c r="DN20" s="37" t="s">
        <v>223</v>
      </c>
      <c r="DO20" s="50" t="s">
        <v>1233</v>
      </c>
      <c r="DP20" s="49" t="s">
        <v>1220</v>
      </c>
      <c r="DQ20" s="37" t="s">
        <v>1219</v>
      </c>
      <c r="DR20" s="37" t="s">
        <v>221</v>
      </c>
      <c r="DS20" s="37">
        <v>3</v>
      </c>
      <c r="DT20" s="37"/>
      <c r="DU20" s="37"/>
      <c r="DV20" s="37" t="s">
        <v>32</v>
      </c>
      <c r="DW20" s="50"/>
      <c r="DX20" s="49"/>
      <c r="DY20" s="37"/>
      <c r="DZ20" s="37"/>
      <c r="EA20" s="37"/>
      <c r="EB20" s="37"/>
      <c r="EC20" s="37"/>
      <c r="ED20" s="37"/>
      <c r="EE20" s="50"/>
      <c r="EF20" s="49"/>
      <c r="EG20" s="37"/>
      <c r="EH20" s="37"/>
      <c r="EI20" s="37"/>
      <c r="EJ20" s="37"/>
      <c r="EK20" s="37"/>
      <c r="EL20" s="37"/>
      <c r="EM20" s="50"/>
      <c r="EN20" s="22"/>
      <c r="EO20" s="12"/>
      <c r="EP20" s="12"/>
      <c r="EQ20" s="12"/>
      <c r="ER20" s="12"/>
      <c r="ES20" s="12"/>
      <c r="ET20" s="12"/>
      <c r="EU20" s="23"/>
      <c r="EV20" s="49"/>
      <c r="EW20" s="37"/>
      <c r="EX20" s="37"/>
      <c r="EY20" s="37"/>
      <c r="EZ20" s="37"/>
      <c r="FA20" s="37"/>
      <c r="FB20" s="37"/>
      <c r="FC20" s="50"/>
      <c r="FD20" s="49"/>
      <c r="FE20" s="37"/>
      <c r="FF20" s="37"/>
      <c r="FG20" s="37"/>
      <c r="FH20" s="37"/>
      <c r="FI20" s="37"/>
      <c r="FJ20" s="37"/>
      <c r="FK20" s="50"/>
      <c r="FL20" s="37" t="s">
        <v>223</v>
      </c>
      <c r="FM20" s="37" t="s">
        <v>32</v>
      </c>
      <c r="FN20" s="37"/>
    </row>
    <row r="21" spans="1:170" x14ac:dyDescent="0.25">
      <c r="A21" s="38">
        <f>ROW(A2)</f>
        <v>2</v>
      </c>
      <c r="B21" s="52" t="s">
        <v>1229</v>
      </c>
      <c r="C21" s="37" t="s">
        <v>839</v>
      </c>
      <c r="D21" s="48">
        <v>44846.613287037035</v>
      </c>
      <c r="E21" s="37" t="s">
        <v>824</v>
      </c>
      <c r="F21" s="37" t="s">
        <v>784</v>
      </c>
      <c r="G21" s="37" t="s">
        <v>785</v>
      </c>
      <c r="H21" s="49" t="s">
        <v>1222</v>
      </c>
      <c r="I21" s="37" t="s">
        <v>1221</v>
      </c>
      <c r="J21" s="37" t="s">
        <v>221</v>
      </c>
      <c r="K21" s="37">
        <v>14</v>
      </c>
      <c r="L21" s="37"/>
      <c r="M21" s="37"/>
      <c r="N21" s="37" t="s">
        <v>223</v>
      </c>
      <c r="O21" s="50"/>
      <c r="P21" s="49" t="s">
        <v>1224</v>
      </c>
      <c r="Q21" s="37" t="s">
        <v>1223</v>
      </c>
      <c r="R21" s="37" t="s">
        <v>420</v>
      </c>
      <c r="S21" s="37">
        <v>4</v>
      </c>
      <c r="T21" s="37">
        <v>1800</v>
      </c>
      <c r="U21" s="37">
        <v>2600</v>
      </c>
      <c r="V21" s="37" t="s">
        <v>223</v>
      </c>
      <c r="W21" s="50"/>
      <c r="X21" s="49" t="s">
        <v>1170</v>
      </c>
      <c r="Y21" s="37" t="s">
        <v>1169</v>
      </c>
      <c r="Z21" s="37" t="s">
        <v>221</v>
      </c>
      <c r="AA21" s="37">
        <v>2</v>
      </c>
      <c r="AB21" s="37"/>
      <c r="AC21" s="37"/>
      <c r="AD21" s="37" t="s">
        <v>32</v>
      </c>
      <c r="AE21" s="50"/>
      <c r="AF21" s="49" t="s">
        <v>1226</v>
      </c>
      <c r="AG21" s="37" t="s">
        <v>1225</v>
      </c>
      <c r="AH21" s="37" t="s">
        <v>221</v>
      </c>
      <c r="AI21" s="37">
        <v>10</v>
      </c>
      <c r="AJ21" s="37"/>
      <c r="AK21" s="37"/>
      <c r="AL21" s="37" t="s">
        <v>223</v>
      </c>
      <c r="AM21" s="50"/>
      <c r="AN21" s="49"/>
      <c r="AO21" s="37"/>
      <c r="AP21" s="37"/>
      <c r="AQ21" s="37"/>
      <c r="AR21" s="37"/>
      <c r="AS21" s="37"/>
      <c r="AT21" s="37"/>
      <c r="AU21" s="50"/>
      <c r="AV21" s="49"/>
      <c r="AW21" s="37"/>
      <c r="AX21" s="37"/>
      <c r="AY21" s="37"/>
      <c r="AZ21" s="37"/>
      <c r="BA21" s="37"/>
      <c r="BB21" s="37"/>
      <c r="BC21" s="50"/>
      <c r="BD21" s="49"/>
      <c r="BE21" s="37"/>
      <c r="BF21" s="37"/>
      <c r="BG21" s="37"/>
      <c r="BH21" s="37"/>
      <c r="BI21" s="37"/>
      <c r="BJ21" s="37"/>
      <c r="BK21" s="50"/>
      <c r="BL21" s="49"/>
      <c r="BM21" s="37"/>
      <c r="BN21" s="37"/>
      <c r="BO21" s="37"/>
      <c r="BP21" s="37"/>
      <c r="BQ21" s="37"/>
      <c r="BR21" s="37"/>
      <c r="BS21" s="50"/>
      <c r="BT21" s="49"/>
      <c r="BU21" s="37"/>
      <c r="BV21" s="37"/>
      <c r="BW21" s="37"/>
      <c r="BX21" s="37"/>
      <c r="BY21" s="37"/>
      <c r="BZ21" s="37"/>
      <c r="CA21" s="50"/>
      <c r="CB21" s="49"/>
      <c r="CC21" s="37"/>
      <c r="CD21" s="37"/>
      <c r="CE21" s="37"/>
      <c r="CF21" s="37"/>
      <c r="CG21" s="37"/>
      <c r="CH21" s="37"/>
      <c r="CI21" s="50"/>
      <c r="CJ21" s="49"/>
      <c r="CK21" s="37"/>
      <c r="CL21" s="37"/>
      <c r="CM21" s="37"/>
      <c r="CN21" s="37"/>
      <c r="CO21" s="37"/>
      <c r="CP21" s="37"/>
      <c r="CQ21" s="50"/>
      <c r="CR21" s="49"/>
      <c r="CS21" s="37"/>
      <c r="CT21" s="37"/>
      <c r="CU21" s="37"/>
      <c r="CV21" s="37"/>
      <c r="CW21" s="37"/>
      <c r="CX21" s="37"/>
      <c r="CY21" s="50"/>
      <c r="CZ21" s="49"/>
      <c r="DA21" s="37"/>
      <c r="DB21" s="37"/>
      <c r="DC21" s="37"/>
      <c r="DD21" s="37"/>
      <c r="DE21" s="37"/>
      <c r="DF21" s="37"/>
      <c r="DG21" s="50"/>
      <c r="DH21" s="49"/>
      <c r="DI21" s="37"/>
      <c r="DJ21" s="37"/>
      <c r="DK21" s="37"/>
      <c r="DL21" s="37"/>
      <c r="DM21" s="37"/>
      <c r="DN21" s="37"/>
      <c r="DO21" s="50"/>
      <c r="DP21" s="49"/>
      <c r="DQ21" s="37"/>
      <c r="DR21" s="37"/>
      <c r="DS21" s="37"/>
      <c r="DT21" s="37"/>
      <c r="DU21" s="37"/>
      <c r="DV21" s="37"/>
      <c r="DW21" s="50"/>
      <c r="DX21" s="49"/>
      <c r="DY21" s="37"/>
      <c r="DZ21" s="37"/>
      <c r="EA21" s="37"/>
      <c r="EB21" s="37"/>
      <c r="EC21" s="37"/>
      <c r="ED21" s="37"/>
      <c r="EE21" s="50"/>
      <c r="EF21" s="49"/>
      <c r="EG21" s="37"/>
      <c r="EH21" s="37"/>
      <c r="EI21" s="37"/>
      <c r="EJ21" s="37"/>
      <c r="EK21" s="37"/>
      <c r="EL21" s="37"/>
      <c r="EM21" s="50"/>
      <c r="EN21" s="22"/>
      <c r="EO21" s="12"/>
      <c r="EP21" s="12"/>
      <c r="EQ21" s="12"/>
      <c r="ER21" s="12"/>
      <c r="ES21" s="12"/>
      <c r="ET21" s="12"/>
      <c r="EU21" s="23"/>
      <c r="EV21" s="49"/>
      <c r="EW21" s="37"/>
      <c r="EX21" s="37"/>
      <c r="EY21" s="37"/>
      <c r="EZ21" s="37"/>
      <c r="FA21" s="37"/>
      <c r="FB21" s="37"/>
      <c r="FC21" s="50"/>
      <c r="FD21" s="49"/>
      <c r="FE21" s="37"/>
      <c r="FF21" s="37"/>
      <c r="FG21" s="37"/>
      <c r="FH21" s="37"/>
      <c r="FI21" s="37"/>
      <c r="FJ21" s="37"/>
      <c r="FK21" s="50"/>
      <c r="FL21" s="37" t="s">
        <v>32</v>
      </c>
      <c r="FM21" s="37" t="s">
        <v>32</v>
      </c>
      <c r="FN21" s="37"/>
    </row>
    <row r="22" spans="1:170" x14ac:dyDescent="0.25">
      <c r="A22" s="38">
        <f>ROW(A2)</f>
        <v>2</v>
      </c>
      <c r="B22" s="52" t="s">
        <v>1228</v>
      </c>
      <c r="C22" s="37" t="s">
        <v>1227</v>
      </c>
      <c r="D22" s="48">
        <v>44846.573680555557</v>
      </c>
      <c r="E22" s="37" t="s">
        <v>784</v>
      </c>
      <c r="F22" s="37" t="s">
        <v>784</v>
      </c>
      <c r="G22" s="37" t="s">
        <v>785</v>
      </c>
      <c r="H22" s="49" t="s">
        <v>1170</v>
      </c>
      <c r="I22" s="37" t="s">
        <v>1169</v>
      </c>
      <c r="J22" s="37" t="s">
        <v>221</v>
      </c>
      <c r="K22" s="37">
        <v>24</v>
      </c>
      <c r="L22" s="37">
        <v>750</v>
      </c>
      <c r="M22" s="37">
        <v>2150</v>
      </c>
      <c r="N22" s="37" t="s">
        <v>32</v>
      </c>
      <c r="O22" s="50"/>
      <c r="P22" s="49" t="s">
        <v>422</v>
      </c>
      <c r="Q22" s="37" t="s">
        <v>421</v>
      </c>
      <c r="R22" s="37" t="s">
        <v>221</v>
      </c>
      <c r="S22" s="37">
        <v>2</v>
      </c>
      <c r="T22" s="37"/>
      <c r="U22" s="37"/>
      <c r="V22" s="37" t="s">
        <v>223</v>
      </c>
      <c r="W22" s="50"/>
      <c r="X22" s="49" t="s">
        <v>1180</v>
      </c>
      <c r="Y22" s="37" t="s">
        <v>1179</v>
      </c>
      <c r="Z22" s="37" t="s">
        <v>221</v>
      </c>
      <c r="AA22" s="37">
        <v>12</v>
      </c>
      <c r="AB22" s="37"/>
      <c r="AC22" s="37"/>
      <c r="AD22" s="37" t="s">
        <v>32</v>
      </c>
      <c r="AE22" s="50" t="s">
        <v>32</v>
      </c>
      <c r="AF22" s="49" t="s">
        <v>1186</v>
      </c>
      <c r="AG22" s="37" t="s">
        <v>1185</v>
      </c>
      <c r="AH22" s="37" t="s">
        <v>221</v>
      </c>
      <c r="AI22" s="37">
        <v>5</v>
      </c>
      <c r="AJ22" s="37"/>
      <c r="AK22" s="37"/>
      <c r="AL22" s="37" t="s">
        <v>32</v>
      </c>
      <c r="AM22" s="50"/>
      <c r="AN22" s="49" t="s">
        <v>767</v>
      </c>
      <c r="AO22" s="37" t="s">
        <v>766</v>
      </c>
      <c r="AP22" s="37" t="s">
        <v>221</v>
      </c>
      <c r="AQ22" s="37">
        <v>96</v>
      </c>
      <c r="AR22" s="37"/>
      <c r="AS22" s="37"/>
      <c r="AT22" s="37" t="s">
        <v>223</v>
      </c>
      <c r="AU22" s="50"/>
      <c r="AV22" s="49" t="s">
        <v>1184</v>
      </c>
      <c r="AW22" s="37" t="s">
        <v>1183</v>
      </c>
      <c r="AX22" s="37" t="s">
        <v>221</v>
      </c>
      <c r="AY22" s="37">
        <v>1</v>
      </c>
      <c r="AZ22" s="37"/>
      <c r="BA22" s="37"/>
      <c r="BB22" s="37" t="s">
        <v>223</v>
      </c>
      <c r="BC22" s="50"/>
      <c r="BD22" s="49"/>
      <c r="BE22" s="37"/>
      <c r="BF22" s="37"/>
      <c r="BG22" s="37"/>
      <c r="BH22" s="37"/>
      <c r="BI22" s="37"/>
      <c r="BJ22" s="37"/>
      <c r="BK22" s="50"/>
      <c r="BL22" s="49"/>
      <c r="BM22" s="37"/>
      <c r="BN22" s="37"/>
      <c r="BO22" s="37"/>
      <c r="BP22" s="37"/>
      <c r="BQ22" s="37"/>
      <c r="BR22" s="37"/>
      <c r="BS22" s="50"/>
      <c r="BT22" s="49"/>
      <c r="BU22" s="37"/>
      <c r="BV22" s="37"/>
      <c r="BW22" s="37"/>
      <c r="BX22" s="37"/>
      <c r="BY22" s="37"/>
      <c r="BZ22" s="37"/>
      <c r="CA22" s="50"/>
      <c r="CB22" s="49"/>
      <c r="CC22" s="37"/>
      <c r="CD22" s="37"/>
      <c r="CE22" s="37"/>
      <c r="CF22" s="37"/>
      <c r="CG22" s="37"/>
      <c r="CH22" s="37"/>
      <c r="CI22" s="50"/>
      <c r="CJ22" s="49"/>
      <c r="CK22" s="37"/>
      <c r="CL22" s="37"/>
      <c r="CM22" s="37"/>
      <c r="CN22" s="37"/>
      <c r="CO22" s="37"/>
      <c r="CP22" s="37"/>
      <c r="CQ22" s="50"/>
      <c r="CR22" s="49"/>
      <c r="CS22" s="37"/>
      <c r="CT22" s="37"/>
      <c r="CU22" s="37"/>
      <c r="CV22" s="37"/>
      <c r="CW22" s="37"/>
      <c r="CX22" s="37"/>
      <c r="CY22" s="50"/>
      <c r="CZ22" s="49"/>
      <c r="DA22" s="37"/>
      <c r="DB22" s="37"/>
      <c r="DC22" s="37"/>
      <c r="DD22" s="37"/>
      <c r="DE22" s="37"/>
      <c r="DF22" s="37"/>
      <c r="DG22" s="50"/>
      <c r="DH22" s="49"/>
      <c r="DI22" s="37"/>
      <c r="DJ22" s="37"/>
      <c r="DK22" s="37"/>
      <c r="DL22" s="37"/>
      <c r="DM22" s="37"/>
      <c r="DN22" s="37"/>
      <c r="DO22" s="50"/>
      <c r="DP22" s="49"/>
      <c r="DQ22" s="37"/>
      <c r="DR22" s="37"/>
      <c r="DS22" s="37"/>
      <c r="DT22" s="37"/>
      <c r="DU22" s="37"/>
      <c r="DV22" s="37"/>
      <c r="DW22" s="50"/>
      <c r="DX22" s="49"/>
      <c r="DY22" s="37"/>
      <c r="DZ22" s="37"/>
      <c r="EA22" s="37"/>
      <c r="EB22" s="37"/>
      <c r="EC22" s="37"/>
      <c r="ED22" s="37"/>
      <c r="EE22" s="50"/>
      <c r="EF22" s="49"/>
      <c r="EG22" s="37"/>
      <c r="EH22" s="37"/>
      <c r="EI22" s="37"/>
      <c r="EJ22" s="37"/>
      <c r="EK22" s="37"/>
      <c r="EL22" s="37"/>
      <c r="EM22" s="50"/>
      <c r="EN22" s="22"/>
      <c r="EO22" s="12"/>
      <c r="EP22" s="12"/>
      <c r="EQ22" s="12"/>
      <c r="ER22" s="12"/>
      <c r="ES22" s="12"/>
      <c r="ET22" s="12"/>
      <c r="EU22" s="23"/>
      <c r="EV22" s="49"/>
      <c r="EW22" s="37"/>
      <c r="EX22" s="37"/>
      <c r="EY22" s="37"/>
      <c r="EZ22" s="37"/>
      <c r="FA22" s="37"/>
      <c r="FB22" s="37"/>
      <c r="FC22" s="50"/>
      <c r="FD22" s="49"/>
      <c r="FE22" s="37"/>
      <c r="FF22" s="37"/>
      <c r="FG22" s="37"/>
      <c r="FH22" s="37"/>
      <c r="FI22" s="37"/>
      <c r="FJ22" s="37"/>
      <c r="FK22" s="50"/>
      <c r="FL22" s="37"/>
      <c r="FM22" s="37"/>
      <c r="FN22" s="37"/>
    </row>
    <row r="23" spans="1:170" x14ac:dyDescent="0.25">
      <c r="A23" s="38">
        <f>ROW(A2)</f>
        <v>2</v>
      </c>
      <c r="B23" s="52" t="s">
        <v>1178</v>
      </c>
      <c r="C23" s="37" t="s">
        <v>782</v>
      </c>
      <c r="D23" s="48">
        <v>44838.44121527778</v>
      </c>
      <c r="E23" s="37" t="s">
        <v>824</v>
      </c>
      <c r="F23" s="37" t="s">
        <v>784</v>
      </c>
      <c r="G23" s="37" t="s">
        <v>785</v>
      </c>
      <c r="H23" s="49" t="s">
        <v>1174</v>
      </c>
      <c r="I23" s="37" t="s">
        <v>1173</v>
      </c>
      <c r="J23" s="37" t="s">
        <v>221</v>
      </c>
      <c r="K23" s="37">
        <v>12</v>
      </c>
      <c r="L23" s="37"/>
      <c r="M23" s="37"/>
      <c r="N23" s="37" t="s">
        <v>32</v>
      </c>
      <c r="O23" s="50" t="s">
        <v>223</v>
      </c>
      <c r="P23" s="49" t="s">
        <v>1176</v>
      </c>
      <c r="Q23" s="37" t="s">
        <v>1175</v>
      </c>
      <c r="R23" s="37" t="s">
        <v>221</v>
      </c>
      <c r="S23" s="37">
        <v>4</v>
      </c>
      <c r="T23" s="37"/>
      <c r="U23" s="37"/>
      <c r="V23" s="37" t="s">
        <v>223</v>
      </c>
      <c r="W23" s="50" t="s">
        <v>32</v>
      </c>
      <c r="X23" s="49" t="s">
        <v>1172</v>
      </c>
      <c r="Y23" s="37" t="s">
        <v>1171</v>
      </c>
      <c r="Z23" s="37" t="s">
        <v>221</v>
      </c>
      <c r="AA23" s="37">
        <v>12</v>
      </c>
      <c r="AB23" s="37"/>
      <c r="AC23" s="37"/>
      <c r="AD23" s="37" t="s">
        <v>32</v>
      </c>
      <c r="AE23" s="50" t="s">
        <v>32</v>
      </c>
      <c r="AF23" s="49" t="s">
        <v>1170</v>
      </c>
      <c r="AG23" s="37" t="s">
        <v>1169</v>
      </c>
      <c r="AH23" s="37" t="s">
        <v>221</v>
      </c>
      <c r="AI23" s="37">
        <v>1</v>
      </c>
      <c r="AJ23" s="37">
        <v>2695</v>
      </c>
      <c r="AK23" s="37">
        <v>2558</v>
      </c>
      <c r="AL23" s="37" t="s">
        <v>32</v>
      </c>
      <c r="AM23" s="50"/>
      <c r="AN23" s="49" t="s">
        <v>1170</v>
      </c>
      <c r="AO23" s="37" t="s">
        <v>1169</v>
      </c>
      <c r="AP23" s="37" t="s">
        <v>221</v>
      </c>
      <c r="AQ23" s="37">
        <v>1</v>
      </c>
      <c r="AR23" s="37">
        <v>2548</v>
      </c>
      <c r="AS23" s="37">
        <v>2700</v>
      </c>
      <c r="AT23" s="37" t="s">
        <v>32</v>
      </c>
      <c r="AU23" s="50"/>
      <c r="AV23" s="49" t="s">
        <v>1170</v>
      </c>
      <c r="AW23" s="37" t="s">
        <v>1169</v>
      </c>
      <c r="AX23" s="37" t="s">
        <v>221</v>
      </c>
      <c r="AY23" s="37">
        <v>1</v>
      </c>
      <c r="AZ23" s="37">
        <v>2548</v>
      </c>
      <c r="BA23" s="37">
        <v>2695</v>
      </c>
      <c r="BB23" s="37" t="s">
        <v>32</v>
      </c>
      <c r="BC23" s="50"/>
      <c r="BD23" s="49"/>
      <c r="BE23" s="37"/>
      <c r="BF23" s="37"/>
      <c r="BG23" s="37"/>
      <c r="BH23" s="37"/>
      <c r="BI23" s="37"/>
      <c r="BJ23" s="37"/>
      <c r="BK23" s="50"/>
      <c r="BL23" s="49"/>
      <c r="BM23" s="37"/>
      <c r="BN23" s="37"/>
      <c r="BO23" s="37"/>
      <c r="BP23" s="37"/>
      <c r="BQ23" s="37"/>
      <c r="BR23" s="37"/>
      <c r="BS23" s="50"/>
      <c r="BT23" s="49"/>
      <c r="BU23" s="37"/>
      <c r="BV23" s="37"/>
      <c r="BW23" s="37"/>
      <c r="BX23" s="37"/>
      <c r="BY23" s="37"/>
      <c r="BZ23" s="37"/>
      <c r="CA23" s="50"/>
      <c r="CB23" s="49"/>
      <c r="CC23" s="37"/>
      <c r="CD23" s="37"/>
      <c r="CE23" s="37"/>
      <c r="CF23" s="37"/>
      <c r="CG23" s="37"/>
      <c r="CH23" s="37"/>
      <c r="CI23" s="50"/>
      <c r="CJ23" s="49"/>
      <c r="CK23" s="37"/>
      <c r="CL23" s="37"/>
      <c r="CM23" s="37"/>
      <c r="CN23" s="37"/>
      <c r="CO23" s="37"/>
      <c r="CP23" s="37"/>
      <c r="CQ23" s="50"/>
      <c r="CR23" s="49"/>
      <c r="CS23" s="37"/>
      <c r="CT23" s="37"/>
      <c r="CU23" s="37"/>
      <c r="CV23" s="37"/>
      <c r="CW23" s="37"/>
      <c r="CX23" s="37"/>
      <c r="CY23" s="50"/>
      <c r="CZ23" s="49"/>
      <c r="DA23" s="37"/>
      <c r="DB23" s="37"/>
      <c r="DC23" s="37"/>
      <c r="DD23" s="37"/>
      <c r="DE23" s="37"/>
      <c r="DF23" s="37"/>
      <c r="DG23" s="50"/>
      <c r="DH23" s="49"/>
      <c r="DI23" s="37"/>
      <c r="DJ23" s="37"/>
      <c r="DK23" s="37"/>
      <c r="DL23" s="37"/>
      <c r="DM23" s="37"/>
      <c r="DN23" s="37"/>
      <c r="DO23" s="50"/>
      <c r="DP23" s="49"/>
      <c r="DQ23" s="37"/>
      <c r="DR23" s="37"/>
      <c r="DS23" s="37"/>
      <c r="DT23" s="37"/>
      <c r="DU23" s="37"/>
      <c r="DV23" s="37"/>
      <c r="DW23" s="50"/>
      <c r="DX23" s="49"/>
      <c r="DY23" s="37"/>
      <c r="DZ23" s="37"/>
      <c r="EA23" s="37"/>
      <c r="EB23" s="37"/>
      <c r="EC23" s="37"/>
      <c r="ED23" s="37"/>
      <c r="EE23" s="50"/>
      <c r="EF23" s="49"/>
      <c r="EG23" s="37"/>
      <c r="EH23" s="37"/>
      <c r="EI23" s="37"/>
      <c r="EJ23" s="37"/>
      <c r="EK23" s="37"/>
      <c r="EL23" s="37"/>
      <c r="EM23" s="50"/>
      <c r="EN23" s="22"/>
      <c r="EO23" s="12"/>
      <c r="EP23" s="12"/>
      <c r="EQ23" s="12"/>
      <c r="ER23" s="12"/>
      <c r="ES23" s="12"/>
      <c r="ET23" s="12"/>
      <c r="EU23" s="23"/>
      <c r="EV23" s="49"/>
      <c r="EW23" s="37"/>
      <c r="EX23" s="37"/>
      <c r="EY23" s="37"/>
      <c r="EZ23" s="37"/>
      <c r="FA23" s="37"/>
      <c r="FB23" s="37"/>
      <c r="FC23" s="50"/>
      <c r="FD23" s="49"/>
      <c r="FE23" s="37"/>
      <c r="FF23" s="37"/>
      <c r="FG23" s="37"/>
      <c r="FH23" s="37"/>
      <c r="FI23" s="37"/>
      <c r="FJ23" s="37"/>
      <c r="FK23" s="50"/>
      <c r="FL23" s="37" t="s">
        <v>223</v>
      </c>
      <c r="FM23" s="37"/>
      <c r="FN23" s="37"/>
    </row>
    <row r="24" spans="1:170" x14ac:dyDescent="0.25">
      <c r="A24" s="38">
        <f>ROW(A2)</f>
        <v>2</v>
      </c>
      <c r="B24" s="52" t="s">
        <v>1168</v>
      </c>
      <c r="C24" s="37" t="s">
        <v>787</v>
      </c>
      <c r="D24" s="48">
        <v>44835.390636574077</v>
      </c>
      <c r="E24" s="37" t="s">
        <v>1167</v>
      </c>
      <c r="F24" s="37" t="s">
        <v>918</v>
      </c>
      <c r="G24" s="37" t="s">
        <v>785</v>
      </c>
      <c r="H24" s="49" t="s">
        <v>624</v>
      </c>
      <c r="I24" s="37" t="s">
        <v>623</v>
      </c>
      <c r="J24" s="37" t="s">
        <v>626</v>
      </c>
      <c r="K24" s="37">
        <v>3</v>
      </c>
      <c r="L24" s="37"/>
      <c r="M24" s="37"/>
      <c r="N24" s="37" t="s">
        <v>32</v>
      </c>
      <c r="O24" s="50"/>
      <c r="P24" s="49"/>
      <c r="Q24" s="37"/>
      <c r="R24" s="37"/>
      <c r="S24" s="37"/>
      <c r="T24" s="37"/>
      <c r="U24" s="37"/>
      <c r="V24" s="37"/>
      <c r="W24" s="50"/>
      <c r="X24" s="49"/>
      <c r="Y24" s="37"/>
      <c r="Z24" s="37"/>
      <c r="AA24" s="37"/>
      <c r="AB24" s="37"/>
      <c r="AC24" s="37"/>
      <c r="AD24" s="37"/>
      <c r="AE24" s="50"/>
      <c r="AF24" s="49"/>
      <c r="AG24" s="37"/>
      <c r="AH24" s="37"/>
      <c r="AI24" s="37"/>
      <c r="AJ24" s="37"/>
      <c r="AK24" s="37"/>
      <c r="AL24" s="37"/>
      <c r="AM24" s="50"/>
      <c r="AN24" s="49"/>
      <c r="AO24" s="37"/>
      <c r="AP24" s="37"/>
      <c r="AQ24" s="37"/>
      <c r="AR24" s="37"/>
      <c r="AS24" s="37"/>
      <c r="AT24" s="37"/>
      <c r="AU24" s="50"/>
      <c r="AV24" s="49"/>
      <c r="AW24" s="37"/>
      <c r="AX24" s="37"/>
      <c r="AY24" s="37"/>
      <c r="AZ24" s="37"/>
      <c r="BA24" s="37"/>
      <c r="BB24" s="37"/>
      <c r="BC24" s="50"/>
      <c r="BD24" s="49"/>
      <c r="BE24" s="37"/>
      <c r="BF24" s="37"/>
      <c r="BG24" s="37"/>
      <c r="BH24" s="37"/>
      <c r="BI24" s="37"/>
      <c r="BJ24" s="37"/>
      <c r="BK24" s="50"/>
      <c r="BL24" s="49"/>
      <c r="BM24" s="37"/>
      <c r="BN24" s="37"/>
      <c r="BO24" s="37"/>
      <c r="BP24" s="37"/>
      <c r="BQ24" s="37"/>
      <c r="BR24" s="37"/>
      <c r="BS24" s="50"/>
      <c r="BT24" s="49"/>
      <c r="BU24" s="37"/>
      <c r="BV24" s="37"/>
      <c r="BW24" s="37"/>
      <c r="BX24" s="37"/>
      <c r="BY24" s="37"/>
      <c r="BZ24" s="37"/>
      <c r="CA24" s="50"/>
      <c r="CB24" s="49"/>
      <c r="CC24" s="37"/>
      <c r="CD24" s="37"/>
      <c r="CE24" s="37"/>
      <c r="CF24" s="37"/>
      <c r="CG24" s="37"/>
      <c r="CH24" s="37"/>
      <c r="CI24" s="50"/>
      <c r="CJ24" s="49"/>
      <c r="CK24" s="37"/>
      <c r="CL24" s="37"/>
      <c r="CM24" s="37"/>
      <c r="CN24" s="37"/>
      <c r="CO24" s="37"/>
      <c r="CP24" s="37"/>
      <c r="CQ24" s="50"/>
      <c r="CR24" s="49"/>
      <c r="CS24" s="37"/>
      <c r="CT24" s="37"/>
      <c r="CU24" s="37"/>
      <c r="CV24" s="37"/>
      <c r="CW24" s="37"/>
      <c r="CX24" s="37"/>
      <c r="CY24" s="50"/>
      <c r="CZ24" s="49"/>
      <c r="DA24" s="37"/>
      <c r="DB24" s="37"/>
      <c r="DC24" s="37"/>
      <c r="DD24" s="37"/>
      <c r="DE24" s="37"/>
      <c r="DF24" s="37"/>
      <c r="DG24" s="50"/>
      <c r="DH24" s="49"/>
      <c r="DI24" s="37"/>
      <c r="DJ24" s="37"/>
      <c r="DK24" s="37"/>
      <c r="DL24" s="37"/>
      <c r="DM24" s="37"/>
      <c r="DN24" s="37"/>
      <c r="DO24" s="50"/>
      <c r="DP24" s="49"/>
      <c r="DQ24" s="37"/>
      <c r="DR24" s="37"/>
      <c r="DS24" s="37"/>
      <c r="DT24" s="37"/>
      <c r="DU24" s="37"/>
      <c r="DV24" s="37"/>
      <c r="DW24" s="50"/>
      <c r="DX24" s="49"/>
      <c r="DY24" s="37"/>
      <c r="DZ24" s="37"/>
      <c r="EA24" s="37"/>
      <c r="EB24" s="37"/>
      <c r="EC24" s="37"/>
      <c r="ED24" s="37"/>
      <c r="EE24" s="50"/>
      <c r="EF24" s="49"/>
      <c r="EG24" s="37"/>
      <c r="EH24" s="37"/>
      <c r="EI24" s="37"/>
      <c r="EJ24" s="37"/>
      <c r="EK24" s="37"/>
      <c r="EL24" s="37"/>
      <c r="EM24" s="50"/>
      <c r="EN24" s="22"/>
      <c r="EO24" s="12"/>
      <c r="EP24" s="12"/>
      <c r="EQ24" s="12"/>
      <c r="ER24" s="12"/>
      <c r="ES24" s="12"/>
      <c r="ET24" s="12"/>
      <c r="EU24" s="23"/>
      <c r="EV24" s="49"/>
      <c r="EW24" s="37"/>
      <c r="EX24" s="37"/>
      <c r="EY24" s="37"/>
      <c r="EZ24" s="37"/>
      <c r="FA24" s="37"/>
      <c r="FB24" s="37"/>
      <c r="FC24" s="50"/>
      <c r="FD24" s="49"/>
      <c r="FE24" s="37"/>
      <c r="FF24" s="37"/>
      <c r="FG24" s="37"/>
      <c r="FH24" s="37"/>
      <c r="FI24" s="37"/>
      <c r="FJ24" s="37"/>
      <c r="FK24" s="50"/>
      <c r="FL24" s="37" t="s">
        <v>223</v>
      </c>
      <c r="FM24" s="37" t="s">
        <v>223</v>
      </c>
      <c r="FN24" s="37"/>
    </row>
    <row r="25" spans="1:170" x14ac:dyDescent="0.25">
      <c r="A25" s="38">
        <f>ROW(A2)</f>
        <v>2</v>
      </c>
      <c r="B25" s="52" t="s">
        <v>1166</v>
      </c>
      <c r="C25" s="37" t="s">
        <v>1159</v>
      </c>
      <c r="D25" s="48">
        <v>44834.726400462961</v>
      </c>
      <c r="E25" s="37" t="s">
        <v>898</v>
      </c>
      <c r="F25" s="37" t="s">
        <v>785</v>
      </c>
      <c r="G25" s="37" t="s">
        <v>785</v>
      </c>
      <c r="H25" s="49" t="s">
        <v>426</v>
      </c>
      <c r="I25" s="37" t="s">
        <v>425</v>
      </c>
      <c r="J25" s="37" t="s">
        <v>221</v>
      </c>
      <c r="K25" s="37">
        <v>2</v>
      </c>
      <c r="L25" s="37"/>
      <c r="M25" s="37"/>
      <c r="N25" s="37" t="s">
        <v>223</v>
      </c>
      <c r="O25" s="50" t="s">
        <v>223</v>
      </c>
      <c r="P25" s="49"/>
      <c r="Q25" s="37"/>
      <c r="R25" s="37"/>
      <c r="S25" s="37"/>
      <c r="T25" s="37"/>
      <c r="U25" s="37"/>
      <c r="V25" s="37"/>
      <c r="W25" s="50"/>
      <c r="X25" s="49"/>
      <c r="Y25" s="37"/>
      <c r="Z25" s="37"/>
      <c r="AA25" s="37"/>
      <c r="AB25" s="37"/>
      <c r="AC25" s="37"/>
      <c r="AD25" s="37"/>
      <c r="AE25" s="50"/>
      <c r="AF25" s="49"/>
      <c r="AG25" s="37"/>
      <c r="AH25" s="37"/>
      <c r="AI25" s="37"/>
      <c r="AJ25" s="37"/>
      <c r="AK25" s="37"/>
      <c r="AL25" s="37"/>
      <c r="AM25" s="50"/>
      <c r="AN25" s="49"/>
      <c r="AO25" s="37"/>
      <c r="AP25" s="37"/>
      <c r="AQ25" s="37"/>
      <c r="AR25" s="37"/>
      <c r="AS25" s="37"/>
      <c r="AT25" s="37"/>
      <c r="AU25" s="50"/>
      <c r="AV25" s="49"/>
      <c r="AW25" s="37"/>
      <c r="AX25" s="37"/>
      <c r="AY25" s="37"/>
      <c r="AZ25" s="37"/>
      <c r="BA25" s="37"/>
      <c r="BB25" s="37"/>
      <c r="BC25" s="50"/>
      <c r="BD25" s="49"/>
      <c r="BE25" s="37"/>
      <c r="BF25" s="37"/>
      <c r="BG25" s="37"/>
      <c r="BH25" s="37"/>
      <c r="BI25" s="37"/>
      <c r="BJ25" s="37"/>
      <c r="BK25" s="50"/>
      <c r="BL25" s="49"/>
      <c r="BM25" s="37"/>
      <c r="BN25" s="37"/>
      <c r="BO25" s="37"/>
      <c r="BP25" s="37"/>
      <c r="BQ25" s="37"/>
      <c r="BR25" s="37"/>
      <c r="BS25" s="50"/>
      <c r="BT25" s="49"/>
      <c r="BU25" s="37"/>
      <c r="BV25" s="37"/>
      <c r="BW25" s="37"/>
      <c r="BX25" s="37"/>
      <c r="BY25" s="37"/>
      <c r="BZ25" s="37"/>
      <c r="CA25" s="50"/>
      <c r="CB25" s="49"/>
      <c r="CC25" s="37"/>
      <c r="CD25" s="37"/>
      <c r="CE25" s="37"/>
      <c r="CF25" s="37"/>
      <c r="CG25" s="37"/>
      <c r="CH25" s="37"/>
      <c r="CI25" s="50"/>
      <c r="CJ25" s="49"/>
      <c r="CK25" s="37"/>
      <c r="CL25" s="37"/>
      <c r="CM25" s="37"/>
      <c r="CN25" s="37"/>
      <c r="CO25" s="37"/>
      <c r="CP25" s="37"/>
      <c r="CQ25" s="50"/>
      <c r="CR25" s="49"/>
      <c r="CS25" s="37"/>
      <c r="CT25" s="37"/>
      <c r="CU25" s="37"/>
      <c r="CV25" s="37"/>
      <c r="CW25" s="37"/>
      <c r="CX25" s="37"/>
      <c r="CY25" s="50"/>
      <c r="CZ25" s="49"/>
      <c r="DA25" s="37"/>
      <c r="DB25" s="37"/>
      <c r="DC25" s="37"/>
      <c r="DD25" s="37"/>
      <c r="DE25" s="37"/>
      <c r="DF25" s="37"/>
      <c r="DG25" s="50"/>
      <c r="DH25" s="49"/>
      <c r="DI25" s="37"/>
      <c r="DJ25" s="37"/>
      <c r="DK25" s="37"/>
      <c r="DL25" s="37"/>
      <c r="DM25" s="37"/>
      <c r="DN25" s="37"/>
      <c r="DO25" s="50"/>
      <c r="DP25" s="49"/>
      <c r="DQ25" s="37"/>
      <c r="DR25" s="37"/>
      <c r="DS25" s="37"/>
      <c r="DT25" s="37"/>
      <c r="DU25" s="37"/>
      <c r="DV25" s="37"/>
      <c r="DW25" s="50"/>
      <c r="DX25" s="49"/>
      <c r="DY25" s="37"/>
      <c r="DZ25" s="37"/>
      <c r="EA25" s="37"/>
      <c r="EB25" s="37"/>
      <c r="EC25" s="37"/>
      <c r="ED25" s="37"/>
      <c r="EE25" s="50"/>
      <c r="EF25" s="49"/>
      <c r="EG25" s="37"/>
      <c r="EH25" s="37"/>
      <c r="EI25" s="37"/>
      <c r="EJ25" s="37"/>
      <c r="EK25" s="37"/>
      <c r="EL25" s="37"/>
      <c r="EM25" s="50"/>
      <c r="EN25" s="22"/>
      <c r="EO25" s="12"/>
      <c r="EP25" s="12"/>
      <c r="EQ25" s="12"/>
      <c r="ER25" s="12"/>
      <c r="ES25" s="12"/>
      <c r="ET25" s="12"/>
      <c r="EU25" s="23"/>
      <c r="EV25" s="49"/>
      <c r="EW25" s="37"/>
      <c r="EX25" s="37"/>
      <c r="EY25" s="37"/>
      <c r="EZ25" s="37"/>
      <c r="FA25" s="37"/>
      <c r="FB25" s="37"/>
      <c r="FC25" s="50"/>
      <c r="FD25" s="49"/>
      <c r="FE25" s="37"/>
      <c r="FF25" s="37"/>
      <c r="FG25" s="37"/>
      <c r="FH25" s="37"/>
      <c r="FI25" s="37"/>
      <c r="FJ25" s="37"/>
      <c r="FK25" s="50"/>
      <c r="FL25" s="37" t="s">
        <v>223</v>
      </c>
      <c r="FM25" s="37" t="s">
        <v>223</v>
      </c>
      <c r="FN25" s="37"/>
    </row>
    <row r="26" spans="1:170" x14ac:dyDescent="0.25">
      <c r="A26" s="38">
        <f>ROW(A2)</f>
        <v>2</v>
      </c>
      <c r="B26" s="52" t="s">
        <v>1162</v>
      </c>
      <c r="C26" s="37" t="s">
        <v>1165</v>
      </c>
      <c r="D26" s="48">
        <v>44833.765347222223</v>
      </c>
      <c r="E26" s="37" t="s">
        <v>830</v>
      </c>
      <c r="F26" s="37" t="s">
        <v>784</v>
      </c>
      <c r="G26" s="37" t="s">
        <v>785</v>
      </c>
      <c r="H26" s="49" t="s">
        <v>747</v>
      </c>
      <c r="I26" s="37" t="s">
        <v>746</v>
      </c>
      <c r="J26" s="37" t="s">
        <v>570</v>
      </c>
      <c r="K26" s="37">
        <v>1</v>
      </c>
      <c r="L26" s="37"/>
      <c r="M26" s="37"/>
      <c r="N26" s="37" t="s">
        <v>223</v>
      </c>
      <c r="O26" s="50" t="s">
        <v>223</v>
      </c>
      <c r="P26" s="49" t="s">
        <v>683</v>
      </c>
      <c r="Q26" s="37" t="s">
        <v>682</v>
      </c>
      <c r="R26" s="37" t="s">
        <v>221</v>
      </c>
      <c r="S26" s="37">
        <v>1</v>
      </c>
      <c r="T26" s="37"/>
      <c r="U26" s="37"/>
      <c r="V26" s="37" t="s">
        <v>223</v>
      </c>
      <c r="W26" s="50" t="s">
        <v>223</v>
      </c>
      <c r="X26" s="49" t="s">
        <v>1161</v>
      </c>
      <c r="Y26" s="37" t="s">
        <v>1160</v>
      </c>
      <c r="Z26" s="37" t="s">
        <v>221</v>
      </c>
      <c r="AA26" s="37">
        <v>1</v>
      </c>
      <c r="AB26" s="37">
        <v>605</v>
      </c>
      <c r="AC26" s="37">
        <v>2110</v>
      </c>
      <c r="AD26" s="37" t="s">
        <v>223</v>
      </c>
      <c r="AE26" s="50" t="s">
        <v>223</v>
      </c>
      <c r="AF26" s="49"/>
      <c r="AG26" s="37"/>
      <c r="AH26" s="37"/>
      <c r="AI26" s="37"/>
      <c r="AJ26" s="37"/>
      <c r="AK26" s="37"/>
      <c r="AL26" s="37"/>
      <c r="AM26" s="50"/>
      <c r="AN26" s="49"/>
      <c r="AO26" s="37"/>
      <c r="AP26" s="37"/>
      <c r="AQ26" s="37"/>
      <c r="AR26" s="37"/>
      <c r="AS26" s="37"/>
      <c r="AT26" s="37"/>
      <c r="AU26" s="50"/>
      <c r="AV26" s="49"/>
      <c r="AW26" s="37"/>
      <c r="AX26" s="37"/>
      <c r="AY26" s="37"/>
      <c r="AZ26" s="37"/>
      <c r="BA26" s="37"/>
      <c r="BB26" s="37"/>
      <c r="BC26" s="50"/>
      <c r="BD26" s="49"/>
      <c r="BE26" s="37"/>
      <c r="BF26" s="37"/>
      <c r="BG26" s="37"/>
      <c r="BH26" s="37"/>
      <c r="BI26" s="37"/>
      <c r="BJ26" s="37"/>
      <c r="BK26" s="50"/>
      <c r="BL26" s="49"/>
      <c r="BM26" s="37"/>
      <c r="BN26" s="37"/>
      <c r="BO26" s="37"/>
      <c r="BP26" s="37"/>
      <c r="BQ26" s="37"/>
      <c r="BR26" s="37"/>
      <c r="BS26" s="50"/>
      <c r="BT26" s="49"/>
      <c r="BU26" s="37"/>
      <c r="BV26" s="37"/>
      <c r="BW26" s="37"/>
      <c r="BX26" s="37"/>
      <c r="BY26" s="37"/>
      <c r="BZ26" s="37"/>
      <c r="CA26" s="50"/>
      <c r="CB26" s="49"/>
      <c r="CC26" s="37"/>
      <c r="CD26" s="37"/>
      <c r="CE26" s="37"/>
      <c r="CF26" s="37"/>
      <c r="CG26" s="37"/>
      <c r="CH26" s="37"/>
      <c r="CI26" s="50"/>
      <c r="CJ26" s="49"/>
      <c r="CK26" s="37"/>
      <c r="CL26" s="37"/>
      <c r="CM26" s="37"/>
      <c r="CN26" s="37"/>
      <c r="CO26" s="37"/>
      <c r="CP26" s="37"/>
      <c r="CQ26" s="50"/>
      <c r="CR26" s="49"/>
      <c r="CS26" s="37"/>
      <c r="CT26" s="37"/>
      <c r="CU26" s="37"/>
      <c r="CV26" s="37"/>
      <c r="CW26" s="37"/>
      <c r="CX26" s="37"/>
      <c r="CY26" s="50"/>
      <c r="CZ26" s="49"/>
      <c r="DA26" s="37"/>
      <c r="DB26" s="37"/>
      <c r="DC26" s="37"/>
      <c r="DD26" s="37"/>
      <c r="DE26" s="37"/>
      <c r="DF26" s="37"/>
      <c r="DG26" s="50"/>
      <c r="DH26" s="49"/>
      <c r="DI26" s="37"/>
      <c r="DJ26" s="37"/>
      <c r="DK26" s="37"/>
      <c r="DL26" s="37"/>
      <c r="DM26" s="37"/>
      <c r="DN26" s="37"/>
      <c r="DO26" s="50"/>
      <c r="DP26" s="49"/>
      <c r="DQ26" s="37"/>
      <c r="DR26" s="37"/>
      <c r="DS26" s="37"/>
      <c r="DT26" s="37"/>
      <c r="DU26" s="37"/>
      <c r="DV26" s="37"/>
      <c r="DW26" s="50"/>
      <c r="DX26" s="49"/>
      <c r="DY26" s="37"/>
      <c r="DZ26" s="37"/>
      <c r="EA26" s="37"/>
      <c r="EB26" s="37"/>
      <c r="EC26" s="37"/>
      <c r="ED26" s="37"/>
      <c r="EE26" s="50"/>
      <c r="EF26" s="49"/>
      <c r="EG26" s="37"/>
      <c r="EH26" s="37"/>
      <c r="EI26" s="37"/>
      <c r="EJ26" s="37"/>
      <c r="EK26" s="37"/>
      <c r="EL26" s="37"/>
      <c r="EM26" s="50"/>
      <c r="EN26" s="22"/>
      <c r="EO26" s="12"/>
      <c r="EP26" s="12"/>
      <c r="EQ26" s="12"/>
      <c r="ER26" s="12"/>
      <c r="ES26" s="12"/>
      <c r="ET26" s="12"/>
      <c r="EU26" s="23"/>
      <c r="EV26" s="49"/>
      <c r="EW26" s="37"/>
      <c r="EX26" s="37"/>
      <c r="EY26" s="37"/>
      <c r="EZ26" s="37"/>
      <c r="FA26" s="37"/>
      <c r="FB26" s="37"/>
      <c r="FC26" s="50"/>
      <c r="FD26" s="49"/>
      <c r="FE26" s="37"/>
      <c r="FF26" s="37"/>
      <c r="FG26" s="37"/>
      <c r="FH26" s="37"/>
      <c r="FI26" s="37"/>
      <c r="FJ26" s="37"/>
      <c r="FK26" s="50"/>
      <c r="FL26" s="37" t="s">
        <v>223</v>
      </c>
      <c r="FM26" s="37" t="s">
        <v>223</v>
      </c>
      <c r="FN26" s="37"/>
    </row>
    <row r="27" spans="1:170" x14ac:dyDescent="0.25">
      <c r="A27" s="38">
        <f>ROW(A2)</f>
        <v>2</v>
      </c>
      <c r="B27" s="52" t="s">
        <v>1158</v>
      </c>
      <c r="C27" s="37" t="s">
        <v>1159</v>
      </c>
      <c r="D27" s="48">
        <v>44833.760740740741</v>
      </c>
      <c r="E27" s="37" t="s">
        <v>898</v>
      </c>
      <c r="F27" s="37" t="s">
        <v>824</v>
      </c>
      <c r="G27" s="37" t="s">
        <v>785</v>
      </c>
      <c r="H27" s="49" t="s">
        <v>371</v>
      </c>
      <c r="I27" s="37" t="s">
        <v>370</v>
      </c>
      <c r="J27" s="37" t="s">
        <v>240</v>
      </c>
      <c r="K27" s="37">
        <v>1</v>
      </c>
      <c r="L27" s="37"/>
      <c r="M27" s="37"/>
      <c r="N27" s="37" t="s">
        <v>223</v>
      </c>
      <c r="O27" s="50" t="s">
        <v>223</v>
      </c>
      <c r="P27" s="49" t="s">
        <v>426</v>
      </c>
      <c r="Q27" s="37" t="s">
        <v>425</v>
      </c>
      <c r="R27" s="37" t="s">
        <v>221</v>
      </c>
      <c r="S27" s="37">
        <v>8</v>
      </c>
      <c r="T27" s="37"/>
      <c r="U27" s="37"/>
      <c r="V27" s="37" t="s">
        <v>223</v>
      </c>
      <c r="W27" s="50" t="s">
        <v>223</v>
      </c>
      <c r="X27" s="49" t="s">
        <v>601</v>
      </c>
      <c r="Y27" s="37" t="s">
        <v>600</v>
      </c>
      <c r="Z27" s="37" t="s">
        <v>235</v>
      </c>
      <c r="AA27" s="37">
        <v>1</v>
      </c>
      <c r="AB27" s="37"/>
      <c r="AC27" s="37"/>
      <c r="AD27" s="37" t="s">
        <v>223</v>
      </c>
      <c r="AE27" s="50" t="s">
        <v>223</v>
      </c>
      <c r="AF27" s="49"/>
      <c r="AG27" s="37"/>
      <c r="AH27" s="37"/>
      <c r="AI27" s="37"/>
      <c r="AJ27" s="37"/>
      <c r="AK27" s="37"/>
      <c r="AL27" s="37"/>
      <c r="AM27" s="50"/>
      <c r="AN27" s="49"/>
      <c r="AO27" s="37"/>
      <c r="AP27" s="37"/>
      <c r="AQ27" s="37"/>
      <c r="AR27" s="37"/>
      <c r="AS27" s="37"/>
      <c r="AT27" s="37"/>
      <c r="AU27" s="50"/>
      <c r="AV27" s="49"/>
      <c r="AW27" s="37"/>
      <c r="AX27" s="37"/>
      <c r="AY27" s="37"/>
      <c r="AZ27" s="37"/>
      <c r="BA27" s="37"/>
      <c r="BB27" s="37"/>
      <c r="BC27" s="50"/>
      <c r="BD27" s="49"/>
      <c r="BE27" s="37"/>
      <c r="BF27" s="37"/>
      <c r="BG27" s="37"/>
      <c r="BH27" s="37"/>
      <c r="BI27" s="37"/>
      <c r="BJ27" s="37"/>
      <c r="BK27" s="50"/>
      <c r="BL27" s="49"/>
      <c r="BM27" s="37"/>
      <c r="BN27" s="37"/>
      <c r="BO27" s="37"/>
      <c r="BP27" s="37"/>
      <c r="BQ27" s="37"/>
      <c r="BR27" s="37"/>
      <c r="BS27" s="50"/>
      <c r="BT27" s="49"/>
      <c r="BU27" s="37"/>
      <c r="BV27" s="37"/>
      <c r="BW27" s="37"/>
      <c r="BX27" s="37"/>
      <c r="BY27" s="37"/>
      <c r="BZ27" s="37"/>
      <c r="CA27" s="50"/>
      <c r="CB27" s="49"/>
      <c r="CC27" s="37"/>
      <c r="CD27" s="37"/>
      <c r="CE27" s="37"/>
      <c r="CF27" s="37"/>
      <c r="CG27" s="37"/>
      <c r="CH27" s="37"/>
      <c r="CI27" s="50"/>
      <c r="CJ27" s="49"/>
      <c r="CK27" s="37"/>
      <c r="CL27" s="37"/>
      <c r="CM27" s="37"/>
      <c r="CN27" s="37"/>
      <c r="CO27" s="37"/>
      <c r="CP27" s="37"/>
      <c r="CQ27" s="50"/>
      <c r="CR27" s="49"/>
      <c r="CS27" s="37"/>
      <c r="CT27" s="37"/>
      <c r="CU27" s="37"/>
      <c r="CV27" s="37"/>
      <c r="CW27" s="37"/>
      <c r="CX27" s="37"/>
      <c r="CY27" s="50"/>
      <c r="CZ27" s="49"/>
      <c r="DA27" s="37"/>
      <c r="DB27" s="37"/>
      <c r="DC27" s="37"/>
      <c r="DD27" s="37"/>
      <c r="DE27" s="37"/>
      <c r="DF27" s="37"/>
      <c r="DG27" s="50"/>
      <c r="DH27" s="49"/>
      <c r="DI27" s="37"/>
      <c r="DJ27" s="37"/>
      <c r="DK27" s="37"/>
      <c r="DL27" s="37"/>
      <c r="DM27" s="37"/>
      <c r="DN27" s="37"/>
      <c r="DO27" s="50"/>
      <c r="DP27" s="49"/>
      <c r="DQ27" s="37"/>
      <c r="DR27" s="37"/>
      <c r="DS27" s="37"/>
      <c r="DT27" s="37"/>
      <c r="DU27" s="37"/>
      <c r="DV27" s="37"/>
      <c r="DW27" s="50"/>
      <c r="DX27" s="49"/>
      <c r="DY27" s="37"/>
      <c r="DZ27" s="37"/>
      <c r="EA27" s="37"/>
      <c r="EB27" s="37"/>
      <c r="EC27" s="37"/>
      <c r="ED27" s="37"/>
      <c r="EE27" s="50"/>
      <c r="EF27" s="49"/>
      <c r="EG27" s="37"/>
      <c r="EH27" s="37"/>
      <c r="EI27" s="37"/>
      <c r="EJ27" s="37"/>
      <c r="EK27" s="37"/>
      <c r="EL27" s="37"/>
      <c r="EM27" s="50"/>
      <c r="EN27" s="22"/>
      <c r="EO27" s="12"/>
      <c r="EP27" s="12"/>
      <c r="EQ27" s="12"/>
      <c r="ER27" s="12"/>
      <c r="ES27" s="12"/>
      <c r="ET27" s="12"/>
      <c r="EU27" s="23"/>
      <c r="EV27" s="49"/>
      <c r="EW27" s="37"/>
      <c r="EX27" s="37"/>
      <c r="EY27" s="37"/>
      <c r="EZ27" s="37"/>
      <c r="FA27" s="37"/>
      <c r="FB27" s="37"/>
      <c r="FC27" s="50"/>
      <c r="FD27" s="49"/>
      <c r="FE27" s="37"/>
      <c r="FF27" s="37"/>
      <c r="FG27" s="37"/>
      <c r="FH27" s="37"/>
      <c r="FI27" s="37"/>
      <c r="FJ27" s="37"/>
      <c r="FK27" s="50"/>
      <c r="FL27" s="37" t="s">
        <v>223</v>
      </c>
      <c r="FM27" s="37" t="s">
        <v>223</v>
      </c>
      <c r="FN27" s="37"/>
    </row>
    <row r="28" spans="1:170" x14ac:dyDescent="0.25">
      <c r="A28" s="38">
        <f>ROW(A2)</f>
        <v>2</v>
      </c>
      <c r="B28" s="52" t="s">
        <v>1156</v>
      </c>
      <c r="C28" s="37" t="s">
        <v>1151</v>
      </c>
      <c r="D28" s="48">
        <v>44831.585277777776</v>
      </c>
      <c r="E28" s="37" t="s">
        <v>821</v>
      </c>
      <c r="F28" s="37" t="s">
        <v>840</v>
      </c>
      <c r="G28" s="37" t="s">
        <v>785</v>
      </c>
      <c r="H28" s="49" t="s">
        <v>1153</v>
      </c>
      <c r="I28" s="37" t="s">
        <v>1152</v>
      </c>
      <c r="J28" s="37" t="s">
        <v>221</v>
      </c>
      <c r="K28" s="37">
        <v>8</v>
      </c>
      <c r="L28" s="37"/>
      <c r="M28" s="37"/>
      <c r="N28" s="37" t="s">
        <v>629</v>
      </c>
      <c r="O28" s="50" t="s">
        <v>1154</v>
      </c>
      <c r="P28" s="49"/>
      <c r="Q28" s="37"/>
      <c r="R28" s="37"/>
      <c r="S28" s="37"/>
      <c r="T28" s="37"/>
      <c r="U28" s="37"/>
      <c r="V28" s="37"/>
      <c r="W28" s="50"/>
      <c r="X28" s="49"/>
      <c r="Y28" s="37"/>
      <c r="Z28" s="37"/>
      <c r="AA28" s="37"/>
      <c r="AB28" s="37"/>
      <c r="AC28" s="37"/>
      <c r="AD28" s="37"/>
      <c r="AE28" s="50"/>
      <c r="AF28" s="49"/>
      <c r="AG28" s="37"/>
      <c r="AH28" s="37"/>
      <c r="AI28" s="37"/>
      <c r="AJ28" s="37"/>
      <c r="AK28" s="37"/>
      <c r="AL28" s="37"/>
      <c r="AM28" s="50"/>
      <c r="AN28" s="49"/>
      <c r="AO28" s="37"/>
      <c r="AP28" s="37"/>
      <c r="AQ28" s="37"/>
      <c r="AR28" s="37"/>
      <c r="AS28" s="37"/>
      <c r="AT28" s="37"/>
      <c r="AU28" s="50"/>
      <c r="AV28" s="49"/>
      <c r="AW28" s="37"/>
      <c r="AX28" s="37"/>
      <c r="AY28" s="37"/>
      <c r="AZ28" s="37"/>
      <c r="BA28" s="37"/>
      <c r="BB28" s="37"/>
      <c r="BC28" s="50"/>
      <c r="BD28" s="49"/>
      <c r="BE28" s="37"/>
      <c r="BF28" s="37"/>
      <c r="BG28" s="37"/>
      <c r="BH28" s="37"/>
      <c r="BI28" s="37"/>
      <c r="BJ28" s="37"/>
      <c r="BK28" s="50"/>
      <c r="BL28" s="49"/>
      <c r="BM28" s="37"/>
      <c r="BN28" s="37"/>
      <c r="BO28" s="37"/>
      <c r="BP28" s="37"/>
      <c r="BQ28" s="37"/>
      <c r="BR28" s="37"/>
      <c r="BS28" s="50"/>
      <c r="BT28" s="49"/>
      <c r="BU28" s="37"/>
      <c r="BV28" s="37"/>
      <c r="BW28" s="37"/>
      <c r="BX28" s="37"/>
      <c r="BY28" s="37"/>
      <c r="BZ28" s="37"/>
      <c r="CA28" s="50"/>
      <c r="CB28" s="49"/>
      <c r="CC28" s="37"/>
      <c r="CD28" s="37"/>
      <c r="CE28" s="37"/>
      <c r="CF28" s="37"/>
      <c r="CG28" s="37"/>
      <c r="CH28" s="37"/>
      <c r="CI28" s="50"/>
      <c r="CJ28" s="49"/>
      <c r="CK28" s="37"/>
      <c r="CL28" s="37"/>
      <c r="CM28" s="37"/>
      <c r="CN28" s="37"/>
      <c r="CO28" s="37"/>
      <c r="CP28" s="37"/>
      <c r="CQ28" s="50"/>
      <c r="CR28" s="49"/>
      <c r="CS28" s="37"/>
      <c r="CT28" s="37"/>
      <c r="CU28" s="37"/>
      <c r="CV28" s="37"/>
      <c r="CW28" s="37"/>
      <c r="CX28" s="37"/>
      <c r="CY28" s="50"/>
      <c r="CZ28" s="49"/>
      <c r="DA28" s="37"/>
      <c r="DB28" s="37"/>
      <c r="DC28" s="37"/>
      <c r="DD28" s="37"/>
      <c r="DE28" s="37"/>
      <c r="DF28" s="37"/>
      <c r="DG28" s="50"/>
      <c r="DH28" s="49"/>
      <c r="DI28" s="37"/>
      <c r="DJ28" s="37"/>
      <c r="DK28" s="37"/>
      <c r="DL28" s="37"/>
      <c r="DM28" s="37"/>
      <c r="DN28" s="37"/>
      <c r="DO28" s="50"/>
      <c r="DP28" s="49"/>
      <c r="DQ28" s="37"/>
      <c r="DR28" s="37"/>
      <c r="DS28" s="37"/>
      <c r="DT28" s="37"/>
      <c r="DU28" s="37"/>
      <c r="DV28" s="37"/>
      <c r="DW28" s="50"/>
      <c r="DX28" s="49"/>
      <c r="DY28" s="37"/>
      <c r="DZ28" s="37"/>
      <c r="EA28" s="37"/>
      <c r="EB28" s="37"/>
      <c r="EC28" s="37"/>
      <c r="ED28" s="37"/>
      <c r="EE28" s="50"/>
      <c r="EF28" s="49"/>
      <c r="EG28" s="37"/>
      <c r="EH28" s="37"/>
      <c r="EI28" s="37"/>
      <c r="EJ28" s="37"/>
      <c r="EK28" s="37"/>
      <c r="EL28" s="37"/>
      <c r="EM28" s="50"/>
      <c r="EN28" s="22"/>
      <c r="EO28" s="12"/>
      <c r="EP28" s="12"/>
      <c r="EQ28" s="12"/>
      <c r="ER28" s="12"/>
      <c r="ES28" s="12"/>
      <c r="ET28" s="12"/>
      <c r="EU28" s="23"/>
      <c r="EV28" s="49"/>
      <c r="EW28" s="37"/>
      <c r="EX28" s="37"/>
      <c r="EY28" s="37"/>
      <c r="EZ28" s="37"/>
      <c r="FA28" s="37"/>
      <c r="FB28" s="37"/>
      <c r="FC28" s="50"/>
      <c r="FD28" s="49"/>
      <c r="FE28" s="37"/>
      <c r="FF28" s="37"/>
      <c r="FG28" s="37"/>
      <c r="FH28" s="37"/>
      <c r="FI28" s="37"/>
      <c r="FJ28" s="37"/>
      <c r="FK28" s="50"/>
      <c r="FL28" s="37" t="s">
        <v>629</v>
      </c>
      <c r="FM28" s="37" t="s">
        <v>629</v>
      </c>
      <c r="FN28" s="37"/>
    </row>
    <row r="29" spans="1:170" x14ac:dyDescent="0.25">
      <c r="A29" s="38">
        <f>ROW(A2)</f>
        <v>2</v>
      </c>
      <c r="B29" s="52" t="s">
        <v>1146</v>
      </c>
      <c r="C29" s="37" t="s">
        <v>1141</v>
      </c>
      <c r="D29" s="48">
        <v>44831.574166666665</v>
      </c>
      <c r="E29" s="37" t="s">
        <v>783</v>
      </c>
      <c r="F29" s="37" t="s">
        <v>805</v>
      </c>
      <c r="G29" s="37" t="s">
        <v>785</v>
      </c>
      <c r="H29" s="49" t="s">
        <v>643</v>
      </c>
      <c r="I29" s="37" t="s">
        <v>642</v>
      </c>
      <c r="J29" s="37" t="s">
        <v>221</v>
      </c>
      <c r="K29" s="37">
        <v>10</v>
      </c>
      <c r="L29" s="37"/>
      <c r="M29" s="37"/>
      <c r="N29" s="37" t="s">
        <v>629</v>
      </c>
      <c r="O29" s="50" t="s">
        <v>1139</v>
      </c>
      <c r="P29" s="49" t="s">
        <v>1132</v>
      </c>
      <c r="Q29" s="37" t="s">
        <v>1131</v>
      </c>
      <c r="R29" s="37" t="s">
        <v>221</v>
      </c>
      <c r="S29" s="37">
        <v>6</v>
      </c>
      <c r="T29" s="37"/>
      <c r="U29" s="37"/>
      <c r="V29" s="37" t="s">
        <v>629</v>
      </c>
      <c r="W29" s="50" t="s">
        <v>1142</v>
      </c>
      <c r="X29" s="49" t="s">
        <v>1134</v>
      </c>
      <c r="Y29" s="37" t="s">
        <v>1133</v>
      </c>
      <c r="Z29" s="37" t="s">
        <v>221</v>
      </c>
      <c r="AA29" s="37">
        <v>1</v>
      </c>
      <c r="AB29" s="37"/>
      <c r="AC29" s="37"/>
      <c r="AD29" s="37" t="s">
        <v>629</v>
      </c>
      <c r="AE29" s="50" t="s">
        <v>1143</v>
      </c>
      <c r="AF29" s="49" t="s">
        <v>1136</v>
      </c>
      <c r="AG29" s="37" t="s">
        <v>1135</v>
      </c>
      <c r="AH29" s="37" t="s">
        <v>221</v>
      </c>
      <c r="AI29" s="37">
        <v>1</v>
      </c>
      <c r="AJ29" s="37"/>
      <c r="AK29" s="37"/>
      <c r="AL29" s="37" t="s">
        <v>629</v>
      </c>
      <c r="AM29" s="50" t="s">
        <v>1144</v>
      </c>
      <c r="AN29" s="49" t="s">
        <v>663</v>
      </c>
      <c r="AO29" s="37" t="s">
        <v>662</v>
      </c>
      <c r="AP29" s="37" t="s">
        <v>570</v>
      </c>
      <c r="AQ29" s="37">
        <v>2</v>
      </c>
      <c r="AR29" s="37"/>
      <c r="AS29" s="37"/>
      <c r="AT29" s="37" t="s">
        <v>629</v>
      </c>
      <c r="AU29" s="50" t="s">
        <v>1144</v>
      </c>
      <c r="AV29" s="49" t="s">
        <v>1138</v>
      </c>
      <c r="AW29" s="37" t="s">
        <v>1137</v>
      </c>
      <c r="AX29" s="37" t="s">
        <v>570</v>
      </c>
      <c r="AY29" s="37">
        <v>1</v>
      </c>
      <c r="AZ29" s="37"/>
      <c r="BA29" s="37"/>
      <c r="BB29" s="37" t="s">
        <v>629</v>
      </c>
      <c r="BC29" s="50" t="s">
        <v>1144</v>
      </c>
      <c r="BD29" s="49" t="s">
        <v>424</v>
      </c>
      <c r="BE29" s="37" t="s">
        <v>423</v>
      </c>
      <c r="BF29" s="37" t="s">
        <v>221</v>
      </c>
      <c r="BG29" s="37">
        <v>1</v>
      </c>
      <c r="BH29" s="37"/>
      <c r="BI29" s="37"/>
      <c r="BJ29" s="37" t="s">
        <v>629</v>
      </c>
      <c r="BK29" s="50" t="s">
        <v>1145</v>
      </c>
      <c r="BL29" s="49"/>
      <c r="BM29" s="37"/>
      <c r="BN29" s="37"/>
      <c r="BO29" s="37"/>
      <c r="BP29" s="37"/>
      <c r="BQ29" s="37"/>
      <c r="BR29" s="37"/>
      <c r="BS29" s="50"/>
      <c r="BT29" s="49"/>
      <c r="BU29" s="37"/>
      <c r="BV29" s="37"/>
      <c r="BW29" s="37"/>
      <c r="BX29" s="37"/>
      <c r="BY29" s="37"/>
      <c r="BZ29" s="37"/>
      <c r="CA29" s="50"/>
      <c r="CB29" s="49"/>
      <c r="CC29" s="37"/>
      <c r="CD29" s="37"/>
      <c r="CE29" s="37"/>
      <c r="CF29" s="37"/>
      <c r="CG29" s="37"/>
      <c r="CH29" s="37"/>
      <c r="CI29" s="50"/>
      <c r="CJ29" s="49"/>
      <c r="CK29" s="37"/>
      <c r="CL29" s="37"/>
      <c r="CM29" s="37"/>
      <c r="CN29" s="37"/>
      <c r="CO29" s="37"/>
      <c r="CP29" s="37"/>
      <c r="CQ29" s="50"/>
      <c r="CR29" s="49"/>
      <c r="CS29" s="37"/>
      <c r="CT29" s="37"/>
      <c r="CU29" s="37"/>
      <c r="CV29" s="37"/>
      <c r="CW29" s="37"/>
      <c r="CX29" s="37"/>
      <c r="CY29" s="50"/>
      <c r="CZ29" s="49"/>
      <c r="DA29" s="37"/>
      <c r="DB29" s="37"/>
      <c r="DC29" s="37"/>
      <c r="DD29" s="37"/>
      <c r="DE29" s="37"/>
      <c r="DF29" s="37"/>
      <c r="DG29" s="50"/>
      <c r="DH29" s="49"/>
      <c r="DI29" s="37"/>
      <c r="DJ29" s="37"/>
      <c r="DK29" s="37"/>
      <c r="DL29" s="37"/>
      <c r="DM29" s="37"/>
      <c r="DN29" s="37"/>
      <c r="DO29" s="50"/>
      <c r="DP29" s="49"/>
      <c r="DQ29" s="37"/>
      <c r="DR29" s="37"/>
      <c r="DS29" s="37"/>
      <c r="DT29" s="37"/>
      <c r="DU29" s="37"/>
      <c r="DV29" s="37"/>
      <c r="DW29" s="50"/>
      <c r="DX29" s="49"/>
      <c r="DY29" s="37"/>
      <c r="DZ29" s="37"/>
      <c r="EA29" s="37"/>
      <c r="EB29" s="37"/>
      <c r="EC29" s="37"/>
      <c r="ED29" s="37"/>
      <c r="EE29" s="50"/>
      <c r="EF29" s="49"/>
      <c r="EG29" s="37"/>
      <c r="EH29" s="37"/>
      <c r="EI29" s="37"/>
      <c r="EJ29" s="37"/>
      <c r="EK29" s="37"/>
      <c r="EL29" s="37"/>
      <c r="EM29" s="50"/>
      <c r="EN29" s="22"/>
      <c r="EO29" s="12"/>
      <c r="EP29" s="12"/>
      <c r="EQ29" s="12"/>
      <c r="ER29" s="12"/>
      <c r="ES29" s="12"/>
      <c r="ET29" s="12"/>
      <c r="EU29" s="23"/>
      <c r="EV29" s="49"/>
      <c r="EW29" s="37"/>
      <c r="EX29" s="37"/>
      <c r="EY29" s="37"/>
      <c r="EZ29" s="37"/>
      <c r="FA29" s="37"/>
      <c r="FB29" s="37"/>
      <c r="FC29" s="50"/>
      <c r="FD29" s="49"/>
      <c r="FE29" s="37"/>
      <c r="FF29" s="37"/>
      <c r="FG29" s="37"/>
      <c r="FH29" s="37"/>
      <c r="FI29" s="37"/>
      <c r="FJ29" s="37"/>
      <c r="FK29" s="50"/>
      <c r="FL29" s="37" t="s">
        <v>629</v>
      </c>
      <c r="FM29" s="37" t="s">
        <v>629</v>
      </c>
      <c r="FN29" s="37"/>
    </row>
    <row r="30" spans="1:170" x14ac:dyDescent="0.25">
      <c r="A30" s="38">
        <f>ROW(A2)</f>
        <v>2</v>
      </c>
      <c r="B30" s="52" t="s">
        <v>1091</v>
      </c>
      <c r="C30" s="37" t="s">
        <v>1092</v>
      </c>
      <c r="D30" s="48">
        <v>44831.587858796294</v>
      </c>
      <c r="E30" s="37" t="s">
        <v>784</v>
      </c>
      <c r="F30" s="37" t="s">
        <v>784</v>
      </c>
      <c r="G30" s="37" t="s">
        <v>785</v>
      </c>
      <c r="H30" s="49" t="s">
        <v>1085</v>
      </c>
      <c r="I30" s="37" t="s">
        <v>227</v>
      </c>
      <c r="J30" s="37" t="s">
        <v>221</v>
      </c>
      <c r="K30" s="37">
        <v>4</v>
      </c>
      <c r="L30" s="37"/>
      <c r="M30" s="37"/>
      <c r="N30" s="37" t="s">
        <v>223</v>
      </c>
      <c r="O30" s="50" t="s">
        <v>1090</v>
      </c>
      <c r="P30" s="49" t="s">
        <v>1087</v>
      </c>
      <c r="Q30" s="37" t="s">
        <v>1086</v>
      </c>
      <c r="R30" s="37" t="s">
        <v>221</v>
      </c>
      <c r="S30" s="37">
        <v>4</v>
      </c>
      <c r="T30" s="37">
        <v>0.67500000000000004</v>
      </c>
      <c r="U30" s="37">
        <v>3.2749999999999999</v>
      </c>
      <c r="V30" s="37" t="s">
        <v>223</v>
      </c>
      <c r="W30" s="50"/>
      <c r="X30" s="49" t="s">
        <v>1087</v>
      </c>
      <c r="Y30" s="37" t="s">
        <v>1086</v>
      </c>
      <c r="Z30" s="37" t="s">
        <v>221</v>
      </c>
      <c r="AA30" s="37">
        <v>4</v>
      </c>
      <c r="AB30" s="37">
        <v>0.72499999999999998</v>
      </c>
      <c r="AC30" s="37">
        <v>3.335</v>
      </c>
      <c r="AD30" s="37" t="s">
        <v>223</v>
      </c>
      <c r="AE30" s="50"/>
      <c r="AF30" s="49" t="s">
        <v>1087</v>
      </c>
      <c r="AG30" s="37" t="s">
        <v>1086</v>
      </c>
      <c r="AH30" s="37" t="s">
        <v>221</v>
      </c>
      <c r="AI30" s="37">
        <v>4</v>
      </c>
      <c r="AJ30" s="37">
        <v>0.72499999999999998</v>
      </c>
      <c r="AK30" s="37">
        <v>3.34</v>
      </c>
      <c r="AL30" s="37" t="s">
        <v>223</v>
      </c>
      <c r="AM30" s="50"/>
      <c r="AN30" s="49" t="s">
        <v>1087</v>
      </c>
      <c r="AO30" s="37" t="s">
        <v>1086</v>
      </c>
      <c r="AP30" s="37" t="s">
        <v>221</v>
      </c>
      <c r="AQ30" s="37">
        <v>4</v>
      </c>
      <c r="AR30" s="37">
        <v>0.73499999999999999</v>
      </c>
      <c r="AS30" s="37">
        <v>3.3149999999999999</v>
      </c>
      <c r="AT30" s="37" t="s">
        <v>223</v>
      </c>
      <c r="AU30" s="50" t="s">
        <v>223</v>
      </c>
      <c r="AV30" s="49"/>
      <c r="AW30" s="37"/>
      <c r="AX30" s="37"/>
      <c r="AY30" s="37"/>
      <c r="AZ30" s="37"/>
      <c r="BA30" s="37"/>
      <c r="BB30" s="37"/>
      <c r="BC30" s="50"/>
      <c r="BD30" s="49"/>
      <c r="BE30" s="37"/>
      <c r="BF30" s="37"/>
      <c r="BG30" s="37"/>
      <c r="BH30" s="37"/>
      <c r="BI30" s="37"/>
      <c r="BJ30" s="37"/>
      <c r="BK30" s="50"/>
      <c r="BL30" s="49"/>
      <c r="BM30" s="37"/>
      <c r="BN30" s="37"/>
      <c r="BO30" s="37"/>
      <c r="BP30" s="37"/>
      <c r="BQ30" s="37"/>
      <c r="BR30" s="37"/>
      <c r="BS30" s="50"/>
      <c r="BT30" s="49"/>
      <c r="BU30" s="37"/>
      <c r="BV30" s="37"/>
      <c r="BW30" s="37"/>
      <c r="BX30" s="37"/>
      <c r="BY30" s="37"/>
      <c r="BZ30" s="37"/>
      <c r="CA30" s="50"/>
      <c r="CB30" s="49"/>
      <c r="CC30" s="37"/>
      <c r="CD30" s="37"/>
      <c r="CE30" s="37"/>
      <c r="CF30" s="37"/>
      <c r="CG30" s="37"/>
      <c r="CH30" s="37"/>
      <c r="CI30" s="50"/>
      <c r="CJ30" s="49"/>
      <c r="CK30" s="37"/>
      <c r="CL30" s="37"/>
      <c r="CM30" s="37"/>
      <c r="CN30" s="37"/>
      <c r="CO30" s="37"/>
      <c r="CP30" s="37"/>
      <c r="CQ30" s="50"/>
      <c r="CR30" s="49"/>
      <c r="CS30" s="37"/>
      <c r="CT30" s="37"/>
      <c r="CU30" s="37"/>
      <c r="CV30" s="37"/>
      <c r="CW30" s="37"/>
      <c r="CX30" s="37"/>
      <c r="CY30" s="50"/>
      <c r="CZ30" s="49"/>
      <c r="DA30" s="37"/>
      <c r="DB30" s="37"/>
      <c r="DC30" s="37"/>
      <c r="DD30" s="37"/>
      <c r="DE30" s="37"/>
      <c r="DF30" s="37"/>
      <c r="DG30" s="50"/>
      <c r="DH30" s="49"/>
      <c r="DI30" s="37"/>
      <c r="DJ30" s="37"/>
      <c r="DK30" s="37"/>
      <c r="DL30" s="37"/>
      <c r="DM30" s="37"/>
      <c r="DN30" s="37"/>
      <c r="DO30" s="50"/>
      <c r="DP30" s="49"/>
      <c r="DQ30" s="37"/>
      <c r="DR30" s="37"/>
      <c r="DS30" s="37"/>
      <c r="DT30" s="37"/>
      <c r="DU30" s="37"/>
      <c r="DV30" s="37"/>
      <c r="DW30" s="50"/>
      <c r="DX30" s="49"/>
      <c r="DY30" s="37"/>
      <c r="DZ30" s="37"/>
      <c r="EA30" s="37"/>
      <c r="EB30" s="37"/>
      <c r="EC30" s="37"/>
      <c r="ED30" s="37"/>
      <c r="EE30" s="50"/>
      <c r="EF30" s="49"/>
      <c r="EG30" s="37"/>
      <c r="EH30" s="37"/>
      <c r="EI30" s="37"/>
      <c r="EJ30" s="37"/>
      <c r="EK30" s="37"/>
      <c r="EL30" s="37"/>
      <c r="EM30" s="50"/>
      <c r="EN30" s="22"/>
      <c r="EO30" s="12"/>
      <c r="EP30" s="12"/>
      <c r="EQ30" s="12"/>
      <c r="ER30" s="12"/>
      <c r="ES30" s="12"/>
      <c r="ET30" s="12"/>
      <c r="EU30" s="23"/>
      <c r="EV30" s="49"/>
      <c r="EW30" s="37"/>
      <c r="EX30" s="37"/>
      <c r="EY30" s="37"/>
      <c r="EZ30" s="37"/>
      <c r="FA30" s="37"/>
      <c r="FB30" s="37"/>
      <c r="FC30" s="50"/>
      <c r="FD30" s="49"/>
      <c r="FE30" s="37"/>
      <c r="FF30" s="37"/>
      <c r="FG30" s="37"/>
      <c r="FH30" s="37"/>
      <c r="FI30" s="37"/>
      <c r="FJ30" s="37"/>
      <c r="FK30" s="50"/>
      <c r="FL30" s="37" t="s">
        <v>223</v>
      </c>
      <c r="FM30" s="37"/>
      <c r="FN30" s="37" t="s">
        <v>1157</v>
      </c>
    </row>
    <row r="31" spans="1:170" x14ac:dyDescent="0.25">
      <c r="A31" s="38">
        <f>ROW(A2)</f>
        <v>2</v>
      </c>
      <c r="B31" s="52" t="s">
        <v>1081</v>
      </c>
      <c r="C31" s="37" t="s">
        <v>1083</v>
      </c>
      <c r="D31" s="48">
        <v>44830.745983796296</v>
      </c>
      <c r="E31" s="37" t="s">
        <v>830</v>
      </c>
      <c r="F31" s="37" t="s">
        <v>784</v>
      </c>
      <c r="G31" s="37" t="s">
        <v>785</v>
      </c>
      <c r="H31" s="49" t="s">
        <v>1077</v>
      </c>
      <c r="I31" s="37" t="s">
        <v>1076</v>
      </c>
      <c r="J31" s="37" t="s">
        <v>221</v>
      </c>
      <c r="K31" s="37">
        <v>2</v>
      </c>
      <c r="L31" s="37"/>
      <c r="M31" s="37"/>
      <c r="N31" s="37" t="s">
        <v>223</v>
      </c>
      <c r="O31" s="50" t="s">
        <v>223</v>
      </c>
      <c r="P31" s="49" t="s">
        <v>624</v>
      </c>
      <c r="Q31" s="37" t="s">
        <v>623</v>
      </c>
      <c r="R31" s="37" t="s">
        <v>626</v>
      </c>
      <c r="S31" s="37">
        <v>2</v>
      </c>
      <c r="T31" s="37"/>
      <c r="U31" s="37"/>
      <c r="V31" s="37" t="s">
        <v>32</v>
      </c>
      <c r="W31" s="50" t="s">
        <v>223</v>
      </c>
      <c r="X31" s="49" t="s">
        <v>663</v>
      </c>
      <c r="Y31" s="37" t="s">
        <v>662</v>
      </c>
      <c r="Z31" s="37" t="s">
        <v>570</v>
      </c>
      <c r="AA31" s="37">
        <v>500</v>
      </c>
      <c r="AB31" s="37"/>
      <c r="AC31" s="37"/>
      <c r="AD31" s="37" t="s">
        <v>223</v>
      </c>
      <c r="AE31" s="50" t="s">
        <v>32</v>
      </c>
      <c r="AF31" s="49" t="s">
        <v>447</v>
      </c>
      <c r="AG31" s="37" t="s">
        <v>446</v>
      </c>
      <c r="AH31" s="37" t="s">
        <v>448</v>
      </c>
      <c r="AI31" s="37">
        <v>500</v>
      </c>
      <c r="AJ31" s="37"/>
      <c r="AK31" s="37"/>
      <c r="AL31" s="37" t="s">
        <v>223</v>
      </c>
      <c r="AM31" s="50" t="s">
        <v>223</v>
      </c>
      <c r="AN31" s="49" t="s">
        <v>747</v>
      </c>
      <c r="AO31" s="37" t="s">
        <v>746</v>
      </c>
      <c r="AP31" s="37" t="s">
        <v>570</v>
      </c>
      <c r="AQ31" s="37">
        <v>1</v>
      </c>
      <c r="AR31" s="37"/>
      <c r="AS31" s="37"/>
      <c r="AT31" s="37" t="s">
        <v>223</v>
      </c>
      <c r="AU31" s="50" t="s">
        <v>223</v>
      </c>
      <c r="AV31" s="49" t="s">
        <v>743</v>
      </c>
      <c r="AW31" s="37" t="s">
        <v>742</v>
      </c>
      <c r="AX31" s="37" t="s">
        <v>221</v>
      </c>
      <c r="AY31" s="37">
        <v>1</v>
      </c>
      <c r="AZ31" s="37"/>
      <c r="BA31" s="37"/>
      <c r="BB31" s="37" t="s">
        <v>223</v>
      </c>
      <c r="BC31" s="50" t="s">
        <v>223</v>
      </c>
      <c r="BD31" s="49" t="s">
        <v>1080</v>
      </c>
      <c r="BE31" s="37" t="s">
        <v>1079</v>
      </c>
      <c r="BF31" s="37" t="s">
        <v>221</v>
      </c>
      <c r="BG31" s="37">
        <v>5</v>
      </c>
      <c r="BH31" s="37"/>
      <c r="BI31" s="37"/>
      <c r="BJ31" s="37" t="s">
        <v>223</v>
      </c>
      <c r="BK31" s="50" t="s">
        <v>976</v>
      </c>
      <c r="BL31" s="49" t="s">
        <v>572</v>
      </c>
      <c r="BM31" s="37" t="s">
        <v>571</v>
      </c>
      <c r="BN31" s="37" t="s">
        <v>221</v>
      </c>
      <c r="BO31" s="37">
        <v>1</v>
      </c>
      <c r="BP31" s="37"/>
      <c r="BQ31" s="37"/>
      <c r="BR31" s="37" t="s">
        <v>223</v>
      </c>
      <c r="BS31" s="50" t="s">
        <v>32</v>
      </c>
      <c r="BT31" s="49"/>
      <c r="BU31" s="37"/>
      <c r="BV31" s="37"/>
      <c r="BW31" s="37"/>
      <c r="BX31" s="37"/>
      <c r="BY31" s="37"/>
      <c r="BZ31" s="37"/>
      <c r="CA31" s="50"/>
      <c r="CB31" s="49"/>
      <c r="CC31" s="37"/>
      <c r="CD31" s="37"/>
      <c r="CE31" s="37"/>
      <c r="CF31" s="37"/>
      <c r="CG31" s="37"/>
      <c r="CH31" s="37"/>
      <c r="CI31" s="50"/>
      <c r="CJ31" s="49"/>
      <c r="CK31" s="37"/>
      <c r="CL31" s="37"/>
      <c r="CM31" s="37"/>
      <c r="CN31" s="37"/>
      <c r="CO31" s="37"/>
      <c r="CP31" s="37"/>
      <c r="CQ31" s="50"/>
      <c r="CR31" s="49"/>
      <c r="CS31" s="37"/>
      <c r="CT31" s="37"/>
      <c r="CU31" s="37"/>
      <c r="CV31" s="37"/>
      <c r="CW31" s="37"/>
      <c r="CX31" s="37"/>
      <c r="CY31" s="50"/>
      <c r="CZ31" s="49"/>
      <c r="DA31" s="37"/>
      <c r="DB31" s="37"/>
      <c r="DC31" s="37"/>
      <c r="DD31" s="37"/>
      <c r="DE31" s="37"/>
      <c r="DF31" s="37"/>
      <c r="DG31" s="50"/>
      <c r="DH31" s="49"/>
      <c r="DI31" s="37"/>
      <c r="DJ31" s="37"/>
      <c r="DK31" s="37"/>
      <c r="DL31" s="37"/>
      <c r="DM31" s="37"/>
      <c r="DN31" s="37"/>
      <c r="DO31" s="50"/>
      <c r="DP31" s="49"/>
      <c r="DQ31" s="37"/>
      <c r="DR31" s="37"/>
      <c r="DS31" s="37"/>
      <c r="DT31" s="37"/>
      <c r="DU31" s="37"/>
      <c r="DV31" s="37"/>
      <c r="DW31" s="50"/>
      <c r="DX31" s="49"/>
      <c r="DY31" s="37"/>
      <c r="DZ31" s="37"/>
      <c r="EA31" s="37"/>
      <c r="EB31" s="37"/>
      <c r="EC31" s="37"/>
      <c r="ED31" s="37"/>
      <c r="EE31" s="50"/>
      <c r="EF31" s="49"/>
      <c r="EG31" s="37"/>
      <c r="EH31" s="37"/>
      <c r="EI31" s="37"/>
      <c r="EJ31" s="37"/>
      <c r="EK31" s="37"/>
      <c r="EL31" s="37"/>
      <c r="EM31" s="50"/>
      <c r="EN31" s="22"/>
      <c r="EO31" s="12"/>
      <c r="EP31" s="12"/>
      <c r="EQ31" s="12"/>
      <c r="ER31" s="12"/>
      <c r="ES31" s="12"/>
      <c r="ET31" s="12"/>
      <c r="EU31" s="23"/>
      <c r="EV31" s="49"/>
      <c r="EW31" s="37"/>
      <c r="EX31" s="37"/>
      <c r="EY31" s="37"/>
      <c r="EZ31" s="37"/>
      <c r="FA31" s="37"/>
      <c r="FB31" s="37"/>
      <c r="FC31" s="50"/>
      <c r="FD31" s="49"/>
      <c r="FE31" s="37"/>
      <c r="FF31" s="37"/>
      <c r="FG31" s="37"/>
      <c r="FH31" s="37"/>
      <c r="FI31" s="37"/>
      <c r="FJ31" s="37"/>
      <c r="FK31" s="50"/>
      <c r="FL31" s="37" t="s">
        <v>223</v>
      </c>
      <c r="FM31" s="37" t="s">
        <v>32</v>
      </c>
      <c r="FN31" s="37" t="s">
        <v>1084</v>
      </c>
    </row>
    <row r="32" spans="1:170" x14ac:dyDescent="0.25">
      <c r="A32" s="38">
        <f>ROW(A2)</f>
        <v>2</v>
      </c>
      <c r="B32" s="52" t="s">
        <v>960</v>
      </c>
      <c r="C32" s="37" t="s">
        <v>961</v>
      </c>
      <c r="D32" s="48">
        <v>44830.745300925926</v>
      </c>
      <c r="E32" s="37" t="s">
        <v>962</v>
      </c>
      <c r="F32" s="37" t="s">
        <v>785</v>
      </c>
      <c r="G32" s="37" t="s">
        <v>785</v>
      </c>
      <c r="H32" s="49">
        <v>10140100</v>
      </c>
      <c r="I32" s="37" t="s">
        <v>316</v>
      </c>
      <c r="J32" s="37" t="s">
        <v>235</v>
      </c>
      <c r="K32" s="37">
        <v>5</v>
      </c>
      <c r="L32" s="37"/>
      <c r="M32" s="37"/>
      <c r="N32" s="37" t="s">
        <v>223</v>
      </c>
      <c r="O32" s="50" t="s">
        <v>223</v>
      </c>
      <c r="P32" s="49"/>
      <c r="Q32" s="37"/>
      <c r="R32" s="37"/>
      <c r="S32" s="37"/>
      <c r="T32" s="37"/>
      <c r="U32" s="37"/>
      <c r="V32" s="37"/>
      <c r="W32" s="50"/>
      <c r="X32" s="49"/>
      <c r="Y32" s="37"/>
      <c r="Z32" s="37"/>
      <c r="AA32" s="37"/>
      <c r="AB32" s="37"/>
      <c r="AC32" s="37"/>
      <c r="AD32" s="37"/>
      <c r="AE32" s="50"/>
      <c r="AF32" s="49"/>
      <c r="AG32" s="37"/>
      <c r="AH32" s="37"/>
      <c r="AI32" s="37"/>
      <c r="AJ32" s="37"/>
      <c r="AK32" s="37"/>
      <c r="AL32" s="37"/>
      <c r="AM32" s="50"/>
      <c r="AN32" s="49"/>
      <c r="AO32" s="37"/>
      <c r="AP32" s="37"/>
      <c r="AQ32" s="37"/>
      <c r="AR32" s="37"/>
      <c r="AS32" s="37"/>
      <c r="AT32" s="37"/>
      <c r="AU32" s="50"/>
      <c r="AV32" s="49"/>
      <c r="AW32" s="37"/>
      <c r="AX32" s="37"/>
      <c r="AY32" s="37"/>
      <c r="AZ32" s="37"/>
      <c r="BA32" s="37"/>
      <c r="BB32" s="37"/>
      <c r="BC32" s="50"/>
      <c r="BD32" s="49"/>
      <c r="BE32" s="37"/>
      <c r="BF32" s="37"/>
      <c r="BG32" s="37"/>
      <c r="BH32" s="37"/>
      <c r="BI32" s="37"/>
      <c r="BJ32" s="37"/>
      <c r="BK32" s="50"/>
      <c r="BL32" s="49"/>
      <c r="BM32" s="37"/>
      <c r="BN32" s="37"/>
      <c r="BO32" s="37"/>
      <c r="BP32" s="37"/>
      <c r="BQ32" s="37"/>
      <c r="BR32" s="37"/>
      <c r="BS32" s="50"/>
      <c r="BT32" s="49"/>
      <c r="BU32" s="37"/>
      <c r="BV32" s="37"/>
      <c r="BW32" s="37"/>
      <c r="BX32" s="37"/>
      <c r="BY32" s="37"/>
      <c r="BZ32" s="37"/>
      <c r="CA32" s="50"/>
      <c r="CB32" s="49"/>
      <c r="CC32" s="37"/>
      <c r="CD32" s="37"/>
      <c r="CE32" s="37"/>
      <c r="CF32" s="37"/>
      <c r="CG32" s="37"/>
      <c r="CH32" s="37"/>
      <c r="CI32" s="50"/>
      <c r="CJ32" s="49"/>
      <c r="CK32" s="37"/>
      <c r="CL32" s="37"/>
      <c r="CM32" s="37"/>
      <c r="CN32" s="37"/>
      <c r="CO32" s="37"/>
      <c r="CP32" s="37"/>
      <c r="CQ32" s="50"/>
      <c r="CR32" s="49"/>
      <c r="CS32" s="37"/>
      <c r="CT32" s="37"/>
      <c r="CU32" s="37"/>
      <c r="CV32" s="37"/>
      <c r="CW32" s="37"/>
      <c r="CX32" s="37"/>
      <c r="CY32" s="50"/>
      <c r="CZ32" s="49"/>
      <c r="DA32" s="37"/>
      <c r="DB32" s="37"/>
      <c r="DC32" s="37"/>
      <c r="DD32" s="37"/>
      <c r="DE32" s="37"/>
      <c r="DF32" s="37"/>
      <c r="DG32" s="50"/>
      <c r="DH32" s="49"/>
      <c r="DI32" s="37"/>
      <c r="DJ32" s="37"/>
      <c r="DK32" s="37"/>
      <c r="DL32" s="37"/>
      <c r="DM32" s="37"/>
      <c r="DN32" s="37"/>
      <c r="DO32" s="50"/>
      <c r="DP32" s="49"/>
      <c r="DQ32" s="37"/>
      <c r="DR32" s="37"/>
      <c r="DS32" s="37"/>
      <c r="DT32" s="37"/>
      <c r="DU32" s="37"/>
      <c r="DV32" s="37"/>
      <c r="DW32" s="50"/>
      <c r="DX32" s="49"/>
      <c r="DY32" s="37"/>
      <c r="DZ32" s="37"/>
      <c r="EA32" s="37"/>
      <c r="EB32" s="37"/>
      <c r="EC32" s="37"/>
      <c r="ED32" s="37"/>
      <c r="EE32" s="50"/>
      <c r="EF32" s="49"/>
      <c r="EG32" s="37"/>
      <c r="EH32" s="37"/>
      <c r="EI32" s="37"/>
      <c r="EJ32" s="37"/>
      <c r="EK32" s="37"/>
      <c r="EL32" s="37"/>
      <c r="EM32" s="50"/>
      <c r="EN32" s="22"/>
      <c r="EO32" s="12"/>
      <c r="EP32" s="12"/>
      <c r="EQ32" s="12"/>
      <c r="ER32" s="12"/>
      <c r="ES32" s="12"/>
      <c r="ET32" s="12"/>
      <c r="EU32" s="23"/>
      <c r="EV32" s="49"/>
      <c r="EW32" s="37"/>
      <c r="EX32" s="37"/>
      <c r="EY32" s="37"/>
      <c r="EZ32" s="37"/>
      <c r="FA32" s="37"/>
      <c r="FB32" s="37"/>
      <c r="FC32" s="50"/>
      <c r="FD32" s="49"/>
      <c r="FE32" s="37"/>
      <c r="FF32" s="37"/>
      <c r="FG32" s="37"/>
      <c r="FH32" s="37"/>
      <c r="FI32" s="37"/>
      <c r="FJ32" s="37"/>
      <c r="FK32" s="50"/>
      <c r="FL32" s="37"/>
      <c r="FM32" s="37"/>
      <c r="FN32" s="37" t="s">
        <v>1084</v>
      </c>
    </row>
    <row r="33" spans="1:170" x14ac:dyDescent="0.25">
      <c r="A33" s="38">
        <f>ROW(A2)</f>
        <v>2</v>
      </c>
      <c r="B33" s="52" t="s">
        <v>958</v>
      </c>
      <c r="C33" s="37" t="s">
        <v>959</v>
      </c>
      <c r="D33" s="48">
        <v>44830.465243055558</v>
      </c>
      <c r="E33" s="37" t="s">
        <v>784</v>
      </c>
      <c r="F33" s="37" t="s">
        <v>784</v>
      </c>
      <c r="G33" s="37" t="s">
        <v>785</v>
      </c>
      <c r="H33" s="49" t="s">
        <v>765</v>
      </c>
      <c r="I33" s="37" t="s">
        <v>764</v>
      </c>
      <c r="J33" s="37" t="s">
        <v>221</v>
      </c>
      <c r="K33" s="37">
        <v>5</v>
      </c>
      <c r="L33" s="37"/>
      <c r="M33" s="37"/>
      <c r="N33" s="37" t="s">
        <v>223</v>
      </c>
      <c r="O33" s="50" t="s">
        <v>956</v>
      </c>
      <c r="P33" s="49" t="s">
        <v>643</v>
      </c>
      <c r="Q33" s="37" t="s">
        <v>642</v>
      </c>
      <c r="R33" s="37" t="s">
        <v>221</v>
      </c>
      <c r="S33" s="37">
        <v>3</v>
      </c>
      <c r="T33" s="37"/>
      <c r="U33" s="37"/>
      <c r="V33" s="37" t="s">
        <v>223</v>
      </c>
      <c r="W33" s="50" t="s">
        <v>223</v>
      </c>
      <c r="X33" s="49"/>
      <c r="Y33" s="37"/>
      <c r="Z33" s="37"/>
      <c r="AA33" s="37"/>
      <c r="AB33" s="37"/>
      <c r="AC33" s="37"/>
      <c r="AD33" s="37"/>
      <c r="AE33" s="50"/>
      <c r="AF33" s="49"/>
      <c r="AG33" s="37"/>
      <c r="AH33" s="37"/>
      <c r="AI33" s="37"/>
      <c r="AJ33" s="37"/>
      <c r="AK33" s="37"/>
      <c r="AL33" s="37"/>
      <c r="AM33" s="50"/>
      <c r="AN33" s="49"/>
      <c r="AO33" s="37"/>
      <c r="AP33" s="37"/>
      <c r="AQ33" s="37"/>
      <c r="AR33" s="37"/>
      <c r="AS33" s="37"/>
      <c r="AT33" s="37"/>
      <c r="AU33" s="50"/>
      <c r="AV33" s="49"/>
      <c r="AW33" s="37"/>
      <c r="AX33" s="37"/>
      <c r="AY33" s="37"/>
      <c r="AZ33" s="37"/>
      <c r="BA33" s="37"/>
      <c r="BB33" s="37"/>
      <c r="BC33" s="50"/>
      <c r="BD33" s="49"/>
      <c r="BE33" s="37"/>
      <c r="BF33" s="37"/>
      <c r="BG33" s="37"/>
      <c r="BH33" s="37"/>
      <c r="BI33" s="37"/>
      <c r="BJ33" s="37"/>
      <c r="BK33" s="50"/>
      <c r="BL33" s="49"/>
      <c r="BM33" s="37"/>
      <c r="BN33" s="37"/>
      <c r="BO33" s="37"/>
      <c r="BP33" s="37"/>
      <c r="BQ33" s="37"/>
      <c r="BR33" s="37"/>
      <c r="BS33" s="50"/>
      <c r="BT33" s="49"/>
      <c r="BU33" s="37"/>
      <c r="BV33" s="37"/>
      <c r="BW33" s="37"/>
      <c r="BX33" s="37"/>
      <c r="BY33" s="37"/>
      <c r="BZ33" s="37"/>
      <c r="CA33" s="50"/>
      <c r="CB33" s="49"/>
      <c r="CC33" s="37"/>
      <c r="CD33" s="37"/>
      <c r="CE33" s="37"/>
      <c r="CF33" s="37"/>
      <c r="CG33" s="37"/>
      <c r="CH33" s="37"/>
      <c r="CI33" s="50"/>
      <c r="CJ33" s="49"/>
      <c r="CK33" s="37"/>
      <c r="CL33" s="37"/>
      <c r="CM33" s="37"/>
      <c r="CN33" s="37"/>
      <c r="CO33" s="37"/>
      <c r="CP33" s="37"/>
      <c r="CQ33" s="50"/>
      <c r="CR33" s="49"/>
      <c r="CS33" s="37"/>
      <c r="CT33" s="37"/>
      <c r="CU33" s="37"/>
      <c r="CV33" s="37"/>
      <c r="CW33" s="37"/>
      <c r="CX33" s="37"/>
      <c r="CY33" s="50"/>
      <c r="CZ33" s="49"/>
      <c r="DA33" s="37"/>
      <c r="DB33" s="37"/>
      <c r="DC33" s="37"/>
      <c r="DD33" s="37"/>
      <c r="DE33" s="37"/>
      <c r="DF33" s="37"/>
      <c r="DG33" s="50"/>
      <c r="DH33" s="49"/>
      <c r="DI33" s="37"/>
      <c r="DJ33" s="37"/>
      <c r="DK33" s="37"/>
      <c r="DL33" s="37"/>
      <c r="DM33" s="37"/>
      <c r="DN33" s="37"/>
      <c r="DO33" s="50"/>
      <c r="DP33" s="49"/>
      <c r="DQ33" s="37"/>
      <c r="DR33" s="37"/>
      <c r="DS33" s="37"/>
      <c r="DT33" s="37"/>
      <c r="DU33" s="37"/>
      <c r="DV33" s="37"/>
      <c r="DW33" s="50"/>
      <c r="DX33" s="49"/>
      <c r="DY33" s="37"/>
      <c r="DZ33" s="37"/>
      <c r="EA33" s="37"/>
      <c r="EB33" s="37"/>
      <c r="EC33" s="37"/>
      <c r="ED33" s="37"/>
      <c r="EE33" s="50"/>
      <c r="EF33" s="49"/>
      <c r="EG33" s="37"/>
      <c r="EH33" s="37"/>
      <c r="EI33" s="37"/>
      <c r="EJ33" s="37"/>
      <c r="EK33" s="37"/>
      <c r="EL33" s="37"/>
      <c r="EM33" s="50"/>
      <c r="EN33" s="22"/>
      <c r="EO33" s="12"/>
      <c r="EP33" s="12"/>
      <c r="EQ33" s="12"/>
      <c r="ER33" s="12"/>
      <c r="ES33" s="12"/>
      <c r="ET33" s="12"/>
      <c r="EU33" s="23"/>
      <c r="EV33" s="49"/>
      <c r="EW33" s="37"/>
      <c r="EX33" s="37"/>
      <c r="EY33" s="37"/>
      <c r="EZ33" s="37"/>
      <c r="FA33" s="37"/>
      <c r="FB33" s="37"/>
      <c r="FC33" s="50"/>
      <c r="FD33" s="49"/>
      <c r="FE33" s="37"/>
      <c r="FF33" s="37"/>
      <c r="FG33" s="37"/>
      <c r="FH33" s="37"/>
      <c r="FI33" s="37"/>
      <c r="FJ33" s="37"/>
      <c r="FK33" s="50"/>
      <c r="FL33" s="37" t="s">
        <v>956</v>
      </c>
      <c r="FM33" s="37"/>
      <c r="FN33" s="37"/>
    </row>
    <row r="34" spans="1:170" x14ac:dyDescent="0.25">
      <c r="A34" s="38">
        <f>ROW(A2)</f>
        <v>2</v>
      </c>
      <c r="B34" s="52" t="s">
        <v>781</v>
      </c>
      <c r="C34" s="37" t="s">
        <v>782</v>
      </c>
      <c r="D34" s="48">
        <v>44827.515347222223</v>
      </c>
      <c r="E34" s="37" t="s">
        <v>783</v>
      </c>
      <c r="F34" s="37" t="s">
        <v>784</v>
      </c>
      <c r="G34" s="37" t="s">
        <v>785</v>
      </c>
      <c r="H34" s="49" t="s">
        <v>775</v>
      </c>
      <c r="I34" s="37" t="s">
        <v>774</v>
      </c>
      <c r="J34" s="37" t="s">
        <v>240</v>
      </c>
      <c r="K34" s="37">
        <v>2</v>
      </c>
      <c r="L34" s="37">
        <v>250</v>
      </c>
      <c r="M34" s="37">
        <v>143</v>
      </c>
      <c r="N34" s="37" t="s">
        <v>223</v>
      </c>
      <c r="O34" s="50" t="s">
        <v>6</v>
      </c>
      <c r="P34" s="49" t="s">
        <v>777</v>
      </c>
      <c r="Q34" s="37" t="s">
        <v>776</v>
      </c>
      <c r="R34" s="37" t="s">
        <v>221</v>
      </c>
      <c r="S34" s="37">
        <v>6</v>
      </c>
      <c r="T34" s="37">
        <v>160</v>
      </c>
      <c r="U34" s="37">
        <v>595</v>
      </c>
      <c r="V34" s="37" t="s">
        <v>223</v>
      </c>
      <c r="W34" s="50" t="s">
        <v>6</v>
      </c>
      <c r="X34" s="49"/>
      <c r="Y34" s="37"/>
      <c r="Z34" s="37"/>
      <c r="AA34" s="37"/>
      <c r="AB34" s="37"/>
      <c r="AC34" s="37"/>
      <c r="AD34" s="37"/>
      <c r="AE34" s="50"/>
      <c r="AF34" s="49"/>
      <c r="AG34" s="37"/>
      <c r="AH34" s="37"/>
      <c r="AI34" s="37"/>
      <c r="AJ34" s="37"/>
      <c r="AK34" s="37"/>
      <c r="AL34" s="37"/>
      <c r="AM34" s="50"/>
      <c r="AN34" s="49"/>
      <c r="AO34" s="37"/>
      <c r="AP34" s="37"/>
      <c r="AQ34" s="37"/>
      <c r="AR34" s="37"/>
      <c r="AS34" s="37"/>
      <c r="AT34" s="37"/>
      <c r="AU34" s="50"/>
      <c r="AV34" s="49"/>
      <c r="AW34" s="37"/>
      <c r="AX34" s="37"/>
      <c r="AY34" s="37"/>
      <c r="AZ34" s="37"/>
      <c r="BA34" s="37"/>
      <c r="BB34" s="37"/>
      <c r="BC34" s="50"/>
      <c r="BD34" s="49"/>
      <c r="BE34" s="37"/>
      <c r="BF34" s="37"/>
      <c r="BG34" s="37"/>
      <c r="BH34" s="37"/>
      <c r="BI34" s="37"/>
      <c r="BJ34" s="37"/>
      <c r="BK34" s="50"/>
      <c r="BL34" s="49"/>
      <c r="BM34" s="37"/>
      <c r="BN34" s="37"/>
      <c r="BO34" s="37"/>
      <c r="BP34" s="37"/>
      <c r="BQ34" s="37"/>
      <c r="BR34" s="37"/>
      <c r="BS34" s="50"/>
      <c r="BT34" s="49"/>
      <c r="BU34" s="37"/>
      <c r="BV34" s="37"/>
      <c r="BW34" s="37"/>
      <c r="BX34" s="37"/>
      <c r="BY34" s="37"/>
      <c r="BZ34" s="37"/>
      <c r="CA34" s="50"/>
      <c r="CB34" s="49"/>
      <c r="CC34" s="37"/>
      <c r="CD34" s="37"/>
      <c r="CE34" s="37"/>
      <c r="CF34" s="37"/>
      <c r="CG34" s="37"/>
      <c r="CH34" s="37"/>
      <c r="CI34" s="50"/>
      <c r="CJ34" s="49"/>
      <c r="CK34" s="37"/>
      <c r="CL34" s="37"/>
      <c r="CM34" s="37"/>
      <c r="CN34" s="37"/>
      <c r="CO34" s="37"/>
      <c r="CP34" s="37"/>
      <c r="CQ34" s="50"/>
      <c r="CR34" s="49"/>
      <c r="CS34" s="37"/>
      <c r="CT34" s="37"/>
      <c r="CU34" s="37"/>
      <c r="CV34" s="37"/>
      <c r="CW34" s="37"/>
      <c r="CX34" s="37"/>
      <c r="CY34" s="50"/>
      <c r="CZ34" s="49"/>
      <c r="DA34" s="37"/>
      <c r="DB34" s="37"/>
      <c r="DC34" s="37"/>
      <c r="DD34" s="37"/>
      <c r="DE34" s="37"/>
      <c r="DF34" s="37"/>
      <c r="DG34" s="50"/>
      <c r="DH34" s="49"/>
      <c r="DI34" s="37"/>
      <c r="DJ34" s="37"/>
      <c r="DK34" s="37"/>
      <c r="DL34" s="37"/>
      <c r="DM34" s="37"/>
      <c r="DN34" s="37"/>
      <c r="DO34" s="50"/>
      <c r="DP34" s="49"/>
      <c r="DQ34" s="37"/>
      <c r="DR34" s="37"/>
      <c r="DS34" s="37"/>
      <c r="DT34" s="37"/>
      <c r="DU34" s="37"/>
      <c r="DV34" s="37"/>
      <c r="DW34" s="50"/>
      <c r="DX34" s="49"/>
      <c r="DY34" s="37"/>
      <c r="DZ34" s="37"/>
      <c r="EA34" s="37"/>
      <c r="EB34" s="37"/>
      <c r="EC34" s="37"/>
      <c r="ED34" s="37"/>
      <c r="EE34" s="50"/>
      <c r="EF34" s="49"/>
      <c r="EG34" s="37"/>
      <c r="EH34" s="37"/>
      <c r="EI34" s="37"/>
      <c r="EJ34" s="37"/>
      <c r="EK34" s="37"/>
      <c r="EL34" s="37"/>
      <c r="EM34" s="50"/>
      <c r="EN34" s="22"/>
      <c r="EO34" s="12"/>
      <c r="EP34" s="12"/>
      <c r="EQ34" s="12"/>
      <c r="ER34" s="12"/>
      <c r="ES34" s="12"/>
      <c r="ET34" s="12"/>
      <c r="EU34" s="23"/>
      <c r="EV34" s="49"/>
      <c r="EW34" s="37"/>
      <c r="EX34" s="37"/>
      <c r="EY34" s="37"/>
      <c r="EZ34" s="37"/>
      <c r="FA34" s="37"/>
      <c r="FB34" s="37"/>
      <c r="FC34" s="50"/>
      <c r="FD34" s="49"/>
      <c r="FE34" s="37"/>
      <c r="FF34" s="37"/>
      <c r="FG34" s="37"/>
      <c r="FH34" s="37"/>
      <c r="FI34" s="37"/>
      <c r="FJ34" s="37"/>
      <c r="FK34" s="50"/>
      <c r="FL34" s="37" t="s">
        <v>223</v>
      </c>
      <c r="FM34" s="37" t="s">
        <v>223</v>
      </c>
      <c r="FN34" s="9"/>
    </row>
    <row r="35" spans="1:170" x14ac:dyDescent="0.25">
      <c r="A35" s="38">
        <f t="shared" ref="A35:A64" si="1">ROW(A34)</f>
        <v>34</v>
      </c>
      <c r="B35" s="52" t="s">
        <v>786</v>
      </c>
      <c r="C35" s="37" t="s">
        <v>787</v>
      </c>
      <c r="D35" s="48">
        <v>44826.466377314813</v>
      </c>
      <c r="E35" s="37" t="s">
        <v>784</v>
      </c>
      <c r="F35" s="37" t="s">
        <v>784</v>
      </c>
      <c r="G35" s="37" t="s">
        <v>785</v>
      </c>
      <c r="H35" s="49" t="s">
        <v>624</v>
      </c>
      <c r="I35" s="37" t="s">
        <v>623</v>
      </c>
      <c r="J35" s="37" t="s">
        <v>626</v>
      </c>
      <c r="K35" s="37">
        <v>50</v>
      </c>
      <c r="L35" s="37"/>
      <c r="M35" s="37"/>
      <c r="N35" s="37" t="s">
        <v>32</v>
      </c>
      <c r="O35" s="50" t="s">
        <v>788</v>
      </c>
      <c r="P35" s="49"/>
      <c r="Q35" s="37"/>
      <c r="R35" s="37"/>
      <c r="S35" s="37"/>
      <c r="T35" s="37"/>
      <c r="U35" s="37"/>
      <c r="V35" s="37"/>
      <c r="W35" s="50"/>
      <c r="X35" s="49"/>
      <c r="Y35" s="37"/>
      <c r="Z35" s="37"/>
      <c r="AA35" s="37"/>
      <c r="AB35" s="37"/>
      <c r="AC35" s="37"/>
      <c r="AD35" s="37"/>
      <c r="AE35" s="50"/>
      <c r="AF35" s="49"/>
      <c r="AG35" s="37"/>
      <c r="AH35" s="37"/>
      <c r="AI35" s="37"/>
      <c r="AJ35" s="37"/>
      <c r="AK35" s="37"/>
      <c r="AL35" s="37"/>
      <c r="AM35" s="50"/>
      <c r="AN35" s="49"/>
      <c r="AO35" s="37"/>
      <c r="AP35" s="37"/>
      <c r="AQ35" s="37"/>
      <c r="AR35" s="37"/>
      <c r="AS35" s="37"/>
      <c r="AT35" s="37"/>
      <c r="AU35" s="50"/>
      <c r="AV35" s="49"/>
      <c r="AW35" s="37"/>
      <c r="AX35" s="37"/>
      <c r="AY35" s="37"/>
      <c r="AZ35" s="37"/>
      <c r="BA35" s="37"/>
      <c r="BB35" s="37"/>
      <c r="BC35" s="50"/>
      <c r="BD35" s="49"/>
      <c r="BE35" s="37"/>
      <c r="BF35" s="37"/>
      <c r="BG35" s="37"/>
      <c r="BH35" s="37"/>
      <c r="BI35" s="37"/>
      <c r="BJ35" s="37"/>
      <c r="BK35" s="50"/>
      <c r="BL35" s="49"/>
      <c r="BM35" s="37"/>
      <c r="BN35" s="37"/>
      <c r="BO35" s="37"/>
      <c r="BP35" s="37"/>
      <c r="BQ35" s="37"/>
      <c r="BR35" s="37"/>
      <c r="BS35" s="50"/>
      <c r="BT35" s="49"/>
      <c r="BU35" s="37"/>
      <c r="BV35" s="37"/>
      <c r="BW35" s="37"/>
      <c r="BX35" s="37"/>
      <c r="BY35" s="37"/>
      <c r="BZ35" s="37"/>
      <c r="CA35" s="50"/>
      <c r="CB35" s="49"/>
      <c r="CC35" s="37"/>
      <c r="CD35" s="37"/>
      <c r="CE35" s="37"/>
      <c r="CF35" s="37"/>
      <c r="CG35" s="37"/>
      <c r="CH35" s="37"/>
      <c r="CI35" s="50"/>
      <c r="CJ35" s="49"/>
      <c r="CK35" s="37"/>
      <c r="CL35" s="37"/>
      <c r="CM35" s="37"/>
      <c r="CN35" s="37"/>
      <c r="CO35" s="37"/>
      <c r="CP35" s="37"/>
      <c r="CQ35" s="50"/>
      <c r="CR35" s="49"/>
      <c r="CS35" s="37"/>
      <c r="CT35" s="37"/>
      <c r="CU35" s="37"/>
      <c r="CV35" s="37"/>
      <c r="CW35" s="37"/>
      <c r="CX35" s="37"/>
      <c r="CY35" s="50"/>
      <c r="CZ35" s="49"/>
      <c r="DA35" s="37"/>
      <c r="DB35" s="37"/>
      <c r="DC35" s="37"/>
      <c r="DD35" s="37"/>
      <c r="DE35" s="37"/>
      <c r="DF35" s="37"/>
      <c r="DG35" s="50"/>
      <c r="DH35" s="49"/>
      <c r="DI35" s="37"/>
      <c r="DJ35" s="37"/>
      <c r="DK35" s="37"/>
      <c r="DL35" s="37"/>
      <c r="DM35" s="37"/>
      <c r="DN35" s="37"/>
      <c r="DO35" s="50"/>
      <c r="DP35" s="49"/>
      <c r="DQ35" s="37"/>
      <c r="DR35" s="37"/>
      <c r="DS35" s="37"/>
      <c r="DT35" s="37"/>
      <c r="DU35" s="37"/>
      <c r="DV35" s="37"/>
      <c r="DW35" s="50"/>
      <c r="DX35" s="49"/>
      <c r="DY35" s="37"/>
      <c r="DZ35" s="37"/>
      <c r="EA35" s="37"/>
      <c r="EB35" s="37"/>
      <c r="EC35" s="37"/>
      <c r="ED35" s="37"/>
      <c r="EE35" s="50"/>
      <c r="EF35" s="49"/>
      <c r="EG35" s="37"/>
      <c r="EH35" s="37"/>
      <c r="EI35" s="37"/>
      <c r="EJ35" s="37"/>
      <c r="EK35" s="37"/>
      <c r="EL35" s="37"/>
      <c r="EM35" s="50"/>
      <c r="EN35" s="22"/>
      <c r="EO35" s="12"/>
      <c r="EP35" s="12"/>
      <c r="EQ35" s="12"/>
      <c r="ER35" s="12"/>
      <c r="ES35" s="12"/>
      <c r="ET35" s="12"/>
      <c r="EU35" s="23"/>
      <c r="EV35" s="49"/>
      <c r="EW35" s="37"/>
      <c r="EX35" s="37"/>
      <c r="EY35" s="37"/>
      <c r="EZ35" s="37"/>
      <c r="FA35" s="37"/>
      <c r="FB35" s="37"/>
      <c r="FC35" s="50"/>
      <c r="FD35" s="49"/>
      <c r="FE35" s="37"/>
      <c r="FF35" s="37"/>
      <c r="FG35" s="37"/>
      <c r="FH35" s="37"/>
      <c r="FI35" s="37"/>
      <c r="FJ35" s="37"/>
      <c r="FK35" s="50"/>
      <c r="FL35" s="37" t="s">
        <v>788</v>
      </c>
      <c r="FM35" s="37"/>
      <c r="FN35" s="37"/>
    </row>
    <row r="36" spans="1:170" x14ac:dyDescent="0.25">
      <c r="A36" s="38">
        <f t="shared" si="1"/>
        <v>35</v>
      </c>
      <c r="B36" s="52" t="s">
        <v>789</v>
      </c>
      <c r="C36" s="37" t="s">
        <v>787</v>
      </c>
      <c r="D36" s="48">
        <v>44826.445972222224</v>
      </c>
      <c r="E36" s="37" t="s">
        <v>784</v>
      </c>
      <c r="F36" s="37" t="s">
        <v>784</v>
      </c>
      <c r="G36" s="37" t="s">
        <v>785</v>
      </c>
      <c r="H36" s="49" t="s">
        <v>624</v>
      </c>
      <c r="I36" s="37" t="s">
        <v>623</v>
      </c>
      <c r="J36" s="37" t="s">
        <v>626</v>
      </c>
      <c r="K36" s="37">
        <v>20</v>
      </c>
      <c r="L36" s="37"/>
      <c r="M36" s="37"/>
      <c r="N36" s="37" t="s">
        <v>32</v>
      </c>
      <c r="O36" s="50" t="s">
        <v>790</v>
      </c>
      <c r="P36" s="49"/>
      <c r="Q36" s="37"/>
      <c r="R36" s="37"/>
      <c r="S36" s="37"/>
      <c r="T36" s="37"/>
      <c r="U36" s="37"/>
      <c r="V36" s="37"/>
      <c r="W36" s="50"/>
      <c r="X36" s="49"/>
      <c r="Y36" s="37"/>
      <c r="Z36" s="37"/>
      <c r="AA36" s="37"/>
      <c r="AB36" s="37"/>
      <c r="AC36" s="37"/>
      <c r="AD36" s="37"/>
      <c r="AE36" s="50"/>
      <c r="AF36" s="49"/>
      <c r="AG36" s="37"/>
      <c r="AH36" s="37"/>
      <c r="AI36" s="37"/>
      <c r="AJ36" s="37"/>
      <c r="AK36" s="37"/>
      <c r="AL36" s="37"/>
      <c r="AM36" s="50"/>
      <c r="AN36" s="49"/>
      <c r="AO36" s="37"/>
      <c r="AP36" s="37"/>
      <c r="AQ36" s="37"/>
      <c r="AR36" s="37"/>
      <c r="AS36" s="37"/>
      <c r="AT36" s="37"/>
      <c r="AU36" s="50"/>
      <c r="AV36" s="49"/>
      <c r="AW36" s="37"/>
      <c r="AX36" s="37"/>
      <c r="AY36" s="37"/>
      <c r="AZ36" s="37"/>
      <c r="BA36" s="37"/>
      <c r="BB36" s="37"/>
      <c r="BC36" s="50"/>
      <c r="BD36" s="49"/>
      <c r="BE36" s="37"/>
      <c r="BF36" s="37"/>
      <c r="BG36" s="37"/>
      <c r="BH36" s="37"/>
      <c r="BI36" s="37"/>
      <c r="BJ36" s="37"/>
      <c r="BK36" s="50"/>
      <c r="BL36" s="49"/>
      <c r="BM36" s="37"/>
      <c r="BN36" s="37"/>
      <c r="BO36" s="37"/>
      <c r="BP36" s="37"/>
      <c r="BQ36" s="37"/>
      <c r="BR36" s="37"/>
      <c r="BS36" s="50"/>
      <c r="BT36" s="49"/>
      <c r="BU36" s="37"/>
      <c r="BV36" s="37"/>
      <c r="BW36" s="37"/>
      <c r="BX36" s="37"/>
      <c r="BY36" s="37"/>
      <c r="BZ36" s="37"/>
      <c r="CA36" s="50"/>
      <c r="CB36" s="49"/>
      <c r="CC36" s="37"/>
      <c r="CD36" s="37"/>
      <c r="CE36" s="37"/>
      <c r="CF36" s="37"/>
      <c r="CG36" s="37"/>
      <c r="CH36" s="37"/>
      <c r="CI36" s="50"/>
      <c r="CJ36" s="49"/>
      <c r="CK36" s="37"/>
      <c r="CL36" s="37"/>
      <c r="CM36" s="37"/>
      <c r="CN36" s="37"/>
      <c r="CO36" s="37"/>
      <c r="CP36" s="37"/>
      <c r="CQ36" s="50"/>
      <c r="CR36" s="49"/>
      <c r="CS36" s="37"/>
      <c r="CT36" s="37"/>
      <c r="CU36" s="37"/>
      <c r="CV36" s="37"/>
      <c r="CW36" s="37"/>
      <c r="CX36" s="37"/>
      <c r="CY36" s="50"/>
      <c r="CZ36" s="49"/>
      <c r="DA36" s="37"/>
      <c r="DB36" s="37"/>
      <c r="DC36" s="37"/>
      <c r="DD36" s="37"/>
      <c r="DE36" s="37"/>
      <c r="DF36" s="37"/>
      <c r="DG36" s="50"/>
      <c r="DH36" s="49"/>
      <c r="DI36" s="37"/>
      <c r="DJ36" s="37"/>
      <c r="DK36" s="37"/>
      <c r="DL36" s="37"/>
      <c r="DM36" s="37"/>
      <c r="DN36" s="37"/>
      <c r="DO36" s="50"/>
      <c r="DP36" s="49"/>
      <c r="DQ36" s="37"/>
      <c r="DR36" s="37"/>
      <c r="DS36" s="37"/>
      <c r="DT36" s="37"/>
      <c r="DU36" s="37"/>
      <c r="DV36" s="37"/>
      <c r="DW36" s="50"/>
      <c r="DX36" s="49"/>
      <c r="DY36" s="37"/>
      <c r="DZ36" s="37"/>
      <c r="EA36" s="37"/>
      <c r="EB36" s="37"/>
      <c r="EC36" s="37"/>
      <c r="ED36" s="37"/>
      <c r="EE36" s="50"/>
      <c r="EF36" s="49"/>
      <c r="EG36" s="37"/>
      <c r="EH36" s="37"/>
      <c r="EI36" s="37"/>
      <c r="EJ36" s="37"/>
      <c r="EK36" s="37"/>
      <c r="EL36" s="37"/>
      <c r="EM36" s="50"/>
      <c r="EN36" s="22"/>
      <c r="EO36" s="12"/>
      <c r="EP36" s="12"/>
      <c r="EQ36" s="12"/>
      <c r="ER36" s="12"/>
      <c r="ES36" s="12"/>
      <c r="ET36" s="12"/>
      <c r="EU36" s="23"/>
      <c r="EV36" s="49"/>
      <c r="EW36" s="37"/>
      <c r="EX36" s="37"/>
      <c r="EY36" s="37"/>
      <c r="EZ36" s="37"/>
      <c r="FA36" s="37"/>
      <c r="FB36" s="37"/>
      <c r="FC36" s="50"/>
      <c r="FD36" s="49"/>
      <c r="FE36" s="37"/>
      <c r="FF36" s="37"/>
      <c r="FG36" s="37"/>
      <c r="FH36" s="37"/>
      <c r="FI36" s="37"/>
      <c r="FJ36" s="37"/>
      <c r="FK36" s="50"/>
      <c r="FL36" s="37"/>
      <c r="FM36" s="37"/>
      <c r="FN36" s="37"/>
    </row>
    <row r="37" spans="1:170" x14ac:dyDescent="0.25">
      <c r="A37" s="38">
        <f t="shared" si="1"/>
        <v>36</v>
      </c>
      <c r="B37" s="52" t="s">
        <v>791</v>
      </c>
      <c r="C37" s="37" t="s">
        <v>787</v>
      </c>
      <c r="D37" s="48">
        <v>44826.441863425927</v>
      </c>
      <c r="E37" s="37" t="s">
        <v>784</v>
      </c>
      <c r="F37" s="37" t="s">
        <v>784</v>
      </c>
      <c r="G37" s="37" t="s">
        <v>785</v>
      </c>
      <c r="H37" s="49" t="s">
        <v>765</v>
      </c>
      <c r="I37" s="37" t="s">
        <v>764</v>
      </c>
      <c r="J37" s="37" t="s">
        <v>221</v>
      </c>
      <c r="K37" s="37">
        <v>5</v>
      </c>
      <c r="L37" s="37"/>
      <c r="M37" s="37"/>
      <c r="N37" s="37" t="s">
        <v>629</v>
      </c>
      <c r="O37" s="50" t="s">
        <v>792</v>
      </c>
      <c r="P37" s="49" t="s">
        <v>422</v>
      </c>
      <c r="Q37" s="37" t="s">
        <v>421</v>
      </c>
      <c r="R37" s="37"/>
      <c r="S37" s="37">
        <v>9</v>
      </c>
      <c r="T37" s="37"/>
      <c r="U37" s="37"/>
      <c r="V37" s="37" t="s">
        <v>645</v>
      </c>
      <c r="W37" s="50" t="s">
        <v>793</v>
      </c>
      <c r="X37" s="49"/>
      <c r="Y37" s="37"/>
      <c r="Z37" s="37"/>
      <c r="AA37" s="37"/>
      <c r="AB37" s="37"/>
      <c r="AC37" s="37"/>
      <c r="AD37" s="37"/>
      <c r="AE37" s="50"/>
      <c r="AF37" s="49"/>
      <c r="AG37" s="37"/>
      <c r="AH37" s="37"/>
      <c r="AI37" s="37"/>
      <c r="AJ37" s="37"/>
      <c r="AK37" s="37"/>
      <c r="AL37" s="37"/>
      <c r="AM37" s="50"/>
      <c r="AN37" s="49"/>
      <c r="AO37" s="37"/>
      <c r="AP37" s="37"/>
      <c r="AQ37" s="37"/>
      <c r="AR37" s="37"/>
      <c r="AS37" s="37"/>
      <c r="AT37" s="37"/>
      <c r="AU37" s="50"/>
      <c r="AV37" s="49"/>
      <c r="AW37" s="37"/>
      <c r="AX37" s="37"/>
      <c r="AY37" s="37"/>
      <c r="AZ37" s="37"/>
      <c r="BA37" s="37"/>
      <c r="BB37" s="37"/>
      <c r="BC37" s="50"/>
      <c r="BD37" s="49"/>
      <c r="BE37" s="37"/>
      <c r="BF37" s="37"/>
      <c r="BG37" s="37"/>
      <c r="BH37" s="37"/>
      <c r="BI37" s="37"/>
      <c r="BJ37" s="37"/>
      <c r="BK37" s="50"/>
      <c r="BL37" s="49"/>
      <c r="BM37" s="37"/>
      <c r="BN37" s="37"/>
      <c r="BO37" s="37"/>
      <c r="BP37" s="37"/>
      <c r="BQ37" s="37"/>
      <c r="BR37" s="37"/>
      <c r="BS37" s="50"/>
      <c r="BT37" s="49"/>
      <c r="BU37" s="37"/>
      <c r="BV37" s="37"/>
      <c r="BW37" s="37"/>
      <c r="BX37" s="37"/>
      <c r="BY37" s="37"/>
      <c r="BZ37" s="37"/>
      <c r="CA37" s="50"/>
      <c r="CB37" s="49"/>
      <c r="CC37" s="37"/>
      <c r="CD37" s="37"/>
      <c r="CE37" s="37"/>
      <c r="CF37" s="37"/>
      <c r="CG37" s="37"/>
      <c r="CH37" s="37"/>
      <c r="CI37" s="50"/>
      <c r="CJ37" s="49"/>
      <c r="CK37" s="37"/>
      <c r="CL37" s="37"/>
      <c r="CM37" s="37"/>
      <c r="CN37" s="37"/>
      <c r="CO37" s="37"/>
      <c r="CP37" s="37"/>
      <c r="CQ37" s="50"/>
      <c r="CR37" s="49"/>
      <c r="CS37" s="37"/>
      <c r="CT37" s="37"/>
      <c r="CU37" s="37"/>
      <c r="CV37" s="37"/>
      <c r="CW37" s="37"/>
      <c r="CX37" s="37"/>
      <c r="CY37" s="50"/>
      <c r="CZ37" s="49"/>
      <c r="DA37" s="37"/>
      <c r="DB37" s="37"/>
      <c r="DC37" s="37"/>
      <c r="DD37" s="37"/>
      <c r="DE37" s="37"/>
      <c r="DF37" s="37"/>
      <c r="DG37" s="50"/>
      <c r="DH37" s="49"/>
      <c r="DI37" s="37"/>
      <c r="DJ37" s="37"/>
      <c r="DK37" s="37"/>
      <c r="DL37" s="37"/>
      <c r="DM37" s="37"/>
      <c r="DN37" s="37"/>
      <c r="DO37" s="50"/>
      <c r="DP37" s="49"/>
      <c r="DQ37" s="37"/>
      <c r="DR37" s="37"/>
      <c r="DS37" s="37"/>
      <c r="DT37" s="37"/>
      <c r="DU37" s="37"/>
      <c r="DV37" s="37"/>
      <c r="DW37" s="50"/>
      <c r="DX37" s="49"/>
      <c r="DY37" s="37"/>
      <c r="DZ37" s="37"/>
      <c r="EA37" s="37"/>
      <c r="EB37" s="37"/>
      <c r="EC37" s="37"/>
      <c r="ED37" s="37"/>
      <c r="EE37" s="50"/>
      <c r="EF37" s="49"/>
      <c r="EG37" s="37"/>
      <c r="EH37" s="37"/>
      <c r="EI37" s="37"/>
      <c r="EJ37" s="37"/>
      <c r="EK37" s="37"/>
      <c r="EL37" s="37"/>
      <c r="EM37" s="50"/>
      <c r="EN37" s="22"/>
      <c r="EO37" s="12"/>
      <c r="EP37" s="12"/>
      <c r="EQ37" s="12"/>
      <c r="ER37" s="12"/>
      <c r="ES37" s="12"/>
      <c r="ET37" s="12"/>
      <c r="EU37" s="23"/>
      <c r="EV37" s="49"/>
      <c r="EW37" s="37"/>
      <c r="EX37" s="37"/>
      <c r="EY37" s="37"/>
      <c r="EZ37" s="37"/>
      <c r="FA37" s="37"/>
      <c r="FB37" s="37"/>
      <c r="FC37" s="50"/>
      <c r="FD37" s="49"/>
      <c r="FE37" s="37"/>
      <c r="FF37" s="37"/>
      <c r="FG37" s="37"/>
      <c r="FH37" s="37"/>
      <c r="FI37" s="37"/>
      <c r="FJ37" s="37"/>
      <c r="FK37" s="50"/>
      <c r="FL37" s="37"/>
      <c r="FM37" s="37"/>
      <c r="FN37" s="37"/>
    </row>
    <row r="38" spans="1:170" x14ac:dyDescent="0.25">
      <c r="A38" s="38">
        <f t="shared" si="1"/>
        <v>37</v>
      </c>
      <c r="B38" s="52" t="s">
        <v>794</v>
      </c>
      <c r="C38" s="37" t="s">
        <v>795</v>
      </c>
      <c r="D38" s="48">
        <v>44826.43440972222</v>
      </c>
      <c r="E38" s="37" t="s">
        <v>784</v>
      </c>
      <c r="F38" s="37" t="s">
        <v>784</v>
      </c>
      <c r="G38" s="37" t="s">
        <v>785</v>
      </c>
      <c r="H38" s="49" t="s">
        <v>225</v>
      </c>
      <c r="I38" s="37" t="s">
        <v>224</v>
      </c>
      <c r="J38" s="37" t="s">
        <v>221</v>
      </c>
      <c r="K38" s="37">
        <v>1</v>
      </c>
      <c r="L38" s="37"/>
      <c r="M38" s="37"/>
      <c r="N38" s="37" t="s">
        <v>223</v>
      </c>
      <c r="O38" s="50" t="s">
        <v>796</v>
      </c>
      <c r="P38" s="49" t="s">
        <v>763</v>
      </c>
      <c r="Q38" s="37" t="s">
        <v>762</v>
      </c>
      <c r="R38" s="37" t="s">
        <v>221</v>
      </c>
      <c r="S38" s="37">
        <v>1</v>
      </c>
      <c r="T38" s="37">
        <v>0.2</v>
      </c>
      <c r="U38" s="37">
        <v>1.03</v>
      </c>
      <c r="V38" s="37" t="s">
        <v>223</v>
      </c>
      <c r="W38" s="50"/>
      <c r="X38" s="49"/>
      <c r="Y38" s="37"/>
      <c r="Z38" s="37"/>
      <c r="AA38" s="37"/>
      <c r="AB38" s="37"/>
      <c r="AC38" s="37"/>
      <c r="AD38" s="37"/>
      <c r="AE38" s="50"/>
      <c r="AF38" s="49"/>
      <c r="AG38" s="37"/>
      <c r="AH38" s="37"/>
      <c r="AI38" s="37"/>
      <c r="AJ38" s="37"/>
      <c r="AK38" s="37"/>
      <c r="AL38" s="37"/>
      <c r="AM38" s="50"/>
      <c r="AN38" s="49"/>
      <c r="AO38" s="37"/>
      <c r="AP38" s="37"/>
      <c r="AQ38" s="37"/>
      <c r="AR38" s="37"/>
      <c r="AS38" s="37"/>
      <c r="AT38" s="37"/>
      <c r="AU38" s="50"/>
      <c r="AV38" s="49"/>
      <c r="AW38" s="37"/>
      <c r="AX38" s="37"/>
      <c r="AY38" s="37"/>
      <c r="AZ38" s="37"/>
      <c r="BA38" s="37"/>
      <c r="BB38" s="37"/>
      <c r="BC38" s="50"/>
      <c r="BD38" s="49"/>
      <c r="BE38" s="37"/>
      <c r="BF38" s="37"/>
      <c r="BG38" s="37"/>
      <c r="BH38" s="37"/>
      <c r="BI38" s="37"/>
      <c r="BJ38" s="37"/>
      <c r="BK38" s="50"/>
      <c r="BL38" s="49"/>
      <c r="BM38" s="37"/>
      <c r="BN38" s="37"/>
      <c r="BO38" s="37"/>
      <c r="BP38" s="37"/>
      <c r="BQ38" s="37"/>
      <c r="BR38" s="37"/>
      <c r="BS38" s="50"/>
      <c r="BT38" s="49"/>
      <c r="BU38" s="37"/>
      <c r="BV38" s="37"/>
      <c r="BW38" s="37"/>
      <c r="BX38" s="37"/>
      <c r="BY38" s="37"/>
      <c r="BZ38" s="37"/>
      <c r="CA38" s="50"/>
      <c r="CB38" s="49"/>
      <c r="CC38" s="37"/>
      <c r="CD38" s="37"/>
      <c r="CE38" s="37"/>
      <c r="CF38" s="37"/>
      <c r="CG38" s="37"/>
      <c r="CH38" s="37"/>
      <c r="CI38" s="50"/>
      <c r="CJ38" s="49"/>
      <c r="CK38" s="37"/>
      <c r="CL38" s="37"/>
      <c r="CM38" s="37"/>
      <c r="CN38" s="37"/>
      <c r="CO38" s="37"/>
      <c r="CP38" s="37"/>
      <c r="CQ38" s="50"/>
      <c r="CR38" s="49"/>
      <c r="CS38" s="37"/>
      <c r="CT38" s="37"/>
      <c r="CU38" s="37"/>
      <c r="CV38" s="37"/>
      <c r="CW38" s="37"/>
      <c r="CX38" s="37"/>
      <c r="CY38" s="50"/>
      <c r="CZ38" s="49"/>
      <c r="DA38" s="37"/>
      <c r="DB38" s="37"/>
      <c r="DC38" s="37"/>
      <c r="DD38" s="37"/>
      <c r="DE38" s="37"/>
      <c r="DF38" s="37"/>
      <c r="DG38" s="50"/>
      <c r="DH38" s="49"/>
      <c r="DI38" s="37"/>
      <c r="DJ38" s="37"/>
      <c r="DK38" s="37"/>
      <c r="DL38" s="37"/>
      <c r="DM38" s="37"/>
      <c r="DN38" s="37"/>
      <c r="DO38" s="50"/>
      <c r="DP38" s="49"/>
      <c r="DQ38" s="37"/>
      <c r="DR38" s="37"/>
      <c r="DS38" s="37"/>
      <c r="DT38" s="37"/>
      <c r="DU38" s="37"/>
      <c r="DV38" s="37"/>
      <c r="DW38" s="50"/>
      <c r="DX38" s="49"/>
      <c r="DY38" s="37"/>
      <c r="DZ38" s="37"/>
      <c r="EA38" s="37"/>
      <c r="EB38" s="37"/>
      <c r="EC38" s="37"/>
      <c r="ED38" s="37"/>
      <c r="EE38" s="50"/>
      <c r="EF38" s="49"/>
      <c r="EG38" s="37"/>
      <c r="EH38" s="37"/>
      <c r="EI38" s="37"/>
      <c r="EJ38" s="37"/>
      <c r="EK38" s="37"/>
      <c r="EL38" s="37"/>
      <c r="EM38" s="50"/>
      <c r="EN38" s="22"/>
      <c r="EO38" s="12"/>
      <c r="EP38" s="12"/>
      <c r="EQ38" s="12"/>
      <c r="ER38" s="12"/>
      <c r="ES38" s="12"/>
      <c r="ET38" s="12"/>
      <c r="EU38" s="23"/>
      <c r="EV38" s="49"/>
      <c r="EW38" s="37"/>
      <c r="EX38" s="37"/>
      <c r="EY38" s="37"/>
      <c r="EZ38" s="37"/>
      <c r="FA38" s="37"/>
      <c r="FB38" s="37"/>
      <c r="FC38" s="50"/>
      <c r="FD38" s="49"/>
      <c r="FE38" s="37"/>
      <c r="FF38" s="37"/>
      <c r="FG38" s="37"/>
      <c r="FH38" s="37"/>
      <c r="FI38" s="37"/>
      <c r="FJ38" s="37"/>
      <c r="FK38" s="50"/>
      <c r="FL38" s="37"/>
      <c r="FM38" s="37"/>
      <c r="FN38" s="37"/>
    </row>
    <row r="39" spans="1:170" x14ac:dyDescent="0.25">
      <c r="A39" s="38">
        <f t="shared" si="1"/>
        <v>38</v>
      </c>
      <c r="B39" s="52" t="s">
        <v>797</v>
      </c>
      <c r="C39" s="37" t="s">
        <v>798</v>
      </c>
      <c r="D39" s="48">
        <v>44825.633773148147</v>
      </c>
      <c r="E39" s="37" t="s">
        <v>784</v>
      </c>
      <c r="F39" s="37" t="s">
        <v>784</v>
      </c>
      <c r="G39" s="37" t="s">
        <v>785</v>
      </c>
      <c r="H39" s="49" t="s">
        <v>470</v>
      </c>
      <c r="I39" s="37" t="s">
        <v>469</v>
      </c>
      <c r="J39" s="37" t="s">
        <v>243</v>
      </c>
      <c r="K39" s="37">
        <v>30</v>
      </c>
      <c r="L39" s="37"/>
      <c r="M39" s="37"/>
      <c r="N39" s="37" t="s">
        <v>223</v>
      </c>
      <c r="O39" s="50" t="s">
        <v>223</v>
      </c>
      <c r="P39" s="49"/>
      <c r="Q39" s="37"/>
      <c r="R39" s="37"/>
      <c r="S39" s="37"/>
      <c r="T39" s="37"/>
      <c r="U39" s="37"/>
      <c r="V39" s="37"/>
      <c r="W39" s="50"/>
      <c r="X39" s="49"/>
      <c r="Y39" s="37"/>
      <c r="Z39" s="37"/>
      <c r="AA39" s="37"/>
      <c r="AB39" s="37"/>
      <c r="AC39" s="37"/>
      <c r="AD39" s="37"/>
      <c r="AE39" s="50"/>
      <c r="AF39" s="49"/>
      <c r="AG39" s="37"/>
      <c r="AH39" s="37"/>
      <c r="AI39" s="37"/>
      <c r="AJ39" s="37"/>
      <c r="AK39" s="37"/>
      <c r="AL39" s="37"/>
      <c r="AM39" s="50"/>
      <c r="AN39" s="49"/>
      <c r="AO39" s="37"/>
      <c r="AP39" s="37"/>
      <c r="AQ39" s="37"/>
      <c r="AR39" s="37"/>
      <c r="AS39" s="37"/>
      <c r="AT39" s="37"/>
      <c r="AU39" s="50"/>
      <c r="AV39" s="49"/>
      <c r="AW39" s="37"/>
      <c r="AX39" s="37"/>
      <c r="AY39" s="37"/>
      <c r="AZ39" s="37"/>
      <c r="BA39" s="37"/>
      <c r="BB39" s="37"/>
      <c r="BC39" s="50"/>
      <c r="BD39" s="49"/>
      <c r="BE39" s="37"/>
      <c r="BF39" s="37"/>
      <c r="BG39" s="37"/>
      <c r="BH39" s="37"/>
      <c r="BI39" s="37"/>
      <c r="BJ39" s="37"/>
      <c r="BK39" s="50"/>
      <c r="BL39" s="49"/>
      <c r="BM39" s="37"/>
      <c r="BN39" s="37"/>
      <c r="BO39" s="37"/>
      <c r="BP39" s="37"/>
      <c r="BQ39" s="37"/>
      <c r="BR39" s="37"/>
      <c r="BS39" s="50"/>
      <c r="BT39" s="49"/>
      <c r="BU39" s="37"/>
      <c r="BV39" s="37"/>
      <c r="BW39" s="37"/>
      <c r="BX39" s="37"/>
      <c r="BY39" s="37"/>
      <c r="BZ39" s="37"/>
      <c r="CA39" s="50"/>
      <c r="CB39" s="49"/>
      <c r="CC39" s="37"/>
      <c r="CD39" s="37"/>
      <c r="CE39" s="37"/>
      <c r="CF39" s="37"/>
      <c r="CG39" s="37"/>
      <c r="CH39" s="37"/>
      <c r="CI39" s="50"/>
      <c r="CJ39" s="49"/>
      <c r="CK39" s="37"/>
      <c r="CL39" s="37"/>
      <c r="CM39" s="37"/>
      <c r="CN39" s="37"/>
      <c r="CO39" s="37"/>
      <c r="CP39" s="37"/>
      <c r="CQ39" s="50"/>
      <c r="CR39" s="49"/>
      <c r="CS39" s="37"/>
      <c r="CT39" s="37"/>
      <c r="CU39" s="37"/>
      <c r="CV39" s="37"/>
      <c r="CW39" s="37"/>
      <c r="CX39" s="37"/>
      <c r="CY39" s="50"/>
      <c r="CZ39" s="49"/>
      <c r="DA39" s="37"/>
      <c r="DB39" s="37"/>
      <c r="DC39" s="37"/>
      <c r="DD39" s="37"/>
      <c r="DE39" s="37"/>
      <c r="DF39" s="37"/>
      <c r="DG39" s="50"/>
      <c r="DH39" s="49"/>
      <c r="DI39" s="37"/>
      <c r="DJ39" s="37"/>
      <c r="DK39" s="37"/>
      <c r="DL39" s="37"/>
      <c r="DM39" s="37"/>
      <c r="DN39" s="37"/>
      <c r="DO39" s="50"/>
      <c r="DP39" s="49"/>
      <c r="DQ39" s="37"/>
      <c r="DR39" s="37"/>
      <c r="DS39" s="37"/>
      <c r="DT39" s="37"/>
      <c r="DU39" s="37"/>
      <c r="DV39" s="37"/>
      <c r="DW39" s="50"/>
      <c r="DX39" s="49"/>
      <c r="DY39" s="37"/>
      <c r="DZ39" s="37"/>
      <c r="EA39" s="37"/>
      <c r="EB39" s="37"/>
      <c r="EC39" s="37"/>
      <c r="ED39" s="37"/>
      <c r="EE39" s="50"/>
      <c r="EF39" s="49"/>
      <c r="EG39" s="37"/>
      <c r="EH39" s="37"/>
      <c r="EI39" s="37"/>
      <c r="EJ39" s="37"/>
      <c r="EK39" s="37"/>
      <c r="EL39" s="37"/>
      <c r="EM39" s="50"/>
      <c r="EN39" s="22"/>
      <c r="EO39" s="12"/>
      <c r="EP39" s="12"/>
      <c r="EQ39" s="12"/>
      <c r="ER39" s="12"/>
      <c r="ES39" s="12"/>
      <c r="ET39" s="12"/>
      <c r="EU39" s="23"/>
      <c r="EV39" s="49"/>
      <c r="EW39" s="37"/>
      <c r="EX39" s="37"/>
      <c r="EY39" s="37"/>
      <c r="EZ39" s="37"/>
      <c r="FA39" s="37"/>
      <c r="FB39" s="37"/>
      <c r="FC39" s="50"/>
      <c r="FD39" s="49"/>
      <c r="FE39" s="37"/>
      <c r="FF39" s="37"/>
      <c r="FG39" s="37"/>
      <c r="FH39" s="37"/>
      <c r="FI39" s="37"/>
      <c r="FJ39" s="37"/>
      <c r="FK39" s="50"/>
      <c r="FL39" s="37"/>
      <c r="FM39" s="37"/>
      <c r="FN39" s="37"/>
    </row>
    <row r="40" spans="1:170" x14ac:dyDescent="0.25">
      <c r="A40" s="38">
        <f t="shared" si="1"/>
        <v>39</v>
      </c>
      <c r="B40" s="52" t="s">
        <v>799</v>
      </c>
      <c r="C40" s="37" t="s">
        <v>798</v>
      </c>
      <c r="D40" s="48">
        <v>44825.620023148149</v>
      </c>
      <c r="E40" s="37" t="s">
        <v>784</v>
      </c>
      <c r="F40" s="37" t="s">
        <v>784</v>
      </c>
      <c r="G40" s="37" t="s">
        <v>785</v>
      </c>
      <c r="H40" s="49" t="s">
        <v>759</v>
      </c>
      <c r="I40" s="37" t="s">
        <v>758</v>
      </c>
      <c r="J40" s="37" t="s">
        <v>221</v>
      </c>
      <c r="K40" s="37">
        <v>1</v>
      </c>
      <c r="L40" s="37"/>
      <c r="M40" s="37"/>
      <c r="N40" s="37" t="s">
        <v>32</v>
      </c>
      <c r="O40" s="50" t="s">
        <v>223</v>
      </c>
      <c r="P40" s="49" t="s">
        <v>757</v>
      </c>
      <c r="Q40" s="37" t="s">
        <v>328</v>
      </c>
      <c r="R40" s="37" t="s">
        <v>221</v>
      </c>
      <c r="S40" s="37">
        <v>1</v>
      </c>
      <c r="T40" s="37"/>
      <c r="U40" s="37"/>
      <c r="V40" s="37" t="s">
        <v>32</v>
      </c>
      <c r="W40" s="50" t="s">
        <v>223</v>
      </c>
      <c r="X40" s="49" t="s">
        <v>761</v>
      </c>
      <c r="Y40" s="37" t="s">
        <v>760</v>
      </c>
      <c r="Z40" s="37" t="s">
        <v>221</v>
      </c>
      <c r="AA40" s="37">
        <v>1</v>
      </c>
      <c r="AB40" s="37"/>
      <c r="AC40" s="37"/>
      <c r="AD40" s="37" t="s">
        <v>223</v>
      </c>
      <c r="AE40" s="50" t="s">
        <v>223</v>
      </c>
      <c r="AF40" s="49" t="s">
        <v>371</v>
      </c>
      <c r="AG40" s="37" t="s">
        <v>370</v>
      </c>
      <c r="AH40" s="37" t="s">
        <v>240</v>
      </c>
      <c r="AI40" s="37">
        <v>1</v>
      </c>
      <c r="AJ40" s="37">
        <v>1</v>
      </c>
      <c r="AK40" s="37"/>
      <c r="AL40" s="37" t="s">
        <v>223</v>
      </c>
      <c r="AM40" s="50" t="s">
        <v>223</v>
      </c>
      <c r="AN40" s="49"/>
      <c r="AO40" s="37"/>
      <c r="AP40" s="37"/>
      <c r="AQ40" s="37"/>
      <c r="AR40" s="37"/>
      <c r="AS40" s="37"/>
      <c r="AT40" s="37"/>
      <c r="AU40" s="50"/>
      <c r="AV40" s="49"/>
      <c r="AW40" s="37"/>
      <c r="AX40" s="37"/>
      <c r="AY40" s="37"/>
      <c r="AZ40" s="37"/>
      <c r="BA40" s="37"/>
      <c r="BB40" s="37"/>
      <c r="BC40" s="50"/>
      <c r="BD40" s="49"/>
      <c r="BE40" s="37"/>
      <c r="BF40" s="37"/>
      <c r="BG40" s="37"/>
      <c r="BH40" s="37"/>
      <c r="BI40" s="37"/>
      <c r="BJ40" s="37"/>
      <c r="BK40" s="50"/>
      <c r="BL40" s="49"/>
      <c r="BM40" s="37"/>
      <c r="BN40" s="37"/>
      <c r="BO40" s="37"/>
      <c r="BP40" s="37"/>
      <c r="BQ40" s="37"/>
      <c r="BR40" s="37"/>
      <c r="BS40" s="50"/>
      <c r="BT40" s="49"/>
      <c r="BU40" s="37"/>
      <c r="BV40" s="37"/>
      <c r="BW40" s="37"/>
      <c r="BX40" s="37"/>
      <c r="BY40" s="37"/>
      <c r="BZ40" s="37"/>
      <c r="CA40" s="50"/>
      <c r="CB40" s="49"/>
      <c r="CC40" s="37"/>
      <c r="CD40" s="37"/>
      <c r="CE40" s="37"/>
      <c r="CF40" s="37"/>
      <c r="CG40" s="37"/>
      <c r="CH40" s="37"/>
      <c r="CI40" s="50"/>
      <c r="CJ40" s="49"/>
      <c r="CK40" s="37"/>
      <c r="CL40" s="37"/>
      <c r="CM40" s="37"/>
      <c r="CN40" s="37"/>
      <c r="CO40" s="37"/>
      <c r="CP40" s="37"/>
      <c r="CQ40" s="50"/>
      <c r="CR40" s="49"/>
      <c r="CS40" s="37"/>
      <c r="CT40" s="37"/>
      <c r="CU40" s="37"/>
      <c r="CV40" s="37"/>
      <c r="CW40" s="37"/>
      <c r="CX40" s="37"/>
      <c r="CY40" s="50"/>
      <c r="CZ40" s="49"/>
      <c r="DA40" s="37"/>
      <c r="DB40" s="37"/>
      <c r="DC40" s="37"/>
      <c r="DD40" s="37"/>
      <c r="DE40" s="37"/>
      <c r="DF40" s="37"/>
      <c r="DG40" s="50"/>
      <c r="DH40" s="49"/>
      <c r="DI40" s="37"/>
      <c r="DJ40" s="37"/>
      <c r="DK40" s="37"/>
      <c r="DL40" s="37"/>
      <c r="DM40" s="37"/>
      <c r="DN40" s="37"/>
      <c r="DO40" s="50"/>
      <c r="DP40" s="49"/>
      <c r="DQ40" s="37"/>
      <c r="DR40" s="37"/>
      <c r="DS40" s="37"/>
      <c r="DT40" s="37"/>
      <c r="DU40" s="37"/>
      <c r="DV40" s="37"/>
      <c r="DW40" s="50"/>
      <c r="DX40" s="49"/>
      <c r="DY40" s="37"/>
      <c r="DZ40" s="37"/>
      <c r="EA40" s="37"/>
      <c r="EB40" s="37"/>
      <c r="EC40" s="37"/>
      <c r="ED40" s="37"/>
      <c r="EE40" s="50"/>
      <c r="EF40" s="49"/>
      <c r="EG40" s="37"/>
      <c r="EH40" s="37"/>
      <c r="EI40" s="37"/>
      <c r="EJ40" s="37"/>
      <c r="EK40" s="37"/>
      <c r="EL40" s="37"/>
      <c r="EM40" s="50"/>
      <c r="EN40" s="22"/>
      <c r="EO40" s="12"/>
      <c r="EP40" s="12"/>
      <c r="EQ40" s="12"/>
      <c r="ER40" s="12"/>
      <c r="ES40" s="12"/>
      <c r="ET40" s="12"/>
      <c r="EU40" s="23"/>
      <c r="EV40" s="49"/>
      <c r="EW40" s="37"/>
      <c r="EX40" s="37"/>
      <c r="EY40" s="37"/>
      <c r="EZ40" s="37"/>
      <c r="FA40" s="37"/>
      <c r="FB40" s="37"/>
      <c r="FC40" s="50"/>
      <c r="FD40" s="49"/>
      <c r="FE40" s="37"/>
      <c r="FF40" s="37"/>
      <c r="FG40" s="37"/>
      <c r="FH40" s="37"/>
      <c r="FI40" s="37"/>
      <c r="FJ40" s="37"/>
      <c r="FK40" s="50"/>
      <c r="FL40" s="37"/>
      <c r="FM40" s="37"/>
      <c r="FN40" s="37"/>
    </row>
    <row r="41" spans="1:170" x14ac:dyDescent="0.25">
      <c r="A41" s="38">
        <f t="shared" si="1"/>
        <v>40</v>
      </c>
      <c r="B41" s="52" t="s">
        <v>800</v>
      </c>
      <c r="C41" s="37" t="s">
        <v>798</v>
      </c>
      <c r="D41" s="48">
        <v>44825.605868055558</v>
      </c>
      <c r="E41" s="37" t="s">
        <v>784</v>
      </c>
      <c r="F41" s="37" t="s">
        <v>784</v>
      </c>
      <c r="G41" s="37" t="s">
        <v>785</v>
      </c>
      <c r="H41" s="49" t="s">
        <v>750</v>
      </c>
      <c r="I41" s="37" t="s">
        <v>329</v>
      </c>
      <c r="J41" s="37" t="s">
        <v>240</v>
      </c>
      <c r="K41" s="37">
        <v>5</v>
      </c>
      <c r="L41" s="37"/>
      <c r="M41" s="37"/>
      <c r="N41" s="37" t="s">
        <v>223</v>
      </c>
      <c r="O41" s="50" t="s">
        <v>801</v>
      </c>
      <c r="P41" s="49" t="s">
        <v>752</v>
      </c>
      <c r="Q41" s="37" t="s">
        <v>751</v>
      </c>
      <c r="R41" s="37" t="s">
        <v>221</v>
      </c>
      <c r="S41" s="37">
        <v>7</v>
      </c>
      <c r="T41" s="37"/>
      <c r="U41" s="37"/>
      <c r="V41" s="37" t="s">
        <v>223</v>
      </c>
      <c r="W41" s="50" t="s">
        <v>802</v>
      </c>
      <c r="X41" s="49" t="s">
        <v>754</v>
      </c>
      <c r="Y41" s="37" t="s">
        <v>753</v>
      </c>
      <c r="Z41" s="37" t="s">
        <v>221</v>
      </c>
      <c r="AA41" s="37">
        <v>2</v>
      </c>
      <c r="AB41" s="37"/>
      <c r="AC41" s="37"/>
      <c r="AD41" s="37" t="s">
        <v>223</v>
      </c>
      <c r="AE41" s="50" t="s">
        <v>802</v>
      </c>
      <c r="AF41" s="49" t="s">
        <v>597</v>
      </c>
      <c r="AG41" s="37" t="s">
        <v>596</v>
      </c>
      <c r="AH41" s="37" t="s">
        <v>235</v>
      </c>
      <c r="AI41" s="37">
        <v>12</v>
      </c>
      <c r="AJ41" s="37"/>
      <c r="AK41" s="37"/>
      <c r="AL41" s="37" t="s">
        <v>223</v>
      </c>
      <c r="AM41" s="50" t="s">
        <v>802</v>
      </c>
      <c r="AN41" s="49" t="s">
        <v>513</v>
      </c>
      <c r="AO41" s="37" t="s">
        <v>512</v>
      </c>
      <c r="AP41" s="37" t="s">
        <v>514</v>
      </c>
      <c r="AQ41" s="37">
        <v>2</v>
      </c>
      <c r="AR41" s="37"/>
      <c r="AS41" s="37"/>
      <c r="AT41" s="37" t="s">
        <v>223</v>
      </c>
      <c r="AU41" s="50" t="s">
        <v>802</v>
      </c>
      <c r="AV41" s="49" t="s">
        <v>436</v>
      </c>
      <c r="AW41" s="37" t="s">
        <v>435</v>
      </c>
      <c r="AX41" s="37" t="s">
        <v>235</v>
      </c>
      <c r="AY41" s="37">
        <v>16</v>
      </c>
      <c r="AZ41" s="37"/>
      <c r="BA41" s="37"/>
      <c r="BB41" s="37" t="s">
        <v>223</v>
      </c>
      <c r="BC41" s="50" t="s">
        <v>223</v>
      </c>
      <c r="BD41" s="49" t="s">
        <v>442</v>
      </c>
      <c r="BE41" s="37" t="s">
        <v>441</v>
      </c>
      <c r="BF41" s="37" t="s">
        <v>240</v>
      </c>
      <c r="BG41" s="37">
        <v>8</v>
      </c>
      <c r="BH41" s="37"/>
      <c r="BI41" s="37"/>
      <c r="BJ41" s="37" t="s">
        <v>223</v>
      </c>
      <c r="BK41" s="50" t="s">
        <v>802</v>
      </c>
      <c r="BL41" s="49" t="s">
        <v>454</v>
      </c>
      <c r="BM41" s="37" t="s">
        <v>453</v>
      </c>
      <c r="BN41" s="37" t="s">
        <v>231</v>
      </c>
      <c r="BO41" s="37">
        <v>90</v>
      </c>
      <c r="BP41" s="37"/>
      <c r="BQ41" s="37"/>
      <c r="BR41" s="37" t="s">
        <v>223</v>
      </c>
      <c r="BS41" s="50" t="s">
        <v>223</v>
      </c>
      <c r="BT41" s="49"/>
      <c r="BU41" s="37"/>
      <c r="BV41" s="37"/>
      <c r="BW41" s="37"/>
      <c r="BX41" s="37"/>
      <c r="BY41" s="37"/>
      <c r="BZ41" s="37"/>
      <c r="CA41" s="50"/>
      <c r="CB41" s="49"/>
      <c r="CC41" s="37"/>
      <c r="CD41" s="37"/>
      <c r="CE41" s="37"/>
      <c r="CF41" s="37"/>
      <c r="CG41" s="37"/>
      <c r="CH41" s="37"/>
      <c r="CI41" s="50"/>
      <c r="CJ41" s="49"/>
      <c r="CK41" s="37"/>
      <c r="CL41" s="37"/>
      <c r="CM41" s="37"/>
      <c r="CN41" s="37"/>
      <c r="CO41" s="37"/>
      <c r="CP41" s="37"/>
      <c r="CQ41" s="50"/>
      <c r="CR41" s="49"/>
      <c r="CS41" s="37"/>
      <c r="CT41" s="37"/>
      <c r="CU41" s="37"/>
      <c r="CV41" s="37"/>
      <c r="CW41" s="37"/>
      <c r="CX41" s="37"/>
      <c r="CY41" s="50"/>
      <c r="CZ41" s="49"/>
      <c r="DA41" s="37"/>
      <c r="DB41" s="37"/>
      <c r="DC41" s="37"/>
      <c r="DD41" s="37"/>
      <c r="DE41" s="37"/>
      <c r="DF41" s="37"/>
      <c r="DG41" s="50"/>
      <c r="DH41" s="49"/>
      <c r="DI41" s="37"/>
      <c r="DJ41" s="37"/>
      <c r="DK41" s="37"/>
      <c r="DL41" s="37"/>
      <c r="DM41" s="37"/>
      <c r="DN41" s="37"/>
      <c r="DO41" s="50"/>
      <c r="DP41" s="49"/>
      <c r="DQ41" s="37"/>
      <c r="DR41" s="37"/>
      <c r="DS41" s="37"/>
      <c r="DT41" s="37"/>
      <c r="DU41" s="37"/>
      <c r="DV41" s="37"/>
      <c r="DW41" s="50"/>
      <c r="DX41" s="49"/>
      <c r="DY41" s="37"/>
      <c r="DZ41" s="37"/>
      <c r="EA41" s="37"/>
      <c r="EB41" s="37"/>
      <c r="EC41" s="37"/>
      <c r="ED41" s="37"/>
      <c r="EE41" s="50"/>
      <c r="EF41" s="49"/>
      <c r="EG41" s="37"/>
      <c r="EH41" s="37"/>
      <c r="EI41" s="37"/>
      <c r="EJ41" s="37"/>
      <c r="EK41" s="37"/>
      <c r="EL41" s="37"/>
      <c r="EM41" s="50"/>
      <c r="EN41" s="22"/>
      <c r="EO41" s="12"/>
      <c r="EP41" s="12"/>
      <c r="EQ41" s="12"/>
      <c r="ER41" s="12"/>
      <c r="ES41" s="12"/>
      <c r="ET41" s="12"/>
      <c r="EU41" s="23"/>
      <c r="EV41" s="49"/>
      <c r="EW41" s="37"/>
      <c r="EX41" s="37"/>
      <c r="EY41" s="37"/>
      <c r="EZ41" s="37"/>
      <c r="FA41" s="37"/>
      <c r="FB41" s="37"/>
      <c r="FC41" s="50"/>
      <c r="FD41" s="49"/>
      <c r="FE41" s="37"/>
      <c r="FF41" s="37"/>
      <c r="FG41" s="37"/>
      <c r="FH41" s="37"/>
      <c r="FI41" s="37"/>
      <c r="FJ41" s="37"/>
      <c r="FK41" s="50"/>
      <c r="FL41" s="37" t="s">
        <v>223</v>
      </c>
      <c r="FM41" s="37"/>
      <c r="FN41" s="37"/>
    </row>
    <row r="42" spans="1:170" x14ac:dyDescent="0.25">
      <c r="A42" s="38">
        <f t="shared" si="1"/>
        <v>41</v>
      </c>
      <c r="B42" s="52" t="s">
        <v>803</v>
      </c>
      <c r="C42" s="37" t="s">
        <v>787</v>
      </c>
      <c r="D42" s="48">
        <v>44825.559444444443</v>
      </c>
      <c r="E42" s="37" t="s">
        <v>804</v>
      </c>
      <c r="F42" s="37" t="s">
        <v>805</v>
      </c>
      <c r="G42" s="37" t="s">
        <v>785</v>
      </c>
      <c r="H42" s="49" t="s">
        <v>741</v>
      </c>
      <c r="I42" s="37" t="s">
        <v>740</v>
      </c>
      <c r="J42" s="37" t="s">
        <v>221</v>
      </c>
      <c r="K42" s="37">
        <v>4</v>
      </c>
      <c r="L42" s="37"/>
      <c r="M42" s="37"/>
      <c r="N42" s="37" t="s">
        <v>629</v>
      </c>
      <c r="O42" s="50" t="s">
        <v>806</v>
      </c>
      <c r="P42" s="49" t="s">
        <v>743</v>
      </c>
      <c r="Q42" s="37" t="s">
        <v>742</v>
      </c>
      <c r="R42" s="37" t="s">
        <v>221</v>
      </c>
      <c r="S42" s="37">
        <v>10</v>
      </c>
      <c r="T42" s="37"/>
      <c r="U42" s="37"/>
      <c r="V42" s="37" t="s">
        <v>629</v>
      </c>
      <c r="W42" s="50" t="s">
        <v>807</v>
      </c>
      <c r="X42" s="49" t="s">
        <v>747</v>
      </c>
      <c r="Y42" s="37" t="s">
        <v>746</v>
      </c>
      <c r="Z42" s="37" t="s">
        <v>570</v>
      </c>
      <c r="AA42" s="37">
        <v>3</v>
      </c>
      <c r="AB42" s="37"/>
      <c r="AC42" s="37"/>
      <c r="AD42" s="37" t="s">
        <v>629</v>
      </c>
      <c r="AE42" s="50" t="s">
        <v>807</v>
      </c>
      <c r="AF42" s="49" t="s">
        <v>749</v>
      </c>
      <c r="AG42" s="37" t="s">
        <v>748</v>
      </c>
      <c r="AH42" s="37" t="s">
        <v>221</v>
      </c>
      <c r="AI42" s="37">
        <v>5</v>
      </c>
      <c r="AJ42" s="37"/>
      <c r="AK42" s="37"/>
      <c r="AL42" s="37" t="s">
        <v>629</v>
      </c>
      <c r="AM42" s="50" t="s">
        <v>807</v>
      </c>
      <c r="AN42" s="49" t="s">
        <v>745</v>
      </c>
      <c r="AO42" s="37" t="s">
        <v>744</v>
      </c>
      <c r="AP42" s="37" t="s">
        <v>221</v>
      </c>
      <c r="AQ42" s="37">
        <v>1</v>
      </c>
      <c r="AR42" s="37"/>
      <c r="AS42" s="37"/>
      <c r="AT42" s="37" t="s">
        <v>629</v>
      </c>
      <c r="AU42" s="50" t="s">
        <v>807</v>
      </c>
      <c r="AV42" s="49" t="s">
        <v>663</v>
      </c>
      <c r="AW42" s="37" t="s">
        <v>662</v>
      </c>
      <c r="AX42" s="37" t="s">
        <v>570</v>
      </c>
      <c r="AY42" s="37">
        <v>20</v>
      </c>
      <c r="AZ42" s="37"/>
      <c r="BA42" s="37"/>
      <c r="BB42" s="37" t="s">
        <v>223</v>
      </c>
      <c r="BC42" s="50" t="s">
        <v>808</v>
      </c>
      <c r="BD42" s="49" t="s">
        <v>447</v>
      </c>
      <c r="BE42" s="37" t="s">
        <v>446</v>
      </c>
      <c r="BF42" s="37" t="s">
        <v>448</v>
      </c>
      <c r="BG42" s="37">
        <v>5</v>
      </c>
      <c r="BH42" s="37"/>
      <c r="BI42" s="37"/>
      <c r="BJ42" s="37" t="s">
        <v>223</v>
      </c>
      <c r="BK42" s="50" t="s">
        <v>808</v>
      </c>
      <c r="BL42" s="49"/>
      <c r="BM42" s="37"/>
      <c r="BN42" s="37"/>
      <c r="BO42" s="37"/>
      <c r="BP42" s="37"/>
      <c r="BQ42" s="37"/>
      <c r="BR42" s="37"/>
      <c r="BS42" s="50"/>
      <c r="BT42" s="49"/>
      <c r="BU42" s="37"/>
      <c r="BV42" s="37"/>
      <c r="BW42" s="37"/>
      <c r="BX42" s="37"/>
      <c r="BY42" s="37"/>
      <c r="BZ42" s="37"/>
      <c r="CA42" s="50"/>
      <c r="CB42" s="49"/>
      <c r="CC42" s="37"/>
      <c r="CD42" s="37"/>
      <c r="CE42" s="37"/>
      <c r="CF42" s="37"/>
      <c r="CG42" s="37"/>
      <c r="CH42" s="37"/>
      <c r="CI42" s="50"/>
      <c r="CJ42" s="49"/>
      <c r="CK42" s="37"/>
      <c r="CL42" s="37"/>
      <c r="CM42" s="37"/>
      <c r="CN42" s="37"/>
      <c r="CO42" s="37"/>
      <c r="CP42" s="37"/>
      <c r="CQ42" s="50"/>
      <c r="CR42" s="49"/>
      <c r="CS42" s="37"/>
      <c r="CT42" s="37"/>
      <c r="CU42" s="37"/>
      <c r="CV42" s="37"/>
      <c r="CW42" s="37"/>
      <c r="CX42" s="37"/>
      <c r="CY42" s="50"/>
      <c r="CZ42" s="49"/>
      <c r="DA42" s="37"/>
      <c r="DB42" s="37"/>
      <c r="DC42" s="37"/>
      <c r="DD42" s="37"/>
      <c r="DE42" s="37"/>
      <c r="DF42" s="37"/>
      <c r="DG42" s="50"/>
      <c r="DH42" s="49"/>
      <c r="DI42" s="37"/>
      <c r="DJ42" s="37"/>
      <c r="DK42" s="37"/>
      <c r="DL42" s="37"/>
      <c r="DM42" s="37"/>
      <c r="DN42" s="37"/>
      <c r="DO42" s="50"/>
      <c r="DP42" s="49"/>
      <c r="DQ42" s="37"/>
      <c r="DR42" s="37"/>
      <c r="DS42" s="37"/>
      <c r="DT42" s="37"/>
      <c r="DU42" s="37"/>
      <c r="DV42" s="37"/>
      <c r="DW42" s="50"/>
      <c r="DX42" s="49"/>
      <c r="DY42" s="37"/>
      <c r="DZ42" s="37"/>
      <c r="EA42" s="37"/>
      <c r="EB42" s="37"/>
      <c r="EC42" s="37"/>
      <c r="ED42" s="37"/>
      <c r="EE42" s="50"/>
      <c r="EF42" s="49"/>
      <c r="EG42" s="37"/>
      <c r="EH42" s="37"/>
      <c r="EI42" s="37"/>
      <c r="EJ42" s="37"/>
      <c r="EK42" s="37"/>
      <c r="EL42" s="37"/>
      <c r="EM42" s="50"/>
      <c r="EN42" s="22"/>
      <c r="EO42" s="12"/>
      <c r="EP42" s="12"/>
      <c r="EQ42" s="12"/>
      <c r="ER42" s="12"/>
      <c r="ES42" s="12"/>
      <c r="ET42" s="12"/>
      <c r="EU42" s="23"/>
      <c r="EV42" s="49"/>
      <c r="EW42" s="37"/>
      <c r="EX42" s="37"/>
      <c r="EY42" s="37"/>
      <c r="EZ42" s="37"/>
      <c r="FA42" s="37"/>
      <c r="FB42" s="37"/>
      <c r="FC42" s="50"/>
      <c r="FD42" s="49"/>
      <c r="FE42" s="37"/>
      <c r="FF42" s="37"/>
      <c r="FG42" s="37"/>
      <c r="FH42" s="37"/>
      <c r="FI42" s="37"/>
      <c r="FJ42" s="37"/>
      <c r="FK42" s="50"/>
      <c r="FL42" s="37" t="s">
        <v>629</v>
      </c>
      <c r="FM42" s="37" t="s">
        <v>629</v>
      </c>
      <c r="FN42" s="37"/>
    </row>
    <row r="43" spans="1:170" x14ac:dyDescent="0.25">
      <c r="A43" s="38">
        <f t="shared" si="1"/>
        <v>42</v>
      </c>
      <c r="B43" s="52" t="s">
        <v>809</v>
      </c>
      <c r="C43" s="37" t="s">
        <v>810</v>
      </c>
      <c r="D43" s="48">
        <v>44825.384826388887</v>
      </c>
      <c r="E43" s="37" t="s">
        <v>811</v>
      </c>
      <c r="F43" s="37" t="s">
        <v>784</v>
      </c>
      <c r="G43" s="37" t="s">
        <v>785</v>
      </c>
      <c r="H43" s="49" t="s">
        <v>424</v>
      </c>
      <c r="I43" s="37" t="s">
        <v>423</v>
      </c>
      <c r="J43" s="37" t="s">
        <v>221</v>
      </c>
      <c r="K43" s="37">
        <v>11</v>
      </c>
      <c r="L43" s="37"/>
      <c r="M43" s="37"/>
      <c r="N43" s="37" t="s">
        <v>223</v>
      </c>
      <c r="O43" s="50" t="s">
        <v>223</v>
      </c>
      <c r="P43" s="49"/>
      <c r="Q43" s="37"/>
      <c r="R43" s="37"/>
      <c r="S43" s="37"/>
      <c r="T43" s="37"/>
      <c r="U43" s="37"/>
      <c r="V43" s="37"/>
      <c r="W43" s="50"/>
      <c r="X43" s="49"/>
      <c r="Y43" s="37"/>
      <c r="Z43" s="37"/>
      <c r="AA43" s="37"/>
      <c r="AB43" s="37"/>
      <c r="AC43" s="37"/>
      <c r="AD43" s="37"/>
      <c r="AE43" s="50"/>
      <c r="AF43" s="49"/>
      <c r="AG43" s="37"/>
      <c r="AH43" s="37"/>
      <c r="AI43" s="37"/>
      <c r="AJ43" s="37"/>
      <c r="AK43" s="37"/>
      <c r="AL43" s="37"/>
      <c r="AM43" s="50"/>
      <c r="AN43" s="49"/>
      <c r="AO43" s="37"/>
      <c r="AP43" s="37"/>
      <c r="AQ43" s="37"/>
      <c r="AR43" s="37"/>
      <c r="AS43" s="37"/>
      <c r="AT43" s="37"/>
      <c r="AU43" s="50"/>
      <c r="AV43" s="49"/>
      <c r="AW43" s="37"/>
      <c r="AX43" s="37"/>
      <c r="AY43" s="37"/>
      <c r="AZ43" s="37"/>
      <c r="BA43" s="37"/>
      <c r="BB43" s="37"/>
      <c r="BC43" s="50"/>
      <c r="BD43" s="49"/>
      <c r="BE43" s="37"/>
      <c r="BF43" s="37"/>
      <c r="BG43" s="37"/>
      <c r="BH43" s="37"/>
      <c r="BI43" s="37"/>
      <c r="BJ43" s="37"/>
      <c r="BK43" s="50"/>
      <c r="BL43" s="49"/>
      <c r="BM43" s="37"/>
      <c r="BN43" s="37"/>
      <c r="BO43" s="37"/>
      <c r="BP43" s="37"/>
      <c r="BQ43" s="37"/>
      <c r="BR43" s="37"/>
      <c r="BS43" s="50"/>
      <c r="BT43" s="49"/>
      <c r="BU43" s="37"/>
      <c r="BV43" s="37"/>
      <c r="BW43" s="37"/>
      <c r="BX43" s="37"/>
      <c r="BY43" s="37"/>
      <c r="BZ43" s="37"/>
      <c r="CA43" s="50"/>
      <c r="CB43" s="49"/>
      <c r="CC43" s="37"/>
      <c r="CD43" s="37"/>
      <c r="CE43" s="37"/>
      <c r="CF43" s="37"/>
      <c r="CG43" s="37"/>
      <c r="CH43" s="37"/>
      <c r="CI43" s="50"/>
      <c r="CJ43" s="49"/>
      <c r="CK43" s="37"/>
      <c r="CL43" s="37"/>
      <c r="CM43" s="37"/>
      <c r="CN43" s="37"/>
      <c r="CO43" s="37"/>
      <c r="CP43" s="37"/>
      <c r="CQ43" s="50"/>
      <c r="CR43" s="49"/>
      <c r="CS43" s="37"/>
      <c r="CT43" s="37"/>
      <c r="CU43" s="37"/>
      <c r="CV43" s="37"/>
      <c r="CW43" s="37"/>
      <c r="CX43" s="37"/>
      <c r="CY43" s="50"/>
      <c r="CZ43" s="49"/>
      <c r="DA43" s="37"/>
      <c r="DB43" s="37"/>
      <c r="DC43" s="37"/>
      <c r="DD43" s="37"/>
      <c r="DE43" s="37"/>
      <c r="DF43" s="37"/>
      <c r="DG43" s="50"/>
      <c r="DH43" s="49"/>
      <c r="DI43" s="37"/>
      <c r="DJ43" s="37"/>
      <c r="DK43" s="37"/>
      <c r="DL43" s="37"/>
      <c r="DM43" s="37"/>
      <c r="DN43" s="37"/>
      <c r="DO43" s="50"/>
      <c r="DP43" s="49"/>
      <c r="DQ43" s="37"/>
      <c r="DR43" s="37"/>
      <c r="DS43" s="37"/>
      <c r="DT43" s="37"/>
      <c r="DU43" s="37"/>
      <c r="DV43" s="37"/>
      <c r="DW43" s="50"/>
      <c r="DX43" s="49"/>
      <c r="DY43" s="37"/>
      <c r="DZ43" s="37"/>
      <c r="EA43" s="37"/>
      <c r="EB43" s="37"/>
      <c r="EC43" s="37"/>
      <c r="ED43" s="37"/>
      <c r="EE43" s="50"/>
      <c r="EF43" s="49"/>
      <c r="EG43" s="37"/>
      <c r="EH43" s="37"/>
      <c r="EI43" s="37"/>
      <c r="EJ43" s="37"/>
      <c r="EK43" s="37"/>
      <c r="EL43" s="37"/>
      <c r="EM43" s="50"/>
      <c r="EN43" s="22"/>
      <c r="EO43" s="12"/>
      <c r="EP43" s="12"/>
      <c r="EQ43" s="12"/>
      <c r="ER43" s="12"/>
      <c r="ES43" s="12"/>
      <c r="ET43" s="12"/>
      <c r="EU43" s="23"/>
      <c r="EV43" s="49"/>
      <c r="EW43" s="37"/>
      <c r="EX43" s="37"/>
      <c r="EY43" s="37"/>
      <c r="EZ43" s="37"/>
      <c r="FA43" s="37"/>
      <c r="FB43" s="37"/>
      <c r="FC43" s="50"/>
      <c r="FD43" s="49"/>
      <c r="FE43" s="37"/>
      <c r="FF43" s="37"/>
      <c r="FG43" s="37"/>
      <c r="FH43" s="37"/>
      <c r="FI43" s="37"/>
      <c r="FJ43" s="37"/>
      <c r="FK43" s="50"/>
      <c r="FL43" s="37" t="s">
        <v>223</v>
      </c>
      <c r="FM43" s="37" t="s">
        <v>223</v>
      </c>
      <c r="FN43" s="37"/>
    </row>
    <row r="44" spans="1:170" x14ac:dyDescent="0.25">
      <c r="A44" s="38">
        <f t="shared" si="1"/>
        <v>43</v>
      </c>
      <c r="B44" s="52" t="s">
        <v>812</v>
      </c>
      <c r="C44" s="37" t="s">
        <v>813</v>
      </c>
      <c r="D44" s="48">
        <v>44824.469317129631</v>
      </c>
      <c r="E44" s="37" t="s">
        <v>784</v>
      </c>
      <c r="F44" s="37" t="s">
        <v>784</v>
      </c>
      <c r="G44" s="37" t="s">
        <v>785</v>
      </c>
      <c r="H44" s="49" t="s">
        <v>737</v>
      </c>
      <c r="I44" s="37" t="s">
        <v>736</v>
      </c>
      <c r="J44" s="37" t="s">
        <v>448</v>
      </c>
      <c r="K44" s="37">
        <v>15</v>
      </c>
      <c r="L44" s="37"/>
      <c r="M44" s="37"/>
      <c r="N44" s="37" t="s">
        <v>223</v>
      </c>
      <c r="O44" s="50" t="s">
        <v>223</v>
      </c>
      <c r="P44" s="49" t="s">
        <v>622</v>
      </c>
      <c r="Q44" s="37" t="s">
        <v>621</v>
      </c>
      <c r="R44" s="37" t="s">
        <v>235</v>
      </c>
      <c r="S44" s="37">
        <v>4</v>
      </c>
      <c r="T44" s="37"/>
      <c r="U44" s="37"/>
      <c r="V44" s="37" t="s">
        <v>223</v>
      </c>
      <c r="W44" s="50" t="s">
        <v>223</v>
      </c>
      <c r="X44" s="49"/>
      <c r="Y44" s="37"/>
      <c r="Z44" s="37"/>
      <c r="AA44" s="37"/>
      <c r="AB44" s="37"/>
      <c r="AC44" s="37"/>
      <c r="AD44" s="37"/>
      <c r="AE44" s="50"/>
      <c r="AF44" s="49"/>
      <c r="AG44" s="37"/>
      <c r="AH44" s="37"/>
      <c r="AI44" s="37"/>
      <c r="AJ44" s="37"/>
      <c r="AK44" s="37"/>
      <c r="AL44" s="37"/>
      <c r="AM44" s="50"/>
      <c r="AN44" s="49"/>
      <c r="AO44" s="37"/>
      <c r="AP44" s="37"/>
      <c r="AQ44" s="37"/>
      <c r="AR44" s="37"/>
      <c r="AS44" s="37"/>
      <c r="AT44" s="37"/>
      <c r="AU44" s="50"/>
      <c r="AV44" s="49"/>
      <c r="AW44" s="37"/>
      <c r="AX44" s="37"/>
      <c r="AY44" s="37"/>
      <c r="AZ44" s="37"/>
      <c r="BA44" s="37"/>
      <c r="BB44" s="37"/>
      <c r="BC44" s="50"/>
      <c r="BD44" s="49"/>
      <c r="BE44" s="37"/>
      <c r="BF44" s="37"/>
      <c r="BG44" s="37"/>
      <c r="BH44" s="37"/>
      <c r="BI44" s="37"/>
      <c r="BJ44" s="37"/>
      <c r="BK44" s="50"/>
      <c r="BL44" s="49"/>
      <c r="BM44" s="37"/>
      <c r="BN44" s="37"/>
      <c r="BO44" s="37"/>
      <c r="BP44" s="37"/>
      <c r="BQ44" s="37"/>
      <c r="BR44" s="37"/>
      <c r="BS44" s="50"/>
      <c r="BT44" s="49"/>
      <c r="BU44" s="37"/>
      <c r="BV44" s="37"/>
      <c r="BW44" s="37"/>
      <c r="BX44" s="37"/>
      <c r="BY44" s="37"/>
      <c r="BZ44" s="37"/>
      <c r="CA44" s="50"/>
      <c r="CB44" s="49"/>
      <c r="CC44" s="37"/>
      <c r="CD44" s="37"/>
      <c r="CE44" s="37"/>
      <c r="CF44" s="37"/>
      <c r="CG44" s="37"/>
      <c r="CH44" s="37"/>
      <c r="CI44" s="50"/>
      <c r="CJ44" s="49"/>
      <c r="CK44" s="37"/>
      <c r="CL44" s="37"/>
      <c r="CM44" s="37"/>
      <c r="CN44" s="37"/>
      <c r="CO44" s="37"/>
      <c r="CP44" s="37"/>
      <c r="CQ44" s="50"/>
      <c r="CR44" s="49"/>
      <c r="CS44" s="37"/>
      <c r="CT44" s="37"/>
      <c r="CU44" s="37"/>
      <c r="CV44" s="37"/>
      <c r="CW44" s="37"/>
      <c r="CX44" s="37"/>
      <c r="CY44" s="50"/>
      <c r="CZ44" s="49"/>
      <c r="DA44" s="37"/>
      <c r="DB44" s="37"/>
      <c r="DC44" s="37"/>
      <c r="DD44" s="37"/>
      <c r="DE44" s="37"/>
      <c r="DF44" s="37"/>
      <c r="DG44" s="50"/>
      <c r="DH44" s="49"/>
      <c r="DI44" s="37"/>
      <c r="DJ44" s="37"/>
      <c r="DK44" s="37"/>
      <c r="DL44" s="37"/>
      <c r="DM44" s="37"/>
      <c r="DN44" s="37"/>
      <c r="DO44" s="50"/>
      <c r="DP44" s="49"/>
      <c r="DQ44" s="37"/>
      <c r="DR44" s="37"/>
      <c r="DS44" s="37"/>
      <c r="DT44" s="37"/>
      <c r="DU44" s="37"/>
      <c r="DV44" s="37"/>
      <c r="DW44" s="50"/>
      <c r="DX44" s="49"/>
      <c r="DY44" s="37"/>
      <c r="DZ44" s="37"/>
      <c r="EA44" s="37"/>
      <c r="EB44" s="37"/>
      <c r="EC44" s="37"/>
      <c r="ED44" s="37"/>
      <c r="EE44" s="50"/>
      <c r="EF44" s="49"/>
      <c r="EG44" s="37"/>
      <c r="EH44" s="37"/>
      <c r="EI44" s="37"/>
      <c r="EJ44" s="37"/>
      <c r="EK44" s="37"/>
      <c r="EL44" s="37"/>
      <c r="EM44" s="50"/>
      <c r="EN44" s="22"/>
      <c r="EO44" s="12"/>
      <c r="EP44" s="12"/>
      <c r="EQ44" s="12"/>
      <c r="ER44" s="12"/>
      <c r="ES44" s="12"/>
      <c r="ET44" s="12"/>
      <c r="EU44" s="23"/>
      <c r="EV44" s="49"/>
      <c r="EW44" s="37"/>
      <c r="EX44" s="37"/>
      <c r="EY44" s="37"/>
      <c r="EZ44" s="37"/>
      <c r="FA44" s="37"/>
      <c r="FB44" s="37"/>
      <c r="FC44" s="50"/>
      <c r="FD44" s="49"/>
      <c r="FE44" s="37"/>
      <c r="FF44" s="37"/>
      <c r="FG44" s="37"/>
      <c r="FH44" s="37"/>
      <c r="FI44" s="37"/>
      <c r="FJ44" s="37"/>
      <c r="FK44" s="50"/>
      <c r="FL44" s="37" t="s">
        <v>223</v>
      </c>
      <c r="FM44" s="37" t="s">
        <v>223</v>
      </c>
      <c r="FN44" s="37"/>
    </row>
    <row r="45" spans="1:170" x14ac:dyDescent="0.25">
      <c r="A45" s="38">
        <f t="shared" si="1"/>
        <v>44</v>
      </c>
      <c r="B45" s="52" t="s">
        <v>814</v>
      </c>
      <c r="C45" s="37" t="s">
        <v>815</v>
      </c>
      <c r="D45" s="48">
        <v>44824.45957175926</v>
      </c>
      <c r="E45" s="37" t="s">
        <v>816</v>
      </c>
      <c r="F45" s="37" t="s">
        <v>817</v>
      </c>
      <c r="G45" s="37" t="s">
        <v>785</v>
      </c>
      <c r="H45" s="49" t="s">
        <v>426</v>
      </c>
      <c r="I45" s="37" t="s">
        <v>818</v>
      </c>
      <c r="J45" s="37" t="s">
        <v>235</v>
      </c>
      <c r="K45" s="37">
        <v>1</v>
      </c>
      <c r="L45" s="37"/>
      <c r="M45" s="37"/>
      <c r="N45" s="37" t="s">
        <v>223</v>
      </c>
      <c r="O45" s="50" t="s">
        <v>223</v>
      </c>
      <c r="P45" s="49"/>
      <c r="Q45" s="37"/>
      <c r="R45" s="37"/>
      <c r="S45" s="37"/>
      <c r="T45" s="37"/>
      <c r="U45" s="37"/>
      <c r="V45" s="37"/>
      <c r="W45" s="50"/>
      <c r="X45" s="49"/>
      <c r="Y45" s="37"/>
      <c r="Z45" s="37"/>
      <c r="AA45" s="37"/>
      <c r="AB45" s="37"/>
      <c r="AC45" s="37"/>
      <c r="AD45" s="37"/>
      <c r="AE45" s="50"/>
      <c r="AF45" s="49"/>
      <c r="AG45" s="37"/>
      <c r="AH45" s="37"/>
      <c r="AI45" s="37"/>
      <c r="AJ45" s="37"/>
      <c r="AK45" s="37"/>
      <c r="AL45" s="37"/>
      <c r="AM45" s="50"/>
      <c r="AN45" s="49"/>
      <c r="AO45" s="37"/>
      <c r="AP45" s="37"/>
      <c r="AQ45" s="37"/>
      <c r="AR45" s="37"/>
      <c r="AS45" s="37"/>
      <c r="AT45" s="37"/>
      <c r="AU45" s="50"/>
      <c r="AV45" s="49"/>
      <c r="AW45" s="37"/>
      <c r="AX45" s="37"/>
      <c r="AY45" s="37"/>
      <c r="AZ45" s="37"/>
      <c r="BA45" s="37"/>
      <c r="BB45" s="37"/>
      <c r="BC45" s="50"/>
      <c r="BD45" s="49"/>
      <c r="BE45" s="37"/>
      <c r="BF45" s="37"/>
      <c r="BG45" s="37"/>
      <c r="BH45" s="37"/>
      <c r="BI45" s="37"/>
      <c r="BJ45" s="37"/>
      <c r="BK45" s="50"/>
      <c r="BL45" s="49"/>
      <c r="BM45" s="37"/>
      <c r="BN45" s="37"/>
      <c r="BO45" s="37"/>
      <c r="BP45" s="37"/>
      <c r="BQ45" s="37"/>
      <c r="BR45" s="37"/>
      <c r="BS45" s="50"/>
      <c r="BT45" s="49"/>
      <c r="BU45" s="37"/>
      <c r="BV45" s="37"/>
      <c r="BW45" s="37"/>
      <c r="BX45" s="37"/>
      <c r="BY45" s="37"/>
      <c r="BZ45" s="37"/>
      <c r="CA45" s="50"/>
      <c r="CB45" s="49"/>
      <c r="CC45" s="37"/>
      <c r="CD45" s="37"/>
      <c r="CE45" s="37"/>
      <c r="CF45" s="37"/>
      <c r="CG45" s="37"/>
      <c r="CH45" s="37"/>
      <c r="CI45" s="50"/>
      <c r="CJ45" s="49"/>
      <c r="CK45" s="37"/>
      <c r="CL45" s="37"/>
      <c r="CM45" s="37"/>
      <c r="CN45" s="37"/>
      <c r="CO45" s="37"/>
      <c r="CP45" s="37"/>
      <c r="CQ45" s="50"/>
      <c r="CR45" s="49"/>
      <c r="CS45" s="37"/>
      <c r="CT45" s="37"/>
      <c r="CU45" s="37"/>
      <c r="CV45" s="37"/>
      <c r="CW45" s="37"/>
      <c r="CX45" s="37"/>
      <c r="CY45" s="50"/>
      <c r="CZ45" s="49"/>
      <c r="DA45" s="37"/>
      <c r="DB45" s="37"/>
      <c r="DC45" s="37"/>
      <c r="DD45" s="37"/>
      <c r="DE45" s="37"/>
      <c r="DF45" s="37"/>
      <c r="DG45" s="50"/>
      <c r="DH45" s="49"/>
      <c r="DI45" s="37"/>
      <c r="DJ45" s="37"/>
      <c r="DK45" s="37"/>
      <c r="DL45" s="37"/>
      <c r="DM45" s="37"/>
      <c r="DN45" s="37"/>
      <c r="DO45" s="50"/>
      <c r="DP45" s="49"/>
      <c r="DQ45" s="37"/>
      <c r="DR45" s="37"/>
      <c r="DS45" s="37"/>
      <c r="DT45" s="37"/>
      <c r="DU45" s="37"/>
      <c r="DV45" s="37"/>
      <c r="DW45" s="50"/>
      <c r="DX45" s="49"/>
      <c r="DY45" s="37"/>
      <c r="DZ45" s="37"/>
      <c r="EA45" s="37"/>
      <c r="EB45" s="37"/>
      <c r="EC45" s="37"/>
      <c r="ED45" s="37"/>
      <c r="EE45" s="50"/>
      <c r="EF45" s="49"/>
      <c r="EG45" s="37"/>
      <c r="EH45" s="37"/>
      <c r="EI45" s="37"/>
      <c r="EJ45" s="37"/>
      <c r="EK45" s="37"/>
      <c r="EL45" s="37"/>
      <c r="EM45" s="50"/>
      <c r="EN45" s="22"/>
      <c r="EO45" s="12"/>
      <c r="EP45" s="12"/>
      <c r="EQ45" s="12"/>
      <c r="ER45" s="12"/>
      <c r="ES45" s="12"/>
      <c r="ET45" s="12"/>
      <c r="EU45" s="23"/>
      <c r="EV45" s="49"/>
      <c r="EW45" s="37"/>
      <c r="EX45" s="37"/>
      <c r="EY45" s="37"/>
      <c r="EZ45" s="37"/>
      <c r="FA45" s="37"/>
      <c r="FB45" s="37"/>
      <c r="FC45" s="50"/>
      <c r="FD45" s="49"/>
      <c r="FE45" s="37"/>
      <c r="FF45" s="37"/>
      <c r="FG45" s="37"/>
      <c r="FH45" s="37"/>
      <c r="FI45" s="37"/>
      <c r="FJ45" s="37"/>
      <c r="FK45" s="50"/>
      <c r="FL45" s="37" t="s">
        <v>223</v>
      </c>
      <c r="FM45" s="37" t="s">
        <v>223</v>
      </c>
      <c r="FN45" s="37"/>
    </row>
    <row r="46" spans="1:170" x14ac:dyDescent="0.25">
      <c r="A46" s="38">
        <f t="shared" si="1"/>
        <v>45</v>
      </c>
      <c r="B46" s="52" t="s">
        <v>819</v>
      </c>
      <c r="C46" s="37" t="s">
        <v>820</v>
      </c>
      <c r="D46" s="48">
        <v>44824.458622685182</v>
      </c>
      <c r="E46" s="37" t="s">
        <v>821</v>
      </c>
      <c r="F46" s="37" t="s">
        <v>817</v>
      </c>
      <c r="G46" s="37" t="s">
        <v>785</v>
      </c>
      <c r="H46" s="49" t="s">
        <v>426</v>
      </c>
      <c r="I46" s="37" t="s">
        <v>818</v>
      </c>
      <c r="J46" s="37" t="s">
        <v>235</v>
      </c>
      <c r="K46" s="37">
        <v>1</v>
      </c>
      <c r="L46" s="37"/>
      <c r="M46" s="37"/>
      <c r="N46" s="37" t="s">
        <v>223</v>
      </c>
      <c r="O46" s="50" t="s">
        <v>223</v>
      </c>
      <c r="P46" s="49"/>
      <c r="Q46" s="37"/>
      <c r="R46" s="37"/>
      <c r="S46" s="37"/>
      <c r="T46" s="37"/>
      <c r="U46" s="37"/>
      <c r="V46" s="37"/>
      <c r="W46" s="50"/>
      <c r="X46" s="49"/>
      <c r="Y46" s="37"/>
      <c r="Z46" s="37"/>
      <c r="AA46" s="37"/>
      <c r="AB46" s="37"/>
      <c r="AC46" s="37"/>
      <c r="AD46" s="37"/>
      <c r="AE46" s="50"/>
      <c r="AF46" s="49"/>
      <c r="AG46" s="37"/>
      <c r="AH46" s="37"/>
      <c r="AI46" s="37"/>
      <c r="AJ46" s="37"/>
      <c r="AK46" s="37"/>
      <c r="AL46" s="37"/>
      <c r="AM46" s="50"/>
      <c r="AN46" s="49"/>
      <c r="AO46" s="37"/>
      <c r="AP46" s="37"/>
      <c r="AQ46" s="37"/>
      <c r="AR46" s="37"/>
      <c r="AS46" s="37"/>
      <c r="AT46" s="37"/>
      <c r="AU46" s="50"/>
      <c r="AV46" s="49"/>
      <c r="AW46" s="37"/>
      <c r="AX46" s="37"/>
      <c r="AY46" s="37"/>
      <c r="AZ46" s="37"/>
      <c r="BA46" s="37"/>
      <c r="BB46" s="37"/>
      <c r="BC46" s="50"/>
      <c r="BD46" s="49"/>
      <c r="BE46" s="37"/>
      <c r="BF46" s="37"/>
      <c r="BG46" s="37"/>
      <c r="BH46" s="37"/>
      <c r="BI46" s="37"/>
      <c r="BJ46" s="37"/>
      <c r="BK46" s="50"/>
      <c r="BL46" s="49"/>
      <c r="BM46" s="37"/>
      <c r="BN46" s="37"/>
      <c r="BO46" s="37"/>
      <c r="BP46" s="37"/>
      <c r="BQ46" s="37"/>
      <c r="BR46" s="37"/>
      <c r="BS46" s="50"/>
      <c r="BT46" s="49"/>
      <c r="BU46" s="37"/>
      <c r="BV46" s="37"/>
      <c r="BW46" s="37"/>
      <c r="BX46" s="37"/>
      <c r="BY46" s="37"/>
      <c r="BZ46" s="37"/>
      <c r="CA46" s="50"/>
      <c r="CB46" s="49"/>
      <c r="CC46" s="37"/>
      <c r="CD46" s="37"/>
      <c r="CE46" s="37"/>
      <c r="CF46" s="37"/>
      <c r="CG46" s="37"/>
      <c r="CH46" s="37"/>
      <c r="CI46" s="50"/>
      <c r="CJ46" s="49"/>
      <c r="CK46" s="37"/>
      <c r="CL46" s="37"/>
      <c r="CM46" s="37"/>
      <c r="CN46" s="37"/>
      <c r="CO46" s="37"/>
      <c r="CP46" s="37"/>
      <c r="CQ46" s="50"/>
      <c r="CR46" s="49"/>
      <c r="CS46" s="37"/>
      <c r="CT46" s="37"/>
      <c r="CU46" s="37"/>
      <c r="CV46" s="37"/>
      <c r="CW46" s="37"/>
      <c r="CX46" s="37"/>
      <c r="CY46" s="50"/>
      <c r="CZ46" s="49"/>
      <c r="DA46" s="37"/>
      <c r="DB46" s="37"/>
      <c r="DC46" s="37"/>
      <c r="DD46" s="37"/>
      <c r="DE46" s="37"/>
      <c r="DF46" s="37"/>
      <c r="DG46" s="50"/>
      <c r="DH46" s="49"/>
      <c r="DI46" s="37"/>
      <c r="DJ46" s="37"/>
      <c r="DK46" s="37"/>
      <c r="DL46" s="37"/>
      <c r="DM46" s="37"/>
      <c r="DN46" s="37"/>
      <c r="DO46" s="50"/>
      <c r="DP46" s="49"/>
      <c r="DQ46" s="37"/>
      <c r="DR46" s="37"/>
      <c r="DS46" s="37"/>
      <c r="DT46" s="37"/>
      <c r="DU46" s="37"/>
      <c r="DV46" s="37"/>
      <c r="DW46" s="50"/>
      <c r="DX46" s="49"/>
      <c r="DY46" s="37"/>
      <c r="DZ46" s="37"/>
      <c r="EA46" s="37"/>
      <c r="EB46" s="37"/>
      <c r="EC46" s="37"/>
      <c r="ED46" s="37"/>
      <c r="EE46" s="50"/>
      <c r="EF46" s="49"/>
      <c r="EG46" s="37"/>
      <c r="EH46" s="37"/>
      <c r="EI46" s="37"/>
      <c r="EJ46" s="37"/>
      <c r="EK46" s="37"/>
      <c r="EL46" s="37"/>
      <c r="EM46" s="50"/>
      <c r="EN46" s="22"/>
      <c r="EO46" s="12"/>
      <c r="EP46" s="12"/>
      <c r="EQ46" s="12"/>
      <c r="ER46" s="12"/>
      <c r="ES46" s="12"/>
      <c r="ET46" s="12"/>
      <c r="EU46" s="23"/>
      <c r="EV46" s="49"/>
      <c r="EW46" s="37"/>
      <c r="EX46" s="37"/>
      <c r="EY46" s="37"/>
      <c r="EZ46" s="37"/>
      <c r="FA46" s="37"/>
      <c r="FB46" s="37"/>
      <c r="FC46" s="50"/>
      <c r="FD46" s="49"/>
      <c r="FE46" s="37"/>
      <c r="FF46" s="37"/>
      <c r="FG46" s="37"/>
      <c r="FH46" s="37"/>
      <c r="FI46" s="37"/>
      <c r="FJ46" s="37"/>
      <c r="FK46" s="50"/>
      <c r="FL46" s="37" t="s">
        <v>223</v>
      </c>
      <c r="FM46" s="37" t="s">
        <v>223</v>
      </c>
      <c r="FN46" s="37"/>
    </row>
    <row r="47" spans="1:170" x14ac:dyDescent="0.25">
      <c r="A47" s="38">
        <f t="shared" si="1"/>
        <v>46</v>
      </c>
      <c r="B47" s="52" t="s">
        <v>822</v>
      </c>
      <c r="C47" s="37" t="s">
        <v>823</v>
      </c>
      <c r="D47" s="48">
        <v>44823.752118055556</v>
      </c>
      <c r="E47" s="37" t="s">
        <v>824</v>
      </c>
      <c r="F47" s="37" t="s">
        <v>784</v>
      </c>
      <c r="G47" s="37" t="s">
        <v>785</v>
      </c>
      <c r="H47" s="49" t="s">
        <v>447</v>
      </c>
      <c r="I47" s="37" t="s">
        <v>446</v>
      </c>
      <c r="J47" s="37" t="s">
        <v>448</v>
      </c>
      <c r="K47" s="37">
        <v>5</v>
      </c>
      <c r="L47" s="37"/>
      <c r="M47" s="37"/>
      <c r="N47" s="37" t="s">
        <v>223</v>
      </c>
      <c r="O47" s="50" t="s">
        <v>223</v>
      </c>
      <c r="P47" s="49" t="s">
        <v>663</v>
      </c>
      <c r="Q47" s="37" t="s">
        <v>662</v>
      </c>
      <c r="R47" s="37" t="s">
        <v>570</v>
      </c>
      <c r="S47" s="37">
        <v>5</v>
      </c>
      <c r="T47" s="37"/>
      <c r="U47" s="37"/>
      <c r="V47" s="37" t="s">
        <v>223</v>
      </c>
      <c r="W47" s="50" t="s">
        <v>223</v>
      </c>
      <c r="X47" s="49" t="s">
        <v>643</v>
      </c>
      <c r="Y47" s="37" t="s">
        <v>642</v>
      </c>
      <c r="Z47" s="37" t="s">
        <v>235</v>
      </c>
      <c r="AA47" s="37">
        <v>3</v>
      </c>
      <c r="AB47" s="37"/>
      <c r="AC47" s="37"/>
      <c r="AD47" s="37" t="s">
        <v>223</v>
      </c>
      <c r="AE47" s="50"/>
      <c r="AF47" s="49" t="s">
        <v>426</v>
      </c>
      <c r="AG47" s="37" t="s">
        <v>818</v>
      </c>
      <c r="AH47" s="37" t="s">
        <v>235</v>
      </c>
      <c r="AI47" s="37">
        <v>4</v>
      </c>
      <c r="AJ47" s="37"/>
      <c r="AK47" s="37"/>
      <c r="AL47" s="37" t="s">
        <v>223</v>
      </c>
      <c r="AM47" s="50"/>
      <c r="AN47" s="49"/>
      <c r="AO47" s="37"/>
      <c r="AP47" s="37"/>
      <c r="AQ47" s="37"/>
      <c r="AR47" s="37"/>
      <c r="AS47" s="37"/>
      <c r="AT47" s="37"/>
      <c r="AU47" s="50"/>
      <c r="AV47" s="49"/>
      <c r="AW47" s="37"/>
      <c r="AX47" s="37"/>
      <c r="AY47" s="37"/>
      <c r="AZ47" s="37"/>
      <c r="BA47" s="37"/>
      <c r="BB47" s="37"/>
      <c r="BC47" s="50"/>
      <c r="BD47" s="49"/>
      <c r="BE47" s="37"/>
      <c r="BF47" s="37"/>
      <c r="BG47" s="37"/>
      <c r="BH47" s="37"/>
      <c r="BI47" s="37"/>
      <c r="BJ47" s="37"/>
      <c r="BK47" s="50"/>
      <c r="BL47" s="49"/>
      <c r="BM47" s="37"/>
      <c r="BN47" s="37"/>
      <c r="BO47" s="37"/>
      <c r="BP47" s="37"/>
      <c r="BQ47" s="37"/>
      <c r="BR47" s="37"/>
      <c r="BS47" s="50"/>
      <c r="BT47" s="49"/>
      <c r="BU47" s="37"/>
      <c r="BV47" s="37"/>
      <c r="BW47" s="37"/>
      <c r="BX47" s="37"/>
      <c r="BY47" s="37"/>
      <c r="BZ47" s="37"/>
      <c r="CA47" s="50"/>
      <c r="CB47" s="49"/>
      <c r="CC47" s="37"/>
      <c r="CD47" s="37"/>
      <c r="CE47" s="37"/>
      <c r="CF47" s="37"/>
      <c r="CG47" s="37"/>
      <c r="CH47" s="37"/>
      <c r="CI47" s="50"/>
      <c r="CJ47" s="49"/>
      <c r="CK47" s="37"/>
      <c r="CL47" s="37"/>
      <c r="CM47" s="37"/>
      <c r="CN47" s="37"/>
      <c r="CO47" s="37"/>
      <c r="CP47" s="37"/>
      <c r="CQ47" s="50"/>
      <c r="CR47" s="49"/>
      <c r="CS47" s="37"/>
      <c r="CT47" s="37"/>
      <c r="CU47" s="37"/>
      <c r="CV47" s="37"/>
      <c r="CW47" s="37"/>
      <c r="CX47" s="37"/>
      <c r="CY47" s="50"/>
      <c r="CZ47" s="49"/>
      <c r="DA47" s="37"/>
      <c r="DB47" s="37"/>
      <c r="DC47" s="37"/>
      <c r="DD47" s="37"/>
      <c r="DE47" s="37"/>
      <c r="DF47" s="37"/>
      <c r="DG47" s="50"/>
      <c r="DH47" s="49"/>
      <c r="DI47" s="37"/>
      <c r="DJ47" s="37"/>
      <c r="DK47" s="37"/>
      <c r="DL47" s="37"/>
      <c r="DM47" s="37"/>
      <c r="DN47" s="37"/>
      <c r="DO47" s="50"/>
      <c r="DP47" s="49"/>
      <c r="DQ47" s="37"/>
      <c r="DR47" s="37"/>
      <c r="DS47" s="37"/>
      <c r="DT47" s="37"/>
      <c r="DU47" s="37"/>
      <c r="DV47" s="37"/>
      <c r="DW47" s="50"/>
      <c r="DX47" s="49"/>
      <c r="DY47" s="37"/>
      <c r="DZ47" s="37"/>
      <c r="EA47" s="37"/>
      <c r="EB47" s="37"/>
      <c r="EC47" s="37"/>
      <c r="ED47" s="37"/>
      <c r="EE47" s="50"/>
      <c r="EF47" s="49"/>
      <c r="EG47" s="37"/>
      <c r="EH47" s="37"/>
      <c r="EI47" s="37"/>
      <c r="EJ47" s="37"/>
      <c r="EK47" s="37"/>
      <c r="EL47" s="37"/>
      <c r="EM47" s="50"/>
      <c r="EN47" s="22"/>
      <c r="EO47" s="12"/>
      <c r="EP47" s="12"/>
      <c r="EQ47" s="12"/>
      <c r="ER47" s="12"/>
      <c r="ES47" s="12"/>
      <c r="ET47" s="12"/>
      <c r="EU47" s="23"/>
      <c r="EV47" s="49"/>
      <c r="EW47" s="37"/>
      <c r="EX47" s="37"/>
      <c r="EY47" s="37"/>
      <c r="EZ47" s="37"/>
      <c r="FA47" s="37"/>
      <c r="FB47" s="37"/>
      <c r="FC47" s="50"/>
      <c r="FD47" s="49"/>
      <c r="FE47" s="37"/>
      <c r="FF47" s="37"/>
      <c r="FG47" s="37"/>
      <c r="FH47" s="37"/>
      <c r="FI47" s="37"/>
      <c r="FJ47" s="37"/>
      <c r="FK47" s="50"/>
      <c r="FL47" s="37"/>
      <c r="FM47" s="37"/>
      <c r="FN47" s="37"/>
    </row>
    <row r="48" spans="1:170" x14ac:dyDescent="0.25">
      <c r="A48" s="38">
        <f t="shared" si="1"/>
        <v>47</v>
      </c>
      <c r="B48" s="52" t="s">
        <v>825</v>
      </c>
      <c r="C48" s="37" t="s">
        <v>826</v>
      </c>
      <c r="D48" s="48">
        <v>44823.746423611112</v>
      </c>
      <c r="E48" s="37" t="s">
        <v>827</v>
      </c>
      <c r="F48" s="37" t="s">
        <v>784</v>
      </c>
      <c r="G48" s="37" t="s">
        <v>785</v>
      </c>
      <c r="H48" s="49" t="s">
        <v>581</v>
      </c>
      <c r="I48" s="37" t="s">
        <v>580</v>
      </c>
      <c r="J48" s="37" t="s">
        <v>221</v>
      </c>
      <c r="K48" s="37">
        <v>1</v>
      </c>
      <c r="L48" s="37"/>
      <c r="M48" s="37"/>
      <c r="N48" s="37" t="s">
        <v>223</v>
      </c>
      <c r="O48" s="50" t="s">
        <v>223</v>
      </c>
      <c r="P48" s="49" t="s">
        <v>599</v>
      </c>
      <c r="Q48" s="37" t="s">
        <v>598</v>
      </c>
      <c r="R48" s="37" t="s">
        <v>240</v>
      </c>
      <c r="S48" s="37">
        <v>1</v>
      </c>
      <c r="T48" s="37"/>
      <c r="U48" s="37"/>
      <c r="V48" s="37" t="s">
        <v>223</v>
      </c>
      <c r="W48" s="50" t="s">
        <v>223</v>
      </c>
      <c r="X48" s="49" t="s">
        <v>238</v>
      </c>
      <c r="Y48" s="37" t="s">
        <v>237</v>
      </c>
      <c r="Z48" s="37" t="s">
        <v>240</v>
      </c>
      <c r="AA48" s="37">
        <v>1</v>
      </c>
      <c r="AB48" s="37"/>
      <c r="AC48" s="37"/>
      <c r="AD48" s="37" t="s">
        <v>223</v>
      </c>
      <c r="AE48" s="50" t="s">
        <v>223</v>
      </c>
      <c r="AF48" s="49" t="s">
        <v>534</v>
      </c>
      <c r="AG48" s="37" t="s">
        <v>533</v>
      </c>
      <c r="AH48" s="37" t="s">
        <v>240</v>
      </c>
      <c r="AI48" s="37">
        <v>3</v>
      </c>
      <c r="AJ48" s="37"/>
      <c r="AK48" s="37"/>
      <c r="AL48" s="37" t="s">
        <v>32</v>
      </c>
      <c r="AM48" s="50" t="s">
        <v>223</v>
      </c>
      <c r="AN48" s="49" t="s">
        <v>683</v>
      </c>
      <c r="AO48" s="37" t="s">
        <v>682</v>
      </c>
      <c r="AP48" s="37" t="s">
        <v>221</v>
      </c>
      <c r="AQ48" s="37">
        <v>1</v>
      </c>
      <c r="AR48" s="37"/>
      <c r="AS48" s="37"/>
      <c r="AT48" s="37" t="s">
        <v>223</v>
      </c>
      <c r="AU48" s="50" t="s">
        <v>223</v>
      </c>
      <c r="AV48" s="49" t="s">
        <v>272</v>
      </c>
      <c r="AW48" s="37" t="s">
        <v>271</v>
      </c>
      <c r="AX48" s="37" t="s">
        <v>221</v>
      </c>
      <c r="AY48" s="37">
        <v>4</v>
      </c>
      <c r="AZ48" s="37"/>
      <c r="BA48" s="37"/>
      <c r="BB48" s="37" t="s">
        <v>223</v>
      </c>
      <c r="BC48" s="50" t="s">
        <v>828</v>
      </c>
      <c r="BD48" s="49" t="s">
        <v>400</v>
      </c>
      <c r="BE48" s="37" t="s">
        <v>399</v>
      </c>
      <c r="BF48" s="37" t="s">
        <v>221</v>
      </c>
      <c r="BG48" s="37">
        <v>6</v>
      </c>
      <c r="BH48" s="37"/>
      <c r="BI48" s="37"/>
      <c r="BJ48" s="37" t="s">
        <v>223</v>
      </c>
      <c r="BK48" s="50" t="s">
        <v>828</v>
      </c>
      <c r="BL48" s="49" t="s">
        <v>490</v>
      </c>
      <c r="BM48" s="37" t="s">
        <v>489</v>
      </c>
      <c r="BN48" s="37" t="s">
        <v>221</v>
      </c>
      <c r="BO48" s="37">
        <v>2</v>
      </c>
      <c r="BP48" s="37"/>
      <c r="BQ48" s="37"/>
      <c r="BR48" s="37" t="s">
        <v>223</v>
      </c>
      <c r="BS48" s="50" t="s">
        <v>828</v>
      </c>
      <c r="BT48" s="49" t="s">
        <v>643</v>
      </c>
      <c r="BU48" s="37" t="s">
        <v>642</v>
      </c>
      <c r="BV48" s="37" t="s">
        <v>235</v>
      </c>
      <c r="BW48" s="37">
        <v>1</v>
      </c>
      <c r="BX48" s="37"/>
      <c r="BY48" s="37"/>
      <c r="BZ48" s="37" t="s">
        <v>223</v>
      </c>
      <c r="CA48" s="50" t="s">
        <v>223</v>
      </c>
      <c r="CB48" s="49"/>
      <c r="CC48" s="37"/>
      <c r="CD48" s="37"/>
      <c r="CE48" s="37"/>
      <c r="CF48" s="37"/>
      <c r="CG48" s="37"/>
      <c r="CH48" s="37"/>
      <c r="CI48" s="50"/>
      <c r="CJ48" s="49"/>
      <c r="CK48" s="37"/>
      <c r="CL48" s="37"/>
      <c r="CM48" s="37"/>
      <c r="CN48" s="37"/>
      <c r="CO48" s="37"/>
      <c r="CP48" s="37"/>
      <c r="CQ48" s="50"/>
      <c r="CR48" s="49"/>
      <c r="CS48" s="37"/>
      <c r="CT48" s="37"/>
      <c r="CU48" s="37"/>
      <c r="CV48" s="37"/>
      <c r="CW48" s="37"/>
      <c r="CX48" s="37"/>
      <c r="CY48" s="50"/>
      <c r="CZ48" s="49"/>
      <c r="DA48" s="37"/>
      <c r="DB48" s="37"/>
      <c r="DC48" s="37"/>
      <c r="DD48" s="37"/>
      <c r="DE48" s="37"/>
      <c r="DF48" s="37"/>
      <c r="DG48" s="50"/>
      <c r="DH48" s="49"/>
      <c r="DI48" s="37"/>
      <c r="DJ48" s="37"/>
      <c r="DK48" s="37"/>
      <c r="DL48" s="37"/>
      <c r="DM48" s="37"/>
      <c r="DN48" s="37"/>
      <c r="DO48" s="50"/>
      <c r="DP48" s="49"/>
      <c r="DQ48" s="37"/>
      <c r="DR48" s="37"/>
      <c r="DS48" s="37"/>
      <c r="DT48" s="37"/>
      <c r="DU48" s="37"/>
      <c r="DV48" s="37"/>
      <c r="DW48" s="50"/>
      <c r="DX48" s="49"/>
      <c r="DY48" s="37"/>
      <c r="DZ48" s="37"/>
      <c r="EA48" s="37"/>
      <c r="EB48" s="37"/>
      <c r="EC48" s="37"/>
      <c r="ED48" s="37"/>
      <c r="EE48" s="50"/>
      <c r="EF48" s="49"/>
      <c r="EG48" s="37"/>
      <c r="EH48" s="37"/>
      <c r="EI48" s="37"/>
      <c r="EJ48" s="37"/>
      <c r="EK48" s="37"/>
      <c r="EL48" s="37"/>
      <c r="EM48" s="50"/>
      <c r="EN48" s="22"/>
      <c r="EO48" s="12"/>
      <c r="EP48" s="12"/>
      <c r="EQ48" s="12"/>
      <c r="ER48" s="12"/>
      <c r="ES48" s="12"/>
      <c r="ET48" s="12"/>
      <c r="EU48" s="23"/>
      <c r="EV48" s="49"/>
      <c r="EW48" s="37"/>
      <c r="EX48" s="37"/>
      <c r="EY48" s="37"/>
      <c r="EZ48" s="37"/>
      <c r="FA48" s="37"/>
      <c r="FB48" s="37"/>
      <c r="FC48" s="50"/>
      <c r="FD48" s="49"/>
      <c r="FE48" s="37"/>
      <c r="FF48" s="37"/>
      <c r="FG48" s="37"/>
      <c r="FH48" s="37"/>
      <c r="FI48" s="37"/>
      <c r="FJ48" s="37"/>
      <c r="FK48" s="50"/>
      <c r="FL48" s="37"/>
      <c r="FM48" s="37"/>
      <c r="FN48" s="37"/>
    </row>
    <row r="49" spans="1:170" x14ac:dyDescent="0.25">
      <c r="A49" s="38">
        <f t="shared" si="1"/>
        <v>48</v>
      </c>
      <c r="B49" s="52" t="s">
        <v>829</v>
      </c>
      <c r="C49" s="37" t="s">
        <v>820</v>
      </c>
      <c r="D49" s="48">
        <v>44823.734537037039</v>
      </c>
      <c r="E49" s="37" t="s">
        <v>830</v>
      </c>
      <c r="F49" s="37" t="s">
        <v>784</v>
      </c>
      <c r="G49" s="37" t="s">
        <v>785</v>
      </c>
      <c r="H49" s="49" t="s">
        <v>568</v>
      </c>
      <c r="I49" s="37" t="s">
        <v>567</v>
      </c>
      <c r="J49" s="37" t="s">
        <v>570</v>
      </c>
      <c r="K49" s="37">
        <v>1</v>
      </c>
      <c r="L49" s="37"/>
      <c r="M49" s="37"/>
      <c r="N49" s="37" t="s">
        <v>223</v>
      </c>
      <c r="O49" s="50" t="s">
        <v>831</v>
      </c>
      <c r="P49" s="49" t="s">
        <v>466</v>
      </c>
      <c r="Q49" s="37" t="s">
        <v>465</v>
      </c>
      <c r="R49" s="37" t="s">
        <v>235</v>
      </c>
      <c r="S49" s="37">
        <v>1</v>
      </c>
      <c r="T49" s="37"/>
      <c r="U49" s="37"/>
      <c r="V49" s="37" t="s">
        <v>223</v>
      </c>
      <c r="W49" s="50" t="s">
        <v>223</v>
      </c>
      <c r="X49" s="49" t="s">
        <v>665</v>
      </c>
      <c r="Y49" s="37" t="s">
        <v>664</v>
      </c>
      <c r="Z49" s="37" t="s">
        <v>570</v>
      </c>
      <c r="AA49" s="37">
        <v>1</v>
      </c>
      <c r="AB49" s="37"/>
      <c r="AC49" s="37"/>
      <c r="AD49" s="37" t="s">
        <v>223</v>
      </c>
      <c r="AE49" s="50" t="s">
        <v>32</v>
      </c>
      <c r="AF49" s="49"/>
      <c r="AG49" s="37"/>
      <c r="AH49" s="37"/>
      <c r="AI49" s="37"/>
      <c r="AJ49" s="37"/>
      <c r="AK49" s="37"/>
      <c r="AL49" s="37"/>
      <c r="AM49" s="50"/>
      <c r="AN49" s="49"/>
      <c r="AO49" s="37"/>
      <c r="AP49" s="37"/>
      <c r="AQ49" s="37"/>
      <c r="AR49" s="37"/>
      <c r="AS49" s="37"/>
      <c r="AT49" s="37"/>
      <c r="AU49" s="50"/>
      <c r="AV49" s="49"/>
      <c r="AW49" s="37"/>
      <c r="AX49" s="37"/>
      <c r="AY49" s="37"/>
      <c r="AZ49" s="37"/>
      <c r="BA49" s="37"/>
      <c r="BB49" s="37"/>
      <c r="BC49" s="50"/>
      <c r="BD49" s="49"/>
      <c r="BE49" s="37"/>
      <c r="BF49" s="37"/>
      <c r="BG49" s="37"/>
      <c r="BH49" s="37"/>
      <c r="BI49" s="37"/>
      <c r="BJ49" s="37"/>
      <c r="BK49" s="50"/>
      <c r="BL49" s="49"/>
      <c r="BM49" s="37"/>
      <c r="BN49" s="37"/>
      <c r="BO49" s="37"/>
      <c r="BP49" s="37"/>
      <c r="BQ49" s="37"/>
      <c r="BR49" s="37"/>
      <c r="BS49" s="50"/>
      <c r="BT49" s="49"/>
      <c r="BU49" s="37"/>
      <c r="BV49" s="37"/>
      <c r="BW49" s="37"/>
      <c r="BX49" s="37"/>
      <c r="BY49" s="37"/>
      <c r="BZ49" s="37"/>
      <c r="CA49" s="50"/>
      <c r="CB49" s="49"/>
      <c r="CC49" s="37"/>
      <c r="CD49" s="37"/>
      <c r="CE49" s="37"/>
      <c r="CF49" s="37"/>
      <c r="CG49" s="37"/>
      <c r="CH49" s="37"/>
      <c r="CI49" s="50"/>
      <c r="CJ49" s="49"/>
      <c r="CK49" s="37"/>
      <c r="CL49" s="37"/>
      <c r="CM49" s="37"/>
      <c r="CN49" s="37"/>
      <c r="CO49" s="37"/>
      <c r="CP49" s="37"/>
      <c r="CQ49" s="50"/>
      <c r="CR49" s="49"/>
      <c r="CS49" s="37"/>
      <c r="CT49" s="37"/>
      <c r="CU49" s="37"/>
      <c r="CV49" s="37"/>
      <c r="CW49" s="37"/>
      <c r="CX49" s="37"/>
      <c r="CY49" s="50"/>
      <c r="CZ49" s="49"/>
      <c r="DA49" s="37"/>
      <c r="DB49" s="37"/>
      <c r="DC49" s="37"/>
      <c r="DD49" s="37"/>
      <c r="DE49" s="37"/>
      <c r="DF49" s="37"/>
      <c r="DG49" s="50"/>
      <c r="DH49" s="49"/>
      <c r="DI49" s="37"/>
      <c r="DJ49" s="37"/>
      <c r="DK49" s="37"/>
      <c r="DL49" s="37"/>
      <c r="DM49" s="37"/>
      <c r="DN49" s="37"/>
      <c r="DO49" s="50"/>
      <c r="DP49" s="49"/>
      <c r="DQ49" s="37"/>
      <c r="DR49" s="37"/>
      <c r="DS49" s="37"/>
      <c r="DT49" s="37"/>
      <c r="DU49" s="37"/>
      <c r="DV49" s="37"/>
      <c r="DW49" s="50"/>
      <c r="DX49" s="49"/>
      <c r="DY49" s="37"/>
      <c r="DZ49" s="37"/>
      <c r="EA49" s="37"/>
      <c r="EB49" s="37"/>
      <c r="EC49" s="37"/>
      <c r="ED49" s="37"/>
      <c r="EE49" s="50"/>
      <c r="EF49" s="49"/>
      <c r="EG49" s="37"/>
      <c r="EH49" s="37"/>
      <c r="EI49" s="37"/>
      <c r="EJ49" s="37"/>
      <c r="EK49" s="37"/>
      <c r="EL49" s="37"/>
      <c r="EM49" s="50"/>
      <c r="EN49" s="22"/>
      <c r="EO49" s="12"/>
      <c r="EP49" s="12"/>
      <c r="EQ49" s="12"/>
      <c r="ER49" s="12"/>
      <c r="ES49" s="12"/>
      <c r="ET49" s="12"/>
      <c r="EU49" s="23"/>
      <c r="EV49" s="49"/>
      <c r="EW49" s="37"/>
      <c r="EX49" s="37"/>
      <c r="EY49" s="37"/>
      <c r="EZ49" s="37"/>
      <c r="FA49" s="37"/>
      <c r="FB49" s="37"/>
      <c r="FC49" s="50"/>
      <c r="FD49" s="49"/>
      <c r="FE49" s="37"/>
      <c r="FF49" s="37"/>
      <c r="FG49" s="37"/>
      <c r="FH49" s="37"/>
      <c r="FI49" s="37"/>
      <c r="FJ49" s="37"/>
      <c r="FK49" s="50"/>
      <c r="FL49" s="37"/>
      <c r="FM49" s="37"/>
      <c r="FN49" s="37"/>
    </row>
    <row r="50" spans="1:170" x14ac:dyDescent="0.25">
      <c r="A50" s="38">
        <f t="shared" si="1"/>
        <v>49</v>
      </c>
      <c r="B50" s="52" t="s">
        <v>832</v>
      </c>
      <c r="C50" s="37" t="s">
        <v>833</v>
      </c>
      <c r="D50" s="48">
        <v>44823.730752314812</v>
      </c>
      <c r="E50" s="37" t="s">
        <v>784</v>
      </c>
      <c r="F50" s="37" t="s">
        <v>784</v>
      </c>
      <c r="G50" s="37" t="s">
        <v>785</v>
      </c>
      <c r="H50" s="49" t="s">
        <v>530</v>
      </c>
      <c r="I50" s="37" t="s">
        <v>529</v>
      </c>
      <c r="J50" s="37" t="s">
        <v>221</v>
      </c>
      <c r="K50" s="37">
        <v>30</v>
      </c>
      <c r="L50" s="37"/>
      <c r="M50" s="37"/>
      <c r="N50" s="37" t="s">
        <v>223</v>
      </c>
      <c r="O50" s="50" t="s">
        <v>834</v>
      </c>
      <c r="P50" s="49" t="s">
        <v>663</v>
      </c>
      <c r="Q50" s="37" t="s">
        <v>662</v>
      </c>
      <c r="R50" s="37" t="s">
        <v>570</v>
      </c>
      <c r="S50" s="37">
        <v>8</v>
      </c>
      <c r="T50" s="37"/>
      <c r="U50" s="37"/>
      <c r="V50" s="37" t="s">
        <v>223</v>
      </c>
      <c r="W50" s="50" t="s">
        <v>788</v>
      </c>
      <c r="X50" s="49" t="s">
        <v>447</v>
      </c>
      <c r="Y50" s="37" t="s">
        <v>446</v>
      </c>
      <c r="Z50" s="37" t="s">
        <v>448</v>
      </c>
      <c r="AA50" s="37">
        <v>2</v>
      </c>
      <c r="AB50" s="37"/>
      <c r="AC50" s="37"/>
      <c r="AD50" s="37" t="s">
        <v>223</v>
      </c>
      <c r="AE50" s="50" t="s">
        <v>835</v>
      </c>
      <c r="AF50" s="49" t="s">
        <v>685</v>
      </c>
      <c r="AG50" s="37" t="s">
        <v>684</v>
      </c>
      <c r="AH50" s="37" t="s">
        <v>221</v>
      </c>
      <c r="AI50" s="37">
        <v>6</v>
      </c>
      <c r="AJ50" s="37"/>
      <c r="AK50" s="37"/>
      <c r="AL50" s="37" t="s">
        <v>223</v>
      </c>
      <c r="AM50" s="50"/>
      <c r="AN50" s="49" t="s">
        <v>379</v>
      </c>
      <c r="AO50" s="37" t="s">
        <v>378</v>
      </c>
      <c r="AP50" s="37" t="s">
        <v>221</v>
      </c>
      <c r="AQ50" s="37">
        <v>5</v>
      </c>
      <c r="AR50" s="37"/>
      <c r="AS50" s="37"/>
      <c r="AT50" s="37" t="s">
        <v>223</v>
      </c>
      <c r="AU50" s="50"/>
      <c r="AV50" s="49" t="s">
        <v>554</v>
      </c>
      <c r="AW50" s="37" t="s">
        <v>553</v>
      </c>
      <c r="AX50" s="37" t="s">
        <v>221</v>
      </c>
      <c r="AY50" s="37">
        <v>150</v>
      </c>
      <c r="AZ50" s="37"/>
      <c r="BA50" s="37"/>
      <c r="BB50" s="37" t="s">
        <v>223</v>
      </c>
      <c r="BC50" s="50"/>
      <c r="BD50" s="49"/>
      <c r="BE50" s="37"/>
      <c r="BF50" s="37"/>
      <c r="BG50" s="37"/>
      <c r="BH50" s="37"/>
      <c r="BI50" s="37"/>
      <c r="BJ50" s="37"/>
      <c r="BK50" s="50"/>
      <c r="BL50" s="49"/>
      <c r="BM50" s="37"/>
      <c r="BN50" s="37"/>
      <c r="BO50" s="37"/>
      <c r="BP50" s="37"/>
      <c r="BQ50" s="37"/>
      <c r="BR50" s="37"/>
      <c r="BS50" s="50"/>
      <c r="BT50" s="49"/>
      <c r="BU50" s="37"/>
      <c r="BV50" s="37"/>
      <c r="BW50" s="37"/>
      <c r="BX50" s="37"/>
      <c r="BY50" s="37"/>
      <c r="BZ50" s="37"/>
      <c r="CA50" s="50"/>
      <c r="CB50" s="49"/>
      <c r="CC50" s="37"/>
      <c r="CD50" s="37"/>
      <c r="CE50" s="37"/>
      <c r="CF50" s="37"/>
      <c r="CG50" s="37"/>
      <c r="CH50" s="37"/>
      <c r="CI50" s="50"/>
      <c r="CJ50" s="49"/>
      <c r="CK50" s="37"/>
      <c r="CL50" s="37"/>
      <c r="CM50" s="37"/>
      <c r="CN50" s="37"/>
      <c r="CO50" s="37"/>
      <c r="CP50" s="37"/>
      <c r="CQ50" s="50"/>
      <c r="CR50" s="49"/>
      <c r="CS50" s="37"/>
      <c r="CT50" s="37"/>
      <c r="CU50" s="37"/>
      <c r="CV50" s="37"/>
      <c r="CW50" s="37"/>
      <c r="CX50" s="37"/>
      <c r="CY50" s="50"/>
      <c r="CZ50" s="49"/>
      <c r="DA50" s="37"/>
      <c r="DB50" s="37"/>
      <c r="DC50" s="37"/>
      <c r="DD50" s="37"/>
      <c r="DE50" s="37"/>
      <c r="DF50" s="37"/>
      <c r="DG50" s="50"/>
      <c r="DH50" s="49"/>
      <c r="DI50" s="37"/>
      <c r="DJ50" s="37"/>
      <c r="DK50" s="37"/>
      <c r="DL50" s="37"/>
      <c r="DM50" s="37"/>
      <c r="DN50" s="37"/>
      <c r="DO50" s="50"/>
      <c r="DP50" s="49"/>
      <c r="DQ50" s="37"/>
      <c r="DR50" s="37"/>
      <c r="DS50" s="37"/>
      <c r="DT50" s="37"/>
      <c r="DU50" s="37"/>
      <c r="DV50" s="37"/>
      <c r="DW50" s="50"/>
      <c r="DX50" s="49"/>
      <c r="DY50" s="37"/>
      <c r="DZ50" s="37"/>
      <c r="EA50" s="37"/>
      <c r="EB50" s="37"/>
      <c r="EC50" s="37"/>
      <c r="ED50" s="37"/>
      <c r="EE50" s="50"/>
      <c r="EF50" s="49"/>
      <c r="EG50" s="37"/>
      <c r="EH50" s="37"/>
      <c r="EI50" s="37"/>
      <c r="EJ50" s="37"/>
      <c r="EK50" s="37"/>
      <c r="EL50" s="37"/>
      <c r="EM50" s="50"/>
      <c r="EN50" s="22"/>
      <c r="EO50" s="12"/>
      <c r="EP50" s="12"/>
      <c r="EQ50" s="12"/>
      <c r="ER50" s="12"/>
      <c r="ES50" s="12"/>
      <c r="ET50" s="12"/>
      <c r="EU50" s="23"/>
      <c r="EV50" s="49"/>
      <c r="EW50" s="37"/>
      <c r="EX50" s="37"/>
      <c r="EY50" s="37"/>
      <c r="EZ50" s="37"/>
      <c r="FA50" s="37"/>
      <c r="FB50" s="37"/>
      <c r="FC50" s="50"/>
      <c r="FD50" s="49"/>
      <c r="FE50" s="37"/>
      <c r="FF50" s="37"/>
      <c r="FG50" s="37"/>
      <c r="FH50" s="37"/>
      <c r="FI50" s="37"/>
      <c r="FJ50" s="37"/>
      <c r="FK50" s="50"/>
      <c r="FL50" s="37"/>
      <c r="FM50" s="37"/>
      <c r="FN50" s="37"/>
    </row>
    <row r="51" spans="1:170" x14ac:dyDescent="0.25">
      <c r="A51" s="38">
        <f t="shared" si="1"/>
        <v>50</v>
      </c>
      <c r="B51" s="52" t="s">
        <v>836</v>
      </c>
      <c r="C51" s="37" t="s">
        <v>837</v>
      </c>
      <c r="D51" s="48">
        <v>44823.505185185182</v>
      </c>
      <c r="E51" s="37" t="s">
        <v>830</v>
      </c>
      <c r="F51" s="37" t="s">
        <v>784</v>
      </c>
      <c r="G51" s="37" t="s">
        <v>785</v>
      </c>
      <c r="H51" s="49" t="s">
        <v>711</v>
      </c>
      <c r="I51" s="37" t="s">
        <v>710</v>
      </c>
      <c r="J51" s="37" t="s">
        <v>448</v>
      </c>
      <c r="K51" s="37">
        <v>1</v>
      </c>
      <c r="L51" s="37"/>
      <c r="M51" s="37"/>
      <c r="N51" s="37" t="s">
        <v>223</v>
      </c>
      <c r="O51" s="50" t="s">
        <v>32</v>
      </c>
      <c r="P51" s="49" t="s">
        <v>606</v>
      </c>
      <c r="Q51" s="37" t="s">
        <v>605</v>
      </c>
      <c r="R51" s="37" t="s">
        <v>235</v>
      </c>
      <c r="S51" s="37">
        <v>1</v>
      </c>
      <c r="T51" s="37"/>
      <c r="U51" s="37"/>
      <c r="V51" s="37" t="s">
        <v>223</v>
      </c>
      <c r="W51" s="50"/>
      <c r="X51" s="49" t="s">
        <v>548</v>
      </c>
      <c r="Y51" s="37" t="s">
        <v>547</v>
      </c>
      <c r="Z51" s="37" t="s">
        <v>382</v>
      </c>
      <c r="AA51" s="37">
        <v>1</v>
      </c>
      <c r="AB51" s="37"/>
      <c r="AC51" s="37"/>
      <c r="AD51" s="37" t="s">
        <v>223</v>
      </c>
      <c r="AE51" s="50" t="s">
        <v>32</v>
      </c>
      <c r="AF51" s="49" t="s">
        <v>416</v>
      </c>
      <c r="AG51" s="37" t="s">
        <v>415</v>
      </c>
      <c r="AH51" s="37" t="s">
        <v>221</v>
      </c>
      <c r="AI51" s="37">
        <v>2</v>
      </c>
      <c r="AJ51" s="37"/>
      <c r="AK51" s="37"/>
      <c r="AL51" s="37" t="s">
        <v>223</v>
      </c>
      <c r="AM51" s="50" t="s">
        <v>223</v>
      </c>
      <c r="AN51" s="49" t="s">
        <v>595</v>
      </c>
      <c r="AO51" s="37" t="s">
        <v>594</v>
      </c>
      <c r="AP51" s="37" t="s">
        <v>231</v>
      </c>
      <c r="AQ51" s="37">
        <v>2</v>
      </c>
      <c r="AR51" s="37"/>
      <c r="AS51" s="37"/>
      <c r="AT51" s="37" t="s">
        <v>223</v>
      </c>
      <c r="AU51" s="50" t="s">
        <v>223</v>
      </c>
      <c r="AV51" s="49" t="s">
        <v>335</v>
      </c>
      <c r="AW51" s="37" t="s">
        <v>334</v>
      </c>
      <c r="AX51" s="37" t="s">
        <v>243</v>
      </c>
      <c r="AY51" s="37">
        <v>4</v>
      </c>
      <c r="AZ51" s="37"/>
      <c r="BA51" s="37"/>
      <c r="BB51" s="37" t="s">
        <v>223</v>
      </c>
      <c r="BC51" s="50" t="s">
        <v>223</v>
      </c>
      <c r="BD51" s="49" t="s">
        <v>739</v>
      </c>
      <c r="BE51" s="37" t="s">
        <v>738</v>
      </c>
      <c r="BF51" s="37" t="s">
        <v>243</v>
      </c>
      <c r="BG51" s="37">
        <v>4</v>
      </c>
      <c r="BH51" s="37"/>
      <c r="BI51" s="37"/>
      <c r="BJ51" s="37" t="s">
        <v>223</v>
      </c>
      <c r="BK51" s="50" t="s">
        <v>223</v>
      </c>
      <c r="BL51" s="49"/>
      <c r="BM51" s="37"/>
      <c r="BN51" s="37"/>
      <c r="BO51" s="37"/>
      <c r="BP51" s="37"/>
      <c r="BQ51" s="37"/>
      <c r="BR51" s="37"/>
      <c r="BS51" s="50"/>
      <c r="BT51" s="49"/>
      <c r="BU51" s="37"/>
      <c r="BV51" s="37"/>
      <c r="BW51" s="37"/>
      <c r="BX51" s="37"/>
      <c r="BY51" s="37"/>
      <c r="BZ51" s="37"/>
      <c r="CA51" s="50"/>
      <c r="CB51" s="49"/>
      <c r="CC51" s="37"/>
      <c r="CD51" s="37"/>
      <c r="CE51" s="37"/>
      <c r="CF51" s="37"/>
      <c r="CG51" s="37"/>
      <c r="CH51" s="37"/>
      <c r="CI51" s="50"/>
      <c r="CJ51" s="49"/>
      <c r="CK51" s="37"/>
      <c r="CL51" s="37"/>
      <c r="CM51" s="37"/>
      <c r="CN51" s="37"/>
      <c r="CO51" s="37"/>
      <c r="CP51" s="37"/>
      <c r="CQ51" s="50"/>
      <c r="CR51" s="49"/>
      <c r="CS51" s="37"/>
      <c r="CT51" s="37"/>
      <c r="CU51" s="37"/>
      <c r="CV51" s="37"/>
      <c r="CW51" s="37"/>
      <c r="CX51" s="37"/>
      <c r="CY51" s="50"/>
      <c r="CZ51" s="49"/>
      <c r="DA51" s="37"/>
      <c r="DB51" s="37"/>
      <c r="DC51" s="37"/>
      <c r="DD51" s="37"/>
      <c r="DE51" s="37"/>
      <c r="DF51" s="37"/>
      <c r="DG51" s="50"/>
      <c r="DH51" s="49"/>
      <c r="DI51" s="37"/>
      <c r="DJ51" s="37"/>
      <c r="DK51" s="37"/>
      <c r="DL51" s="37"/>
      <c r="DM51" s="37"/>
      <c r="DN51" s="37"/>
      <c r="DO51" s="50"/>
      <c r="DP51" s="49"/>
      <c r="DQ51" s="37"/>
      <c r="DR51" s="37"/>
      <c r="DS51" s="37"/>
      <c r="DT51" s="37"/>
      <c r="DU51" s="37"/>
      <c r="DV51" s="37"/>
      <c r="DW51" s="50"/>
      <c r="DX51" s="49"/>
      <c r="DY51" s="37"/>
      <c r="DZ51" s="37"/>
      <c r="EA51" s="37"/>
      <c r="EB51" s="37"/>
      <c r="EC51" s="37"/>
      <c r="ED51" s="37"/>
      <c r="EE51" s="50"/>
      <c r="EF51" s="49"/>
      <c r="EG51" s="37"/>
      <c r="EH51" s="37"/>
      <c r="EI51" s="37"/>
      <c r="EJ51" s="37"/>
      <c r="EK51" s="37"/>
      <c r="EL51" s="37"/>
      <c r="EM51" s="50"/>
      <c r="EN51" s="22"/>
      <c r="EO51" s="12"/>
      <c r="EP51" s="12"/>
      <c r="EQ51" s="12"/>
      <c r="ER51" s="12"/>
      <c r="ES51" s="12"/>
      <c r="ET51" s="12"/>
      <c r="EU51" s="23"/>
      <c r="EV51" s="49"/>
      <c r="EW51" s="37"/>
      <c r="EX51" s="37"/>
      <c r="EY51" s="37"/>
      <c r="EZ51" s="37"/>
      <c r="FA51" s="37"/>
      <c r="FB51" s="37"/>
      <c r="FC51" s="50"/>
      <c r="FD51" s="49"/>
      <c r="FE51" s="37"/>
      <c r="FF51" s="37"/>
      <c r="FG51" s="37"/>
      <c r="FH51" s="37"/>
      <c r="FI51" s="37"/>
      <c r="FJ51" s="37"/>
      <c r="FK51" s="50"/>
      <c r="FL51" s="37" t="s">
        <v>223</v>
      </c>
      <c r="FM51" s="37"/>
      <c r="FN51" s="37"/>
    </row>
    <row r="52" spans="1:170" x14ac:dyDescent="0.25">
      <c r="A52" s="38">
        <f t="shared" si="1"/>
        <v>51</v>
      </c>
      <c r="B52" s="52" t="s">
        <v>838</v>
      </c>
      <c r="C52" s="37" t="s">
        <v>839</v>
      </c>
      <c r="D52" s="48">
        <v>44823.392928240741</v>
      </c>
      <c r="E52" s="37" t="s">
        <v>783</v>
      </c>
      <c r="F52" s="37" t="s">
        <v>840</v>
      </c>
      <c r="G52" s="37" t="s">
        <v>785</v>
      </c>
      <c r="H52" s="49" t="s">
        <v>572</v>
      </c>
      <c r="I52" s="37" t="s">
        <v>571</v>
      </c>
      <c r="J52" s="37" t="s">
        <v>221</v>
      </c>
      <c r="K52" s="37">
        <v>1</v>
      </c>
      <c r="L52" s="37"/>
      <c r="M52" s="37"/>
      <c r="N52" s="37" t="s">
        <v>223</v>
      </c>
      <c r="O52" s="50"/>
      <c r="P52" s="49"/>
      <c r="Q52" s="37"/>
      <c r="R52" s="37"/>
      <c r="S52" s="37"/>
      <c r="T52" s="37"/>
      <c r="U52" s="37"/>
      <c r="V52" s="37"/>
      <c r="W52" s="50"/>
      <c r="X52" s="49"/>
      <c r="Y52" s="37"/>
      <c r="Z52" s="37"/>
      <c r="AA52" s="37"/>
      <c r="AB52" s="37"/>
      <c r="AC52" s="37"/>
      <c r="AD52" s="37"/>
      <c r="AE52" s="50"/>
      <c r="AF52" s="49"/>
      <c r="AG52" s="37"/>
      <c r="AH52" s="37"/>
      <c r="AI52" s="37"/>
      <c r="AJ52" s="37"/>
      <c r="AK52" s="37"/>
      <c r="AL52" s="37"/>
      <c r="AM52" s="50"/>
      <c r="AN52" s="49"/>
      <c r="AO52" s="37"/>
      <c r="AP52" s="37"/>
      <c r="AQ52" s="37"/>
      <c r="AR52" s="37"/>
      <c r="AS52" s="37"/>
      <c r="AT52" s="37"/>
      <c r="AU52" s="50"/>
      <c r="AV52" s="49"/>
      <c r="AW52" s="37"/>
      <c r="AX52" s="37"/>
      <c r="AY52" s="37"/>
      <c r="AZ52" s="37"/>
      <c r="BA52" s="37"/>
      <c r="BB52" s="37"/>
      <c r="BC52" s="50"/>
      <c r="BD52" s="49"/>
      <c r="BE52" s="37"/>
      <c r="BF52" s="37"/>
      <c r="BG52" s="37"/>
      <c r="BH52" s="37"/>
      <c r="BI52" s="37"/>
      <c r="BJ52" s="37"/>
      <c r="BK52" s="50"/>
      <c r="BL52" s="49"/>
      <c r="BM52" s="37"/>
      <c r="BN52" s="37"/>
      <c r="BO52" s="37"/>
      <c r="BP52" s="37"/>
      <c r="BQ52" s="37"/>
      <c r="BR52" s="37"/>
      <c r="BS52" s="50"/>
      <c r="BT52" s="49"/>
      <c r="BU52" s="37"/>
      <c r="BV52" s="37"/>
      <c r="BW52" s="37"/>
      <c r="BX52" s="37"/>
      <c r="BY52" s="37"/>
      <c r="BZ52" s="37"/>
      <c r="CA52" s="50"/>
      <c r="CB52" s="49"/>
      <c r="CC52" s="37"/>
      <c r="CD52" s="37"/>
      <c r="CE52" s="37"/>
      <c r="CF52" s="37"/>
      <c r="CG52" s="37"/>
      <c r="CH52" s="37"/>
      <c r="CI52" s="50"/>
      <c r="CJ52" s="49"/>
      <c r="CK52" s="37"/>
      <c r="CL52" s="37"/>
      <c r="CM52" s="37"/>
      <c r="CN52" s="37"/>
      <c r="CO52" s="37"/>
      <c r="CP52" s="37"/>
      <c r="CQ52" s="50"/>
      <c r="CR52" s="49"/>
      <c r="CS52" s="37"/>
      <c r="CT52" s="37"/>
      <c r="CU52" s="37"/>
      <c r="CV52" s="37"/>
      <c r="CW52" s="37"/>
      <c r="CX52" s="37"/>
      <c r="CY52" s="50"/>
      <c r="CZ52" s="49"/>
      <c r="DA52" s="37"/>
      <c r="DB52" s="37"/>
      <c r="DC52" s="37"/>
      <c r="DD52" s="37"/>
      <c r="DE52" s="37"/>
      <c r="DF52" s="37"/>
      <c r="DG52" s="50"/>
      <c r="DH52" s="49"/>
      <c r="DI52" s="37"/>
      <c r="DJ52" s="37"/>
      <c r="DK52" s="37"/>
      <c r="DL52" s="37"/>
      <c r="DM52" s="37"/>
      <c r="DN52" s="37"/>
      <c r="DO52" s="50"/>
      <c r="DP52" s="49"/>
      <c r="DQ52" s="37"/>
      <c r="DR52" s="37"/>
      <c r="DS52" s="37"/>
      <c r="DT52" s="37"/>
      <c r="DU52" s="37"/>
      <c r="DV52" s="37"/>
      <c r="DW52" s="50"/>
      <c r="DX52" s="49"/>
      <c r="DY52" s="37"/>
      <c r="DZ52" s="37"/>
      <c r="EA52" s="37"/>
      <c r="EB52" s="37"/>
      <c r="EC52" s="37"/>
      <c r="ED52" s="37"/>
      <c r="EE52" s="50"/>
      <c r="EF52" s="49"/>
      <c r="EG52" s="37"/>
      <c r="EH52" s="37"/>
      <c r="EI52" s="37"/>
      <c r="EJ52" s="37"/>
      <c r="EK52" s="37"/>
      <c r="EL52" s="37"/>
      <c r="EM52" s="50"/>
      <c r="EN52" s="22"/>
      <c r="EO52" s="12"/>
      <c r="EP52" s="12"/>
      <c r="EQ52" s="12"/>
      <c r="ER52" s="12"/>
      <c r="ES52" s="12"/>
      <c r="ET52" s="12"/>
      <c r="EU52" s="23"/>
      <c r="EV52" s="49"/>
      <c r="EW52" s="37"/>
      <c r="EX52" s="37"/>
      <c r="EY52" s="37"/>
      <c r="EZ52" s="37"/>
      <c r="FA52" s="37"/>
      <c r="FB52" s="37"/>
      <c r="FC52" s="50"/>
      <c r="FD52" s="49"/>
      <c r="FE52" s="37"/>
      <c r="FF52" s="37"/>
      <c r="FG52" s="37"/>
      <c r="FH52" s="37"/>
      <c r="FI52" s="37"/>
      <c r="FJ52" s="37"/>
      <c r="FK52" s="50"/>
      <c r="FL52" s="37"/>
      <c r="FM52" s="37"/>
      <c r="FN52" s="37"/>
    </row>
    <row r="53" spans="1:170" x14ac:dyDescent="0.25">
      <c r="A53" s="38">
        <f t="shared" si="1"/>
        <v>52</v>
      </c>
      <c r="B53" s="52" t="s">
        <v>841</v>
      </c>
      <c r="C53" s="37" t="s">
        <v>839</v>
      </c>
      <c r="D53" s="48">
        <v>44823.390844907408</v>
      </c>
      <c r="E53" s="37" t="s">
        <v>783</v>
      </c>
      <c r="F53" s="37" t="s">
        <v>840</v>
      </c>
      <c r="G53" s="37" t="s">
        <v>785</v>
      </c>
      <c r="H53" s="49" t="s">
        <v>572</v>
      </c>
      <c r="I53" s="37" t="s">
        <v>571</v>
      </c>
      <c r="J53" s="37" t="s">
        <v>221</v>
      </c>
      <c r="K53" s="37">
        <v>1</v>
      </c>
      <c r="L53" s="37"/>
      <c r="M53" s="37"/>
      <c r="N53" s="37" t="s">
        <v>223</v>
      </c>
      <c r="O53" s="50"/>
      <c r="P53" s="49"/>
      <c r="Q53" s="37"/>
      <c r="R53" s="37"/>
      <c r="S53" s="37"/>
      <c r="T53" s="37"/>
      <c r="U53" s="37"/>
      <c r="V53" s="37"/>
      <c r="W53" s="50"/>
      <c r="X53" s="49"/>
      <c r="Y53" s="37"/>
      <c r="Z53" s="37"/>
      <c r="AA53" s="37"/>
      <c r="AB53" s="37"/>
      <c r="AC53" s="37"/>
      <c r="AD53" s="37"/>
      <c r="AE53" s="50"/>
      <c r="AF53" s="49"/>
      <c r="AG53" s="37"/>
      <c r="AH53" s="37"/>
      <c r="AI53" s="37"/>
      <c r="AJ53" s="37"/>
      <c r="AK53" s="37"/>
      <c r="AL53" s="37"/>
      <c r="AM53" s="50"/>
      <c r="AN53" s="49"/>
      <c r="AO53" s="37"/>
      <c r="AP53" s="37"/>
      <c r="AQ53" s="37"/>
      <c r="AR53" s="37"/>
      <c r="AS53" s="37"/>
      <c r="AT53" s="37"/>
      <c r="AU53" s="50"/>
      <c r="AV53" s="49"/>
      <c r="AW53" s="37"/>
      <c r="AX53" s="37"/>
      <c r="AY53" s="37"/>
      <c r="AZ53" s="37"/>
      <c r="BA53" s="37"/>
      <c r="BB53" s="37"/>
      <c r="BC53" s="50"/>
      <c r="BD53" s="49"/>
      <c r="BE53" s="37"/>
      <c r="BF53" s="37"/>
      <c r="BG53" s="37"/>
      <c r="BH53" s="37"/>
      <c r="BI53" s="37"/>
      <c r="BJ53" s="37"/>
      <c r="BK53" s="50"/>
      <c r="BL53" s="49"/>
      <c r="BM53" s="37"/>
      <c r="BN53" s="37"/>
      <c r="BO53" s="37"/>
      <c r="BP53" s="37"/>
      <c r="BQ53" s="37"/>
      <c r="BR53" s="37"/>
      <c r="BS53" s="50"/>
      <c r="BT53" s="49"/>
      <c r="BU53" s="37"/>
      <c r="BV53" s="37"/>
      <c r="BW53" s="37"/>
      <c r="BX53" s="37"/>
      <c r="BY53" s="37"/>
      <c r="BZ53" s="37"/>
      <c r="CA53" s="50"/>
      <c r="CB53" s="49"/>
      <c r="CC53" s="37"/>
      <c r="CD53" s="37"/>
      <c r="CE53" s="37"/>
      <c r="CF53" s="37"/>
      <c r="CG53" s="37"/>
      <c r="CH53" s="37"/>
      <c r="CI53" s="50"/>
      <c r="CJ53" s="49"/>
      <c r="CK53" s="37"/>
      <c r="CL53" s="37"/>
      <c r="CM53" s="37"/>
      <c r="CN53" s="37"/>
      <c r="CO53" s="37"/>
      <c r="CP53" s="37"/>
      <c r="CQ53" s="50"/>
      <c r="CR53" s="49"/>
      <c r="CS53" s="37"/>
      <c r="CT53" s="37"/>
      <c r="CU53" s="37"/>
      <c r="CV53" s="37"/>
      <c r="CW53" s="37"/>
      <c r="CX53" s="37"/>
      <c r="CY53" s="50"/>
      <c r="CZ53" s="49"/>
      <c r="DA53" s="37"/>
      <c r="DB53" s="37"/>
      <c r="DC53" s="37"/>
      <c r="DD53" s="37"/>
      <c r="DE53" s="37"/>
      <c r="DF53" s="37"/>
      <c r="DG53" s="50"/>
      <c r="DH53" s="49"/>
      <c r="DI53" s="37"/>
      <c r="DJ53" s="37"/>
      <c r="DK53" s="37"/>
      <c r="DL53" s="37"/>
      <c r="DM53" s="37"/>
      <c r="DN53" s="37"/>
      <c r="DO53" s="50"/>
      <c r="DP53" s="49"/>
      <c r="DQ53" s="37"/>
      <c r="DR53" s="37"/>
      <c r="DS53" s="37"/>
      <c r="DT53" s="37"/>
      <c r="DU53" s="37"/>
      <c r="DV53" s="37"/>
      <c r="DW53" s="50"/>
      <c r="DX53" s="49"/>
      <c r="DY53" s="37"/>
      <c r="DZ53" s="37"/>
      <c r="EA53" s="37"/>
      <c r="EB53" s="37"/>
      <c r="EC53" s="37"/>
      <c r="ED53" s="37"/>
      <c r="EE53" s="50"/>
      <c r="EF53" s="49"/>
      <c r="EG53" s="37"/>
      <c r="EH53" s="37"/>
      <c r="EI53" s="37"/>
      <c r="EJ53" s="37"/>
      <c r="EK53" s="37"/>
      <c r="EL53" s="37"/>
      <c r="EM53" s="50"/>
      <c r="EN53" s="22"/>
      <c r="EO53" s="12"/>
      <c r="EP53" s="12"/>
      <c r="EQ53" s="12"/>
      <c r="ER53" s="12"/>
      <c r="ES53" s="12"/>
      <c r="ET53" s="12"/>
      <c r="EU53" s="23"/>
      <c r="EV53" s="49"/>
      <c r="EW53" s="37"/>
      <c r="EX53" s="37"/>
      <c r="EY53" s="37"/>
      <c r="EZ53" s="37"/>
      <c r="FA53" s="37"/>
      <c r="FB53" s="37"/>
      <c r="FC53" s="50"/>
      <c r="FD53" s="49"/>
      <c r="FE53" s="37"/>
      <c r="FF53" s="37"/>
      <c r="FG53" s="37"/>
      <c r="FH53" s="37"/>
      <c r="FI53" s="37"/>
      <c r="FJ53" s="37"/>
      <c r="FK53" s="50"/>
      <c r="FL53" s="37"/>
      <c r="FM53" s="37"/>
      <c r="FN53" s="37"/>
    </row>
    <row r="54" spans="1:170" x14ac:dyDescent="0.25">
      <c r="A54" s="38">
        <f t="shared" si="1"/>
        <v>53</v>
      </c>
      <c r="B54" s="52" t="s">
        <v>842</v>
      </c>
      <c r="C54" s="37" t="s">
        <v>843</v>
      </c>
      <c r="D54" s="48">
        <v>44821.557870370372</v>
      </c>
      <c r="E54" s="37" t="s">
        <v>784</v>
      </c>
      <c r="F54" s="37" t="s">
        <v>784</v>
      </c>
      <c r="G54" s="37" t="s">
        <v>785</v>
      </c>
      <c r="H54" s="49" t="s">
        <v>844</v>
      </c>
      <c r="I54" s="37" t="s">
        <v>547</v>
      </c>
      <c r="J54" s="37" t="s">
        <v>243</v>
      </c>
      <c r="K54" s="37">
        <v>2</v>
      </c>
      <c r="L54" s="37"/>
      <c r="M54" s="37"/>
      <c r="N54" s="37" t="s">
        <v>223</v>
      </c>
      <c r="O54" s="50" t="s">
        <v>845</v>
      </c>
      <c r="P54" s="49" t="s">
        <v>534</v>
      </c>
      <c r="Q54" s="37" t="s">
        <v>533</v>
      </c>
      <c r="R54" s="37" t="s">
        <v>240</v>
      </c>
      <c r="S54" s="37">
        <v>2</v>
      </c>
      <c r="T54" s="37"/>
      <c r="U54" s="37"/>
      <c r="V54" s="37" t="s">
        <v>32</v>
      </c>
      <c r="W54" s="50" t="s">
        <v>223</v>
      </c>
      <c r="X54" s="49" t="s">
        <v>238</v>
      </c>
      <c r="Y54" s="37" t="s">
        <v>237</v>
      </c>
      <c r="Z54" s="37" t="s">
        <v>240</v>
      </c>
      <c r="AA54" s="37">
        <v>1</v>
      </c>
      <c r="AB54" s="37"/>
      <c r="AC54" s="37"/>
      <c r="AD54" s="37" t="s">
        <v>223</v>
      </c>
      <c r="AE54" s="50" t="s">
        <v>223</v>
      </c>
      <c r="AF54" s="49" t="s">
        <v>599</v>
      </c>
      <c r="AG54" s="37" t="s">
        <v>598</v>
      </c>
      <c r="AH54" s="37" t="s">
        <v>240</v>
      </c>
      <c r="AI54" s="37">
        <v>1</v>
      </c>
      <c r="AJ54" s="37"/>
      <c r="AK54" s="37"/>
      <c r="AL54" s="37" t="s">
        <v>223</v>
      </c>
      <c r="AM54" s="50" t="s">
        <v>223</v>
      </c>
      <c r="AN54" s="49" t="s">
        <v>508</v>
      </c>
      <c r="AO54" s="37" t="s">
        <v>507</v>
      </c>
      <c r="AP54" s="37" t="s">
        <v>240</v>
      </c>
      <c r="AQ54" s="37">
        <v>1</v>
      </c>
      <c r="AR54" s="37"/>
      <c r="AS54" s="37"/>
      <c r="AT54" s="37" t="s">
        <v>223</v>
      </c>
      <c r="AU54" s="50" t="s">
        <v>32</v>
      </c>
      <c r="AV54" s="49" t="s">
        <v>619</v>
      </c>
      <c r="AW54" s="37" t="s">
        <v>618</v>
      </c>
      <c r="AX54" s="37" t="s">
        <v>620</v>
      </c>
      <c r="AY54" s="37">
        <v>2</v>
      </c>
      <c r="AZ54" s="37"/>
      <c r="BA54" s="37"/>
      <c r="BB54" s="37" t="s">
        <v>223</v>
      </c>
      <c r="BC54" s="50" t="s">
        <v>846</v>
      </c>
      <c r="BD54" s="49" t="s">
        <v>581</v>
      </c>
      <c r="BE54" s="37" t="s">
        <v>580</v>
      </c>
      <c r="BF54" s="37" t="s">
        <v>221</v>
      </c>
      <c r="BG54" s="37">
        <v>2</v>
      </c>
      <c r="BH54" s="37"/>
      <c r="BI54" s="37"/>
      <c r="BJ54" s="37" t="s">
        <v>223</v>
      </c>
      <c r="BK54" s="50" t="s">
        <v>847</v>
      </c>
      <c r="BL54" s="49"/>
      <c r="BM54" s="37"/>
      <c r="BN54" s="37"/>
      <c r="BO54" s="37"/>
      <c r="BP54" s="37"/>
      <c r="BQ54" s="37"/>
      <c r="BR54" s="37"/>
      <c r="BS54" s="50"/>
      <c r="BT54" s="49"/>
      <c r="BU54" s="37"/>
      <c r="BV54" s="37"/>
      <c r="BW54" s="37"/>
      <c r="BX54" s="37"/>
      <c r="BY54" s="37"/>
      <c r="BZ54" s="37"/>
      <c r="CA54" s="50"/>
      <c r="CB54" s="49"/>
      <c r="CC54" s="37"/>
      <c r="CD54" s="37"/>
      <c r="CE54" s="37"/>
      <c r="CF54" s="37"/>
      <c r="CG54" s="37"/>
      <c r="CH54" s="37"/>
      <c r="CI54" s="50"/>
      <c r="CJ54" s="49"/>
      <c r="CK54" s="37"/>
      <c r="CL54" s="37"/>
      <c r="CM54" s="37"/>
      <c r="CN54" s="37"/>
      <c r="CO54" s="37"/>
      <c r="CP54" s="37"/>
      <c r="CQ54" s="50"/>
      <c r="CR54" s="49"/>
      <c r="CS54" s="37"/>
      <c r="CT54" s="37"/>
      <c r="CU54" s="37"/>
      <c r="CV54" s="37"/>
      <c r="CW54" s="37"/>
      <c r="CX54" s="37"/>
      <c r="CY54" s="50"/>
      <c r="CZ54" s="49"/>
      <c r="DA54" s="37"/>
      <c r="DB54" s="37"/>
      <c r="DC54" s="37"/>
      <c r="DD54" s="37"/>
      <c r="DE54" s="37"/>
      <c r="DF54" s="37"/>
      <c r="DG54" s="50"/>
      <c r="DH54" s="49"/>
      <c r="DI54" s="37"/>
      <c r="DJ54" s="37"/>
      <c r="DK54" s="37"/>
      <c r="DL54" s="37"/>
      <c r="DM54" s="37"/>
      <c r="DN54" s="37"/>
      <c r="DO54" s="50"/>
      <c r="DP54" s="49"/>
      <c r="DQ54" s="37"/>
      <c r="DR54" s="37"/>
      <c r="DS54" s="37"/>
      <c r="DT54" s="37"/>
      <c r="DU54" s="37"/>
      <c r="DV54" s="37"/>
      <c r="DW54" s="50"/>
      <c r="DX54" s="49"/>
      <c r="DY54" s="37"/>
      <c r="DZ54" s="37"/>
      <c r="EA54" s="37"/>
      <c r="EB54" s="37"/>
      <c r="EC54" s="37"/>
      <c r="ED54" s="37"/>
      <c r="EE54" s="50"/>
      <c r="EF54" s="49"/>
      <c r="EG54" s="37"/>
      <c r="EH54" s="37"/>
      <c r="EI54" s="37"/>
      <c r="EJ54" s="37"/>
      <c r="EK54" s="37"/>
      <c r="EL54" s="37"/>
      <c r="EM54" s="50"/>
      <c r="EN54" s="22"/>
      <c r="EO54" s="12"/>
      <c r="EP54" s="12"/>
      <c r="EQ54" s="12"/>
      <c r="ER54" s="12"/>
      <c r="ES54" s="12"/>
      <c r="ET54" s="12"/>
      <c r="EU54" s="23"/>
      <c r="EV54" s="49"/>
      <c r="EW54" s="37"/>
      <c r="EX54" s="37"/>
      <c r="EY54" s="37"/>
      <c r="EZ54" s="37"/>
      <c r="FA54" s="37"/>
      <c r="FB54" s="37"/>
      <c r="FC54" s="50"/>
      <c r="FD54" s="49"/>
      <c r="FE54" s="37"/>
      <c r="FF54" s="37"/>
      <c r="FG54" s="37"/>
      <c r="FH54" s="37"/>
      <c r="FI54" s="37"/>
      <c r="FJ54" s="37"/>
      <c r="FK54" s="50"/>
      <c r="FL54" s="37" t="s">
        <v>848</v>
      </c>
      <c r="FM54" s="37"/>
      <c r="FN54" s="37"/>
    </row>
    <row r="55" spans="1:170" x14ac:dyDescent="0.25">
      <c r="A55" s="38">
        <f t="shared" si="1"/>
        <v>54</v>
      </c>
      <c r="B55" s="52" t="s">
        <v>849</v>
      </c>
      <c r="C55" s="37" t="s">
        <v>843</v>
      </c>
      <c r="D55" s="48">
        <v>44821.521157407406</v>
      </c>
      <c r="E55" s="37" t="s">
        <v>784</v>
      </c>
      <c r="F55" s="37" t="s">
        <v>784</v>
      </c>
      <c r="G55" s="37" t="s">
        <v>785</v>
      </c>
      <c r="H55" s="49" t="s">
        <v>628</v>
      </c>
      <c r="I55" s="37" t="s">
        <v>627</v>
      </c>
      <c r="J55" s="37" t="s">
        <v>240</v>
      </c>
      <c r="K55" s="37">
        <v>1</v>
      </c>
      <c r="L55" s="37"/>
      <c r="M55" s="37"/>
      <c r="N55" s="37" t="s">
        <v>629</v>
      </c>
      <c r="O55" s="50" t="s">
        <v>850</v>
      </c>
      <c r="P55" s="49"/>
      <c r="Q55" s="37"/>
      <c r="R55" s="37"/>
      <c r="S55" s="37"/>
      <c r="T55" s="37"/>
      <c r="U55" s="37"/>
      <c r="V55" s="37"/>
      <c r="W55" s="50"/>
      <c r="X55" s="49"/>
      <c r="Y55" s="37"/>
      <c r="Z55" s="37"/>
      <c r="AA55" s="37"/>
      <c r="AB55" s="37"/>
      <c r="AC55" s="37"/>
      <c r="AD55" s="37"/>
      <c r="AE55" s="50"/>
      <c r="AF55" s="49"/>
      <c r="AG55" s="37"/>
      <c r="AH55" s="37"/>
      <c r="AI55" s="37"/>
      <c r="AJ55" s="37"/>
      <c r="AK55" s="37"/>
      <c r="AL55" s="37"/>
      <c r="AM55" s="50"/>
      <c r="AN55" s="49"/>
      <c r="AO55" s="37"/>
      <c r="AP55" s="37"/>
      <c r="AQ55" s="37"/>
      <c r="AR55" s="37"/>
      <c r="AS55" s="37"/>
      <c r="AT55" s="37"/>
      <c r="AU55" s="50"/>
      <c r="AV55" s="49"/>
      <c r="AW55" s="37"/>
      <c r="AX55" s="37"/>
      <c r="AY55" s="37"/>
      <c r="AZ55" s="37"/>
      <c r="BA55" s="37"/>
      <c r="BB55" s="37"/>
      <c r="BC55" s="50"/>
      <c r="BD55" s="49"/>
      <c r="BE55" s="37"/>
      <c r="BF55" s="37"/>
      <c r="BG55" s="37"/>
      <c r="BH55" s="37"/>
      <c r="BI55" s="37"/>
      <c r="BJ55" s="37"/>
      <c r="BK55" s="50"/>
      <c r="BL55" s="49"/>
      <c r="BM55" s="37"/>
      <c r="BN55" s="37"/>
      <c r="BO55" s="37"/>
      <c r="BP55" s="37"/>
      <c r="BQ55" s="37"/>
      <c r="BR55" s="37"/>
      <c r="BS55" s="50"/>
      <c r="BT55" s="49"/>
      <c r="BU55" s="37"/>
      <c r="BV55" s="37"/>
      <c r="BW55" s="37"/>
      <c r="BX55" s="37"/>
      <c r="BY55" s="37"/>
      <c r="BZ55" s="37"/>
      <c r="CA55" s="50"/>
      <c r="CB55" s="49"/>
      <c r="CC55" s="37"/>
      <c r="CD55" s="37"/>
      <c r="CE55" s="37"/>
      <c r="CF55" s="37"/>
      <c r="CG55" s="37"/>
      <c r="CH55" s="37"/>
      <c r="CI55" s="50"/>
      <c r="CJ55" s="49"/>
      <c r="CK55" s="37"/>
      <c r="CL55" s="37"/>
      <c r="CM55" s="37"/>
      <c r="CN55" s="37"/>
      <c r="CO55" s="37"/>
      <c r="CP55" s="37"/>
      <c r="CQ55" s="50"/>
      <c r="CR55" s="49"/>
      <c r="CS55" s="37"/>
      <c r="CT55" s="37"/>
      <c r="CU55" s="37"/>
      <c r="CV55" s="37"/>
      <c r="CW55" s="37"/>
      <c r="CX55" s="37"/>
      <c r="CY55" s="50"/>
      <c r="CZ55" s="49"/>
      <c r="DA55" s="37"/>
      <c r="DB55" s="37"/>
      <c r="DC55" s="37"/>
      <c r="DD55" s="37"/>
      <c r="DE55" s="37"/>
      <c r="DF55" s="37"/>
      <c r="DG55" s="50"/>
      <c r="DH55" s="49"/>
      <c r="DI55" s="37"/>
      <c r="DJ55" s="37"/>
      <c r="DK55" s="37"/>
      <c r="DL55" s="37"/>
      <c r="DM55" s="37"/>
      <c r="DN55" s="37"/>
      <c r="DO55" s="50"/>
      <c r="DP55" s="49"/>
      <c r="DQ55" s="37"/>
      <c r="DR55" s="37"/>
      <c r="DS55" s="37"/>
      <c r="DT55" s="37"/>
      <c r="DU55" s="37"/>
      <c r="DV55" s="37"/>
      <c r="DW55" s="50"/>
      <c r="DX55" s="49"/>
      <c r="DY55" s="37"/>
      <c r="DZ55" s="37"/>
      <c r="EA55" s="37"/>
      <c r="EB55" s="37"/>
      <c r="EC55" s="37"/>
      <c r="ED55" s="37"/>
      <c r="EE55" s="50"/>
      <c r="EF55" s="49"/>
      <c r="EG55" s="37"/>
      <c r="EH55" s="37"/>
      <c r="EI55" s="37"/>
      <c r="EJ55" s="37"/>
      <c r="EK55" s="37"/>
      <c r="EL55" s="37"/>
      <c r="EM55" s="50"/>
      <c r="EN55" s="22"/>
      <c r="EO55" s="12"/>
      <c r="EP55" s="12"/>
      <c r="EQ55" s="12"/>
      <c r="ER55" s="12"/>
      <c r="ES55" s="12"/>
      <c r="ET55" s="12"/>
      <c r="EU55" s="23"/>
      <c r="EV55" s="49"/>
      <c r="EW55" s="37"/>
      <c r="EX55" s="37"/>
      <c r="EY55" s="37"/>
      <c r="EZ55" s="37"/>
      <c r="FA55" s="37"/>
      <c r="FB55" s="37"/>
      <c r="FC55" s="50"/>
      <c r="FD55" s="49"/>
      <c r="FE55" s="37"/>
      <c r="FF55" s="37"/>
      <c r="FG55" s="37"/>
      <c r="FH55" s="37"/>
      <c r="FI55" s="37"/>
      <c r="FJ55" s="37"/>
      <c r="FK55" s="50"/>
      <c r="FL55" s="37" t="s">
        <v>850</v>
      </c>
      <c r="FM55" s="37"/>
      <c r="FN55" s="37"/>
    </row>
    <row r="56" spans="1:170" x14ac:dyDescent="0.25">
      <c r="A56" s="38">
        <f t="shared" si="1"/>
        <v>55</v>
      </c>
      <c r="B56" s="52" t="s">
        <v>851</v>
      </c>
      <c r="C56" s="37" t="s">
        <v>852</v>
      </c>
      <c r="D56" s="48">
        <v>44819.444398148145</v>
      </c>
      <c r="E56" s="37" t="s">
        <v>853</v>
      </c>
      <c r="F56" s="37" t="s">
        <v>853</v>
      </c>
      <c r="G56" s="37" t="s">
        <v>854</v>
      </c>
      <c r="H56" s="49" t="s">
        <v>693</v>
      </c>
      <c r="I56" s="37" t="s">
        <v>692</v>
      </c>
      <c r="J56" s="37" t="s">
        <v>235</v>
      </c>
      <c r="K56" s="37">
        <v>1</v>
      </c>
      <c r="L56" s="37" t="s">
        <v>855</v>
      </c>
      <c r="M56" s="37" t="s">
        <v>856</v>
      </c>
      <c r="N56" s="37" t="s">
        <v>32</v>
      </c>
      <c r="O56" s="50" t="s">
        <v>32</v>
      </c>
      <c r="P56" s="49"/>
      <c r="Q56" s="37"/>
      <c r="R56" s="37"/>
      <c r="S56" s="37"/>
      <c r="T56" s="37"/>
      <c r="U56" s="37"/>
      <c r="V56" s="37"/>
      <c r="W56" s="50"/>
      <c r="X56" s="49"/>
      <c r="Y56" s="37"/>
      <c r="Z56" s="37"/>
      <c r="AA56" s="37"/>
      <c r="AB56" s="37"/>
      <c r="AC56" s="37"/>
      <c r="AD56" s="37"/>
      <c r="AE56" s="50"/>
      <c r="AF56" s="49"/>
      <c r="AG56" s="37"/>
      <c r="AH56" s="37"/>
      <c r="AI56" s="37"/>
      <c r="AJ56" s="37"/>
      <c r="AK56" s="37"/>
      <c r="AL56" s="37"/>
      <c r="AM56" s="50"/>
      <c r="AN56" s="49"/>
      <c r="AO56" s="37"/>
      <c r="AP56" s="37"/>
      <c r="AQ56" s="37"/>
      <c r="AR56" s="37"/>
      <c r="AS56" s="37"/>
      <c r="AT56" s="37"/>
      <c r="AU56" s="50"/>
      <c r="AV56" s="49"/>
      <c r="AW56" s="37"/>
      <c r="AX56" s="37"/>
      <c r="AY56" s="37"/>
      <c r="AZ56" s="37"/>
      <c r="BA56" s="37"/>
      <c r="BB56" s="37"/>
      <c r="BC56" s="50"/>
      <c r="BD56" s="49"/>
      <c r="BE56" s="37"/>
      <c r="BF56" s="37"/>
      <c r="BG56" s="37"/>
      <c r="BH56" s="37"/>
      <c r="BI56" s="37"/>
      <c r="BJ56" s="37"/>
      <c r="BK56" s="50"/>
      <c r="BL56" s="49"/>
      <c r="BM56" s="37"/>
      <c r="BN56" s="37"/>
      <c r="BO56" s="37"/>
      <c r="BP56" s="37"/>
      <c r="BQ56" s="37"/>
      <c r="BR56" s="37"/>
      <c r="BS56" s="50"/>
      <c r="BT56" s="49"/>
      <c r="BU56" s="37"/>
      <c r="BV56" s="37"/>
      <c r="BW56" s="37"/>
      <c r="BX56" s="37"/>
      <c r="BY56" s="37"/>
      <c r="BZ56" s="37"/>
      <c r="CA56" s="50"/>
      <c r="CB56" s="49"/>
      <c r="CC56" s="37"/>
      <c r="CD56" s="37"/>
      <c r="CE56" s="37"/>
      <c r="CF56" s="37"/>
      <c r="CG56" s="37"/>
      <c r="CH56" s="37"/>
      <c r="CI56" s="50"/>
      <c r="CJ56" s="49"/>
      <c r="CK56" s="37"/>
      <c r="CL56" s="37"/>
      <c r="CM56" s="37"/>
      <c r="CN56" s="37"/>
      <c r="CO56" s="37"/>
      <c r="CP56" s="37"/>
      <c r="CQ56" s="50"/>
      <c r="CR56" s="49"/>
      <c r="CS56" s="37"/>
      <c r="CT56" s="37"/>
      <c r="CU56" s="37"/>
      <c r="CV56" s="37"/>
      <c r="CW56" s="37"/>
      <c r="CX56" s="37"/>
      <c r="CY56" s="50"/>
      <c r="CZ56" s="49"/>
      <c r="DA56" s="37"/>
      <c r="DB56" s="37"/>
      <c r="DC56" s="37"/>
      <c r="DD56" s="37"/>
      <c r="DE56" s="37"/>
      <c r="DF56" s="37"/>
      <c r="DG56" s="50"/>
      <c r="DH56" s="49"/>
      <c r="DI56" s="37"/>
      <c r="DJ56" s="37"/>
      <c r="DK56" s="37"/>
      <c r="DL56" s="37"/>
      <c r="DM56" s="37"/>
      <c r="DN56" s="37"/>
      <c r="DO56" s="50"/>
      <c r="DP56" s="49"/>
      <c r="DQ56" s="37"/>
      <c r="DR56" s="37"/>
      <c r="DS56" s="37"/>
      <c r="DT56" s="37"/>
      <c r="DU56" s="37"/>
      <c r="DV56" s="37"/>
      <c r="DW56" s="50"/>
      <c r="DX56" s="49"/>
      <c r="DY56" s="37"/>
      <c r="DZ56" s="37"/>
      <c r="EA56" s="37"/>
      <c r="EB56" s="37"/>
      <c r="EC56" s="37"/>
      <c r="ED56" s="37"/>
      <c r="EE56" s="50"/>
      <c r="EF56" s="49"/>
      <c r="EG56" s="37"/>
      <c r="EH56" s="37"/>
      <c r="EI56" s="37"/>
      <c r="EJ56" s="37"/>
      <c r="EK56" s="37"/>
      <c r="EL56" s="37"/>
      <c r="EM56" s="50"/>
      <c r="EN56" s="22"/>
      <c r="EO56" s="12"/>
      <c r="EP56" s="12"/>
      <c r="EQ56" s="12"/>
      <c r="ER56" s="12"/>
      <c r="ES56" s="12"/>
      <c r="ET56" s="12"/>
      <c r="EU56" s="23"/>
      <c r="EV56" s="49"/>
      <c r="EW56" s="37"/>
      <c r="EX56" s="37"/>
      <c r="EY56" s="37"/>
      <c r="EZ56" s="37"/>
      <c r="FA56" s="37"/>
      <c r="FB56" s="37"/>
      <c r="FC56" s="50"/>
      <c r="FD56" s="49"/>
      <c r="FE56" s="37"/>
      <c r="FF56" s="37"/>
      <c r="FG56" s="37"/>
      <c r="FH56" s="37"/>
      <c r="FI56" s="37"/>
      <c r="FJ56" s="37"/>
      <c r="FK56" s="50"/>
      <c r="FL56" s="37"/>
      <c r="FM56" s="37"/>
      <c r="FN56" s="37"/>
    </row>
    <row r="57" spans="1:170" x14ac:dyDescent="0.25">
      <c r="A57" s="38">
        <f t="shared" si="1"/>
        <v>56</v>
      </c>
      <c r="B57" s="52" t="s">
        <v>857</v>
      </c>
      <c r="C57" s="37" t="s">
        <v>852</v>
      </c>
      <c r="D57" s="48">
        <v>44819.443657407406</v>
      </c>
      <c r="E57" s="37" t="s">
        <v>853</v>
      </c>
      <c r="F57" s="37" t="s">
        <v>853</v>
      </c>
      <c r="G57" s="37" t="s">
        <v>854</v>
      </c>
      <c r="H57" s="49" t="s">
        <v>693</v>
      </c>
      <c r="I57" s="37" t="s">
        <v>692</v>
      </c>
      <c r="J57" s="37" t="s">
        <v>235</v>
      </c>
      <c r="K57" s="37">
        <v>3</v>
      </c>
      <c r="L57" s="37" t="s">
        <v>855</v>
      </c>
      <c r="M57" s="37" t="s">
        <v>858</v>
      </c>
      <c r="N57" s="37" t="s">
        <v>32</v>
      </c>
      <c r="O57" s="50" t="s">
        <v>32</v>
      </c>
      <c r="P57" s="49"/>
      <c r="Q57" s="37"/>
      <c r="R57" s="37"/>
      <c r="S57" s="37"/>
      <c r="T57" s="37"/>
      <c r="U57" s="37"/>
      <c r="V57" s="37"/>
      <c r="W57" s="50"/>
      <c r="X57" s="49"/>
      <c r="Y57" s="37"/>
      <c r="Z57" s="37"/>
      <c r="AA57" s="37"/>
      <c r="AB57" s="37"/>
      <c r="AC57" s="37"/>
      <c r="AD57" s="37"/>
      <c r="AE57" s="50"/>
      <c r="AF57" s="49"/>
      <c r="AG57" s="37"/>
      <c r="AH57" s="37"/>
      <c r="AI57" s="37"/>
      <c r="AJ57" s="37"/>
      <c r="AK57" s="37"/>
      <c r="AL57" s="37"/>
      <c r="AM57" s="50"/>
      <c r="AN57" s="49"/>
      <c r="AO57" s="37"/>
      <c r="AP57" s="37"/>
      <c r="AQ57" s="37"/>
      <c r="AR57" s="37"/>
      <c r="AS57" s="37"/>
      <c r="AT57" s="37"/>
      <c r="AU57" s="50"/>
      <c r="AV57" s="49"/>
      <c r="AW57" s="37"/>
      <c r="AX57" s="37"/>
      <c r="AY57" s="37"/>
      <c r="AZ57" s="37"/>
      <c r="BA57" s="37"/>
      <c r="BB57" s="37"/>
      <c r="BC57" s="50"/>
      <c r="BD57" s="49"/>
      <c r="BE57" s="37"/>
      <c r="BF57" s="37"/>
      <c r="BG57" s="37"/>
      <c r="BH57" s="37"/>
      <c r="BI57" s="37"/>
      <c r="BJ57" s="37"/>
      <c r="BK57" s="50"/>
      <c r="BL57" s="49"/>
      <c r="BM57" s="37"/>
      <c r="BN57" s="37"/>
      <c r="BO57" s="37"/>
      <c r="BP57" s="37"/>
      <c r="BQ57" s="37"/>
      <c r="BR57" s="37"/>
      <c r="BS57" s="50"/>
      <c r="BT57" s="49"/>
      <c r="BU57" s="37"/>
      <c r="BV57" s="37"/>
      <c r="BW57" s="37"/>
      <c r="BX57" s="37"/>
      <c r="BY57" s="37"/>
      <c r="BZ57" s="37"/>
      <c r="CA57" s="50"/>
      <c r="CB57" s="49"/>
      <c r="CC57" s="37"/>
      <c r="CD57" s="37"/>
      <c r="CE57" s="37"/>
      <c r="CF57" s="37"/>
      <c r="CG57" s="37"/>
      <c r="CH57" s="37"/>
      <c r="CI57" s="50"/>
      <c r="CJ57" s="49"/>
      <c r="CK57" s="37"/>
      <c r="CL57" s="37"/>
      <c r="CM57" s="37"/>
      <c r="CN57" s="37"/>
      <c r="CO57" s="37"/>
      <c r="CP57" s="37"/>
      <c r="CQ57" s="50"/>
      <c r="CR57" s="49"/>
      <c r="CS57" s="37"/>
      <c r="CT57" s="37"/>
      <c r="CU57" s="37"/>
      <c r="CV57" s="37"/>
      <c r="CW57" s="37"/>
      <c r="CX57" s="37"/>
      <c r="CY57" s="50"/>
      <c r="CZ57" s="49"/>
      <c r="DA57" s="37"/>
      <c r="DB57" s="37"/>
      <c r="DC57" s="37"/>
      <c r="DD57" s="37"/>
      <c r="DE57" s="37"/>
      <c r="DF57" s="37"/>
      <c r="DG57" s="50"/>
      <c r="DH57" s="49"/>
      <c r="DI57" s="37"/>
      <c r="DJ57" s="37"/>
      <c r="DK57" s="37"/>
      <c r="DL57" s="37"/>
      <c r="DM57" s="37"/>
      <c r="DN57" s="37"/>
      <c r="DO57" s="50"/>
      <c r="DP57" s="49"/>
      <c r="DQ57" s="37"/>
      <c r="DR57" s="37"/>
      <c r="DS57" s="37"/>
      <c r="DT57" s="37"/>
      <c r="DU57" s="37"/>
      <c r="DV57" s="37"/>
      <c r="DW57" s="50"/>
      <c r="DX57" s="49"/>
      <c r="DY57" s="37"/>
      <c r="DZ57" s="37"/>
      <c r="EA57" s="37"/>
      <c r="EB57" s="37"/>
      <c r="EC57" s="37"/>
      <c r="ED57" s="37"/>
      <c r="EE57" s="50"/>
      <c r="EF57" s="49"/>
      <c r="EG57" s="37"/>
      <c r="EH57" s="37"/>
      <c r="EI57" s="37"/>
      <c r="EJ57" s="37"/>
      <c r="EK57" s="37"/>
      <c r="EL57" s="37"/>
      <c r="EM57" s="50"/>
      <c r="EN57" s="22"/>
      <c r="EO57" s="12"/>
      <c r="EP57" s="12"/>
      <c r="EQ57" s="12"/>
      <c r="ER57" s="12"/>
      <c r="ES57" s="12"/>
      <c r="ET57" s="12"/>
      <c r="EU57" s="23"/>
      <c r="EV57" s="49"/>
      <c r="EW57" s="37"/>
      <c r="EX57" s="37"/>
      <c r="EY57" s="37"/>
      <c r="EZ57" s="37"/>
      <c r="FA57" s="37"/>
      <c r="FB57" s="37"/>
      <c r="FC57" s="50"/>
      <c r="FD57" s="49"/>
      <c r="FE57" s="37"/>
      <c r="FF57" s="37"/>
      <c r="FG57" s="37"/>
      <c r="FH57" s="37"/>
      <c r="FI57" s="37"/>
      <c r="FJ57" s="37"/>
      <c r="FK57" s="50"/>
      <c r="FL57" s="37"/>
      <c r="FM57" s="37"/>
      <c r="FN57" s="37"/>
    </row>
    <row r="58" spans="1:170" x14ac:dyDescent="0.25">
      <c r="A58" s="38">
        <f t="shared" si="1"/>
        <v>57</v>
      </c>
      <c r="B58" s="52" t="s">
        <v>859</v>
      </c>
      <c r="C58" s="37" t="s">
        <v>860</v>
      </c>
      <c r="D58" s="48">
        <v>44819.430902777778</v>
      </c>
      <c r="E58" s="37" t="s">
        <v>861</v>
      </c>
      <c r="F58" s="37" t="s">
        <v>862</v>
      </c>
      <c r="G58" s="37" t="s">
        <v>854</v>
      </c>
      <c r="H58" s="49" t="s">
        <v>225</v>
      </c>
      <c r="I58" s="37" t="s">
        <v>863</v>
      </c>
      <c r="J58" s="37" t="s">
        <v>518</v>
      </c>
      <c r="K58" s="37">
        <v>4</v>
      </c>
      <c r="L58" s="37"/>
      <c r="M58" s="37"/>
      <c r="N58" s="37" t="s">
        <v>520</v>
      </c>
      <c r="O58" s="50" t="s">
        <v>32</v>
      </c>
      <c r="P58" s="49" t="s">
        <v>624</v>
      </c>
      <c r="Q58" s="37" t="s">
        <v>864</v>
      </c>
      <c r="R58" s="37" t="s">
        <v>626</v>
      </c>
      <c r="S58" s="37">
        <v>1</v>
      </c>
      <c r="T58" s="37"/>
      <c r="U58" s="37"/>
      <c r="V58" s="37" t="s">
        <v>32</v>
      </c>
      <c r="W58" s="50" t="s">
        <v>32</v>
      </c>
      <c r="X58" s="49" t="s">
        <v>242</v>
      </c>
      <c r="Y58" s="37" t="s">
        <v>241</v>
      </c>
      <c r="Z58" s="37" t="s">
        <v>243</v>
      </c>
      <c r="AA58" s="37">
        <v>60</v>
      </c>
      <c r="AB58" s="37"/>
      <c r="AC58" s="37"/>
      <c r="AD58" s="37" t="s">
        <v>223</v>
      </c>
      <c r="AE58" s="50" t="s">
        <v>32</v>
      </c>
      <c r="AF58" s="49"/>
      <c r="AG58" s="37"/>
      <c r="AH58" s="37"/>
      <c r="AI58" s="37"/>
      <c r="AJ58" s="37"/>
      <c r="AK58" s="37"/>
      <c r="AL58" s="37"/>
      <c r="AM58" s="50"/>
      <c r="AN58" s="49"/>
      <c r="AO58" s="37"/>
      <c r="AP58" s="37"/>
      <c r="AQ58" s="37"/>
      <c r="AR58" s="37"/>
      <c r="AS58" s="37"/>
      <c r="AT58" s="37"/>
      <c r="AU58" s="50"/>
      <c r="AV58" s="49"/>
      <c r="AW58" s="37"/>
      <c r="AX58" s="37"/>
      <c r="AY58" s="37"/>
      <c r="AZ58" s="37"/>
      <c r="BA58" s="37"/>
      <c r="BB58" s="37"/>
      <c r="BC58" s="50"/>
      <c r="BD58" s="49"/>
      <c r="BE58" s="37"/>
      <c r="BF58" s="37"/>
      <c r="BG58" s="37"/>
      <c r="BH58" s="37"/>
      <c r="BI58" s="37"/>
      <c r="BJ58" s="37"/>
      <c r="BK58" s="50"/>
      <c r="BL58" s="49"/>
      <c r="BM58" s="37"/>
      <c r="BN58" s="37"/>
      <c r="BO58" s="37"/>
      <c r="BP58" s="37"/>
      <c r="BQ58" s="37"/>
      <c r="BR58" s="37"/>
      <c r="BS58" s="50"/>
      <c r="BT58" s="49"/>
      <c r="BU58" s="37"/>
      <c r="BV58" s="37"/>
      <c r="BW58" s="37"/>
      <c r="BX58" s="37"/>
      <c r="BY58" s="37"/>
      <c r="BZ58" s="37"/>
      <c r="CA58" s="50"/>
      <c r="CB58" s="49"/>
      <c r="CC58" s="37"/>
      <c r="CD58" s="37"/>
      <c r="CE58" s="37"/>
      <c r="CF58" s="37"/>
      <c r="CG58" s="37"/>
      <c r="CH58" s="37"/>
      <c r="CI58" s="50"/>
      <c r="CJ58" s="49"/>
      <c r="CK58" s="37"/>
      <c r="CL58" s="37"/>
      <c r="CM58" s="37"/>
      <c r="CN58" s="37"/>
      <c r="CO58" s="37"/>
      <c r="CP58" s="37"/>
      <c r="CQ58" s="50"/>
      <c r="CR58" s="49"/>
      <c r="CS58" s="37"/>
      <c r="CT58" s="37"/>
      <c r="CU58" s="37"/>
      <c r="CV58" s="37"/>
      <c r="CW58" s="37"/>
      <c r="CX58" s="37"/>
      <c r="CY58" s="50"/>
      <c r="CZ58" s="49"/>
      <c r="DA58" s="37"/>
      <c r="DB58" s="37"/>
      <c r="DC58" s="37"/>
      <c r="DD58" s="37"/>
      <c r="DE58" s="37"/>
      <c r="DF58" s="37"/>
      <c r="DG58" s="50"/>
      <c r="DH58" s="49"/>
      <c r="DI58" s="37"/>
      <c r="DJ58" s="37"/>
      <c r="DK58" s="37"/>
      <c r="DL58" s="37"/>
      <c r="DM58" s="37"/>
      <c r="DN58" s="37"/>
      <c r="DO58" s="50"/>
      <c r="DP58" s="49"/>
      <c r="DQ58" s="37"/>
      <c r="DR58" s="37"/>
      <c r="DS58" s="37"/>
      <c r="DT58" s="37"/>
      <c r="DU58" s="37"/>
      <c r="DV58" s="37"/>
      <c r="DW58" s="50"/>
      <c r="DX58" s="49"/>
      <c r="DY58" s="37"/>
      <c r="DZ58" s="37"/>
      <c r="EA58" s="37"/>
      <c r="EB58" s="37"/>
      <c r="EC58" s="37"/>
      <c r="ED58" s="37"/>
      <c r="EE58" s="50"/>
      <c r="EF58" s="49"/>
      <c r="EG58" s="37"/>
      <c r="EH58" s="37"/>
      <c r="EI58" s="37"/>
      <c r="EJ58" s="37"/>
      <c r="EK58" s="37"/>
      <c r="EL58" s="37"/>
      <c r="EM58" s="50"/>
      <c r="EN58" s="22"/>
      <c r="EO58" s="12"/>
      <c r="EP58" s="12"/>
      <c r="EQ58" s="12"/>
      <c r="ER58" s="12"/>
      <c r="ES58" s="12"/>
      <c r="ET58" s="12"/>
      <c r="EU58" s="23"/>
      <c r="EV58" s="49"/>
      <c r="EW58" s="37"/>
      <c r="EX58" s="37"/>
      <c r="EY58" s="37"/>
      <c r="EZ58" s="37"/>
      <c r="FA58" s="37"/>
      <c r="FB58" s="37"/>
      <c r="FC58" s="50"/>
      <c r="FD58" s="49"/>
      <c r="FE58" s="37"/>
      <c r="FF58" s="37"/>
      <c r="FG58" s="37"/>
      <c r="FH58" s="37"/>
      <c r="FI58" s="37"/>
      <c r="FJ58" s="37"/>
      <c r="FK58" s="50"/>
      <c r="FL58" s="37"/>
      <c r="FM58" s="37"/>
      <c r="FN58" s="37"/>
    </row>
    <row r="59" spans="1:170" x14ac:dyDescent="0.25">
      <c r="A59" s="38">
        <f t="shared" si="1"/>
        <v>58</v>
      </c>
      <c r="B59" s="52" t="s">
        <v>865</v>
      </c>
      <c r="C59" s="37" t="s">
        <v>866</v>
      </c>
      <c r="D59" s="48">
        <v>44818.762835648151</v>
      </c>
      <c r="E59" s="37" t="s">
        <v>867</v>
      </c>
      <c r="F59" s="37" t="s">
        <v>867</v>
      </c>
      <c r="G59" s="37" t="s">
        <v>868</v>
      </c>
      <c r="H59" s="49" t="s">
        <v>516</v>
      </c>
      <c r="I59" s="37" t="s">
        <v>515</v>
      </c>
      <c r="J59" s="37" t="s">
        <v>518</v>
      </c>
      <c r="K59" s="37">
        <v>2</v>
      </c>
      <c r="L59" s="37" t="s">
        <v>869</v>
      </c>
      <c r="M59" s="37" t="s">
        <v>870</v>
      </c>
      <c r="N59" s="37" t="s">
        <v>520</v>
      </c>
      <c r="O59" s="50">
        <v>85915</v>
      </c>
      <c r="P59" s="49" t="s">
        <v>466</v>
      </c>
      <c r="Q59" s="37" t="s">
        <v>465</v>
      </c>
      <c r="R59" s="37" t="s">
        <v>235</v>
      </c>
      <c r="S59" s="37">
        <v>2</v>
      </c>
      <c r="T59" s="37"/>
      <c r="U59" s="37"/>
      <c r="V59" s="37" t="s">
        <v>223</v>
      </c>
      <c r="W59" s="50" t="s">
        <v>520</v>
      </c>
      <c r="X59" s="49"/>
      <c r="Y59" s="37"/>
      <c r="Z59" s="37"/>
      <c r="AA59" s="37"/>
      <c r="AB59" s="37"/>
      <c r="AC59" s="37"/>
      <c r="AD59" s="37"/>
      <c r="AE59" s="50"/>
      <c r="AF59" s="49"/>
      <c r="AG59" s="37"/>
      <c r="AH59" s="37"/>
      <c r="AI59" s="37"/>
      <c r="AJ59" s="37"/>
      <c r="AK59" s="37"/>
      <c r="AL59" s="37"/>
      <c r="AM59" s="50"/>
      <c r="AN59" s="49"/>
      <c r="AO59" s="37"/>
      <c r="AP59" s="37"/>
      <c r="AQ59" s="37"/>
      <c r="AR59" s="37"/>
      <c r="AS59" s="37"/>
      <c r="AT59" s="37"/>
      <c r="AU59" s="50"/>
      <c r="AV59" s="49"/>
      <c r="AW59" s="37"/>
      <c r="AX59" s="37"/>
      <c r="AY59" s="37"/>
      <c r="AZ59" s="37"/>
      <c r="BA59" s="37"/>
      <c r="BB59" s="37"/>
      <c r="BC59" s="50"/>
      <c r="BD59" s="49"/>
      <c r="BE59" s="37"/>
      <c r="BF59" s="37"/>
      <c r="BG59" s="37"/>
      <c r="BH59" s="37"/>
      <c r="BI59" s="37"/>
      <c r="BJ59" s="37"/>
      <c r="BK59" s="50"/>
      <c r="BL59" s="49"/>
      <c r="BM59" s="37"/>
      <c r="BN59" s="37"/>
      <c r="BO59" s="37"/>
      <c r="BP59" s="37"/>
      <c r="BQ59" s="37"/>
      <c r="BR59" s="37"/>
      <c r="BS59" s="50"/>
      <c r="BT59" s="49"/>
      <c r="BU59" s="37"/>
      <c r="BV59" s="37"/>
      <c r="BW59" s="37"/>
      <c r="BX59" s="37"/>
      <c r="BY59" s="37"/>
      <c r="BZ59" s="37"/>
      <c r="CA59" s="50"/>
      <c r="CB59" s="49"/>
      <c r="CC59" s="37"/>
      <c r="CD59" s="37"/>
      <c r="CE59" s="37"/>
      <c r="CF59" s="37"/>
      <c r="CG59" s="37"/>
      <c r="CH59" s="37"/>
      <c r="CI59" s="50"/>
      <c r="CJ59" s="49"/>
      <c r="CK59" s="37"/>
      <c r="CL59" s="37"/>
      <c r="CM59" s="37"/>
      <c r="CN59" s="37"/>
      <c r="CO59" s="37"/>
      <c r="CP59" s="37"/>
      <c r="CQ59" s="50"/>
      <c r="CR59" s="49"/>
      <c r="CS59" s="37"/>
      <c r="CT59" s="37"/>
      <c r="CU59" s="37"/>
      <c r="CV59" s="37"/>
      <c r="CW59" s="37"/>
      <c r="CX59" s="37"/>
      <c r="CY59" s="50"/>
      <c r="CZ59" s="49"/>
      <c r="DA59" s="37"/>
      <c r="DB59" s="37"/>
      <c r="DC59" s="37"/>
      <c r="DD59" s="37"/>
      <c r="DE59" s="37"/>
      <c r="DF59" s="37"/>
      <c r="DG59" s="50"/>
      <c r="DH59" s="49"/>
      <c r="DI59" s="37"/>
      <c r="DJ59" s="37"/>
      <c r="DK59" s="37"/>
      <c r="DL59" s="37"/>
      <c r="DM59" s="37"/>
      <c r="DN59" s="37"/>
      <c r="DO59" s="50"/>
      <c r="DP59" s="49"/>
      <c r="DQ59" s="37"/>
      <c r="DR59" s="37"/>
      <c r="DS59" s="37"/>
      <c r="DT59" s="37"/>
      <c r="DU59" s="37"/>
      <c r="DV59" s="37"/>
      <c r="DW59" s="50"/>
      <c r="DX59" s="49"/>
      <c r="DY59" s="37"/>
      <c r="DZ59" s="37"/>
      <c r="EA59" s="37"/>
      <c r="EB59" s="37"/>
      <c r="EC59" s="37"/>
      <c r="ED59" s="37"/>
      <c r="EE59" s="50"/>
      <c r="EF59" s="49"/>
      <c r="EG59" s="37"/>
      <c r="EH59" s="37"/>
      <c r="EI59" s="37"/>
      <c r="EJ59" s="37"/>
      <c r="EK59" s="37"/>
      <c r="EL59" s="37"/>
      <c r="EM59" s="50"/>
      <c r="EN59" s="22"/>
      <c r="EO59" s="12"/>
      <c r="EP59" s="12"/>
      <c r="EQ59" s="12"/>
      <c r="ER59" s="12"/>
      <c r="ES59" s="12"/>
      <c r="ET59" s="12"/>
      <c r="EU59" s="23"/>
      <c r="EV59" s="49"/>
      <c r="EW59" s="37"/>
      <c r="EX59" s="37"/>
      <c r="EY59" s="37"/>
      <c r="EZ59" s="37"/>
      <c r="FA59" s="37"/>
      <c r="FB59" s="37"/>
      <c r="FC59" s="50"/>
      <c r="FD59" s="49"/>
      <c r="FE59" s="37"/>
      <c r="FF59" s="37"/>
      <c r="FG59" s="37"/>
      <c r="FH59" s="37"/>
      <c r="FI59" s="37"/>
      <c r="FJ59" s="37"/>
      <c r="FK59" s="50"/>
      <c r="FL59" s="37"/>
      <c r="FM59" s="37"/>
      <c r="FN59" s="37"/>
    </row>
    <row r="60" spans="1:170" x14ac:dyDescent="0.25">
      <c r="A60" s="38">
        <f t="shared" si="1"/>
        <v>59</v>
      </c>
      <c r="B60" s="52" t="s">
        <v>871</v>
      </c>
      <c r="C60" s="37" t="s">
        <v>872</v>
      </c>
      <c r="D60" s="48">
        <v>44818.738553240742</v>
      </c>
      <c r="E60" s="37" t="s">
        <v>853</v>
      </c>
      <c r="F60" s="37" t="s">
        <v>853</v>
      </c>
      <c r="G60" s="37" t="s">
        <v>854</v>
      </c>
      <c r="H60" s="49" t="s">
        <v>219</v>
      </c>
      <c r="I60" s="37" t="s">
        <v>873</v>
      </c>
      <c r="J60" s="37" t="s">
        <v>874</v>
      </c>
      <c r="K60" s="37">
        <v>18</v>
      </c>
      <c r="L60" s="37"/>
      <c r="M60" s="37"/>
      <c r="N60" s="37" t="s">
        <v>520</v>
      </c>
      <c r="O60" s="50" t="s">
        <v>875</v>
      </c>
      <c r="P60" s="49" t="s">
        <v>309</v>
      </c>
      <c r="Q60" s="37" t="s">
        <v>308</v>
      </c>
      <c r="R60" s="37" t="s">
        <v>235</v>
      </c>
      <c r="S60" s="37">
        <v>4</v>
      </c>
      <c r="T60" s="37"/>
      <c r="U60" s="37"/>
      <c r="V60" s="37" t="s">
        <v>223</v>
      </c>
      <c r="W60" s="50" t="s">
        <v>32</v>
      </c>
      <c r="X60" s="49" t="s">
        <v>307</v>
      </c>
      <c r="Y60" s="37" t="s">
        <v>306</v>
      </c>
      <c r="Z60" s="37" t="s">
        <v>235</v>
      </c>
      <c r="AA60" s="37">
        <v>4</v>
      </c>
      <c r="AB60" s="37"/>
      <c r="AC60" s="37"/>
      <c r="AD60" s="37" t="s">
        <v>223</v>
      </c>
      <c r="AE60" s="50" t="s">
        <v>32</v>
      </c>
      <c r="AF60" s="49"/>
      <c r="AG60" s="37"/>
      <c r="AH60" s="37"/>
      <c r="AI60" s="37"/>
      <c r="AJ60" s="37"/>
      <c r="AK60" s="37"/>
      <c r="AL60" s="37"/>
      <c r="AM60" s="50"/>
      <c r="AN60" s="49"/>
      <c r="AO60" s="37"/>
      <c r="AP60" s="37"/>
      <c r="AQ60" s="37"/>
      <c r="AR60" s="37"/>
      <c r="AS60" s="37"/>
      <c r="AT60" s="37"/>
      <c r="AU60" s="50"/>
      <c r="AV60" s="49"/>
      <c r="AW60" s="37"/>
      <c r="AX60" s="37"/>
      <c r="AY60" s="37"/>
      <c r="AZ60" s="37"/>
      <c r="BA60" s="37"/>
      <c r="BB60" s="37"/>
      <c r="BC60" s="50"/>
      <c r="BD60" s="49"/>
      <c r="BE60" s="37"/>
      <c r="BF60" s="37"/>
      <c r="BG60" s="37"/>
      <c r="BH60" s="37"/>
      <c r="BI60" s="37"/>
      <c r="BJ60" s="37"/>
      <c r="BK60" s="50"/>
      <c r="BL60" s="49"/>
      <c r="BM60" s="37"/>
      <c r="BN60" s="37"/>
      <c r="BO60" s="37"/>
      <c r="BP60" s="37"/>
      <c r="BQ60" s="37"/>
      <c r="BR60" s="37"/>
      <c r="BS60" s="50"/>
      <c r="BT60" s="49"/>
      <c r="BU60" s="37"/>
      <c r="BV60" s="37"/>
      <c r="BW60" s="37"/>
      <c r="BX60" s="37"/>
      <c r="BY60" s="37"/>
      <c r="BZ60" s="37"/>
      <c r="CA60" s="50"/>
      <c r="CB60" s="49"/>
      <c r="CC60" s="37"/>
      <c r="CD60" s="37"/>
      <c r="CE60" s="37"/>
      <c r="CF60" s="37"/>
      <c r="CG60" s="37"/>
      <c r="CH60" s="37"/>
      <c r="CI60" s="50"/>
      <c r="CJ60" s="49"/>
      <c r="CK60" s="37"/>
      <c r="CL60" s="37"/>
      <c r="CM60" s="37"/>
      <c r="CN60" s="37"/>
      <c r="CO60" s="37"/>
      <c r="CP60" s="37"/>
      <c r="CQ60" s="50"/>
      <c r="CR60" s="49"/>
      <c r="CS60" s="37"/>
      <c r="CT60" s="37"/>
      <c r="CU60" s="37"/>
      <c r="CV60" s="37"/>
      <c r="CW60" s="37"/>
      <c r="CX60" s="37"/>
      <c r="CY60" s="50"/>
      <c r="CZ60" s="49"/>
      <c r="DA60" s="37"/>
      <c r="DB60" s="37"/>
      <c r="DC60" s="37"/>
      <c r="DD60" s="37"/>
      <c r="DE60" s="37"/>
      <c r="DF60" s="37"/>
      <c r="DG60" s="50"/>
      <c r="DH60" s="49"/>
      <c r="DI60" s="37"/>
      <c r="DJ60" s="37"/>
      <c r="DK60" s="37"/>
      <c r="DL60" s="37"/>
      <c r="DM60" s="37"/>
      <c r="DN60" s="37"/>
      <c r="DO60" s="50"/>
      <c r="DP60" s="49"/>
      <c r="DQ60" s="37"/>
      <c r="DR60" s="37"/>
      <c r="DS60" s="37"/>
      <c r="DT60" s="37"/>
      <c r="DU60" s="37"/>
      <c r="DV60" s="37"/>
      <c r="DW60" s="50"/>
      <c r="DX60" s="49"/>
      <c r="DY60" s="37"/>
      <c r="DZ60" s="37"/>
      <c r="EA60" s="37"/>
      <c r="EB60" s="37"/>
      <c r="EC60" s="37"/>
      <c r="ED60" s="37"/>
      <c r="EE60" s="50"/>
      <c r="EF60" s="49"/>
      <c r="EG60" s="37"/>
      <c r="EH60" s="37"/>
      <c r="EI60" s="37"/>
      <c r="EJ60" s="37"/>
      <c r="EK60" s="37"/>
      <c r="EL60" s="37"/>
      <c r="EM60" s="50"/>
      <c r="EN60" s="22"/>
      <c r="EO60" s="12"/>
      <c r="EP60" s="12"/>
      <c r="EQ60" s="12"/>
      <c r="ER60" s="12"/>
      <c r="ES60" s="12"/>
      <c r="ET60" s="12"/>
      <c r="EU60" s="23"/>
      <c r="EV60" s="49"/>
      <c r="EW60" s="37"/>
      <c r="EX60" s="37"/>
      <c r="EY60" s="37"/>
      <c r="EZ60" s="37"/>
      <c r="FA60" s="37"/>
      <c r="FB60" s="37"/>
      <c r="FC60" s="50"/>
      <c r="FD60" s="49"/>
      <c r="FE60" s="37"/>
      <c r="FF60" s="37"/>
      <c r="FG60" s="37"/>
      <c r="FH60" s="37"/>
      <c r="FI60" s="37"/>
      <c r="FJ60" s="37"/>
      <c r="FK60" s="50"/>
      <c r="FL60" s="37"/>
      <c r="FM60" s="37"/>
      <c r="FN60" s="37"/>
    </row>
    <row r="61" spans="1:170" x14ac:dyDescent="0.25">
      <c r="A61" s="38">
        <f t="shared" si="1"/>
        <v>60</v>
      </c>
      <c r="B61" s="52" t="s">
        <v>876</v>
      </c>
      <c r="C61" s="37" t="s">
        <v>877</v>
      </c>
      <c r="D61" s="48">
        <v>44818.725624999999</v>
      </c>
      <c r="E61" s="37" t="s">
        <v>878</v>
      </c>
      <c r="F61" s="37" t="s">
        <v>853</v>
      </c>
      <c r="G61" s="37" t="s">
        <v>854</v>
      </c>
      <c r="H61" s="49" t="s">
        <v>242</v>
      </c>
      <c r="I61" s="37" t="s">
        <v>241</v>
      </c>
      <c r="J61" s="37" t="s">
        <v>243</v>
      </c>
      <c r="K61" s="37">
        <v>60</v>
      </c>
      <c r="L61" s="37"/>
      <c r="M61" s="37"/>
      <c r="N61" s="37" t="s">
        <v>223</v>
      </c>
      <c r="O61" s="50"/>
      <c r="P61" s="49"/>
      <c r="Q61" s="37"/>
      <c r="R61" s="37"/>
      <c r="S61" s="37"/>
      <c r="T61" s="37"/>
      <c r="U61" s="37"/>
      <c r="V61" s="37"/>
      <c r="W61" s="50"/>
      <c r="X61" s="49"/>
      <c r="Y61" s="37"/>
      <c r="Z61" s="37"/>
      <c r="AA61" s="37"/>
      <c r="AB61" s="37"/>
      <c r="AC61" s="37"/>
      <c r="AD61" s="37"/>
      <c r="AE61" s="50"/>
      <c r="AF61" s="49"/>
      <c r="AG61" s="37"/>
      <c r="AH61" s="37"/>
      <c r="AI61" s="37"/>
      <c r="AJ61" s="37"/>
      <c r="AK61" s="37"/>
      <c r="AL61" s="37"/>
      <c r="AM61" s="50"/>
      <c r="AN61" s="49"/>
      <c r="AO61" s="37"/>
      <c r="AP61" s="37"/>
      <c r="AQ61" s="37"/>
      <c r="AR61" s="37"/>
      <c r="AS61" s="37"/>
      <c r="AT61" s="37"/>
      <c r="AU61" s="50"/>
      <c r="AV61" s="49"/>
      <c r="AW61" s="37"/>
      <c r="AX61" s="37"/>
      <c r="AY61" s="37"/>
      <c r="AZ61" s="37"/>
      <c r="BA61" s="37"/>
      <c r="BB61" s="37"/>
      <c r="BC61" s="50"/>
      <c r="BD61" s="49"/>
      <c r="BE61" s="37"/>
      <c r="BF61" s="37"/>
      <c r="BG61" s="37"/>
      <c r="BH61" s="37"/>
      <c r="BI61" s="37"/>
      <c r="BJ61" s="37"/>
      <c r="BK61" s="50"/>
      <c r="BL61" s="49"/>
      <c r="BM61" s="37"/>
      <c r="BN61" s="37"/>
      <c r="BO61" s="37"/>
      <c r="BP61" s="37"/>
      <c r="BQ61" s="37"/>
      <c r="BR61" s="37"/>
      <c r="BS61" s="50"/>
      <c r="BT61" s="49"/>
      <c r="BU61" s="37"/>
      <c r="BV61" s="37"/>
      <c r="BW61" s="37"/>
      <c r="BX61" s="37"/>
      <c r="BY61" s="37"/>
      <c r="BZ61" s="37"/>
      <c r="CA61" s="50"/>
      <c r="CB61" s="49"/>
      <c r="CC61" s="37"/>
      <c r="CD61" s="37"/>
      <c r="CE61" s="37"/>
      <c r="CF61" s="37"/>
      <c r="CG61" s="37"/>
      <c r="CH61" s="37"/>
      <c r="CI61" s="50"/>
      <c r="CJ61" s="49"/>
      <c r="CK61" s="37"/>
      <c r="CL61" s="37"/>
      <c r="CM61" s="37"/>
      <c r="CN61" s="37"/>
      <c r="CO61" s="37"/>
      <c r="CP61" s="37"/>
      <c r="CQ61" s="50"/>
      <c r="CR61" s="49"/>
      <c r="CS61" s="37"/>
      <c r="CT61" s="37"/>
      <c r="CU61" s="37"/>
      <c r="CV61" s="37"/>
      <c r="CW61" s="37"/>
      <c r="CX61" s="37"/>
      <c r="CY61" s="50"/>
      <c r="CZ61" s="49"/>
      <c r="DA61" s="37"/>
      <c r="DB61" s="37"/>
      <c r="DC61" s="37"/>
      <c r="DD61" s="37"/>
      <c r="DE61" s="37"/>
      <c r="DF61" s="37"/>
      <c r="DG61" s="50"/>
      <c r="DH61" s="49"/>
      <c r="DI61" s="37"/>
      <c r="DJ61" s="37"/>
      <c r="DK61" s="37"/>
      <c r="DL61" s="37"/>
      <c r="DM61" s="37"/>
      <c r="DN61" s="37"/>
      <c r="DO61" s="50"/>
      <c r="DP61" s="49"/>
      <c r="DQ61" s="37"/>
      <c r="DR61" s="37"/>
      <c r="DS61" s="37"/>
      <c r="DT61" s="37"/>
      <c r="DU61" s="37"/>
      <c r="DV61" s="37"/>
      <c r="DW61" s="50"/>
      <c r="DX61" s="49"/>
      <c r="DY61" s="37"/>
      <c r="DZ61" s="37"/>
      <c r="EA61" s="37"/>
      <c r="EB61" s="37"/>
      <c r="EC61" s="37"/>
      <c r="ED61" s="37"/>
      <c r="EE61" s="50"/>
      <c r="EF61" s="49"/>
      <c r="EG61" s="37"/>
      <c r="EH61" s="37"/>
      <c r="EI61" s="37"/>
      <c r="EJ61" s="37"/>
      <c r="EK61" s="37"/>
      <c r="EL61" s="37"/>
      <c r="EM61" s="50"/>
      <c r="EN61" s="22"/>
      <c r="EO61" s="12"/>
      <c r="EP61" s="12"/>
      <c r="EQ61" s="12"/>
      <c r="ER61" s="12"/>
      <c r="ES61" s="12"/>
      <c r="ET61" s="12"/>
      <c r="EU61" s="23"/>
      <c r="EV61" s="49"/>
      <c r="EW61" s="37"/>
      <c r="EX61" s="37"/>
      <c r="EY61" s="37"/>
      <c r="EZ61" s="37"/>
      <c r="FA61" s="37"/>
      <c r="FB61" s="37"/>
      <c r="FC61" s="50"/>
      <c r="FD61" s="49"/>
      <c r="FE61" s="37"/>
      <c r="FF61" s="37"/>
      <c r="FG61" s="37"/>
      <c r="FH61" s="37"/>
      <c r="FI61" s="37"/>
      <c r="FJ61" s="37"/>
      <c r="FK61" s="50"/>
      <c r="FL61" s="37"/>
      <c r="FM61" s="37"/>
      <c r="FN61" s="37"/>
    </row>
    <row r="62" spans="1:170" x14ac:dyDescent="0.25">
      <c r="A62" s="38">
        <f t="shared" si="1"/>
        <v>61</v>
      </c>
      <c r="B62" s="52" t="s">
        <v>879</v>
      </c>
      <c r="C62" s="37" t="s">
        <v>880</v>
      </c>
      <c r="D62" s="48">
        <v>44818.517916666664</v>
      </c>
      <c r="E62" s="37" t="s">
        <v>881</v>
      </c>
      <c r="F62" s="37" t="s">
        <v>881</v>
      </c>
      <c r="G62" s="37" t="s">
        <v>882</v>
      </c>
      <c r="H62" s="49" t="s">
        <v>228</v>
      </c>
      <c r="I62" s="37" t="s">
        <v>883</v>
      </c>
      <c r="J62" s="37" t="s">
        <v>874</v>
      </c>
      <c r="K62" s="37">
        <v>1</v>
      </c>
      <c r="L62" s="37" t="s">
        <v>884</v>
      </c>
      <c r="M62" s="37" t="s">
        <v>885</v>
      </c>
      <c r="N62" s="37" t="s">
        <v>520</v>
      </c>
      <c r="O62" s="50"/>
      <c r="P62" s="49" t="s">
        <v>635</v>
      </c>
      <c r="Q62" s="37" t="s">
        <v>634</v>
      </c>
      <c r="R62" s="37" t="s">
        <v>638</v>
      </c>
      <c r="S62" s="37">
        <v>1</v>
      </c>
      <c r="T62" s="37"/>
      <c r="U62" s="37"/>
      <c r="V62" s="37" t="s">
        <v>639</v>
      </c>
      <c r="W62" s="50"/>
      <c r="X62" s="49"/>
      <c r="Y62" s="37"/>
      <c r="Z62" s="37"/>
      <c r="AA62" s="37"/>
      <c r="AB62" s="37"/>
      <c r="AC62" s="37"/>
      <c r="AD62" s="37"/>
      <c r="AE62" s="50"/>
      <c r="AF62" s="49"/>
      <c r="AG62" s="37"/>
      <c r="AH62" s="37"/>
      <c r="AI62" s="37"/>
      <c r="AJ62" s="37"/>
      <c r="AK62" s="37"/>
      <c r="AL62" s="37"/>
      <c r="AM62" s="50"/>
      <c r="AN62" s="49"/>
      <c r="AO62" s="37"/>
      <c r="AP62" s="37"/>
      <c r="AQ62" s="37"/>
      <c r="AR62" s="37"/>
      <c r="AS62" s="37"/>
      <c r="AT62" s="37"/>
      <c r="AU62" s="50"/>
      <c r="AV62" s="49"/>
      <c r="AW62" s="37"/>
      <c r="AX62" s="37"/>
      <c r="AY62" s="37"/>
      <c r="AZ62" s="37"/>
      <c r="BA62" s="37"/>
      <c r="BB62" s="37"/>
      <c r="BC62" s="50"/>
      <c r="BD62" s="49"/>
      <c r="BE62" s="37"/>
      <c r="BF62" s="37"/>
      <c r="BG62" s="37"/>
      <c r="BH62" s="37"/>
      <c r="BI62" s="37"/>
      <c r="BJ62" s="37"/>
      <c r="BK62" s="50"/>
      <c r="BL62" s="49"/>
      <c r="BM62" s="37"/>
      <c r="BN62" s="37"/>
      <c r="BO62" s="37"/>
      <c r="BP62" s="37"/>
      <c r="BQ62" s="37"/>
      <c r="BR62" s="37"/>
      <c r="BS62" s="50"/>
      <c r="BT62" s="49"/>
      <c r="BU62" s="37"/>
      <c r="BV62" s="37"/>
      <c r="BW62" s="37"/>
      <c r="BX62" s="37"/>
      <c r="BY62" s="37"/>
      <c r="BZ62" s="37"/>
      <c r="CA62" s="50"/>
      <c r="CB62" s="49"/>
      <c r="CC62" s="37"/>
      <c r="CD62" s="37"/>
      <c r="CE62" s="37"/>
      <c r="CF62" s="37"/>
      <c r="CG62" s="37"/>
      <c r="CH62" s="37"/>
      <c r="CI62" s="50"/>
      <c r="CJ62" s="49"/>
      <c r="CK62" s="37"/>
      <c r="CL62" s="37"/>
      <c r="CM62" s="37"/>
      <c r="CN62" s="37"/>
      <c r="CO62" s="37"/>
      <c r="CP62" s="37"/>
      <c r="CQ62" s="50"/>
      <c r="CR62" s="49"/>
      <c r="CS62" s="37"/>
      <c r="CT62" s="37"/>
      <c r="CU62" s="37"/>
      <c r="CV62" s="37"/>
      <c r="CW62" s="37"/>
      <c r="CX62" s="37"/>
      <c r="CY62" s="50"/>
      <c r="CZ62" s="49"/>
      <c r="DA62" s="37"/>
      <c r="DB62" s="37"/>
      <c r="DC62" s="37"/>
      <c r="DD62" s="37"/>
      <c r="DE62" s="37"/>
      <c r="DF62" s="37"/>
      <c r="DG62" s="50"/>
      <c r="DH62" s="49"/>
      <c r="DI62" s="37"/>
      <c r="DJ62" s="37"/>
      <c r="DK62" s="37"/>
      <c r="DL62" s="37"/>
      <c r="DM62" s="37"/>
      <c r="DN62" s="37"/>
      <c r="DO62" s="50"/>
      <c r="DP62" s="49"/>
      <c r="DQ62" s="37"/>
      <c r="DR62" s="37"/>
      <c r="DS62" s="37"/>
      <c r="DT62" s="37"/>
      <c r="DU62" s="37"/>
      <c r="DV62" s="37"/>
      <c r="DW62" s="50"/>
      <c r="DX62" s="49"/>
      <c r="DY62" s="37"/>
      <c r="DZ62" s="37"/>
      <c r="EA62" s="37"/>
      <c r="EB62" s="37"/>
      <c r="EC62" s="37"/>
      <c r="ED62" s="37"/>
      <c r="EE62" s="50"/>
      <c r="EF62" s="49"/>
      <c r="EG62" s="37"/>
      <c r="EH62" s="37"/>
      <c r="EI62" s="37"/>
      <c r="EJ62" s="37"/>
      <c r="EK62" s="37"/>
      <c r="EL62" s="37"/>
      <c r="EM62" s="50"/>
      <c r="EN62" s="22"/>
      <c r="EO62" s="12"/>
      <c r="EP62" s="12"/>
      <c r="EQ62" s="12"/>
      <c r="ER62" s="12"/>
      <c r="ES62" s="12"/>
      <c r="ET62" s="12"/>
      <c r="EU62" s="23"/>
      <c r="EV62" s="49"/>
      <c r="EW62" s="37"/>
      <c r="EX62" s="37"/>
      <c r="EY62" s="37"/>
      <c r="EZ62" s="37"/>
      <c r="FA62" s="37"/>
      <c r="FB62" s="37"/>
      <c r="FC62" s="50"/>
      <c r="FD62" s="49"/>
      <c r="FE62" s="37"/>
      <c r="FF62" s="37"/>
      <c r="FG62" s="37"/>
      <c r="FH62" s="37"/>
      <c r="FI62" s="37"/>
      <c r="FJ62" s="37"/>
      <c r="FK62" s="50"/>
      <c r="FL62" s="37"/>
      <c r="FM62" s="37"/>
      <c r="FN62" s="37"/>
    </row>
    <row r="63" spans="1:170" x14ac:dyDescent="0.25">
      <c r="A63" s="38">
        <f t="shared" si="1"/>
        <v>62</v>
      </c>
      <c r="B63" s="52" t="s">
        <v>886</v>
      </c>
      <c r="C63" s="37" t="s">
        <v>795</v>
      </c>
      <c r="D63" s="48">
        <v>44817.750057870369</v>
      </c>
      <c r="E63" s="37" t="s">
        <v>878</v>
      </c>
      <c r="F63" s="37" t="s">
        <v>853</v>
      </c>
      <c r="G63" s="37" t="s">
        <v>887</v>
      </c>
      <c r="H63" s="49" t="s">
        <v>644</v>
      </c>
      <c r="I63" s="37" t="s">
        <v>642</v>
      </c>
      <c r="J63" s="37"/>
      <c r="K63" s="37">
        <v>38</v>
      </c>
      <c r="L63" s="37"/>
      <c r="M63" s="37"/>
      <c r="N63" s="37" t="s">
        <v>645</v>
      </c>
      <c r="O63" s="50" t="s">
        <v>888</v>
      </c>
      <c r="P63" s="49" t="s">
        <v>422</v>
      </c>
      <c r="Q63" s="37" t="s">
        <v>889</v>
      </c>
      <c r="R63" s="37"/>
      <c r="S63" s="37">
        <v>13</v>
      </c>
      <c r="T63" s="37"/>
      <c r="U63" s="37"/>
      <c r="V63" s="37" t="s">
        <v>645</v>
      </c>
      <c r="W63" s="50" t="s">
        <v>888</v>
      </c>
      <c r="X63" s="49"/>
      <c r="Y63" s="37"/>
      <c r="Z63" s="37"/>
      <c r="AA63" s="37"/>
      <c r="AB63" s="37"/>
      <c r="AC63" s="37"/>
      <c r="AD63" s="37"/>
      <c r="AE63" s="50"/>
      <c r="AF63" s="49"/>
      <c r="AG63" s="37"/>
      <c r="AH63" s="37"/>
      <c r="AI63" s="37"/>
      <c r="AJ63" s="37"/>
      <c r="AK63" s="37"/>
      <c r="AL63" s="37"/>
      <c r="AM63" s="50"/>
      <c r="AN63" s="49"/>
      <c r="AO63" s="37"/>
      <c r="AP63" s="37"/>
      <c r="AQ63" s="37"/>
      <c r="AR63" s="37"/>
      <c r="AS63" s="37"/>
      <c r="AT63" s="37"/>
      <c r="AU63" s="50"/>
      <c r="AV63" s="49"/>
      <c r="AW63" s="37"/>
      <c r="AX63" s="37"/>
      <c r="AY63" s="37"/>
      <c r="AZ63" s="37"/>
      <c r="BA63" s="37"/>
      <c r="BB63" s="37"/>
      <c r="BC63" s="50"/>
      <c r="BD63" s="49"/>
      <c r="BE63" s="37"/>
      <c r="BF63" s="37"/>
      <c r="BG63" s="37"/>
      <c r="BH63" s="37"/>
      <c r="BI63" s="37"/>
      <c r="BJ63" s="37"/>
      <c r="BK63" s="50"/>
      <c r="BL63" s="49"/>
      <c r="BM63" s="37"/>
      <c r="BN63" s="37"/>
      <c r="BO63" s="37"/>
      <c r="BP63" s="37"/>
      <c r="BQ63" s="37"/>
      <c r="BR63" s="37"/>
      <c r="BS63" s="50"/>
      <c r="BT63" s="49"/>
      <c r="BU63" s="37"/>
      <c r="BV63" s="37"/>
      <c r="BW63" s="37"/>
      <c r="BX63" s="37"/>
      <c r="BY63" s="37"/>
      <c r="BZ63" s="37"/>
      <c r="CA63" s="50"/>
      <c r="CB63" s="49"/>
      <c r="CC63" s="37"/>
      <c r="CD63" s="37"/>
      <c r="CE63" s="37"/>
      <c r="CF63" s="37"/>
      <c r="CG63" s="37"/>
      <c r="CH63" s="37"/>
      <c r="CI63" s="50"/>
      <c r="CJ63" s="49"/>
      <c r="CK63" s="37"/>
      <c r="CL63" s="37"/>
      <c r="CM63" s="37"/>
      <c r="CN63" s="37"/>
      <c r="CO63" s="37"/>
      <c r="CP63" s="37"/>
      <c r="CQ63" s="50"/>
      <c r="CR63" s="49"/>
      <c r="CS63" s="37"/>
      <c r="CT63" s="37"/>
      <c r="CU63" s="37"/>
      <c r="CV63" s="37"/>
      <c r="CW63" s="37"/>
      <c r="CX63" s="37"/>
      <c r="CY63" s="50"/>
      <c r="CZ63" s="49"/>
      <c r="DA63" s="37"/>
      <c r="DB63" s="37"/>
      <c r="DC63" s="37"/>
      <c r="DD63" s="37"/>
      <c r="DE63" s="37"/>
      <c r="DF63" s="37"/>
      <c r="DG63" s="50"/>
      <c r="DH63" s="49"/>
      <c r="DI63" s="37"/>
      <c r="DJ63" s="37"/>
      <c r="DK63" s="37"/>
      <c r="DL63" s="37"/>
      <c r="DM63" s="37"/>
      <c r="DN63" s="37"/>
      <c r="DO63" s="50"/>
      <c r="DP63" s="49"/>
      <c r="DQ63" s="37"/>
      <c r="DR63" s="37"/>
      <c r="DS63" s="37"/>
      <c r="DT63" s="37"/>
      <c r="DU63" s="37"/>
      <c r="DV63" s="37"/>
      <c r="DW63" s="50"/>
      <c r="DX63" s="49"/>
      <c r="DY63" s="37"/>
      <c r="DZ63" s="37"/>
      <c r="EA63" s="37"/>
      <c r="EB63" s="37"/>
      <c r="EC63" s="37"/>
      <c r="ED63" s="37"/>
      <c r="EE63" s="50"/>
      <c r="EF63" s="49"/>
      <c r="EG63" s="37"/>
      <c r="EH63" s="37"/>
      <c r="EI63" s="37"/>
      <c r="EJ63" s="37"/>
      <c r="EK63" s="37"/>
      <c r="EL63" s="37"/>
      <c r="EM63" s="50"/>
      <c r="EN63" s="22"/>
      <c r="EO63" s="12"/>
      <c r="EP63" s="12"/>
      <c r="EQ63" s="12"/>
      <c r="ER63" s="12"/>
      <c r="ES63" s="12"/>
      <c r="ET63" s="12"/>
      <c r="EU63" s="23"/>
      <c r="EV63" s="49"/>
      <c r="EW63" s="37"/>
      <c r="EX63" s="37"/>
      <c r="EY63" s="37"/>
      <c r="EZ63" s="37"/>
      <c r="FA63" s="37"/>
      <c r="FB63" s="37"/>
      <c r="FC63" s="50"/>
      <c r="FD63" s="49"/>
      <c r="FE63" s="37"/>
      <c r="FF63" s="37"/>
      <c r="FG63" s="37"/>
      <c r="FH63" s="37"/>
      <c r="FI63" s="37"/>
      <c r="FJ63" s="37"/>
      <c r="FK63" s="50"/>
      <c r="FL63" s="37"/>
      <c r="FM63" s="37"/>
      <c r="FN63" s="37"/>
    </row>
    <row r="64" spans="1:170" x14ac:dyDescent="0.25">
      <c r="A64" s="38">
        <f t="shared" si="1"/>
        <v>63</v>
      </c>
      <c r="B64" s="52"/>
      <c r="C64" s="37"/>
      <c r="D64" s="48"/>
      <c r="E64" s="37"/>
      <c r="F64" s="37"/>
      <c r="G64" s="37"/>
      <c r="H64" s="49"/>
      <c r="I64" s="37"/>
      <c r="J64" s="37"/>
      <c r="K64" s="37"/>
      <c r="L64" s="37"/>
      <c r="M64" s="37"/>
      <c r="N64" s="37"/>
      <c r="O64" s="50"/>
      <c r="P64" s="49"/>
      <c r="Q64" s="37"/>
      <c r="R64" s="37"/>
      <c r="S64" s="37"/>
      <c r="T64" s="37"/>
      <c r="U64" s="37"/>
      <c r="V64" s="37"/>
      <c r="W64" s="50"/>
      <c r="X64" s="49"/>
      <c r="Y64" s="37"/>
      <c r="Z64" s="37"/>
      <c r="AA64" s="37"/>
      <c r="AB64" s="37"/>
      <c r="AC64" s="37"/>
      <c r="AD64" s="37"/>
      <c r="AE64" s="50"/>
      <c r="AF64" s="49"/>
      <c r="AG64" s="37"/>
      <c r="AH64" s="37"/>
      <c r="AI64" s="37"/>
      <c r="AJ64" s="37"/>
      <c r="AK64" s="37"/>
      <c r="AL64" s="37"/>
      <c r="AM64" s="50"/>
      <c r="AN64" s="49"/>
      <c r="AO64" s="37"/>
      <c r="AP64" s="37"/>
      <c r="AQ64" s="37"/>
      <c r="AR64" s="37"/>
      <c r="AS64" s="37"/>
      <c r="AT64" s="37"/>
      <c r="AU64" s="50"/>
      <c r="AV64" s="49"/>
      <c r="AW64" s="37"/>
      <c r="AX64" s="37"/>
      <c r="AY64" s="37"/>
      <c r="AZ64" s="37"/>
      <c r="BA64" s="37"/>
      <c r="BB64" s="37"/>
      <c r="BC64" s="50"/>
      <c r="BD64" s="49"/>
      <c r="BE64" s="37"/>
      <c r="BF64" s="37"/>
      <c r="BG64" s="37"/>
      <c r="BH64" s="37"/>
      <c r="BI64" s="37"/>
      <c r="BJ64" s="37"/>
      <c r="BK64" s="50"/>
      <c r="BL64" s="49"/>
      <c r="BM64" s="37"/>
      <c r="BN64" s="37"/>
      <c r="BO64" s="37"/>
      <c r="BP64" s="37"/>
      <c r="BQ64" s="37"/>
      <c r="BR64" s="37"/>
      <c r="BS64" s="50"/>
      <c r="BT64" s="49"/>
      <c r="BU64" s="37"/>
      <c r="BV64" s="37"/>
      <c r="BW64" s="37"/>
      <c r="BX64" s="37"/>
      <c r="BY64" s="37"/>
      <c r="BZ64" s="37"/>
      <c r="CA64" s="50"/>
      <c r="CB64" s="49"/>
      <c r="CC64" s="37"/>
      <c r="CD64" s="37"/>
      <c r="CE64" s="37"/>
      <c r="CF64" s="37"/>
      <c r="CG64" s="37"/>
      <c r="CH64" s="37"/>
      <c r="CI64" s="50"/>
      <c r="CJ64" s="49"/>
      <c r="CK64" s="37"/>
      <c r="CL64" s="37"/>
      <c r="CM64" s="37"/>
      <c r="CN64" s="37"/>
      <c r="CO64" s="37"/>
      <c r="CP64" s="37"/>
      <c r="CQ64" s="50"/>
      <c r="CR64" s="49"/>
      <c r="CS64" s="37"/>
      <c r="CT64" s="37"/>
      <c r="CU64" s="37"/>
      <c r="CV64" s="37"/>
      <c r="CW64" s="37"/>
      <c r="CX64" s="37"/>
      <c r="CY64" s="50"/>
      <c r="CZ64" s="49"/>
      <c r="DA64" s="37"/>
      <c r="DB64" s="37"/>
      <c r="DC64" s="37"/>
      <c r="DD64" s="37"/>
      <c r="DE64" s="37"/>
      <c r="DF64" s="37"/>
      <c r="DG64" s="50"/>
      <c r="DH64" s="49"/>
      <c r="DI64" s="37"/>
      <c r="DJ64" s="37"/>
      <c r="DK64" s="37"/>
      <c r="DL64" s="37"/>
      <c r="DM64" s="37"/>
      <c r="DN64" s="37"/>
      <c r="DO64" s="50"/>
      <c r="DP64" s="49"/>
      <c r="DQ64" s="37"/>
      <c r="DR64" s="37"/>
      <c r="DS64" s="37"/>
      <c r="DT64" s="37"/>
      <c r="DU64" s="37"/>
      <c r="DV64" s="37"/>
      <c r="DW64" s="50"/>
      <c r="DX64" s="49"/>
      <c r="DY64" s="37"/>
      <c r="DZ64" s="37"/>
      <c r="EA64" s="37"/>
      <c r="EB64" s="37"/>
      <c r="EC64" s="37"/>
      <c r="ED64" s="37"/>
      <c r="EE64" s="50"/>
      <c r="EF64" s="49"/>
      <c r="EG64" s="37"/>
      <c r="EH64" s="37"/>
      <c r="EI64" s="37"/>
      <c r="EJ64" s="37"/>
      <c r="EK64" s="37"/>
      <c r="EL64" s="37"/>
      <c r="EM64" s="50"/>
      <c r="EN64" s="22"/>
      <c r="EO64" s="12"/>
      <c r="EP64" s="12"/>
      <c r="EQ64" s="12"/>
      <c r="ER64" s="12"/>
      <c r="ES64" s="12"/>
      <c r="ET64" s="12"/>
      <c r="EU64" s="23"/>
      <c r="EV64" s="49"/>
      <c r="EW64" s="37"/>
      <c r="EX64" s="37"/>
      <c r="EY64" s="37"/>
      <c r="EZ64" s="37"/>
      <c r="FA64" s="37"/>
      <c r="FB64" s="37"/>
      <c r="FC64" s="50"/>
      <c r="FD64" s="49"/>
      <c r="FE64" s="37"/>
      <c r="FF64" s="37"/>
      <c r="FG64" s="37"/>
      <c r="FH64" s="37"/>
      <c r="FI64" s="37"/>
      <c r="FJ64" s="37"/>
      <c r="FK64" s="50"/>
      <c r="FL64" s="37"/>
      <c r="FM64" s="37"/>
      <c r="FN64" s="37"/>
    </row>
    <row r="65" spans="1:170" x14ac:dyDescent="0.25">
      <c r="D65"/>
    </row>
    <row r="66" spans="1:170" x14ac:dyDescent="0.25">
      <c r="A66" s="42"/>
      <c r="B66" s="54"/>
      <c r="C66" s="43"/>
      <c r="D66" s="44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  <c r="AF66" s="43"/>
      <c r="AG66" s="43"/>
      <c r="AH66" s="43"/>
      <c r="AI66" s="43"/>
      <c r="AJ66" s="43"/>
      <c r="AK66" s="43"/>
      <c r="AL66" s="43"/>
      <c r="AM66" s="43"/>
      <c r="AN66" s="43"/>
      <c r="AO66" s="43"/>
      <c r="AP66" s="43"/>
      <c r="AQ66" s="43"/>
      <c r="AR66" s="43"/>
      <c r="AS66" s="43"/>
      <c r="AT66" s="43"/>
      <c r="AU66" s="43"/>
      <c r="AV66" s="43"/>
      <c r="AW66" s="43"/>
      <c r="AX66" s="43"/>
      <c r="AY66" s="43"/>
      <c r="AZ66" s="43"/>
      <c r="BA66" s="43"/>
      <c r="BB66" s="43"/>
      <c r="BC66" s="43"/>
      <c r="BD66" s="43"/>
      <c r="BE66" s="43"/>
      <c r="BF66" s="43"/>
      <c r="BG66" s="43"/>
      <c r="BH66" s="43"/>
      <c r="BI66" s="43"/>
      <c r="BJ66" s="43"/>
      <c r="BK66" s="43"/>
      <c r="BL66" s="43"/>
      <c r="BM66" s="43"/>
      <c r="BN66" s="43"/>
      <c r="BO66" s="43"/>
      <c r="BP66" s="43"/>
      <c r="BQ66" s="43"/>
      <c r="BR66" s="43"/>
      <c r="BS66" s="43"/>
      <c r="BT66" s="43"/>
      <c r="BU66" s="43"/>
      <c r="BV66" s="43"/>
      <c r="BW66" s="43"/>
      <c r="BX66" s="43"/>
      <c r="BY66" s="43"/>
      <c r="BZ66" s="43"/>
      <c r="CA66" s="43"/>
      <c r="CB66" s="43"/>
      <c r="CC66" s="43"/>
      <c r="CD66" s="43"/>
      <c r="CE66" s="43"/>
      <c r="CF66" s="43"/>
      <c r="CG66" s="43"/>
      <c r="CH66" s="43"/>
      <c r="CI66" s="43"/>
      <c r="CJ66" s="43"/>
      <c r="CK66" s="43"/>
      <c r="CL66" s="43"/>
      <c r="CM66" s="43"/>
      <c r="CN66" s="43"/>
      <c r="CO66" s="43"/>
      <c r="CP66" s="43"/>
      <c r="CQ66" s="43"/>
      <c r="CR66" s="43"/>
      <c r="CS66" s="43"/>
      <c r="CT66" s="43"/>
      <c r="CU66" s="43"/>
      <c r="CV66" s="43"/>
      <c r="CW66" s="43"/>
      <c r="CX66" s="43"/>
      <c r="CY66" s="43"/>
      <c r="CZ66" s="43"/>
      <c r="DA66" s="43"/>
      <c r="DB66" s="43"/>
      <c r="DC66" s="43"/>
      <c r="DD66" s="43"/>
      <c r="DE66" s="43"/>
      <c r="DF66" s="43"/>
      <c r="DG66" s="43"/>
      <c r="DH66" s="43"/>
      <c r="DI66" s="43"/>
      <c r="DJ66" s="43"/>
      <c r="DK66" s="43"/>
      <c r="DL66" s="43"/>
      <c r="DM66" s="43"/>
      <c r="DN66" s="43"/>
      <c r="DO66" s="43"/>
      <c r="DP66" s="43"/>
      <c r="DQ66" s="43"/>
      <c r="DR66" s="43"/>
      <c r="DS66" s="43"/>
      <c r="DT66" s="43"/>
      <c r="DU66" s="43"/>
      <c r="DV66" s="43"/>
      <c r="DW66" s="43"/>
      <c r="DX66" s="43"/>
      <c r="DY66" s="43"/>
      <c r="DZ66" s="43"/>
      <c r="EA66" s="43"/>
      <c r="EB66" s="43"/>
      <c r="EC66" s="43"/>
      <c r="ED66" s="43"/>
      <c r="EE66" s="43"/>
      <c r="EF66" s="43"/>
      <c r="EG66" s="43"/>
      <c r="EH66" s="43"/>
      <c r="EI66" s="43"/>
      <c r="EJ66" s="43"/>
      <c r="EK66" s="43"/>
      <c r="EL66" s="43"/>
      <c r="EM66" s="43"/>
      <c r="EN66" s="43"/>
      <c r="EO66" s="43"/>
      <c r="EP66" s="43"/>
      <c r="EQ66" s="43"/>
      <c r="ER66" s="43"/>
      <c r="ES66" s="43"/>
      <c r="ET66" s="43"/>
      <c r="EU66" s="43"/>
      <c r="EV66" s="43"/>
      <c r="EW66" s="43"/>
      <c r="EX66" s="43"/>
      <c r="EY66" s="43"/>
      <c r="EZ66" s="43"/>
      <c r="FA66" s="43"/>
      <c r="FB66" s="43"/>
      <c r="FC66" s="43"/>
      <c r="FD66" s="43"/>
      <c r="FE66" s="43"/>
      <c r="FF66" s="43"/>
      <c r="FG66" s="43"/>
      <c r="FH66" s="43"/>
      <c r="FI66" s="43"/>
      <c r="FJ66" s="43"/>
      <c r="FK66" s="43"/>
      <c r="FM66" s="43"/>
      <c r="FN66" s="44"/>
    </row>
  </sheetData>
  <phoneticPr fontId="3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8" tint="-0.249977111117893"/>
  </sheetPr>
  <dimension ref="A1:FN66"/>
  <sheetViews>
    <sheetView workbookViewId="0">
      <selection activeCell="FJ43" sqref="FJ43"/>
    </sheetView>
  </sheetViews>
  <sheetFormatPr baseColWidth="10" defaultRowHeight="15" x14ac:dyDescent="0.25"/>
  <cols>
    <col min="2" max="2" width="17.140625" customWidth="1"/>
    <col min="3" max="3" width="31.140625" customWidth="1"/>
    <col min="4" max="4" width="33.85546875" bestFit="1" customWidth="1"/>
    <col min="5" max="5" width="20" customWidth="1"/>
    <col min="6" max="6" width="16.85546875" customWidth="1"/>
    <col min="7" max="7" width="16.5703125" customWidth="1"/>
    <col min="8" max="169" width="16.85546875" customWidth="1"/>
    <col min="170" max="170" width="16.42578125" bestFit="1" customWidth="1"/>
    <col min="171" max="171" width="6.42578125" customWidth="1"/>
  </cols>
  <sheetData>
    <row r="1" spans="1:170" ht="30" customHeight="1" thickBot="1" x14ac:dyDescent="0.3">
      <c r="A1" s="2" t="s">
        <v>0</v>
      </c>
      <c r="B1" s="3" t="s">
        <v>28</v>
      </c>
      <c r="C1" s="3" t="s">
        <v>190</v>
      </c>
      <c r="D1" s="27" t="s">
        <v>24</v>
      </c>
      <c r="E1" s="3" t="s">
        <v>30</v>
      </c>
      <c r="F1" s="3" t="s">
        <v>31</v>
      </c>
      <c r="G1" s="4" t="s">
        <v>32</v>
      </c>
      <c r="H1" s="20" t="s">
        <v>33</v>
      </c>
      <c r="I1" s="3" t="s">
        <v>34</v>
      </c>
      <c r="J1" s="3" t="s">
        <v>4</v>
      </c>
      <c r="K1" s="3" t="s">
        <v>23</v>
      </c>
      <c r="L1" s="3" t="s">
        <v>35</v>
      </c>
      <c r="M1" s="3" t="s">
        <v>36</v>
      </c>
      <c r="N1" s="3" t="s">
        <v>7</v>
      </c>
      <c r="O1" s="21" t="s">
        <v>37</v>
      </c>
      <c r="P1" s="20" t="s">
        <v>38</v>
      </c>
      <c r="Q1" s="3" t="s">
        <v>46</v>
      </c>
      <c r="R1" s="3" t="s">
        <v>47</v>
      </c>
      <c r="S1" s="3" t="s">
        <v>48</v>
      </c>
      <c r="T1" s="3" t="s">
        <v>49</v>
      </c>
      <c r="U1" s="3" t="s">
        <v>50</v>
      </c>
      <c r="V1" s="3" t="s">
        <v>51</v>
      </c>
      <c r="W1" s="21" t="s">
        <v>52</v>
      </c>
      <c r="X1" s="20" t="s">
        <v>53</v>
      </c>
      <c r="Y1" s="3" t="s">
        <v>39</v>
      </c>
      <c r="Z1" s="3" t="s">
        <v>54</v>
      </c>
      <c r="AA1" s="3" t="s">
        <v>55</v>
      </c>
      <c r="AB1" s="3" t="s">
        <v>56</v>
      </c>
      <c r="AC1" s="3" t="s">
        <v>57</v>
      </c>
      <c r="AD1" s="3" t="s">
        <v>58</v>
      </c>
      <c r="AE1" s="21" t="s">
        <v>59</v>
      </c>
      <c r="AF1" s="20" t="s">
        <v>60</v>
      </c>
      <c r="AG1" s="3" t="s">
        <v>61</v>
      </c>
      <c r="AH1" s="3" t="s">
        <v>40</v>
      </c>
      <c r="AI1" s="3" t="s">
        <v>62</v>
      </c>
      <c r="AJ1" s="3" t="s">
        <v>63</v>
      </c>
      <c r="AK1" s="3" t="s">
        <v>64</v>
      </c>
      <c r="AL1" s="3" t="s">
        <v>65</v>
      </c>
      <c r="AM1" s="21" t="s">
        <v>66</v>
      </c>
      <c r="AN1" s="20" t="s">
        <v>67</v>
      </c>
      <c r="AO1" s="3" t="s">
        <v>68</v>
      </c>
      <c r="AP1" s="3" t="s">
        <v>69</v>
      </c>
      <c r="AQ1" s="3" t="s">
        <v>41</v>
      </c>
      <c r="AR1" s="3" t="s">
        <v>70</v>
      </c>
      <c r="AS1" s="3" t="s">
        <v>71</v>
      </c>
      <c r="AT1" s="3" t="s">
        <v>72</v>
      </c>
      <c r="AU1" s="21" t="s">
        <v>73</v>
      </c>
      <c r="AV1" s="20" t="s">
        <v>74</v>
      </c>
      <c r="AW1" s="3" t="s">
        <v>75</v>
      </c>
      <c r="AX1" s="3" t="s">
        <v>76</v>
      </c>
      <c r="AY1" s="3" t="s">
        <v>83</v>
      </c>
      <c r="AZ1" s="3" t="s">
        <v>42</v>
      </c>
      <c r="BA1" s="3" t="s">
        <v>77</v>
      </c>
      <c r="BB1" s="3" t="s">
        <v>78</v>
      </c>
      <c r="BC1" s="21" t="s">
        <v>79</v>
      </c>
      <c r="BD1" s="20" t="s">
        <v>80</v>
      </c>
      <c r="BE1" s="3" t="s">
        <v>81</v>
      </c>
      <c r="BF1" s="3" t="s">
        <v>82</v>
      </c>
      <c r="BG1" s="3" t="s">
        <v>90</v>
      </c>
      <c r="BH1" s="3" t="s">
        <v>84</v>
      </c>
      <c r="BI1" s="3" t="s">
        <v>43</v>
      </c>
      <c r="BJ1" s="3" t="s">
        <v>85</v>
      </c>
      <c r="BK1" s="21" t="s">
        <v>86</v>
      </c>
      <c r="BL1" s="20" t="s">
        <v>87</v>
      </c>
      <c r="BM1" s="3" t="s">
        <v>88</v>
      </c>
      <c r="BN1" s="3" t="s">
        <v>89</v>
      </c>
      <c r="BO1" s="3" t="s">
        <v>97</v>
      </c>
      <c r="BP1" s="3" t="s">
        <v>91</v>
      </c>
      <c r="BQ1" s="3" t="s">
        <v>92</v>
      </c>
      <c r="BR1" s="3" t="s">
        <v>44</v>
      </c>
      <c r="BS1" s="21" t="s">
        <v>93</v>
      </c>
      <c r="BT1" s="20" t="s">
        <v>94</v>
      </c>
      <c r="BU1" s="3" t="s">
        <v>95</v>
      </c>
      <c r="BV1" s="3" t="s">
        <v>96</v>
      </c>
      <c r="BW1" s="3" t="s">
        <v>104</v>
      </c>
      <c r="BX1" s="3" t="s">
        <v>98</v>
      </c>
      <c r="BY1" s="3" t="s">
        <v>99</v>
      </c>
      <c r="BZ1" s="3" t="s">
        <v>100</v>
      </c>
      <c r="CA1" s="21" t="s">
        <v>45</v>
      </c>
      <c r="CB1" s="20" t="s">
        <v>101</v>
      </c>
      <c r="CC1" s="3" t="s">
        <v>102</v>
      </c>
      <c r="CD1" s="3" t="s">
        <v>103</v>
      </c>
      <c r="CE1" s="3" t="s">
        <v>112</v>
      </c>
      <c r="CF1" s="3" t="s">
        <v>105</v>
      </c>
      <c r="CG1" s="3" t="s">
        <v>106</v>
      </c>
      <c r="CH1" s="3" t="s">
        <v>107</v>
      </c>
      <c r="CI1" s="21" t="s">
        <v>108</v>
      </c>
      <c r="CJ1" s="20" t="s">
        <v>109</v>
      </c>
      <c r="CK1" s="3" t="s">
        <v>110</v>
      </c>
      <c r="CL1" s="3" t="s">
        <v>111</v>
      </c>
      <c r="CM1" s="3" t="s">
        <v>120</v>
      </c>
      <c r="CN1" s="3" t="s">
        <v>113</v>
      </c>
      <c r="CO1" s="3" t="s">
        <v>114</v>
      </c>
      <c r="CP1" s="3" t="s">
        <v>115</v>
      </c>
      <c r="CQ1" s="21" t="s">
        <v>116</v>
      </c>
      <c r="CR1" s="20" t="s">
        <v>117</v>
      </c>
      <c r="CS1" s="3" t="s">
        <v>118</v>
      </c>
      <c r="CT1" s="3" t="s">
        <v>119</v>
      </c>
      <c r="CU1" s="3" t="s">
        <v>168</v>
      </c>
      <c r="CV1" s="3" t="s">
        <v>121</v>
      </c>
      <c r="CW1" s="3" t="s">
        <v>122</v>
      </c>
      <c r="CX1" s="3" t="s">
        <v>123</v>
      </c>
      <c r="CY1" s="21" t="s">
        <v>124</v>
      </c>
      <c r="CZ1" s="20" t="s">
        <v>133</v>
      </c>
      <c r="DA1" s="3" t="s">
        <v>169</v>
      </c>
      <c r="DB1" s="3" t="s">
        <v>170</v>
      </c>
      <c r="DC1" s="3" t="s">
        <v>171</v>
      </c>
      <c r="DD1" s="3" t="s">
        <v>172</v>
      </c>
      <c r="DE1" s="3" t="s">
        <v>173</v>
      </c>
      <c r="DF1" s="3" t="s">
        <v>174</v>
      </c>
      <c r="DG1" s="21" t="s">
        <v>125</v>
      </c>
      <c r="DH1" s="20" t="s">
        <v>140</v>
      </c>
      <c r="DI1" s="3" t="s">
        <v>134</v>
      </c>
      <c r="DJ1" s="3" t="s">
        <v>175</v>
      </c>
      <c r="DK1" s="3" t="s">
        <v>176</v>
      </c>
      <c r="DL1" s="3" t="s">
        <v>177</v>
      </c>
      <c r="DM1" s="3" t="s">
        <v>178</v>
      </c>
      <c r="DN1" s="3" t="s">
        <v>179</v>
      </c>
      <c r="DO1" s="21" t="s">
        <v>126</v>
      </c>
      <c r="DP1" s="20" t="s">
        <v>147</v>
      </c>
      <c r="DQ1" s="3" t="s">
        <v>141</v>
      </c>
      <c r="DR1" s="3" t="s">
        <v>135</v>
      </c>
      <c r="DS1" s="3" t="s">
        <v>183</v>
      </c>
      <c r="DT1" s="3" t="s">
        <v>180</v>
      </c>
      <c r="DU1" s="3" t="s">
        <v>181</v>
      </c>
      <c r="DV1" s="3" t="s">
        <v>182</v>
      </c>
      <c r="DW1" s="21" t="s">
        <v>127</v>
      </c>
      <c r="DX1" s="20" t="s">
        <v>153</v>
      </c>
      <c r="DY1" s="3" t="s">
        <v>148</v>
      </c>
      <c r="DZ1" s="3" t="s">
        <v>142</v>
      </c>
      <c r="EA1" s="3" t="s">
        <v>136</v>
      </c>
      <c r="EB1" s="3" t="s">
        <v>184</v>
      </c>
      <c r="EC1" s="3" t="s">
        <v>185</v>
      </c>
      <c r="ED1" s="3" t="s">
        <v>186</v>
      </c>
      <c r="EE1" s="21" t="s">
        <v>128</v>
      </c>
      <c r="EF1" s="20" t="s">
        <v>158</v>
      </c>
      <c r="EG1" s="3" t="s">
        <v>154</v>
      </c>
      <c r="EH1" s="3" t="s">
        <v>149</v>
      </c>
      <c r="EI1" s="3" t="s">
        <v>143</v>
      </c>
      <c r="EJ1" s="3" t="s">
        <v>137</v>
      </c>
      <c r="EK1" s="3" t="s">
        <v>187</v>
      </c>
      <c r="EL1" s="3" t="s">
        <v>188</v>
      </c>
      <c r="EM1" s="21" t="s">
        <v>129</v>
      </c>
      <c r="EN1" s="17" t="s">
        <v>162</v>
      </c>
      <c r="EO1" s="18" t="s">
        <v>159</v>
      </c>
      <c r="EP1" s="18" t="s">
        <v>155</v>
      </c>
      <c r="EQ1" s="18" t="s">
        <v>150</v>
      </c>
      <c r="ER1" s="18" t="s">
        <v>144</v>
      </c>
      <c r="ES1" s="18" t="s">
        <v>138</v>
      </c>
      <c r="ET1" s="18" t="s">
        <v>189</v>
      </c>
      <c r="EU1" s="19" t="s">
        <v>130</v>
      </c>
      <c r="EV1" s="20" t="s">
        <v>165</v>
      </c>
      <c r="EW1" s="3" t="s">
        <v>163</v>
      </c>
      <c r="EX1" s="3" t="s">
        <v>160</v>
      </c>
      <c r="EY1" s="3" t="s">
        <v>156</v>
      </c>
      <c r="EZ1" s="3" t="s">
        <v>151</v>
      </c>
      <c r="FA1" s="3" t="s">
        <v>145</v>
      </c>
      <c r="FB1" s="3" t="s">
        <v>139</v>
      </c>
      <c r="FC1" s="21" t="s">
        <v>131</v>
      </c>
      <c r="FD1" s="20" t="s">
        <v>167</v>
      </c>
      <c r="FE1" s="3" t="s">
        <v>166</v>
      </c>
      <c r="FF1" s="3" t="s">
        <v>164</v>
      </c>
      <c r="FG1" s="3" t="s">
        <v>161</v>
      </c>
      <c r="FH1" s="3" t="s">
        <v>157</v>
      </c>
      <c r="FI1" s="3" t="s">
        <v>152</v>
      </c>
      <c r="FJ1" s="3" t="s">
        <v>146</v>
      </c>
      <c r="FK1" s="21" t="s">
        <v>132</v>
      </c>
      <c r="FL1" s="3" t="s">
        <v>200</v>
      </c>
      <c r="FM1" s="3" t="s">
        <v>201</v>
      </c>
      <c r="FN1" s="3" t="s">
        <v>214</v>
      </c>
    </row>
    <row r="2" spans="1:170" x14ac:dyDescent="0.25">
      <c r="A2" s="7">
        <f t="shared" ref="A2" si="0">ROW(A1)</f>
        <v>1</v>
      </c>
      <c r="B2" s="9"/>
      <c r="C2" s="9"/>
      <c r="D2" s="28"/>
      <c r="E2" s="12"/>
      <c r="F2" s="12"/>
      <c r="G2" s="16"/>
      <c r="H2" s="22"/>
      <c r="I2" s="12"/>
      <c r="J2" s="12"/>
      <c r="K2" s="12"/>
      <c r="L2" s="12"/>
      <c r="M2" s="12"/>
      <c r="N2" s="12"/>
      <c r="O2" s="23"/>
      <c r="P2" s="22"/>
      <c r="Q2" s="12"/>
      <c r="R2" s="12"/>
      <c r="S2" s="12"/>
      <c r="T2" s="12"/>
      <c r="U2" s="12"/>
      <c r="V2" s="12"/>
      <c r="W2" s="23"/>
      <c r="X2" s="22"/>
      <c r="Y2" s="12"/>
      <c r="Z2" s="12"/>
      <c r="AA2" s="12"/>
      <c r="AB2" s="12"/>
      <c r="AC2" s="12"/>
      <c r="AD2" s="12"/>
      <c r="AE2" s="23"/>
      <c r="AF2" s="22"/>
      <c r="AG2" s="12"/>
      <c r="AH2" s="12"/>
      <c r="AI2" s="12"/>
      <c r="AJ2" s="12"/>
      <c r="AK2" s="12"/>
      <c r="AL2" s="12"/>
      <c r="AM2" s="23"/>
      <c r="AN2" s="22"/>
      <c r="AO2" s="12"/>
      <c r="AP2" s="12"/>
      <c r="AQ2" s="12"/>
      <c r="AR2" s="12"/>
      <c r="AS2" s="12"/>
      <c r="AT2" s="12"/>
      <c r="AU2" s="23"/>
      <c r="AV2" s="22"/>
      <c r="AW2" s="12"/>
      <c r="AX2" s="12"/>
      <c r="AY2" s="12"/>
      <c r="AZ2" s="12"/>
      <c r="BA2" s="12"/>
      <c r="BB2" s="12"/>
      <c r="BC2" s="23"/>
      <c r="BD2" s="22"/>
      <c r="BE2" s="12"/>
      <c r="BF2" s="12"/>
      <c r="BG2" s="12"/>
      <c r="BH2" s="12"/>
      <c r="BI2" s="12"/>
      <c r="BJ2" s="12"/>
      <c r="BK2" s="23"/>
      <c r="BL2" s="22"/>
      <c r="BM2" s="12"/>
      <c r="BN2" s="12"/>
      <c r="BO2" s="12"/>
      <c r="BP2" s="12"/>
      <c r="BQ2" s="12"/>
      <c r="BR2" s="12"/>
      <c r="BS2" s="23"/>
      <c r="BT2" s="22"/>
      <c r="BU2" s="12"/>
      <c r="BV2" s="12"/>
      <c r="BW2" s="12"/>
      <c r="BX2" s="12"/>
      <c r="BY2" s="12"/>
      <c r="BZ2" s="12"/>
      <c r="CA2" s="23"/>
      <c r="CB2" s="22"/>
      <c r="CC2" s="12"/>
      <c r="CD2" s="12"/>
      <c r="CE2" s="12"/>
      <c r="CF2" s="12"/>
      <c r="CG2" s="12"/>
      <c r="CH2" s="12"/>
      <c r="CI2" s="23"/>
      <c r="CJ2" s="22"/>
      <c r="CK2" s="12"/>
      <c r="CL2" s="12"/>
      <c r="CM2" s="12"/>
      <c r="CN2" s="12"/>
      <c r="CO2" s="12"/>
      <c r="CP2" s="12"/>
      <c r="CQ2" s="23"/>
      <c r="CR2" s="22"/>
      <c r="CS2" s="12"/>
      <c r="CT2" s="12"/>
      <c r="CU2" s="12"/>
      <c r="CV2" s="12"/>
      <c r="CW2" s="12"/>
      <c r="CX2" s="12"/>
      <c r="CY2" s="23"/>
      <c r="CZ2" s="22"/>
      <c r="DA2" s="12"/>
      <c r="DB2" s="12"/>
      <c r="DC2" s="12"/>
      <c r="DD2" s="12"/>
      <c r="DE2" s="12"/>
      <c r="DF2" s="12"/>
      <c r="DG2" s="23"/>
      <c r="DH2" s="22"/>
      <c r="DI2" s="12"/>
      <c r="DJ2" s="12"/>
      <c r="DK2" s="12"/>
      <c r="DL2" s="12"/>
      <c r="DM2" s="12"/>
      <c r="DN2" s="12"/>
      <c r="DO2" s="23"/>
      <c r="DP2" s="22"/>
      <c r="DQ2" s="12"/>
      <c r="DR2" s="12"/>
      <c r="DS2" s="12"/>
      <c r="DT2" s="12"/>
      <c r="DU2" s="12"/>
      <c r="DV2" s="12"/>
      <c r="DW2" s="23"/>
      <c r="DX2" s="22"/>
      <c r="DY2" s="12"/>
      <c r="DZ2" s="12"/>
      <c r="EA2" s="12"/>
      <c r="EB2" s="12"/>
      <c r="EC2" s="12"/>
      <c r="ED2" s="12"/>
      <c r="EE2" s="23"/>
      <c r="EF2" s="22"/>
      <c r="EG2" s="12"/>
      <c r="EH2" s="12"/>
      <c r="EI2" s="12"/>
      <c r="EJ2" s="12"/>
      <c r="EK2" s="12"/>
      <c r="EL2" s="12"/>
      <c r="EM2" s="23"/>
      <c r="EN2" s="24"/>
      <c r="EO2" s="25"/>
      <c r="EP2" s="25"/>
      <c r="EQ2" s="25"/>
      <c r="ER2" s="25"/>
      <c r="ES2" s="25"/>
      <c r="ET2" s="25"/>
      <c r="EU2" s="26"/>
      <c r="EV2" s="22"/>
      <c r="EW2" s="12"/>
      <c r="EX2" s="12"/>
      <c r="EY2" s="12"/>
      <c r="EZ2" s="12"/>
      <c r="FA2" s="12"/>
      <c r="FB2" s="12"/>
      <c r="FC2" s="23"/>
      <c r="FD2" s="22"/>
      <c r="FE2" s="12"/>
      <c r="FF2" s="12"/>
      <c r="FG2" s="12"/>
      <c r="FH2" s="12"/>
      <c r="FI2" s="12"/>
      <c r="FJ2" s="12"/>
      <c r="FK2" s="23"/>
      <c r="FL2" s="36"/>
      <c r="FM2" s="36"/>
      <c r="FN2" s="36"/>
    </row>
    <row r="3" spans="1:170" x14ac:dyDescent="0.25">
      <c r="A3" s="38">
        <f>ROW(A2)</f>
        <v>2</v>
      </c>
      <c r="B3" s="37" t="s">
        <v>1362</v>
      </c>
      <c r="C3" s="37" t="s">
        <v>1363</v>
      </c>
      <c r="D3" s="48">
        <v>44865.379212962966</v>
      </c>
      <c r="E3" s="37" t="s">
        <v>783</v>
      </c>
      <c r="F3" s="37" t="s">
        <v>824</v>
      </c>
      <c r="G3" s="37" t="s">
        <v>785</v>
      </c>
      <c r="H3" s="49" t="s">
        <v>737</v>
      </c>
      <c r="I3" s="37" t="s">
        <v>736</v>
      </c>
      <c r="J3" s="37" t="s">
        <v>448</v>
      </c>
      <c r="K3" s="37">
        <v>8</v>
      </c>
      <c r="L3" s="37"/>
      <c r="M3" s="37"/>
      <c r="N3" s="37" t="s">
        <v>223</v>
      </c>
      <c r="O3" s="50" t="s">
        <v>223</v>
      </c>
      <c r="P3" s="49" t="s">
        <v>426</v>
      </c>
      <c r="Q3" s="37" t="s">
        <v>425</v>
      </c>
      <c r="R3" s="37" t="s">
        <v>221</v>
      </c>
      <c r="S3" s="37">
        <v>6</v>
      </c>
      <c r="T3" s="37"/>
      <c r="U3" s="37"/>
      <c r="V3" s="37" t="s">
        <v>223</v>
      </c>
      <c r="W3" s="50" t="s">
        <v>32</v>
      </c>
      <c r="X3" s="49" t="s">
        <v>622</v>
      </c>
      <c r="Y3" s="37" t="s">
        <v>621</v>
      </c>
      <c r="Z3" s="37" t="s">
        <v>235</v>
      </c>
      <c r="AA3" s="37">
        <v>1</v>
      </c>
      <c r="AB3" s="37"/>
      <c r="AC3" s="37"/>
      <c r="AD3" s="37" t="s">
        <v>223</v>
      </c>
      <c r="AE3" s="50" t="s">
        <v>32</v>
      </c>
      <c r="AF3" s="49"/>
      <c r="AG3" s="37"/>
      <c r="AH3" s="37"/>
      <c r="AI3" s="37"/>
      <c r="AJ3" s="37"/>
      <c r="AK3" s="37"/>
      <c r="AL3" s="37"/>
      <c r="AM3" s="50"/>
      <c r="AN3" s="49"/>
      <c r="AO3" s="37"/>
      <c r="AP3" s="37"/>
      <c r="AQ3" s="37"/>
      <c r="AR3" s="37"/>
      <c r="AS3" s="37"/>
      <c r="AT3" s="37"/>
      <c r="AU3" s="50"/>
      <c r="AV3" s="49"/>
      <c r="AW3" s="37"/>
      <c r="AX3" s="37"/>
      <c r="AY3" s="37"/>
      <c r="AZ3" s="37"/>
      <c r="BA3" s="37"/>
      <c r="BB3" s="37"/>
      <c r="BC3" s="50"/>
      <c r="BD3" s="49"/>
      <c r="BE3" s="37"/>
      <c r="BF3" s="37"/>
      <c r="BG3" s="37"/>
      <c r="BH3" s="37"/>
      <c r="BI3" s="37"/>
      <c r="BJ3" s="37"/>
      <c r="BK3" s="50"/>
      <c r="BL3" s="49"/>
      <c r="BM3" s="37"/>
      <c r="BN3" s="37"/>
      <c r="BO3" s="37"/>
      <c r="BP3" s="37"/>
      <c r="BQ3" s="37"/>
      <c r="BR3" s="37"/>
      <c r="BS3" s="50"/>
      <c r="BT3" s="49"/>
      <c r="BU3" s="37"/>
      <c r="BV3" s="37"/>
      <c r="BW3" s="37"/>
      <c r="BX3" s="37"/>
      <c r="BY3" s="37"/>
      <c r="BZ3" s="37"/>
      <c r="CA3" s="50"/>
      <c r="CB3" s="49"/>
      <c r="CC3" s="37"/>
      <c r="CD3" s="37"/>
      <c r="CE3" s="37"/>
      <c r="CF3" s="37"/>
      <c r="CG3" s="37"/>
      <c r="CH3" s="37"/>
      <c r="CI3" s="50"/>
      <c r="CJ3" s="49"/>
      <c r="CK3" s="37"/>
      <c r="CL3" s="37"/>
      <c r="CM3" s="37"/>
      <c r="CN3" s="37"/>
      <c r="CO3" s="37"/>
      <c r="CP3" s="37"/>
      <c r="CQ3" s="50"/>
      <c r="CR3" s="49"/>
      <c r="CS3" s="37"/>
      <c r="CT3" s="37"/>
      <c r="CU3" s="37"/>
      <c r="CV3" s="37"/>
      <c r="CW3" s="37"/>
      <c r="CX3" s="37"/>
      <c r="CY3" s="50"/>
      <c r="CZ3" s="49"/>
      <c r="DA3" s="37"/>
      <c r="DB3" s="37"/>
      <c r="DC3" s="37"/>
      <c r="DD3" s="37"/>
      <c r="DE3" s="37"/>
      <c r="DF3" s="37"/>
      <c r="DG3" s="50"/>
      <c r="DH3" s="49"/>
      <c r="DI3" s="37"/>
      <c r="DJ3" s="37"/>
      <c r="DK3" s="37"/>
      <c r="DL3" s="37"/>
      <c r="DM3" s="37"/>
      <c r="DN3" s="37"/>
      <c r="DO3" s="50"/>
      <c r="DP3" s="49"/>
      <c r="DQ3" s="37"/>
      <c r="DR3" s="37"/>
      <c r="DS3" s="37"/>
      <c r="DT3" s="37"/>
      <c r="DU3" s="37"/>
      <c r="DV3" s="37"/>
      <c r="DW3" s="50"/>
      <c r="DX3" s="49"/>
      <c r="DY3" s="37"/>
      <c r="DZ3" s="37"/>
      <c r="EA3" s="37"/>
      <c r="EB3" s="37"/>
      <c r="EC3" s="37"/>
      <c r="ED3" s="37"/>
      <c r="EE3" s="50"/>
      <c r="EF3" s="49"/>
      <c r="EG3" s="37"/>
      <c r="EH3" s="37"/>
      <c r="EI3" s="37"/>
      <c r="EJ3" s="37"/>
      <c r="EK3" s="37"/>
      <c r="EL3" s="37"/>
      <c r="EM3" s="50"/>
      <c r="EN3" s="22"/>
      <c r="EO3" s="12"/>
      <c r="EP3" s="12"/>
      <c r="EQ3" s="12"/>
      <c r="ER3" s="12"/>
      <c r="ES3" s="12"/>
      <c r="ET3" s="12"/>
      <c r="EU3" s="23"/>
      <c r="EV3" s="49"/>
      <c r="EW3" s="37"/>
      <c r="EX3" s="37"/>
      <c r="EY3" s="37"/>
      <c r="EZ3" s="37"/>
      <c r="FA3" s="37"/>
      <c r="FB3" s="37"/>
      <c r="FC3" s="50"/>
      <c r="FD3" s="49"/>
      <c r="FE3" s="37"/>
      <c r="FF3" s="37"/>
      <c r="FG3" s="37"/>
      <c r="FH3" s="37"/>
      <c r="FI3" s="37"/>
      <c r="FJ3" s="37"/>
      <c r="FK3" s="50"/>
      <c r="FL3" s="37" t="s">
        <v>223</v>
      </c>
      <c r="FM3" s="37" t="s">
        <v>223</v>
      </c>
      <c r="FN3" s="37"/>
    </row>
    <row r="4" spans="1:170" x14ac:dyDescent="0.25">
      <c r="A4" s="38">
        <f>ROW(A2)</f>
        <v>2</v>
      </c>
      <c r="B4" s="37" t="s">
        <v>1360</v>
      </c>
      <c r="C4" s="37" t="s">
        <v>1159</v>
      </c>
      <c r="D4" s="48">
        <v>44865.375625000001</v>
      </c>
      <c r="E4" s="37" t="s">
        <v>811</v>
      </c>
      <c r="F4" s="37" t="s">
        <v>784</v>
      </c>
      <c r="G4" s="37" t="s">
        <v>785</v>
      </c>
      <c r="H4" s="49" t="s">
        <v>371</v>
      </c>
      <c r="I4" s="37" t="s">
        <v>370</v>
      </c>
      <c r="J4" s="37" t="s">
        <v>240</v>
      </c>
      <c r="K4" s="37">
        <v>7</v>
      </c>
      <c r="L4" s="37"/>
      <c r="M4" s="37"/>
      <c r="N4" s="37" t="s">
        <v>223</v>
      </c>
      <c r="O4" s="50" t="s">
        <v>32</v>
      </c>
      <c r="P4" s="49" t="s">
        <v>592</v>
      </c>
      <c r="Q4" s="37" t="s">
        <v>591</v>
      </c>
      <c r="R4" s="37" t="s">
        <v>560</v>
      </c>
      <c r="S4" s="37">
        <v>1</v>
      </c>
      <c r="T4" s="37"/>
      <c r="U4" s="37"/>
      <c r="V4" s="37" t="s">
        <v>223</v>
      </c>
      <c r="W4" s="50" t="s">
        <v>32</v>
      </c>
      <c r="X4" s="49" t="s">
        <v>661</v>
      </c>
      <c r="Y4" s="37" t="s">
        <v>660</v>
      </c>
      <c r="Z4" s="37" t="s">
        <v>221</v>
      </c>
      <c r="AA4" s="37">
        <v>100</v>
      </c>
      <c r="AB4" s="37"/>
      <c r="AC4" s="37"/>
      <c r="AD4" s="37" t="s">
        <v>223</v>
      </c>
      <c r="AE4" s="50" t="s">
        <v>223</v>
      </c>
      <c r="AF4" s="49" t="s">
        <v>426</v>
      </c>
      <c r="AG4" s="37" t="s">
        <v>425</v>
      </c>
      <c r="AH4" s="37" t="s">
        <v>221</v>
      </c>
      <c r="AI4" s="37">
        <v>15</v>
      </c>
      <c r="AJ4" s="37"/>
      <c r="AK4" s="37"/>
      <c r="AL4" s="37" t="s">
        <v>223</v>
      </c>
      <c r="AM4" s="50" t="s">
        <v>32</v>
      </c>
      <c r="AN4" s="49" t="s">
        <v>559</v>
      </c>
      <c r="AO4" s="37" t="s">
        <v>558</v>
      </c>
      <c r="AP4" s="37" t="s">
        <v>560</v>
      </c>
      <c r="AQ4" s="37">
        <v>1</v>
      </c>
      <c r="AR4" s="37"/>
      <c r="AS4" s="37"/>
      <c r="AT4" s="37" t="s">
        <v>223</v>
      </c>
      <c r="AU4" s="50" t="s">
        <v>223</v>
      </c>
      <c r="AV4" s="49"/>
      <c r="AW4" s="37"/>
      <c r="AX4" s="37"/>
      <c r="AY4" s="37"/>
      <c r="AZ4" s="37"/>
      <c r="BA4" s="37"/>
      <c r="BB4" s="37"/>
      <c r="BC4" s="50"/>
      <c r="BD4" s="49"/>
      <c r="BE4" s="37"/>
      <c r="BF4" s="37"/>
      <c r="BG4" s="37"/>
      <c r="BH4" s="37"/>
      <c r="BI4" s="37"/>
      <c r="BJ4" s="37"/>
      <c r="BK4" s="50"/>
      <c r="BL4" s="49"/>
      <c r="BM4" s="37"/>
      <c r="BN4" s="37"/>
      <c r="BO4" s="37"/>
      <c r="BP4" s="37"/>
      <c r="BQ4" s="37"/>
      <c r="BR4" s="37"/>
      <c r="BS4" s="50"/>
      <c r="BT4" s="49"/>
      <c r="BU4" s="37"/>
      <c r="BV4" s="37"/>
      <c r="BW4" s="37"/>
      <c r="BX4" s="37"/>
      <c r="BY4" s="37"/>
      <c r="BZ4" s="37"/>
      <c r="CA4" s="50"/>
      <c r="CB4" s="49"/>
      <c r="CC4" s="37"/>
      <c r="CD4" s="37"/>
      <c r="CE4" s="37"/>
      <c r="CF4" s="37"/>
      <c r="CG4" s="37"/>
      <c r="CH4" s="37"/>
      <c r="CI4" s="50"/>
      <c r="CJ4" s="49"/>
      <c r="CK4" s="37"/>
      <c r="CL4" s="37"/>
      <c r="CM4" s="37"/>
      <c r="CN4" s="37"/>
      <c r="CO4" s="37"/>
      <c r="CP4" s="37"/>
      <c r="CQ4" s="50"/>
      <c r="CR4" s="49"/>
      <c r="CS4" s="37"/>
      <c r="CT4" s="37"/>
      <c r="CU4" s="37"/>
      <c r="CV4" s="37"/>
      <c r="CW4" s="37"/>
      <c r="CX4" s="37"/>
      <c r="CY4" s="50"/>
      <c r="CZ4" s="49"/>
      <c r="DA4" s="37"/>
      <c r="DB4" s="37"/>
      <c r="DC4" s="37"/>
      <c r="DD4" s="37"/>
      <c r="DE4" s="37"/>
      <c r="DF4" s="37"/>
      <c r="DG4" s="50"/>
      <c r="DH4" s="49"/>
      <c r="DI4" s="37"/>
      <c r="DJ4" s="37"/>
      <c r="DK4" s="37"/>
      <c r="DL4" s="37"/>
      <c r="DM4" s="37"/>
      <c r="DN4" s="37"/>
      <c r="DO4" s="50"/>
      <c r="DP4" s="49"/>
      <c r="DQ4" s="37"/>
      <c r="DR4" s="37"/>
      <c r="DS4" s="37"/>
      <c r="DT4" s="37"/>
      <c r="DU4" s="37"/>
      <c r="DV4" s="37"/>
      <c r="DW4" s="50"/>
      <c r="DX4" s="49"/>
      <c r="DY4" s="37"/>
      <c r="DZ4" s="37"/>
      <c r="EA4" s="37"/>
      <c r="EB4" s="37"/>
      <c r="EC4" s="37"/>
      <c r="ED4" s="37"/>
      <c r="EE4" s="50"/>
      <c r="EF4" s="49"/>
      <c r="EG4" s="37"/>
      <c r="EH4" s="37"/>
      <c r="EI4" s="37"/>
      <c r="EJ4" s="37"/>
      <c r="EK4" s="37"/>
      <c r="EL4" s="37"/>
      <c r="EM4" s="50"/>
      <c r="EN4" s="22"/>
      <c r="EO4" s="12"/>
      <c r="EP4" s="12"/>
      <c r="EQ4" s="12"/>
      <c r="ER4" s="12"/>
      <c r="ES4" s="12"/>
      <c r="ET4" s="12"/>
      <c r="EU4" s="23"/>
      <c r="EV4" s="49"/>
      <c r="EW4" s="37"/>
      <c r="EX4" s="37"/>
      <c r="EY4" s="37"/>
      <c r="EZ4" s="37"/>
      <c r="FA4" s="37"/>
      <c r="FB4" s="37"/>
      <c r="FC4" s="50"/>
      <c r="FD4" s="49"/>
      <c r="FE4" s="37"/>
      <c r="FF4" s="37"/>
      <c r="FG4" s="37"/>
      <c r="FH4" s="37"/>
      <c r="FI4" s="37"/>
      <c r="FJ4" s="37"/>
      <c r="FK4" s="50"/>
      <c r="FL4" s="37" t="s">
        <v>223</v>
      </c>
      <c r="FM4" s="37" t="s">
        <v>223</v>
      </c>
      <c r="FN4" s="37"/>
    </row>
    <row r="5" spans="1:170" x14ac:dyDescent="0.25">
      <c r="A5" s="38">
        <f>ROW(A2)</f>
        <v>2</v>
      </c>
      <c r="B5" s="37" t="s">
        <v>1358</v>
      </c>
      <c r="C5" s="37" t="s">
        <v>1359</v>
      </c>
      <c r="D5" s="48">
        <v>44860.761562500003</v>
      </c>
      <c r="E5" s="37" t="s">
        <v>784</v>
      </c>
      <c r="F5" s="37" t="s">
        <v>784</v>
      </c>
      <c r="G5" s="37" t="s">
        <v>785</v>
      </c>
      <c r="H5" s="49">
        <v>1341004</v>
      </c>
      <c r="I5" s="37" t="s">
        <v>1350</v>
      </c>
      <c r="J5" s="37" t="s">
        <v>221</v>
      </c>
      <c r="K5" s="37">
        <v>1</v>
      </c>
      <c r="L5" s="37"/>
      <c r="M5" s="37"/>
      <c r="N5" s="37" t="s">
        <v>32</v>
      </c>
      <c r="O5" s="50" t="s">
        <v>1357</v>
      </c>
      <c r="P5" s="49">
        <v>1341001</v>
      </c>
      <c r="Q5" s="37" t="s">
        <v>1351</v>
      </c>
      <c r="R5" s="37" t="s">
        <v>221</v>
      </c>
      <c r="S5" s="37">
        <v>2</v>
      </c>
      <c r="T5" s="37"/>
      <c r="U5" s="37"/>
      <c r="V5" s="37" t="s">
        <v>32</v>
      </c>
      <c r="W5" s="50" t="s">
        <v>1357</v>
      </c>
      <c r="X5" s="49">
        <v>1341003</v>
      </c>
      <c r="Y5" s="37" t="s">
        <v>291</v>
      </c>
      <c r="Z5" s="37" t="s">
        <v>221</v>
      </c>
      <c r="AA5" s="37">
        <v>4</v>
      </c>
      <c r="AB5" s="37"/>
      <c r="AC5" s="37"/>
      <c r="AD5" s="37" t="s">
        <v>223</v>
      </c>
      <c r="AE5" s="50" t="s">
        <v>1357</v>
      </c>
      <c r="AF5" s="49">
        <v>1341002</v>
      </c>
      <c r="AG5" s="37" t="s">
        <v>1352</v>
      </c>
      <c r="AH5" s="37" t="s">
        <v>221</v>
      </c>
      <c r="AI5" s="37">
        <v>4</v>
      </c>
      <c r="AJ5" s="37"/>
      <c r="AK5" s="37"/>
      <c r="AL5" s="37" t="s">
        <v>223</v>
      </c>
      <c r="AM5" s="50" t="s">
        <v>1357</v>
      </c>
      <c r="AN5" s="49" t="s">
        <v>1354</v>
      </c>
      <c r="AO5" s="37" t="s">
        <v>1353</v>
      </c>
      <c r="AP5" s="37" t="s">
        <v>221</v>
      </c>
      <c r="AQ5" s="37">
        <v>2</v>
      </c>
      <c r="AR5" s="37"/>
      <c r="AS5" s="37"/>
      <c r="AT5" s="37" t="s">
        <v>223</v>
      </c>
      <c r="AU5" s="50" t="s">
        <v>1357</v>
      </c>
      <c r="AV5" s="49" t="s">
        <v>1356</v>
      </c>
      <c r="AW5" s="37" t="s">
        <v>1355</v>
      </c>
      <c r="AX5" s="37" t="s">
        <v>221</v>
      </c>
      <c r="AY5" s="37">
        <v>2</v>
      </c>
      <c r="AZ5" s="37"/>
      <c r="BA5" s="37"/>
      <c r="BB5" s="37" t="s">
        <v>223</v>
      </c>
      <c r="BC5" s="50" t="s">
        <v>1357</v>
      </c>
      <c r="BD5" s="49" t="s">
        <v>661</v>
      </c>
      <c r="BE5" s="37" t="s">
        <v>660</v>
      </c>
      <c r="BF5" s="37" t="s">
        <v>221</v>
      </c>
      <c r="BG5" s="37">
        <v>100</v>
      </c>
      <c r="BH5" s="37"/>
      <c r="BI5" s="37"/>
      <c r="BJ5" s="37" t="s">
        <v>223</v>
      </c>
      <c r="BK5" s="50" t="s">
        <v>1357</v>
      </c>
      <c r="BL5" s="49">
        <v>1276</v>
      </c>
      <c r="BM5" s="37" t="s">
        <v>536</v>
      </c>
      <c r="BN5" s="37" t="s">
        <v>235</v>
      </c>
      <c r="BO5" s="37">
        <v>4</v>
      </c>
      <c r="BP5" s="37"/>
      <c r="BQ5" s="37"/>
      <c r="BR5" s="37" t="s">
        <v>223</v>
      </c>
      <c r="BS5" s="50" t="s">
        <v>1357</v>
      </c>
      <c r="BT5" s="49">
        <v>1480</v>
      </c>
      <c r="BU5" s="37" t="s">
        <v>401</v>
      </c>
      <c r="BV5" s="37" t="s">
        <v>235</v>
      </c>
      <c r="BW5" s="37">
        <v>4</v>
      </c>
      <c r="BX5" s="37"/>
      <c r="BY5" s="37"/>
      <c r="BZ5" s="37" t="s">
        <v>223</v>
      </c>
      <c r="CA5" s="50" t="s">
        <v>1357</v>
      </c>
      <c r="CB5" s="49" t="s">
        <v>643</v>
      </c>
      <c r="CC5" s="37" t="s">
        <v>642</v>
      </c>
      <c r="CD5" s="37" t="s">
        <v>221</v>
      </c>
      <c r="CE5" s="37">
        <v>4</v>
      </c>
      <c r="CF5" s="37"/>
      <c r="CG5" s="37"/>
      <c r="CH5" s="37" t="s">
        <v>223</v>
      </c>
      <c r="CI5" s="50" t="s">
        <v>1357</v>
      </c>
      <c r="CJ5" s="49"/>
      <c r="CK5" s="37"/>
      <c r="CL5" s="37"/>
      <c r="CM5" s="37"/>
      <c r="CN5" s="37"/>
      <c r="CO5" s="37"/>
      <c r="CP5" s="37"/>
      <c r="CQ5" s="50"/>
      <c r="CR5" s="49"/>
      <c r="CS5" s="37"/>
      <c r="CT5" s="37"/>
      <c r="CU5" s="37"/>
      <c r="CV5" s="37"/>
      <c r="CW5" s="37"/>
      <c r="CX5" s="37"/>
      <c r="CY5" s="50"/>
      <c r="CZ5" s="49"/>
      <c r="DA5" s="37"/>
      <c r="DB5" s="37"/>
      <c r="DC5" s="37"/>
      <c r="DD5" s="37"/>
      <c r="DE5" s="37"/>
      <c r="DF5" s="37"/>
      <c r="DG5" s="50"/>
      <c r="DH5" s="49"/>
      <c r="DI5" s="37"/>
      <c r="DJ5" s="37"/>
      <c r="DK5" s="37"/>
      <c r="DL5" s="37"/>
      <c r="DM5" s="37"/>
      <c r="DN5" s="37"/>
      <c r="DO5" s="50"/>
      <c r="DP5" s="49"/>
      <c r="DQ5" s="37"/>
      <c r="DR5" s="37"/>
      <c r="DS5" s="37"/>
      <c r="DT5" s="37"/>
      <c r="DU5" s="37"/>
      <c r="DV5" s="37"/>
      <c r="DW5" s="50"/>
      <c r="DX5" s="49"/>
      <c r="DY5" s="37"/>
      <c r="DZ5" s="37"/>
      <c r="EA5" s="37"/>
      <c r="EB5" s="37"/>
      <c r="EC5" s="37"/>
      <c r="ED5" s="37"/>
      <c r="EE5" s="50"/>
      <c r="EF5" s="49"/>
      <c r="EG5" s="37"/>
      <c r="EH5" s="37"/>
      <c r="EI5" s="37"/>
      <c r="EJ5" s="37"/>
      <c r="EK5" s="37"/>
      <c r="EL5" s="37"/>
      <c r="EM5" s="50"/>
      <c r="EN5" s="22"/>
      <c r="EO5" s="12"/>
      <c r="EP5" s="12"/>
      <c r="EQ5" s="12"/>
      <c r="ER5" s="12"/>
      <c r="ES5" s="12"/>
      <c r="ET5" s="12"/>
      <c r="EU5" s="23"/>
      <c r="EV5" s="49"/>
      <c r="EW5" s="37"/>
      <c r="EX5" s="37"/>
      <c r="EY5" s="37"/>
      <c r="EZ5" s="37"/>
      <c r="FA5" s="37"/>
      <c r="FB5" s="37"/>
      <c r="FC5" s="50"/>
      <c r="FD5" s="49"/>
      <c r="FE5" s="37"/>
      <c r="FF5" s="37"/>
      <c r="FG5" s="37"/>
      <c r="FH5" s="37"/>
      <c r="FI5" s="37"/>
      <c r="FJ5" s="37"/>
      <c r="FK5" s="50"/>
      <c r="FL5" s="37" t="s">
        <v>223</v>
      </c>
      <c r="FM5" s="37" t="s">
        <v>223</v>
      </c>
      <c r="FN5" s="37"/>
    </row>
    <row r="6" spans="1:170" x14ac:dyDescent="0.25">
      <c r="A6" s="38">
        <f>ROW(A2)</f>
        <v>2</v>
      </c>
      <c r="B6" s="37" t="s">
        <v>1347</v>
      </c>
      <c r="C6" s="37" t="s">
        <v>1330</v>
      </c>
      <c r="D6" s="48">
        <v>44859.589548611111</v>
      </c>
      <c r="E6" s="37" t="s">
        <v>1325</v>
      </c>
      <c r="F6" s="37" t="s">
        <v>805</v>
      </c>
      <c r="G6" s="37" t="s">
        <v>785</v>
      </c>
      <c r="H6" s="49" t="s">
        <v>1345</v>
      </c>
      <c r="I6" s="37" t="s">
        <v>1344</v>
      </c>
      <c r="J6" s="37" t="s">
        <v>221</v>
      </c>
      <c r="K6" s="37">
        <v>1</v>
      </c>
      <c r="L6" s="37"/>
      <c r="M6" s="37"/>
      <c r="N6" s="37" t="s">
        <v>223</v>
      </c>
      <c r="O6" s="50" t="s">
        <v>1346</v>
      </c>
      <c r="P6" s="49"/>
      <c r="Q6" s="37"/>
      <c r="R6" s="37"/>
      <c r="S6" s="37"/>
      <c r="T6" s="37"/>
      <c r="U6" s="37"/>
      <c r="V6" s="37"/>
      <c r="W6" s="50"/>
      <c r="X6" s="49"/>
      <c r="Y6" s="37"/>
      <c r="Z6" s="37"/>
      <c r="AA6" s="37"/>
      <c r="AB6" s="37"/>
      <c r="AC6" s="37"/>
      <c r="AD6" s="37"/>
      <c r="AE6" s="50"/>
      <c r="AF6" s="49"/>
      <c r="AG6" s="37"/>
      <c r="AH6" s="37"/>
      <c r="AI6" s="37"/>
      <c r="AJ6" s="37"/>
      <c r="AK6" s="37"/>
      <c r="AL6" s="37"/>
      <c r="AM6" s="50"/>
      <c r="AN6" s="49"/>
      <c r="AO6" s="37"/>
      <c r="AP6" s="37"/>
      <c r="AQ6" s="37"/>
      <c r="AR6" s="37"/>
      <c r="AS6" s="37"/>
      <c r="AT6" s="37"/>
      <c r="AU6" s="50"/>
      <c r="AV6" s="49"/>
      <c r="AW6" s="37"/>
      <c r="AX6" s="37"/>
      <c r="AY6" s="37"/>
      <c r="AZ6" s="37"/>
      <c r="BA6" s="37"/>
      <c r="BB6" s="37"/>
      <c r="BC6" s="50"/>
      <c r="BD6" s="49"/>
      <c r="BE6" s="37"/>
      <c r="BF6" s="37"/>
      <c r="BG6" s="37"/>
      <c r="BH6" s="37"/>
      <c r="BI6" s="37"/>
      <c r="BJ6" s="37"/>
      <c r="BK6" s="50"/>
      <c r="BL6" s="49"/>
      <c r="BM6" s="37"/>
      <c r="BN6" s="37"/>
      <c r="BO6" s="37"/>
      <c r="BP6" s="37"/>
      <c r="BQ6" s="37"/>
      <c r="BR6" s="37"/>
      <c r="BS6" s="50"/>
      <c r="BT6" s="49"/>
      <c r="BU6" s="37"/>
      <c r="BV6" s="37"/>
      <c r="BW6" s="37"/>
      <c r="BX6" s="37"/>
      <c r="BY6" s="37"/>
      <c r="BZ6" s="37"/>
      <c r="CA6" s="50"/>
      <c r="CB6" s="49"/>
      <c r="CC6" s="37"/>
      <c r="CD6" s="37"/>
      <c r="CE6" s="37"/>
      <c r="CF6" s="37"/>
      <c r="CG6" s="37"/>
      <c r="CH6" s="37"/>
      <c r="CI6" s="50"/>
      <c r="CJ6" s="49"/>
      <c r="CK6" s="37"/>
      <c r="CL6" s="37"/>
      <c r="CM6" s="37"/>
      <c r="CN6" s="37"/>
      <c r="CO6" s="37"/>
      <c r="CP6" s="37"/>
      <c r="CQ6" s="50"/>
      <c r="CR6" s="49"/>
      <c r="CS6" s="37"/>
      <c r="CT6" s="37"/>
      <c r="CU6" s="37"/>
      <c r="CV6" s="37"/>
      <c r="CW6" s="37"/>
      <c r="CX6" s="37"/>
      <c r="CY6" s="50"/>
      <c r="CZ6" s="49"/>
      <c r="DA6" s="37"/>
      <c r="DB6" s="37"/>
      <c r="DC6" s="37"/>
      <c r="DD6" s="37"/>
      <c r="DE6" s="37"/>
      <c r="DF6" s="37"/>
      <c r="DG6" s="50"/>
      <c r="DH6" s="49"/>
      <c r="DI6" s="37"/>
      <c r="DJ6" s="37"/>
      <c r="DK6" s="37"/>
      <c r="DL6" s="37"/>
      <c r="DM6" s="37"/>
      <c r="DN6" s="37"/>
      <c r="DO6" s="50"/>
      <c r="DP6" s="49"/>
      <c r="DQ6" s="37"/>
      <c r="DR6" s="37"/>
      <c r="DS6" s="37"/>
      <c r="DT6" s="37"/>
      <c r="DU6" s="37"/>
      <c r="DV6" s="37"/>
      <c r="DW6" s="50"/>
      <c r="DX6" s="49"/>
      <c r="DY6" s="37"/>
      <c r="DZ6" s="37"/>
      <c r="EA6" s="37"/>
      <c r="EB6" s="37"/>
      <c r="EC6" s="37"/>
      <c r="ED6" s="37"/>
      <c r="EE6" s="50"/>
      <c r="EF6" s="49"/>
      <c r="EG6" s="37"/>
      <c r="EH6" s="37"/>
      <c r="EI6" s="37"/>
      <c r="EJ6" s="37"/>
      <c r="EK6" s="37"/>
      <c r="EL6" s="37"/>
      <c r="EM6" s="50"/>
      <c r="EN6" s="22"/>
      <c r="EO6" s="12"/>
      <c r="EP6" s="12"/>
      <c r="EQ6" s="12"/>
      <c r="ER6" s="12"/>
      <c r="ES6" s="12"/>
      <c r="ET6" s="12"/>
      <c r="EU6" s="23"/>
      <c r="EV6" s="49"/>
      <c r="EW6" s="37"/>
      <c r="EX6" s="37"/>
      <c r="EY6" s="37"/>
      <c r="EZ6" s="37"/>
      <c r="FA6" s="37"/>
      <c r="FB6" s="37"/>
      <c r="FC6" s="50"/>
      <c r="FD6" s="49"/>
      <c r="FE6" s="37"/>
      <c r="FF6" s="37"/>
      <c r="FG6" s="37"/>
      <c r="FH6" s="37"/>
      <c r="FI6" s="37"/>
      <c r="FJ6" s="37"/>
      <c r="FK6" s="50"/>
      <c r="FL6" s="37" t="s">
        <v>1259</v>
      </c>
      <c r="FM6" s="37" t="s">
        <v>1259</v>
      </c>
      <c r="FN6" s="37"/>
    </row>
    <row r="7" spans="1:170" x14ac:dyDescent="0.25">
      <c r="A7" s="38">
        <f>ROW(A2)</f>
        <v>2</v>
      </c>
      <c r="B7" s="37" t="s">
        <v>1342</v>
      </c>
      <c r="C7" s="37" t="s">
        <v>1141</v>
      </c>
      <c r="D7" s="48">
        <v>44859.576053240744</v>
      </c>
      <c r="E7" s="37" t="s">
        <v>783</v>
      </c>
      <c r="F7" s="37" t="s">
        <v>805</v>
      </c>
      <c r="G7" s="37" t="s">
        <v>785</v>
      </c>
      <c r="H7" s="49" t="s">
        <v>1338</v>
      </c>
      <c r="I7" s="37" t="s">
        <v>1337</v>
      </c>
      <c r="J7" s="37" t="s">
        <v>221</v>
      </c>
      <c r="K7" s="37">
        <v>1</v>
      </c>
      <c r="L7" s="37"/>
      <c r="M7" s="37"/>
      <c r="N7" s="37" t="s">
        <v>1259</v>
      </c>
      <c r="O7" s="50" t="s">
        <v>1341</v>
      </c>
      <c r="P7" s="49" t="s">
        <v>1266</v>
      </c>
      <c r="Q7" s="37" t="s">
        <v>1265</v>
      </c>
      <c r="R7" s="37" t="s">
        <v>1267</v>
      </c>
      <c r="S7" s="37">
        <v>1</v>
      </c>
      <c r="T7" s="37"/>
      <c r="U7" s="37"/>
      <c r="V7" s="37" t="s">
        <v>1262</v>
      </c>
      <c r="W7" s="50" t="s">
        <v>1341</v>
      </c>
      <c r="X7" s="49" t="s">
        <v>1336</v>
      </c>
      <c r="Y7" s="37" t="s">
        <v>1335</v>
      </c>
      <c r="Z7" s="37" t="s">
        <v>221</v>
      </c>
      <c r="AA7" s="37">
        <v>4</v>
      </c>
      <c r="AB7" s="37"/>
      <c r="AC7" s="37"/>
      <c r="AD7" s="37" t="s">
        <v>1259</v>
      </c>
      <c r="AE7" s="50" t="s">
        <v>1341</v>
      </c>
      <c r="AF7" s="49" t="s">
        <v>661</v>
      </c>
      <c r="AG7" s="37" t="s">
        <v>660</v>
      </c>
      <c r="AH7" s="37" t="s">
        <v>221</v>
      </c>
      <c r="AI7" s="37">
        <v>50</v>
      </c>
      <c r="AJ7" s="37"/>
      <c r="AK7" s="37"/>
      <c r="AL7" s="37" t="s">
        <v>1259</v>
      </c>
      <c r="AM7" s="50" t="s">
        <v>1341</v>
      </c>
      <c r="AN7" s="49" t="s">
        <v>1340</v>
      </c>
      <c r="AO7" s="37" t="s">
        <v>1339</v>
      </c>
      <c r="AP7" s="37" t="s">
        <v>221</v>
      </c>
      <c r="AQ7" s="37">
        <v>50</v>
      </c>
      <c r="AR7" s="37"/>
      <c r="AS7" s="37"/>
      <c r="AT7" s="37" t="s">
        <v>1262</v>
      </c>
      <c r="AU7" s="50" t="s">
        <v>1341</v>
      </c>
      <c r="AV7" s="49"/>
      <c r="AW7" s="37"/>
      <c r="AX7" s="37"/>
      <c r="AY7" s="37"/>
      <c r="AZ7" s="37"/>
      <c r="BA7" s="37"/>
      <c r="BB7" s="37"/>
      <c r="BC7" s="50"/>
      <c r="BD7" s="49"/>
      <c r="BE7" s="37"/>
      <c r="BF7" s="37"/>
      <c r="BG7" s="37"/>
      <c r="BH7" s="37"/>
      <c r="BI7" s="37"/>
      <c r="BJ7" s="37"/>
      <c r="BK7" s="50"/>
      <c r="BL7" s="49"/>
      <c r="BM7" s="37"/>
      <c r="BN7" s="37"/>
      <c r="BO7" s="37"/>
      <c r="BP7" s="37"/>
      <c r="BQ7" s="37"/>
      <c r="BR7" s="37"/>
      <c r="BS7" s="50"/>
      <c r="BT7" s="49"/>
      <c r="BU7" s="37"/>
      <c r="BV7" s="37"/>
      <c r="BW7" s="37"/>
      <c r="BX7" s="37"/>
      <c r="BY7" s="37"/>
      <c r="BZ7" s="37"/>
      <c r="CA7" s="50"/>
      <c r="CB7" s="49"/>
      <c r="CC7" s="37"/>
      <c r="CD7" s="37"/>
      <c r="CE7" s="37"/>
      <c r="CF7" s="37"/>
      <c r="CG7" s="37"/>
      <c r="CH7" s="37"/>
      <c r="CI7" s="50"/>
      <c r="CJ7" s="49"/>
      <c r="CK7" s="37"/>
      <c r="CL7" s="37"/>
      <c r="CM7" s="37"/>
      <c r="CN7" s="37"/>
      <c r="CO7" s="37"/>
      <c r="CP7" s="37"/>
      <c r="CQ7" s="50"/>
      <c r="CR7" s="49"/>
      <c r="CS7" s="37"/>
      <c r="CT7" s="37"/>
      <c r="CU7" s="37"/>
      <c r="CV7" s="37"/>
      <c r="CW7" s="37"/>
      <c r="CX7" s="37"/>
      <c r="CY7" s="50"/>
      <c r="CZ7" s="49"/>
      <c r="DA7" s="37"/>
      <c r="DB7" s="37"/>
      <c r="DC7" s="37"/>
      <c r="DD7" s="37"/>
      <c r="DE7" s="37"/>
      <c r="DF7" s="37"/>
      <c r="DG7" s="50"/>
      <c r="DH7" s="49"/>
      <c r="DI7" s="37"/>
      <c r="DJ7" s="37"/>
      <c r="DK7" s="37"/>
      <c r="DL7" s="37"/>
      <c r="DM7" s="37"/>
      <c r="DN7" s="37"/>
      <c r="DO7" s="50"/>
      <c r="DP7" s="49"/>
      <c r="DQ7" s="37"/>
      <c r="DR7" s="37"/>
      <c r="DS7" s="37"/>
      <c r="DT7" s="37"/>
      <c r="DU7" s="37"/>
      <c r="DV7" s="37"/>
      <c r="DW7" s="50"/>
      <c r="DX7" s="49"/>
      <c r="DY7" s="37"/>
      <c r="DZ7" s="37"/>
      <c r="EA7" s="37"/>
      <c r="EB7" s="37"/>
      <c r="EC7" s="37"/>
      <c r="ED7" s="37"/>
      <c r="EE7" s="50"/>
      <c r="EF7" s="49"/>
      <c r="EG7" s="37"/>
      <c r="EH7" s="37"/>
      <c r="EI7" s="37"/>
      <c r="EJ7" s="37"/>
      <c r="EK7" s="37"/>
      <c r="EL7" s="37"/>
      <c r="EM7" s="50"/>
      <c r="EN7" s="22"/>
      <c r="EO7" s="12"/>
      <c r="EP7" s="12"/>
      <c r="EQ7" s="12"/>
      <c r="ER7" s="12"/>
      <c r="ES7" s="12"/>
      <c r="ET7" s="12"/>
      <c r="EU7" s="23"/>
      <c r="EV7" s="49"/>
      <c r="EW7" s="37"/>
      <c r="EX7" s="37"/>
      <c r="EY7" s="37"/>
      <c r="EZ7" s="37"/>
      <c r="FA7" s="37"/>
      <c r="FB7" s="37"/>
      <c r="FC7" s="50"/>
      <c r="FD7" s="49"/>
      <c r="FE7" s="37"/>
      <c r="FF7" s="37"/>
      <c r="FG7" s="37"/>
      <c r="FH7" s="37"/>
      <c r="FI7" s="37"/>
      <c r="FJ7" s="37"/>
      <c r="FK7" s="50"/>
      <c r="FL7" s="37" t="s">
        <v>1259</v>
      </c>
      <c r="FM7" s="37" t="s">
        <v>1259</v>
      </c>
      <c r="FN7" s="37"/>
    </row>
    <row r="8" spans="1:170" x14ac:dyDescent="0.25">
      <c r="A8" s="38">
        <f>ROW(A2)</f>
        <v>2</v>
      </c>
      <c r="B8" s="37" t="s">
        <v>1333</v>
      </c>
      <c r="C8" s="37" t="s">
        <v>1141</v>
      </c>
      <c r="D8" s="48">
        <v>44859.562013888892</v>
      </c>
      <c r="E8" s="37" t="s">
        <v>783</v>
      </c>
      <c r="F8" s="37" t="s">
        <v>805</v>
      </c>
      <c r="G8" s="37" t="s">
        <v>785</v>
      </c>
      <c r="H8" s="49" t="s">
        <v>711</v>
      </c>
      <c r="I8" s="37" t="s">
        <v>710</v>
      </c>
      <c r="J8" s="37" t="s">
        <v>448</v>
      </c>
      <c r="K8" s="37">
        <v>3</v>
      </c>
      <c r="L8" s="37"/>
      <c r="M8" s="37"/>
      <c r="N8" s="37" t="s">
        <v>1259</v>
      </c>
      <c r="O8" s="50" t="s">
        <v>1332</v>
      </c>
      <c r="P8" s="49">
        <v>2220</v>
      </c>
      <c r="Q8" s="37" t="s">
        <v>405</v>
      </c>
      <c r="R8" s="37" t="s">
        <v>235</v>
      </c>
      <c r="S8" s="37">
        <v>3</v>
      </c>
      <c r="T8" s="37"/>
      <c r="U8" s="37"/>
      <c r="V8" s="37" t="s">
        <v>1259</v>
      </c>
      <c r="W8" s="50" t="s">
        <v>1332</v>
      </c>
      <c r="X8" s="49"/>
      <c r="Y8" s="37"/>
      <c r="Z8" s="37"/>
      <c r="AA8" s="37"/>
      <c r="AB8" s="37"/>
      <c r="AC8" s="37"/>
      <c r="AD8" s="37"/>
      <c r="AE8" s="50"/>
      <c r="AF8" s="49"/>
      <c r="AG8" s="37"/>
      <c r="AH8" s="37"/>
      <c r="AI8" s="37"/>
      <c r="AJ8" s="37"/>
      <c r="AK8" s="37"/>
      <c r="AL8" s="37"/>
      <c r="AM8" s="50"/>
      <c r="AN8" s="49"/>
      <c r="AO8" s="37"/>
      <c r="AP8" s="37"/>
      <c r="AQ8" s="37"/>
      <c r="AR8" s="37"/>
      <c r="AS8" s="37"/>
      <c r="AT8" s="37"/>
      <c r="AU8" s="50"/>
      <c r="AV8" s="49"/>
      <c r="AW8" s="37"/>
      <c r="AX8" s="37"/>
      <c r="AY8" s="37"/>
      <c r="AZ8" s="37"/>
      <c r="BA8" s="37"/>
      <c r="BB8" s="37"/>
      <c r="BC8" s="50"/>
      <c r="BD8" s="49"/>
      <c r="BE8" s="37"/>
      <c r="BF8" s="37"/>
      <c r="BG8" s="37"/>
      <c r="BH8" s="37"/>
      <c r="BI8" s="37"/>
      <c r="BJ8" s="37"/>
      <c r="BK8" s="50"/>
      <c r="BL8" s="49"/>
      <c r="BM8" s="37"/>
      <c r="BN8" s="37"/>
      <c r="BO8" s="37"/>
      <c r="BP8" s="37"/>
      <c r="BQ8" s="37"/>
      <c r="BR8" s="37"/>
      <c r="BS8" s="50"/>
      <c r="BT8" s="49"/>
      <c r="BU8" s="37"/>
      <c r="BV8" s="37"/>
      <c r="BW8" s="37"/>
      <c r="BX8" s="37"/>
      <c r="BY8" s="37"/>
      <c r="BZ8" s="37"/>
      <c r="CA8" s="50"/>
      <c r="CB8" s="49"/>
      <c r="CC8" s="37"/>
      <c r="CD8" s="37"/>
      <c r="CE8" s="37"/>
      <c r="CF8" s="37"/>
      <c r="CG8" s="37"/>
      <c r="CH8" s="37"/>
      <c r="CI8" s="50"/>
      <c r="CJ8" s="49"/>
      <c r="CK8" s="37"/>
      <c r="CL8" s="37"/>
      <c r="CM8" s="37"/>
      <c r="CN8" s="37"/>
      <c r="CO8" s="37"/>
      <c r="CP8" s="37"/>
      <c r="CQ8" s="50"/>
      <c r="CR8" s="49"/>
      <c r="CS8" s="37"/>
      <c r="CT8" s="37"/>
      <c r="CU8" s="37"/>
      <c r="CV8" s="37"/>
      <c r="CW8" s="37"/>
      <c r="CX8" s="37"/>
      <c r="CY8" s="50"/>
      <c r="CZ8" s="49"/>
      <c r="DA8" s="37"/>
      <c r="DB8" s="37"/>
      <c r="DC8" s="37"/>
      <c r="DD8" s="37"/>
      <c r="DE8" s="37"/>
      <c r="DF8" s="37"/>
      <c r="DG8" s="50"/>
      <c r="DH8" s="49"/>
      <c r="DI8" s="37"/>
      <c r="DJ8" s="37"/>
      <c r="DK8" s="37"/>
      <c r="DL8" s="37"/>
      <c r="DM8" s="37"/>
      <c r="DN8" s="37"/>
      <c r="DO8" s="50"/>
      <c r="DP8" s="49"/>
      <c r="DQ8" s="37"/>
      <c r="DR8" s="37"/>
      <c r="DS8" s="37"/>
      <c r="DT8" s="37"/>
      <c r="DU8" s="37"/>
      <c r="DV8" s="37"/>
      <c r="DW8" s="50"/>
      <c r="DX8" s="49"/>
      <c r="DY8" s="37"/>
      <c r="DZ8" s="37"/>
      <c r="EA8" s="37"/>
      <c r="EB8" s="37"/>
      <c r="EC8" s="37"/>
      <c r="ED8" s="37"/>
      <c r="EE8" s="50"/>
      <c r="EF8" s="49"/>
      <c r="EG8" s="37"/>
      <c r="EH8" s="37"/>
      <c r="EI8" s="37"/>
      <c r="EJ8" s="37"/>
      <c r="EK8" s="37"/>
      <c r="EL8" s="37"/>
      <c r="EM8" s="50"/>
      <c r="EN8" s="22"/>
      <c r="EO8" s="12"/>
      <c r="EP8" s="12"/>
      <c r="EQ8" s="12"/>
      <c r="ER8" s="12"/>
      <c r="ES8" s="12"/>
      <c r="ET8" s="12"/>
      <c r="EU8" s="23"/>
      <c r="EV8" s="49"/>
      <c r="EW8" s="37"/>
      <c r="EX8" s="37"/>
      <c r="EY8" s="37"/>
      <c r="EZ8" s="37"/>
      <c r="FA8" s="37"/>
      <c r="FB8" s="37"/>
      <c r="FC8" s="50"/>
      <c r="FD8" s="49"/>
      <c r="FE8" s="37"/>
      <c r="FF8" s="37"/>
      <c r="FG8" s="37"/>
      <c r="FH8" s="37"/>
      <c r="FI8" s="37"/>
      <c r="FJ8" s="37"/>
      <c r="FK8" s="50"/>
      <c r="FL8" s="37" t="s">
        <v>1259</v>
      </c>
      <c r="FM8" s="37" t="s">
        <v>1259</v>
      </c>
      <c r="FN8" s="37"/>
    </row>
    <row r="9" spans="1:170" x14ac:dyDescent="0.25">
      <c r="A9" s="38">
        <f>ROW(A2)</f>
        <v>2</v>
      </c>
      <c r="B9" s="37" t="s">
        <v>1329</v>
      </c>
      <c r="C9" s="37" t="s">
        <v>1330</v>
      </c>
      <c r="D9" s="48">
        <v>44859.550092592595</v>
      </c>
      <c r="E9" s="37" t="s">
        <v>783</v>
      </c>
      <c r="F9" s="37" t="s">
        <v>784</v>
      </c>
      <c r="G9" s="37" t="s">
        <v>785</v>
      </c>
      <c r="H9" s="49" t="s">
        <v>1327</v>
      </c>
      <c r="I9" s="37" t="s">
        <v>1326</v>
      </c>
      <c r="J9" s="37" t="s">
        <v>221</v>
      </c>
      <c r="K9" s="37">
        <v>22</v>
      </c>
      <c r="L9" s="37"/>
      <c r="M9" s="37"/>
      <c r="N9" s="37" t="s">
        <v>223</v>
      </c>
      <c r="O9" s="50" t="s">
        <v>1328</v>
      </c>
      <c r="P9" s="49"/>
      <c r="Q9" s="37"/>
      <c r="R9" s="37"/>
      <c r="S9" s="37"/>
      <c r="T9" s="37"/>
      <c r="U9" s="37"/>
      <c r="V9" s="37"/>
      <c r="W9" s="50"/>
      <c r="X9" s="49"/>
      <c r="Y9" s="37"/>
      <c r="Z9" s="37"/>
      <c r="AA9" s="37"/>
      <c r="AB9" s="37"/>
      <c r="AC9" s="37"/>
      <c r="AD9" s="37"/>
      <c r="AE9" s="50"/>
      <c r="AF9" s="49"/>
      <c r="AG9" s="37"/>
      <c r="AH9" s="37"/>
      <c r="AI9" s="37"/>
      <c r="AJ9" s="37"/>
      <c r="AK9" s="37"/>
      <c r="AL9" s="37"/>
      <c r="AM9" s="50"/>
      <c r="AN9" s="49"/>
      <c r="AO9" s="37"/>
      <c r="AP9" s="37"/>
      <c r="AQ9" s="37"/>
      <c r="AR9" s="37"/>
      <c r="AS9" s="37"/>
      <c r="AT9" s="37"/>
      <c r="AU9" s="50"/>
      <c r="AV9" s="49"/>
      <c r="AW9" s="37"/>
      <c r="AX9" s="37"/>
      <c r="AY9" s="37"/>
      <c r="AZ9" s="37"/>
      <c r="BA9" s="37"/>
      <c r="BB9" s="37"/>
      <c r="BC9" s="50"/>
      <c r="BD9" s="49"/>
      <c r="BE9" s="37"/>
      <c r="BF9" s="37"/>
      <c r="BG9" s="37"/>
      <c r="BH9" s="37"/>
      <c r="BI9" s="37"/>
      <c r="BJ9" s="37"/>
      <c r="BK9" s="50"/>
      <c r="BL9" s="49"/>
      <c r="BM9" s="37"/>
      <c r="BN9" s="37"/>
      <c r="BO9" s="37"/>
      <c r="BP9" s="37"/>
      <c r="BQ9" s="37"/>
      <c r="BR9" s="37"/>
      <c r="BS9" s="50"/>
      <c r="BT9" s="49"/>
      <c r="BU9" s="37"/>
      <c r="BV9" s="37"/>
      <c r="BW9" s="37"/>
      <c r="BX9" s="37"/>
      <c r="BY9" s="37"/>
      <c r="BZ9" s="37"/>
      <c r="CA9" s="50"/>
      <c r="CB9" s="49"/>
      <c r="CC9" s="37"/>
      <c r="CD9" s="37"/>
      <c r="CE9" s="37"/>
      <c r="CF9" s="37"/>
      <c r="CG9" s="37"/>
      <c r="CH9" s="37"/>
      <c r="CI9" s="50"/>
      <c r="CJ9" s="49"/>
      <c r="CK9" s="37"/>
      <c r="CL9" s="37"/>
      <c r="CM9" s="37"/>
      <c r="CN9" s="37"/>
      <c r="CO9" s="37"/>
      <c r="CP9" s="37"/>
      <c r="CQ9" s="50"/>
      <c r="CR9" s="49"/>
      <c r="CS9" s="37"/>
      <c r="CT9" s="37"/>
      <c r="CU9" s="37"/>
      <c r="CV9" s="37"/>
      <c r="CW9" s="37"/>
      <c r="CX9" s="37"/>
      <c r="CY9" s="50"/>
      <c r="CZ9" s="49"/>
      <c r="DA9" s="37"/>
      <c r="DB9" s="37"/>
      <c r="DC9" s="37"/>
      <c r="DD9" s="37"/>
      <c r="DE9" s="37"/>
      <c r="DF9" s="37"/>
      <c r="DG9" s="50"/>
      <c r="DH9" s="49"/>
      <c r="DI9" s="37"/>
      <c r="DJ9" s="37"/>
      <c r="DK9" s="37"/>
      <c r="DL9" s="37"/>
      <c r="DM9" s="37"/>
      <c r="DN9" s="37"/>
      <c r="DO9" s="50"/>
      <c r="DP9" s="49"/>
      <c r="DQ9" s="37"/>
      <c r="DR9" s="37"/>
      <c r="DS9" s="37"/>
      <c r="DT9" s="37"/>
      <c r="DU9" s="37"/>
      <c r="DV9" s="37"/>
      <c r="DW9" s="50"/>
      <c r="DX9" s="49"/>
      <c r="DY9" s="37"/>
      <c r="DZ9" s="37"/>
      <c r="EA9" s="37"/>
      <c r="EB9" s="37"/>
      <c r="EC9" s="37"/>
      <c r="ED9" s="37"/>
      <c r="EE9" s="50"/>
      <c r="EF9" s="49"/>
      <c r="EG9" s="37"/>
      <c r="EH9" s="37"/>
      <c r="EI9" s="37"/>
      <c r="EJ9" s="37"/>
      <c r="EK9" s="37"/>
      <c r="EL9" s="37"/>
      <c r="EM9" s="50"/>
      <c r="EN9" s="22"/>
      <c r="EO9" s="12"/>
      <c r="EP9" s="12"/>
      <c r="EQ9" s="12"/>
      <c r="ER9" s="12"/>
      <c r="ES9" s="12"/>
      <c r="ET9" s="12"/>
      <c r="EU9" s="23"/>
      <c r="EV9" s="49"/>
      <c r="EW9" s="37"/>
      <c r="EX9" s="37"/>
      <c r="EY9" s="37"/>
      <c r="EZ9" s="37"/>
      <c r="FA9" s="37"/>
      <c r="FB9" s="37"/>
      <c r="FC9" s="50"/>
      <c r="FD9" s="49"/>
      <c r="FE9" s="37"/>
      <c r="FF9" s="37"/>
      <c r="FG9" s="37"/>
      <c r="FH9" s="37"/>
      <c r="FI9" s="37"/>
      <c r="FJ9" s="37"/>
      <c r="FK9" s="50"/>
      <c r="FL9" s="37" t="s">
        <v>223</v>
      </c>
      <c r="FM9" s="37" t="s">
        <v>223</v>
      </c>
      <c r="FN9" s="37"/>
    </row>
    <row r="10" spans="1:170" x14ac:dyDescent="0.25">
      <c r="A10" s="38">
        <f>ROW(A2)</f>
        <v>2</v>
      </c>
      <c r="B10" s="37" t="s">
        <v>1323</v>
      </c>
      <c r="C10" s="37" t="s">
        <v>823</v>
      </c>
      <c r="D10" s="48">
        <v>44859.507060185184</v>
      </c>
      <c r="E10" s="37" t="s">
        <v>783</v>
      </c>
      <c r="F10" s="37" t="s">
        <v>784</v>
      </c>
      <c r="G10" s="37" t="s">
        <v>785</v>
      </c>
      <c r="H10" s="49" t="s">
        <v>381</v>
      </c>
      <c r="I10" s="37" t="s">
        <v>380</v>
      </c>
      <c r="J10" s="37" t="s">
        <v>382</v>
      </c>
      <c r="K10" s="37">
        <v>1</v>
      </c>
      <c r="L10" s="37"/>
      <c r="M10" s="37"/>
      <c r="N10" s="37" t="s">
        <v>223</v>
      </c>
      <c r="O10" s="50" t="s">
        <v>1322</v>
      </c>
      <c r="P10" s="49"/>
      <c r="Q10" s="37"/>
      <c r="R10" s="37"/>
      <c r="S10" s="37"/>
      <c r="T10" s="37"/>
      <c r="U10" s="37"/>
      <c r="V10" s="37"/>
      <c r="W10" s="50"/>
      <c r="X10" s="49"/>
      <c r="Y10" s="37"/>
      <c r="Z10" s="37"/>
      <c r="AA10" s="37"/>
      <c r="AB10" s="37"/>
      <c r="AC10" s="37"/>
      <c r="AD10" s="37"/>
      <c r="AE10" s="50"/>
      <c r="AF10" s="49"/>
      <c r="AG10" s="37"/>
      <c r="AH10" s="37"/>
      <c r="AI10" s="37"/>
      <c r="AJ10" s="37"/>
      <c r="AK10" s="37"/>
      <c r="AL10" s="37"/>
      <c r="AM10" s="50"/>
      <c r="AN10" s="49"/>
      <c r="AO10" s="37"/>
      <c r="AP10" s="37"/>
      <c r="AQ10" s="37"/>
      <c r="AR10" s="37"/>
      <c r="AS10" s="37"/>
      <c r="AT10" s="37"/>
      <c r="AU10" s="50"/>
      <c r="AV10" s="49"/>
      <c r="AW10" s="37"/>
      <c r="AX10" s="37"/>
      <c r="AY10" s="37"/>
      <c r="AZ10" s="37"/>
      <c r="BA10" s="37"/>
      <c r="BB10" s="37"/>
      <c r="BC10" s="50"/>
      <c r="BD10" s="49"/>
      <c r="BE10" s="37"/>
      <c r="BF10" s="37"/>
      <c r="BG10" s="37"/>
      <c r="BH10" s="37"/>
      <c r="BI10" s="37"/>
      <c r="BJ10" s="37"/>
      <c r="BK10" s="50"/>
      <c r="BL10" s="49"/>
      <c r="BM10" s="37"/>
      <c r="BN10" s="37"/>
      <c r="BO10" s="37"/>
      <c r="BP10" s="37"/>
      <c r="BQ10" s="37"/>
      <c r="BR10" s="37"/>
      <c r="BS10" s="50"/>
      <c r="BT10" s="49"/>
      <c r="BU10" s="37"/>
      <c r="BV10" s="37"/>
      <c r="BW10" s="37"/>
      <c r="BX10" s="37"/>
      <c r="BY10" s="37"/>
      <c r="BZ10" s="37"/>
      <c r="CA10" s="50"/>
      <c r="CB10" s="49"/>
      <c r="CC10" s="37"/>
      <c r="CD10" s="37"/>
      <c r="CE10" s="37"/>
      <c r="CF10" s="37"/>
      <c r="CG10" s="37"/>
      <c r="CH10" s="37"/>
      <c r="CI10" s="50"/>
      <c r="CJ10" s="49"/>
      <c r="CK10" s="37"/>
      <c r="CL10" s="37"/>
      <c r="CM10" s="37"/>
      <c r="CN10" s="37"/>
      <c r="CO10" s="37"/>
      <c r="CP10" s="37"/>
      <c r="CQ10" s="50"/>
      <c r="CR10" s="49"/>
      <c r="CS10" s="37"/>
      <c r="CT10" s="37"/>
      <c r="CU10" s="37"/>
      <c r="CV10" s="37"/>
      <c r="CW10" s="37"/>
      <c r="CX10" s="37"/>
      <c r="CY10" s="50"/>
      <c r="CZ10" s="49"/>
      <c r="DA10" s="37"/>
      <c r="DB10" s="37"/>
      <c r="DC10" s="37"/>
      <c r="DD10" s="37"/>
      <c r="DE10" s="37"/>
      <c r="DF10" s="37"/>
      <c r="DG10" s="50"/>
      <c r="DH10" s="49"/>
      <c r="DI10" s="37"/>
      <c r="DJ10" s="37"/>
      <c r="DK10" s="37"/>
      <c r="DL10" s="37"/>
      <c r="DM10" s="37"/>
      <c r="DN10" s="37"/>
      <c r="DO10" s="50"/>
      <c r="DP10" s="49"/>
      <c r="DQ10" s="37"/>
      <c r="DR10" s="37"/>
      <c r="DS10" s="37"/>
      <c r="DT10" s="37"/>
      <c r="DU10" s="37"/>
      <c r="DV10" s="37"/>
      <c r="DW10" s="50"/>
      <c r="DX10" s="49"/>
      <c r="DY10" s="37"/>
      <c r="DZ10" s="37"/>
      <c r="EA10" s="37"/>
      <c r="EB10" s="37"/>
      <c r="EC10" s="37"/>
      <c r="ED10" s="37"/>
      <c r="EE10" s="50"/>
      <c r="EF10" s="49"/>
      <c r="EG10" s="37"/>
      <c r="EH10" s="37"/>
      <c r="EI10" s="37"/>
      <c r="EJ10" s="37"/>
      <c r="EK10" s="37"/>
      <c r="EL10" s="37"/>
      <c r="EM10" s="50"/>
      <c r="EN10" s="22"/>
      <c r="EO10" s="12"/>
      <c r="EP10" s="12"/>
      <c r="EQ10" s="12"/>
      <c r="ER10" s="12"/>
      <c r="ES10" s="12"/>
      <c r="ET10" s="12"/>
      <c r="EU10" s="23"/>
      <c r="EV10" s="49"/>
      <c r="EW10" s="37"/>
      <c r="EX10" s="37"/>
      <c r="EY10" s="37"/>
      <c r="EZ10" s="37"/>
      <c r="FA10" s="37"/>
      <c r="FB10" s="37"/>
      <c r="FC10" s="50"/>
      <c r="FD10" s="49"/>
      <c r="FE10" s="37"/>
      <c r="FF10" s="37"/>
      <c r="FG10" s="37"/>
      <c r="FH10" s="37"/>
      <c r="FI10" s="37"/>
      <c r="FJ10" s="37"/>
      <c r="FK10" s="50"/>
      <c r="FL10" s="37" t="s">
        <v>223</v>
      </c>
      <c r="FM10" s="37" t="s">
        <v>32</v>
      </c>
      <c r="FN10" s="37"/>
    </row>
    <row r="11" spans="1:170" x14ac:dyDescent="0.25">
      <c r="A11" s="38">
        <f>ROW(A2)</f>
        <v>2</v>
      </c>
      <c r="B11" s="37" t="s">
        <v>1320</v>
      </c>
      <c r="C11" s="37" t="s">
        <v>1315</v>
      </c>
      <c r="D11" s="48">
        <v>44859.503078703703</v>
      </c>
      <c r="E11" s="37" t="s">
        <v>955</v>
      </c>
      <c r="F11" s="37" t="s">
        <v>784</v>
      </c>
      <c r="G11" s="37" t="s">
        <v>785</v>
      </c>
      <c r="H11" s="49" t="s">
        <v>1318</v>
      </c>
      <c r="I11" s="37" t="s">
        <v>1317</v>
      </c>
      <c r="J11" s="37" t="s">
        <v>231</v>
      </c>
      <c r="K11" s="37">
        <v>10</v>
      </c>
      <c r="L11" s="37"/>
      <c r="M11" s="37"/>
      <c r="N11" s="37" t="s">
        <v>223</v>
      </c>
      <c r="O11" s="50" t="s">
        <v>1319</v>
      </c>
      <c r="P11" s="49"/>
      <c r="Q11" s="37"/>
      <c r="R11" s="37"/>
      <c r="S11" s="37"/>
      <c r="T11" s="37"/>
      <c r="U11" s="37"/>
      <c r="V11" s="37"/>
      <c r="W11" s="50"/>
      <c r="X11" s="49"/>
      <c r="Y11" s="37"/>
      <c r="Z11" s="37"/>
      <c r="AA11" s="37"/>
      <c r="AB11" s="37"/>
      <c r="AC11" s="37"/>
      <c r="AD11" s="37"/>
      <c r="AE11" s="50"/>
      <c r="AF11" s="49"/>
      <c r="AG11" s="37"/>
      <c r="AH11" s="37"/>
      <c r="AI11" s="37"/>
      <c r="AJ11" s="37"/>
      <c r="AK11" s="37"/>
      <c r="AL11" s="37"/>
      <c r="AM11" s="50"/>
      <c r="AN11" s="49"/>
      <c r="AO11" s="37"/>
      <c r="AP11" s="37"/>
      <c r="AQ11" s="37"/>
      <c r="AR11" s="37"/>
      <c r="AS11" s="37"/>
      <c r="AT11" s="37"/>
      <c r="AU11" s="50"/>
      <c r="AV11" s="49"/>
      <c r="AW11" s="37"/>
      <c r="AX11" s="37"/>
      <c r="AY11" s="37"/>
      <c r="AZ11" s="37"/>
      <c r="BA11" s="37"/>
      <c r="BB11" s="37"/>
      <c r="BC11" s="50"/>
      <c r="BD11" s="49"/>
      <c r="BE11" s="37"/>
      <c r="BF11" s="37"/>
      <c r="BG11" s="37"/>
      <c r="BH11" s="37"/>
      <c r="BI11" s="37"/>
      <c r="BJ11" s="37"/>
      <c r="BK11" s="50"/>
      <c r="BL11" s="49"/>
      <c r="BM11" s="37"/>
      <c r="BN11" s="37"/>
      <c r="BO11" s="37"/>
      <c r="BP11" s="37"/>
      <c r="BQ11" s="37"/>
      <c r="BR11" s="37"/>
      <c r="BS11" s="50"/>
      <c r="BT11" s="49"/>
      <c r="BU11" s="37"/>
      <c r="BV11" s="37"/>
      <c r="BW11" s="37"/>
      <c r="BX11" s="37"/>
      <c r="BY11" s="37"/>
      <c r="BZ11" s="37"/>
      <c r="CA11" s="50"/>
      <c r="CB11" s="49"/>
      <c r="CC11" s="37"/>
      <c r="CD11" s="37"/>
      <c r="CE11" s="37"/>
      <c r="CF11" s="37"/>
      <c r="CG11" s="37"/>
      <c r="CH11" s="37"/>
      <c r="CI11" s="50"/>
      <c r="CJ11" s="49"/>
      <c r="CK11" s="37"/>
      <c r="CL11" s="37"/>
      <c r="CM11" s="37"/>
      <c r="CN11" s="37"/>
      <c r="CO11" s="37"/>
      <c r="CP11" s="37"/>
      <c r="CQ11" s="50"/>
      <c r="CR11" s="49"/>
      <c r="CS11" s="37"/>
      <c r="CT11" s="37"/>
      <c r="CU11" s="37"/>
      <c r="CV11" s="37"/>
      <c r="CW11" s="37"/>
      <c r="CX11" s="37"/>
      <c r="CY11" s="50"/>
      <c r="CZ11" s="49"/>
      <c r="DA11" s="37"/>
      <c r="DB11" s="37"/>
      <c r="DC11" s="37"/>
      <c r="DD11" s="37"/>
      <c r="DE11" s="37"/>
      <c r="DF11" s="37"/>
      <c r="DG11" s="50"/>
      <c r="DH11" s="49"/>
      <c r="DI11" s="37"/>
      <c r="DJ11" s="37"/>
      <c r="DK11" s="37"/>
      <c r="DL11" s="37"/>
      <c r="DM11" s="37"/>
      <c r="DN11" s="37"/>
      <c r="DO11" s="50"/>
      <c r="DP11" s="49"/>
      <c r="DQ11" s="37"/>
      <c r="DR11" s="37"/>
      <c r="DS11" s="37"/>
      <c r="DT11" s="37"/>
      <c r="DU11" s="37"/>
      <c r="DV11" s="37"/>
      <c r="DW11" s="50"/>
      <c r="DX11" s="49"/>
      <c r="DY11" s="37"/>
      <c r="DZ11" s="37"/>
      <c r="EA11" s="37"/>
      <c r="EB11" s="37"/>
      <c r="EC11" s="37"/>
      <c r="ED11" s="37"/>
      <c r="EE11" s="50"/>
      <c r="EF11" s="49"/>
      <c r="EG11" s="37"/>
      <c r="EH11" s="37"/>
      <c r="EI11" s="37"/>
      <c r="EJ11" s="37"/>
      <c r="EK11" s="37"/>
      <c r="EL11" s="37"/>
      <c r="EM11" s="50"/>
      <c r="EN11" s="22"/>
      <c r="EO11" s="12"/>
      <c r="EP11" s="12"/>
      <c r="EQ11" s="12"/>
      <c r="ER11" s="12"/>
      <c r="ES11" s="12"/>
      <c r="ET11" s="12"/>
      <c r="EU11" s="23"/>
      <c r="EV11" s="49"/>
      <c r="EW11" s="37"/>
      <c r="EX11" s="37"/>
      <c r="EY11" s="37"/>
      <c r="EZ11" s="37"/>
      <c r="FA11" s="37"/>
      <c r="FB11" s="37"/>
      <c r="FC11" s="50"/>
      <c r="FD11" s="49"/>
      <c r="FE11" s="37"/>
      <c r="FF11" s="37"/>
      <c r="FG11" s="37"/>
      <c r="FH11" s="37"/>
      <c r="FI11" s="37"/>
      <c r="FJ11" s="37"/>
      <c r="FK11" s="50"/>
      <c r="FL11" s="37" t="s">
        <v>223</v>
      </c>
      <c r="FM11" s="37" t="s">
        <v>223</v>
      </c>
      <c r="FN11" s="37"/>
    </row>
    <row r="12" spans="1:170" x14ac:dyDescent="0.25">
      <c r="A12" s="38">
        <f>ROW(A2)</f>
        <v>2</v>
      </c>
      <c r="B12" s="37" t="s">
        <v>1314</v>
      </c>
      <c r="C12" s="37" t="s">
        <v>1315</v>
      </c>
      <c r="D12" s="48">
        <v>44859.499745370369</v>
      </c>
      <c r="E12" s="37" t="s">
        <v>955</v>
      </c>
      <c r="F12" s="37" t="s">
        <v>784</v>
      </c>
      <c r="G12" s="37" t="s">
        <v>785</v>
      </c>
      <c r="H12" s="49" t="s">
        <v>1312</v>
      </c>
      <c r="I12" s="37" t="s">
        <v>1311</v>
      </c>
      <c r="J12" s="37" t="s">
        <v>221</v>
      </c>
      <c r="K12" s="37">
        <v>2</v>
      </c>
      <c r="L12" s="37"/>
      <c r="M12" s="37"/>
      <c r="N12" s="37" t="s">
        <v>223</v>
      </c>
      <c r="O12" s="50" t="s">
        <v>1313</v>
      </c>
      <c r="P12" s="49"/>
      <c r="Q12" s="37"/>
      <c r="R12" s="37"/>
      <c r="S12" s="37"/>
      <c r="T12" s="37"/>
      <c r="U12" s="37"/>
      <c r="V12" s="37"/>
      <c r="W12" s="50"/>
      <c r="X12" s="49"/>
      <c r="Y12" s="37"/>
      <c r="Z12" s="37"/>
      <c r="AA12" s="37"/>
      <c r="AB12" s="37"/>
      <c r="AC12" s="37"/>
      <c r="AD12" s="37"/>
      <c r="AE12" s="50"/>
      <c r="AF12" s="49"/>
      <c r="AG12" s="37"/>
      <c r="AH12" s="37"/>
      <c r="AI12" s="37"/>
      <c r="AJ12" s="37"/>
      <c r="AK12" s="37"/>
      <c r="AL12" s="37"/>
      <c r="AM12" s="50"/>
      <c r="AN12" s="49"/>
      <c r="AO12" s="37"/>
      <c r="AP12" s="37"/>
      <c r="AQ12" s="37"/>
      <c r="AR12" s="37"/>
      <c r="AS12" s="37"/>
      <c r="AT12" s="37"/>
      <c r="AU12" s="50"/>
      <c r="AV12" s="49"/>
      <c r="AW12" s="37"/>
      <c r="AX12" s="37"/>
      <c r="AY12" s="37"/>
      <c r="AZ12" s="37"/>
      <c r="BA12" s="37"/>
      <c r="BB12" s="37"/>
      <c r="BC12" s="50"/>
      <c r="BD12" s="49"/>
      <c r="BE12" s="37"/>
      <c r="BF12" s="37"/>
      <c r="BG12" s="37"/>
      <c r="BH12" s="37"/>
      <c r="BI12" s="37"/>
      <c r="BJ12" s="37"/>
      <c r="BK12" s="50"/>
      <c r="BL12" s="49"/>
      <c r="BM12" s="37"/>
      <c r="BN12" s="37"/>
      <c r="BO12" s="37"/>
      <c r="BP12" s="37"/>
      <c r="BQ12" s="37"/>
      <c r="BR12" s="37"/>
      <c r="BS12" s="50"/>
      <c r="BT12" s="49"/>
      <c r="BU12" s="37"/>
      <c r="BV12" s="37"/>
      <c r="BW12" s="37"/>
      <c r="BX12" s="37"/>
      <c r="BY12" s="37"/>
      <c r="BZ12" s="37"/>
      <c r="CA12" s="50"/>
      <c r="CB12" s="49"/>
      <c r="CC12" s="37"/>
      <c r="CD12" s="37"/>
      <c r="CE12" s="37"/>
      <c r="CF12" s="37"/>
      <c r="CG12" s="37"/>
      <c r="CH12" s="37"/>
      <c r="CI12" s="50"/>
      <c r="CJ12" s="49"/>
      <c r="CK12" s="37"/>
      <c r="CL12" s="37"/>
      <c r="CM12" s="37"/>
      <c r="CN12" s="37"/>
      <c r="CO12" s="37"/>
      <c r="CP12" s="37"/>
      <c r="CQ12" s="50"/>
      <c r="CR12" s="49"/>
      <c r="CS12" s="37"/>
      <c r="CT12" s="37"/>
      <c r="CU12" s="37"/>
      <c r="CV12" s="37"/>
      <c r="CW12" s="37"/>
      <c r="CX12" s="37"/>
      <c r="CY12" s="50"/>
      <c r="CZ12" s="49"/>
      <c r="DA12" s="37"/>
      <c r="DB12" s="37"/>
      <c r="DC12" s="37"/>
      <c r="DD12" s="37"/>
      <c r="DE12" s="37"/>
      <c r="DF12" s="37"/>
      <c r="DG12" s="50"/>
      <c r="DH12" s="49"/>
      <c r="DI12" s="37"/>
      <c r="DJ12" s="37"/>
      <c r="DK12" s="37"/>
      <c r="DL12" s="37"/>
      <c r="DM12" s="37"/>
      <c r="DN12" s="37"/>
      <c r="DO12" s="50"/>
      <c r="DP12" s="49"/>
      <c r="DQ12" s="37"/>
      <c r="DR12" s="37"/>
      <c r="DS12" s="37"/>
      <c r="DT12" s="37"/>
      <c r="DU12" s="37"/>
      <c r="DV12" s="37"/>
      <c r="DW12" s="50"/>
      <c r="DX12" s="49"/>
      <c r="DY12" s="37"/>
      <c r="DZ12" s="37"/>
      <c r="EA12" s="37"/>
      <c r="EB12" s="37"/>
      <c r="EC12" s="37"/>
      <c r="ED12" s="37"/>
      <c r="EE12" s="50"/>
      <c r="EF12" s="49"/>
      <c r="EG12" s="37"/>
      <c r="EH12" s="37"/>
      <c r="EI12" s="37"/>
      <c r="EJ12" s="37"/>
      <c r="EK12" s="37"/>
      <c r="EL12" s="37"/>
      <c r="EM12" s="50"/>
      <c r="EN12" s="22"/>
      <c r="EO12" s="12"/>
      <c r="EP12" s="12"/>
      <c r="EQ12" s="12"/>
      <c r="ER12" s="12"/>
      <c r="ES12" s="12"/>
      <c r="ET12" s="12"/>
      <c r="EU12" s="23"/>
      <c r="EV12" s="49"/>
      <c r="EW12" s="37"/>
      <c r="EX12" s="37"/>
      <c r="EY12" s="37"/>
      <c r="EZ12" s="37"/>
      <c r="FA12" s="37"/>
      <c r="FB12" s="37"/>
      <c r="FC12" s="50"/>
      <c r="FD12" s="49"/>
      <c r="FE12" s="37"/>
      <c r="FF12" s="37"/>
      <c r="FG12" s="37"/>
      <c r="FH12" s="37"/>
      <c r="FI12" s="37"/>
      <c r="FJ12" s="37"/>
      <c r="FK12" s="50"/>
      <c r="FL12" s="37" t="s">
        <v>223</v>
      </c>
      <c r="FM12" s="37" t="s">
        <v>223</v>
      </c>
      <c r="FN12" s="37"/>
    </row>
    <row r="13" spans="1:170" x14ac:dyDescent="0.25">
      <c r="A13" s="38">
        <f>ROW(A2)</f>
        <v>2</v>
      </c>
      <c r="B13" s="37" t="s">
        <v>1307</v>
      </c>
      <c r="C13" s="37" t="s">
        <v>1308</v>
      </c>
      <c r="D13" s="48">
        <v>44859.496215277781</v>
      </c>
      <c r="E13" s="37" t="s">
        <v>1309</v>
      </c>
      <c r="F13" s="37" t="s">
        <v>784</v>
      </c>
      <c r="G13" s="37" t="s">
        <v>785</v>
      </c>
      <c r="H13" s="49" t="s">
        <v>1305</v>
      </c>
      <c r="I13" s="37" t="s">
        <v>1304</v>
      </c>
      <c r="J13" s="37" t="s">
        <v>221</v>
      </c>
      <c r="K13" s="37">
        <v>3</v>
      </c>
      <c r="L13" s="37"/>
      <c r="M13" s="37"/>
      <c r="N13" s="37" t="s">
        <v>223</v>
      </c>
      <c r="O13" s="50" t="s">
        <v>1306</v>
      </c>
      <c r="P13" s="49"/>
      <c r="Q13" s="37"/>
      <c r="R13" s="37"/>
      <c r="S13" s="37"/>
      <c r="T13" s="37"/>
      <c r="U13" s="37"/>
      <c r="V13" s="37"/>
      <c r="W13" s="50"/>
      <c r="X13" s="49"/>
      <c r="Y13" s="37"/>
      <c r="Z13" s="37"/>
      <c r="AA13" s="37"/>
      <c r="AB13" s="37"/>
      <c r="AC13" s="37"/>
      <c r="AD13" s="37"/>
      <c r="AE13" s="50"/>
      <c r="AF13" s="49"/>
      <c r="AG13" s="37"/>
      <c r="AH13" s="37"/>
      <c r="AI13" s="37"/>
      <c r="AJ13" s="37"/>
      <c r="AK13" s="37"/>
      <c r="AL13" s="37"/>
      <c r="AM13" s="50"/>
      <c r="AN13" s="49"/>
      <c r="AO13" s="37"/>
      <c r="AP13" s="37"/>
      <c r="AQ13" s="37"/>
      <c r="AR13" s="37"/>
      <c r="AS13" s="37"/>
      <c r="AT13" s="37"/>
      <c r="AU13" s="50"/>
      <c r="AV13" s="49"/>
      <c r="AW13" s="37"/>
      <c r="AX13" s="37"/>
      <c r="AY13" s="37"/>
      <c r="AZ13" s="37"/>
      <c r="BA13" s="37"/>
      <c r="BB13" s="37"/>
      <c r="BC13" s="50"/>
      <c r="BD13" s="49"/>
      <c r="BE13" s="37"/>
      <c r="BF13" s="37"/>
      <c r="BG13" s="37"/>
      <c r="BH13" s="37"/>
      <c r="BI13" s="37"/>
      <c r="BJ13" s="37"/>
      <c r="BK13" s="50"/>
      <c r="BL13" s="49"/>
      <c r="BM13" s="37"/>
      <c r="BN13" s="37"/>
      <c r="BO13" s="37"/>
      <c r="BP13" s="37"/>
      <c r="BQ13" s="37"/>
      <c r="BR13" s="37"/>
      <c r="BS13" s="50"/>
      <c r="BT13" s="49"/>
      <c r="BU13" s="37"/>
      <c r="BV13" s="37"/>
      <c r="BW13" s="37"/>
      <c r="BX13" s="37"/>
      <c r="BY13" s="37"/>
      <c r="BZ13" s="37"/>
      <c r="CA13" s="50"/>
      <c r="CB13" s="49"/>
      <c r="CC13" s="37"/>
      <c r="CD13" s="37"/>
      <c r="CE13" s="37"/>
      <c r="CF13" s="37"/>
      <c r="CG13" s="37"/>
      <c r="CH13" s="37"/>
      <c r="CI13" s="50"/>
      <c r="CJ13" s="49"/>
      <c r="CK13" s="37"/>
      <c r="CL13" s="37"/>
      <c r="CM13" s="37"/>
      <c r="CN13" s="37"/>
      <c r="CO13" s="37"/>
      <c r="CP13" s="37"/>
      <c r="CQ13" s="50"/>
      <c r="CR13" s="49"/>
      <c r="CS13" s="37"/>
      <c r="CT13" s="37"/>
      <c r="CU13" s="37"/>
      <c r="CV13" s="37"/>
      <c r="CW13" s="37"/>
      <c r="CX13" s="37"/>
      <c r="CY13" s="50"/>
      <c r="CZ13" s="49"/>
      <c r="DA13" s="37"/>
      <c r="DB13" s="37"/>
      <c r="DC13" s="37"/>
      <c r="DD13" s="37"/>
      <c r="DE13" s="37"/>
      <c r="DF13" s="37"/>
      <c r="DG13" s="50"/>
      <c r="DH13" s="49"/>
      <c r="DI13" s="37"/>
      <c r="DJ13" s="37"/>
      <c r="DK13" s="37"/>
      <c r="DL13" s="37"/>
      <c r="DM13" s="37"/>
      <c r="DN13" s="37"/>
      <c r="DO13" s="50"/>
      <c r="DP13" s="49"/>
      <c r="DQ13" s="37"/>
      <c r="DR13" s="37"/>
      <c r="DS13" s="37"/>
      <c r="DT13" s="37"/>
      <c r="DU13" s="37"/>
      <c r="DV13" s="37"/>
      <c r="DW13" s="50"/>
      <c r="DX13" s="49"/>
      <c r="DY13" s="37"/>
      <c r="DZ13" s="37"/>
      <c r="EA13" s="37"/>
      <c r="EB13" s="37"/>
      <c r="EC13" s="37"/>
      <c r="ED13" s="37"/>
      <c r="EE13" s="50"/>
      <c r="EF13" s="49"/>
      <c r="EG13" s="37"/>
      <c r="EH13" s="37"/>
      <c r="EI13" s="37"/>
      <c r="EJ13" s="37"/>
      <c r="EK13" s="37"/>
      <c r="EL13" s="37"/>
      <c r="EM13" s="50"/>
      <c r="EN13" s="22"/>
      <c r="EO13" s="12"/>
      <c r="EP13" s="12"/>
      <c r="EQ13" s="12"/>
      <c r="ER13" s="12"/>
      <c r="ES13" s="12"/>
      <c r="ET13" s="12"/>
      <c r="EU13" s="23"/>
      <c r="EV13" s="49"/>
      <c r="EW13" s="37"/>
      <c r="EX13" s="37"/>
      <c r="EY13" s="37"/>
      <c r="EZ13" s="37"/>
      <c r="FA13" s="37"/>
      <c r="FB13" s="37"/>
      <c r="FC13" s="50"/>
      <c r="FD13" s="49"/>
      <c r="FE13" s="37"/>
      <c r="FF13" s="37"/>
      <c r="FG13" s="37"/>
      <c r="FH13" s="37"/>
      <c r="FI13" s="37"/>
      <c r="FJ13" s="37"/>
      <c r="FK13" s="50"/>
      <c r="FL13" s="37" t="s">
        <v>223</v>
      </c>
      <c r="FM13" s="37" t="s">
        <v>223</v>
      </c>
      <c r="FN13" s="37"/>
    </row>
    <row r="14" spans="1:170" x14ac:dyDescent="0.25">
      <c r="A14" s="38">
        <f>ROW(A2)</f>
        <v>2</v>
      </c>
      <c r="B14" s="37" t="s">
        <v>1300</v>
      </c>
      <c r="C14" s="37" t="s">
        <v>1301</v>
      </c>
      <c r="D14" s="48">
        <v>44859.486886574072</v>
      </c>
      <c r="E14" s="37" t="s">
        <v>816</v>
      </c>
      <c r="F14" s="37" t="s">
        <v>805</v>
      </c>
      <c r="G14" s="37" t="s">
        <v>785</v>
      </c>
      <c r="H14" s="49" t="s">
        <v>1257</v>
      </c>
      <c r="I14" s="37" t="s">
        <v>1256</v>
      </c>
      <c r="J14" s="37" t="s">
        <v>1258</v>
      </c>
      <c r="K14" s="37">
        <v>2</v>
      </c>
      <c r="L14" s="37"/>
      <c r="M14" s="37"/>
      <c r="N14" s="37" t="s">
        <v>1259</v>
      </c>
      <c r="O14" s="50" t="s">
        <v>1299</v>
      </c>
      <c r="P14" s="49" t="s">
        <v>1261</v>
      </c>
      <c r="Q14" s="37" t="s">
        <v>1260</v>
      </c>
      <c r="R14" s="37" t="s">
        <v>221</v>
      </c>
      <c r="S14" s="37">
        <v>1</v>
      </c>
      <c r="T14" s="37"/>
      <c r="U14" s="37"/>
      <c r="V14" s="37" t="s">
        <v>1262</v>
      </c>
      <c r="W14" s="50" t="s">
        <v>1299</v>
      </c>
      <c r="X14" s="49" t="s">
        <v>447</v>
      </c>
      <c r="Y14" s="37" t="s">
        <v>446</v>
      </c>
      <c r="Z14" s="37" t="s">
        <v>448</v>
      </c>
      <c r="AA14" s="37">
        <v>1</v>
      </c>
      <c r="AB14" s="37"/>
      <c r="AC14" s="37"/>
      <c r="AD14" s="37" t="s">
        <v>223</v>
      </c>
      <c r="AE14" s="50" t="s">
        <v>1299</v>
      </c>
      <c r="AF14" s="49" t="s">
        <v>663</v>
      </c>
      <c r="AG14" s="37" t="s">
        <v>662</v>
      </c>
      <c r="AH14" s="37" t="s">
        <v>570</v>
      </c>
      <c r="AI14" s="37">
        <v>2</v>
      </c>
      <c r="AJ14" s="37"/>
      <c r="AK14" s="37"/>
      <c r="AL14" s="37" t="s">
        <v>223</v>
      </c>
      <c r="AM14" s="50" t="s">
        <v>1299</v>
      </c>
      <c r="AN14" s="49" t="s">
        <v>1264</v>
      </c>
      <c r="AO14" s="37" t="s">
        <v>1263</v>
      </c>
      <c r="AP14" s="37" t="s">
        <v>221</v>
      </c>
      <c r="AQ14" s="37">
        <v>2</v>
      </c>
      <c r="AR14" s="37"/>
      <c r="AS14" s="37"/>
      <c r="AT14" s="37" t="s">
        <v>1259</v>
      </c>
      <c r="AU14" s="50" t="s">
        <v>1302</v>
      </c>
      <c r="AV14" s="49" t="s">
        <v>1266</v>
      </c>
      <c r="AW14" s="37" t="s">
        <v>1265</v>
      </c>
      <c r="AX14" s="37" t="s">
        <v>1267</v>
      </c>
      <c r="AY14" s="37">
        <v>1</v>
      </c>
      <c r="AZ14" s="37"/>
      <c r="BA14" s="37"/>
      <c r="BB14" s="37" t="s">
        <v>1262</v>
      </c>
      <c r="BC14" s="50" t="s">
        <v>1302</v>
      </c>
      <c r="BD14" s="49" t="s">
        <v>1269</v>
      </c>
      <c r="BE14" s="37" t="s">
        <v>1268</v>
      </c>
      <c r="BF14" s="37" t="s">
        <v>221</v>
      </c>
      <c r="BG14" s="37">
        <v>2</v>
      </c>
      <c r="BH14" s="37"/>
      <c r="BI14" s="37"/>
      <c r="BJ14" s="37" t="s">
        <v>1259</v>
      </c>
      <c r="BK14" s="50" t="s">
        <v>1302</v>
      </c>
      <c r="BL14" s="49"/>
      <c r="BM14" s="37"/>
      <c r="BN14" s="37"/>
      <c r="BO14" s="37"/>
      <c r="BP14" s="37"/>
      <c r="BQ14" s="37"/>
      <c r="BR14" s="37"/>
      <c r="BS14" s="50"/>
      <c r="BT14" s="49"/>
      <c r="BU14" s="37"/>
      <c r="BV14" s="37"/>
      <c r="BW14" s="37"/>
      <c r="BX14" s="37"/>
      <c r="BY14" s="37"/>
      <c r="BZ14" s="37"/>
      <c r="CA14" s="50"/>
      <c r="CB14" s="49"/>
      <c r="CC14" s="37"/>
      <c r="CD14" s="37"/>
      <c r="CE14" s="37"/>
      <c r="CF14" s="37"/>
      <c r="CG14" s="37"/>
      <c r="CH14" s="37"/>
      <c r="CI14" s="50"/>
      <c r="CJ14" s="49"/>
      <c r="CK14" s="37"/>
      <c r="CL14" s="37"/>
      <c r="CM14" s="37"/>
      <c r="CN14" s="37"/>
      <c r="CO14" s="37"/>
      <c r="CP14" s="37"/>
      <c r="CQ14" s="50"/>
      <c r="CR14" s="49"/>
      <c r="CS14" s="37"/>
      <c r="CT14" s="37"/>
      <c r="CU14" s="37"/>
      <c r="CV14" s="37"/>
      <c r="CW14" s="37"/>
      <c r="CX14" s="37"/>
      <c r="CY14" s="50"/>
      <c r="CZ14" s="49"/>
      <c r="DA14" s="37"/>
      <c r="DB14" s="37"/>
      <c r="DC14" s="37"/>
      <c r="DD14" s="37"/>
      <c r="DE14" s="37"/>
      <c r="DF14" s="37"/>
      <c r="DG14" s="50"/>
      <c r="DH14" s="49"/>
      <c r="DI14" s="37"/>
      <c r="DJ14" s="37"/>
      <c r="DK14" s="37"/>
      <c r="DL14" s="37"/>
      <c r="DM14" s="37"/>
      <c r="DN14" s="37"/>
      <c r="DO14" s="50"/>
      <c r="DP14" s="49"/>
      <c r="DQ14" s="37"/>
      <c r="DR14" s="37"/>
      <c r="DS14" s="37"/>
      <c r="DT14" s="37"/>
      <c r="DU14" s="37"/>
      <c r="DV14" s="37"/>
      <c r="DW14" s="50"/>
      <c r="DX14" s="49"/>
      <c r="DY14" s="37"/>
      <c r="DZ14" s="37"/>
      <c r="EA14" s="37"/>
      <c r="EB14" s="37"/>
      <c r="EC14" s="37"/>
      <c r="ED14" s="37"/>
      <c r="EE14" s="50"/>
      <c r="EF14" s="49"/>
      <c r="EG14" s="37"/>
      <c r="EH14" s="37"/>
      <c r="EI14" s="37"/>
      <c r="EJ14" s="37"/>
      <c r="EK14" s="37"/>
      <c r="EL14" s="37"/>
      <c r="EM14" s="50"/>
      <c r="EN14" s="22"/>
      <c r="EO14" s="12"/>
      <c r="EP14" s="12"/>
      <c r="EQ14" s="12"/>
      <c r="ER14" s="12"/>
      <c r="ES14" s="12"/>
      <c r="ET14" s="12"/>
      <c r="EU14" s="23"/>
      <c r="EV14" s="49"/>
      <c r="EW14" s="37"/>
      <c r="EX14" s="37"/>
      <c r="EY14" s="37"/>
      <c r="EZ14" s="37"/>
      <c r="FA14" s="37"/>
      <c r="FB14" s="37"/>
      <c r="FC14" s="50"/>
      <c r="FD14" s="49"/>
      <c r="FE14" s="37"/>
      <c r="FF14" s="37"/>
      <c r="FG14" s="37"/>
      <c r="FH14" s="37"/>
      <c r="FI14" s="37"/>
      <c r="FJ14" s="37"/>
      <c r="FK14" s="50"/>
      <c r="FL14" s="37" t="s">
        <v>1259</v>
      </c>
      <c r="FM14" s="37" t="s">
        <v>1259</v>
      </c>
      <c r="FN14" s="37"/>
    </row>
    <row r="15" spans="1:170" x14ac:dyDescent="0.25">
      <c r="A15" s="38">
        <f>ROW(A2)</f>
        <v>2</v>
      </c>
      <c r="B15" s="37" t="s">
        <v>1297</v>
      </c>
      <c r="C15" s="37" t="s">
        <v>929</v>
      </c>
      <c r="D15" s="48">
        <v>44858.756111111114</v>
      </c>
      <c r="E15" s="37" t="s">
        <v>784</v>
      </c>
      <c r="F15" s="37" t="s">
        <v>784</v>
      </c>
      <c r="G15" s="37" t="s">
        <v>785</v>
      </c>
      <c r="H15" s="49" t="s">
        <v>747</v>
      </c>
      <c r="I15" s="37" t="s">
        <v>746</v>
      </c>
      <c r="J15" s="37" t="s">
        <v>570</v>
      </c>
      <c r="K15" s="37">
        <v>2</v>
      </c>
      <c r="L15" s="37"/>
      <c r="M15" s="37"/>
      <c r="N15" s="37" t="s">
        <v>223</v>
      </c>
      <c r="O15" s="50" t="s">
        <v>32</v>
      </c>
      <c r="P15" s="49"/>
      <c r="Q15" s="37"/>
      <c r="R15" s="37"/>
      <c r="S15" s="37"/>
      <c r="T15" s="37"/>
      <c r="U15" s="37"/>
      <c r="V15" s="37"/>
      <c r="W15" s="50"/>
      <c r="X15" s="49"/>
      <c r="Y15" s="37"/>
      <c r="Z15" s="37"/>
      <c r="AA15" s="37"/>
      <c r="AB15" s="37"/>
      <c r="AC15" s="37"/>
      <c r="AD15" s="37"/>
      <c r="AE15" s="50"/>
      <c r="AF15" s="49"/>
      <c r="AG15" s="37"/>
      <c r="AH15" s="37"/>
      <c r="AI15" s="37"/>
      <c r="AJ15" s="37"/>
      <c r="AK15" s="37"/>
      <c r="AL15" s="37"/>
      <c r="AM15" s="50"/>
      <c r="AN15" s="49"/>
      <c r="AO15" s="37"/>
      <c r="AP15" s="37"/>
      <c r="AQ15" s="37"/>
      <c r="AR15" s="37"/>
      <c r="AS15" s="37"/>
      <c r="AT15" s="37"/>
      <c r="AU15" s="50"/>
      <c r="AV15" s="49"/>
      <c r="AW15" s="37"/>
      <c r="AX15" s="37"/>
      <c r="AY15" s="37"/>
      <c r="AZ15" s="37"/>
      <c r="BA15" s="37"/>
      <c r="BB15" s="37"/>
      <c r="BC15" s="50"/>
      <c r="BD15" s="49"/>
      <c r="BE15" s="37"/>
      <c r="BF15" s="37"/>
      <c r="BG15" s="37"/>
      <c r="BH15" s="37"/>
      <c r="BI15" s="37"/>
      <c r="BJ15" s="37"/>
      <c r="BK15" s="50"/>
      <c r="BL15" s="49"/>
      <c r="BM15" s="37"/>
      <c r="BN15" s="37"/>
      <c r="BO15" s="37"/>
      <c r="BP15" s="37"/>
      <c r="BQ15" s="37"/>
      <c r="BR15" s="37"/>
      <c r="BS15" s="50"/>
      <c r="BT15" s="49"/>
      <c r="BU15" s="37"/>
      <c r="BV15" s="37"/>
      <c r="BW15" s="37"/>
      <c r="BX15" s="37"/>
      <c r="BY15" s="37"/>
      <c r="BZ15" s="37"/>
      <c r="CA15" s="50"/>
      <c r="CB15" s="49"/>
      <c r="CC15" s="37"/>
      <c r="CD15" s="37"/>
      <c r="CE15" s="37"/>
      <c r="CF15" s="37"/>
      <c r="CG15" s="37"/>
      <c r="CH15" s="37"/>
      <c r="CI15" s="50"/>
      <c r="CJ15" s="49"/>
      <c r="CK15" s="37"/>
      <c r="CL15" s="37"/>
      <c r="CM15" s="37"/>
      <c r="CN15" s="37"/>
      <c r="CO15" s="37"/>
      <c r="CP15" s="37"/>
      <c r="CQ15" s="50"/>
      <c r="CR15" s="49"/>
      <c r="CS15" s="37"/>
      <c r="CT15" s="37"/>
      <c r="CU15" s="37"/>
      <c r="CV15" s="37"/>
      <c r="CW15" s="37"/>
      <c r="CX15" s="37"/>
      <c r="CY15" s="50"/>
      <c r="CZ15" s="49"/>
      <c r="DA15" s="37"/>
      <c r="DB15" s="37"/>
      <c r="DC15" s="37"/>
      <c r="DD15" s="37"/>
      <c r="DE15" s="37"/>
      <c r="DF15" s="37"/>
      <c r="DG15" s="50"/>
      <c r="DH15" s="49"/>
      <c r="DI15" s="37"/>
      <c r="DJ15" s="37"/>
      <c r="DK15" s="37"/>
      <c r="DL15" s="37"/>
      <c r="DM15" s="37"/>
      <c r="DN15" s="37"/>
      <c r="DO15" s="50"/>
      <c r="DP15" s="49"/>
      <c r="DQ15" s="37"/>
      <c r="DR15" s="37"/>
      <c r="DS15" s="37"/>
      <c r="DT15" s="37"/>
      <c r="DU15" s="37"/>
      <c r="DV15" s="37"/>
      <c r="DW15" s="50"/>
      <c r="DX15" s="49"/>
      <c r="DY15" s="37"/>
      <c r="DZ15" s="37"/>
      <c r="EA15" s="37"/>
      <c r="EB15" s="37"/>
      <c r="EC15" s="37"/>
      <c r="ED15" s="37"/>
      <c r="EE15" s="50"/>
      <c r="EF15" s="49"/>
      <c r="EG15" s="37"/>
      <c r="EH15" s="37"/>
      <c r="EI15" s="37"/>
      <c r="EJ15" s="37"/>
      <c r="EK15" s="37"/>
      <c r="EL15" s="37"/>
      <c r="EM15" s="50"/>
      <c r="EN15" s="22"/>
      <c r="EO15" s="12"/>
      <c r="EP15" s="12"/>
      <c r="EQ15" s="12"/>
      <c r="ER15" s="12"/>
      <c r="ES15" s="12"/>
      <c r="ET15" s="12"/>
      <c r="EU15" s="23"/>
      <c r="EV15" s="49"/>
      <c r="EW15" s="37"/>
      <c r="EX15" s="37"/>
      <c r="EY15" s="37"/>
      <c r="EZ15" s="37"/>
      <c r="FA15" s="37"/>
      <c r="FB15" s="37"/>
      <c r="FC15" s="50"/>
      <c r="FD15" s="49"/>
      <c r="FE15" s="37"/>
      <c r="FF15" s="37"/>
      <c r="FG15" s="37"/>
      <c r="FH15" s="37"/>
      <c r="FI15" s="37"/>
      <c r="FJ15" s="37"/>
      <c r="FK15" s="50"/>
      <c r="FL15" s="37" t="s">
        <v>223</v>
      </c>
      <c r="FM15" s="37" t="s">
        <v>223</v>
      </c>
      <c r="FN15" s="37"/>
    </row>
    <row r="16" spans="1:170" x14ac:dyDescent="0.25">
      <c r="A16" s="38">
        <f>ROW(A2)</f>
        <v>2</v>
      </c>
      <c r="B16" s="37" t="s">
        <v>1289</v>
      </c>
      <c r="C16" s="37" t="s">
        <v>929</v>
      </c>
      <c r="D16" s="48">
        <v>44858.743726851855</v>
      </c>
      <c r="E16" s="37" t="s">
        <v>824</v>
      </c>
      <c r="F16" s="37" t="s">
        <v>784</v>
      </c>
      <c r="G16" s="37" t="s">
        <v>785</v>
      </c>
      <c r="H16" s="49">
        <v>1400</v>
      </c>
      <c r="I16" s="37" t="s">
        <v>566</v>
      </c>
      <c r="J16" s="37" t="s">
        <v>243</v>
      </c>
      <c r="K16" s="37">
        <v>1</v>
      </c>
      <c r="L16" s="37"/>
      <c r="M16" s="37"/>
      <c r="N16" s="37" t="s">
        <v>223</v>
      </c>
      <c r="O16" s="50" t="s">
        <v>223</v>
      </c>
      <c r="P16" s="49" t="s">
        <v>661</v>
      </c>
      <c r="Q16" s="37" t="s">
        <v>660</v>
      </c>
      <c r="R16" s="37" t="s">
        <v>221</v>
      </c>
      <c r="S16" s="37">
        <v>198</v>
      </c>
      <c r="T16" s="37"/>
      <c r="U16" s="37"/>
      <c r="V16" s="37" t="s">
        <v>223</v>
      </c>
      <c r="W16" s="50" t="s">
        <v>223</v>
      </c>
      <c r="X16" s="49" t="s">
        <v>371</v>
      </c>
      <c r="Y16" s="37" t="s">
        <v>370</v>
      </c>
      <c r="Z16" s="37" t="s">
        <v>240</v>
      </c>
      <c r="AA16" s="37">
        <v>2</v>
      </c>
      <c r="AB16" s="37"/>
      <c r="AC16" s="37"/>
      <c r="AD16" s="37" t="s">
        <v>223</v>
      </c>
      <c r="AE16" s="50" t="s">
        <v>32</v>
      </c>
      <c r="AF16" s="49" t="s">
        <v>442</v>
      </c>
      <c r="AG16" s="37" t="s">
        <v>441</v>
      </c>
      <c r="AH16" s="37" t="s">
        <v>240</v>
      </c>
      <c r="AI16" s="37">
        <v>48</v>
      </c>
      <c r="AJ16" s="37"/>
      <c r="AK16" s="37"/>
      <c r="AL16" s="37" t="s">
        <v>223</v>
      </c>
      <c r="AM16" s="50" t="s">
        <v>930</v>
      </c>
      <c r="AN16" s="49" t="s">
        <v>1284</v>
      </c>
      <c r="AO16" s="37" t="s">
        <v>1283</v>
      </c>
      <c r="AP16" s="37" t="s">
        <v>221</v>
      </c>
      <c r="AQ16" s="37">
        <v>200</v>
      </c>
      <c r="AR16" s="37"/>
      <c r="AS16" s="37"/>
      <c r="AT16" s="37" t="s">
        <v>223</v>
      </c>
      <c r="AU16" s="50" t="s">
        <v>930</v>
      </c>
      <c r="AV16" s="49" t="s">
        <v>1286</v>
      </c>
      <c r="AW16" s="37" t="s">
        <v>1285</v>
      </c>
      <c r="AX16" s="37" t="s">
        <v>382</v>
      </c>
      <c r="AY16" s="37">
        <v>4</v>
      </c>
      <c r="AZ16" s="37"/>
      <c r="BA16" s="37"/>
      <c r="BB16" s="37" t="s">
        <v>223</v>
      </c>
      <c r="BC16" s="50" t="s">
        <v>1290</v>
      </c>
      <c r="BD16" s="49" t="s">
        <v>447</v>
      </c>
      <c r="BE16" s="37" t="s">
        <v>446</v>
      </c>
      <c r="BF16" s="37" t="s">
        <v>448</v>
      </c>
      <c r="BG16" s="37">
        <v>1</v>
      </c>
      <c r="BH16" s="37"/>
      <c r="BI16" s="37"/>
      <c r="BJ16" s="37" t="s">
        <v>223</v>
      </c>
      <c r="BK16" s="50" t="s">
        <v>1291</v>
      </c>
      <c r="BL16" s="49" t="s">
        <v>663</v>
      </c>
      <c r="BM16" s="37" t="s">
        <v>662</v>
      </c>
      <c r="BN16" s="37" t="s">
        <v>570</v>
      </c>
      <c r="BO16" s="37">
        <v>8</v>
      </c>
      <c r="BP16" s="37"/>
      <c r="BQ16" s="37"/>
      <c r="BR16" s="37" t="s">
        <v>223</v>
      </c>
      <c r="BS16" s="50" t="s">
        <v>1291</v>
      </c>
      <c r="BT16" s="49" t="s">
        <v>530</v>
      </c>
      <c r="BU16" s="37" t="s">
        <v>529</v>
      </c>
      <c r="BV16" s="37" t="s">
        <v>221</v>
      </c>
      <c r="BW16" s="37">
        <v>10</v>
      </c>
      <c r="BX16" s="37"/>
      <c r="BY16" s="37"/>
      <c r="BZ16" s="37" t="s">
        <v>223</v>
      </c>
      <c r="CA16" s="50" t="s">
        <v>1292</v>
      </c>
      <c r="CB16" s="49" t="s">
        <v>1288</v>
      </c>
      <c r="CC16" s="37" t="s">
        <v>1287</v>
      </c>
      <c r="CD16" s="37" t="s">
        <v>221</v>
      </c>
      <c r="CE16" s="37">
        <v>100</v>
      </c>
      <c r="CF16" s="37"/>
      <c r="CG16" s="37"/>
      <c r="CH16" s="37" t="s">
        <v>223</v>
      </c>
      <c r="CI16" s="50" t="s">
        <v>1293</v>
      </c>
      <c r="CJ16" s="49"/>
      <c r="CK16" s="37"/>
      <c r="CL16" s="37"/>
      <c r="CM16" s="37"/>
      <c r="CN16" s="37"/>
      <c r="CO16" s="37"/>
      <c r="CP16" s="37"/>
      <c r="CQ16" s="50"/>
      <c r="CR16" s="49"/>
      <c r="CS16" s="37"/>
      <c r="CT16" s="37"/>
      <c r="CU16" s="37"/>
      <c r="CV16" s="37"/>
      <c r="CW16" s="37"/>
      <c r="CX16" s="37"/>
      <c r="CY16" s="50"/>
      <c r="CZ16" s="49"/>
      <c r="DA16" s="37"/>
      <c r="DB16" s="37"/>
      <c r="DC16" s="37"/>
      <c r="DD16" s="37"/>
      <c r="DE16" s="37"/>
      <c r="DF16" s="37"/>
      <c r="DG16" s="50"/>
      <c r="DH16" s="49"/>
      <c r="DI16" s="37"/>
      <c r="DJ16" s="37"/>
      <c r="DK16" s="37"/>
      <c r="DL16" s="37"/>
      <c r="DM16" s="37"/>
      <c r="DN16" s="37"/>
      <c r="DO16" s="50"/>
      <c r="DP16" s="49"/>
      <c r="DQ16" s="37"/>
      <c r="DR16" s="37"/>
      <c r="DS16" s="37"/>
      <c r="DT16" s="37"/>
      <c r="DU16" s="37"/>
      <c r="DV16" s="37"/>
      <c r="DW16" s="50"/>
      <c r="DX16" s="49"/>
      <c r="DY16" s="37"/>
      <c r="DZ16" s="37"/>
      <c r="EA16" s="37"/>
      <c r="EB16" s="37"/>
      <c r="EC16" s="37"/>
      <c r="ED16" s="37"/>
      <c r="EE16" s="50"/>
      <c r="EF16" s="49"/>
      <c r="EG16" s="37"/>
      <c r="EH16" s="37"/>
      <c r="EI16" s="37"/>
      <c r="EJ16" s="37"/>
      <c r="EK16" s="37"/>
      <c r="EL16" s="37"/>
      <c r="EM16" s="50"/>
      <c r="EN16" s="22"/>
      <c r="EO16" s="12"/>
      <c r="EP16" s="12"/>
      <c r="EQ16" s="12"/>
      <c r="ER16" s="12"/>
      <c r="ES16" s="12"/>
      <c r="ET16" s="12"/>
      <c r="EU16" s="23"/>
      <c r="EV16" s="49"/>
      <c r="EW16" s="37"/>
      <c r="EX16" s="37"/>
      <c r="EY16" s="37"/>
      <c r="EZ16" s="37"/>
      <c r="FA16" s="37"/>
      <c r="FB16" s="37"/>
      <c r="FC16" s="50"/>
      <c r="FD16" s="49"/>
      <c r="FE16" s="37"/>
      <c r="FF16" s="37"/>
      <c r="FG16" s="37"/>
      <c r="FH16" s="37"/>
      <c r="FI16" s="37"/>
      <c r="FJ16" s="37"/>
      <c r="FK16" s="50"/>
      <c r="FL16" s="37" t="s">
        <v>223</v>
      </c>
      <c r="FM16" s="37" t="s">
        <v>223</v>
      </c>
      <c r="FN16" s="37"/>
    </row>
    <row r="17" spans="1:170" x14ac:dyDescent="0.25">
      <c r="A17" s="38">
        <f>ROW(A2)</f>
        <v>2</v>
      </c>
      <c r="B17" s="37" t="s">
        <v>1278</v>
      </c>
      <c r="C17" s="37" t="s">
        <v>1279</v>
      </c>
      <c r="D17" s="48">
        <v>44858.397175925929</v>
      </c>
      <c r="E17" s="37" t="s">
        <v>824</v>
      </c>
      <c r="F17" s="37" t="s">
        <v>784</v>
      </c>
      <c r="G17" s="37" t="s">
        <v>785</v>
      </c>
      <c r="H17" s="49" t="s">
        <v>1277</v>
      </c>
      <c r="I17" s="37" t="s">
        <v>1276</v>
      </c>
      <c r="J17" s="37" t="s">
        <v>221</v>
      </c>
      <c r="K17" s="37">
        <v>1</v>
      </c>
      <c r="L17" s="37"/>
      <c r="M17" s="37"/>
      <c r="N17" s="37" t="s">
        <v>32</v>
      </c>
      <c r="O17" s="50"/>
      <c r="P17" s="49"/>
      <c r="Q17" s="37"/>
      <c r="R17" s="37"/>
      <c r="S17" s="37"/>
      <c r="T17" s="37"/>
      <c r="U17" s="37"/>
      <c r="V17" s="37"/>
      <c r="W17" s="50"/>
      <c r="X17" s="49"/>
      <c r="Y17" s="37"/>
      <c r="Z17" s="37"/>
      <c r="AA17" s="37"/>
      <c r="AB17" s="37"/>
      <c r="AC17" s="37"/>
      <c r="AD17" s="37"/>
      <c r="AE17" s="50"/>
      <c r="AF17" s="49"/>
      <c r="AG17" s="37"/>
      <c r="AH17" s="37"/>
      <c r="AI17" s="37"/>
      <c r="AJ17" s="37"/>
      <c r="AK17" s="37"/>
      <c r="AL17" s="37"/>
      <c r="AM17" s="50"/>
      <c r="AN17" s="49"/>
      <c r="AO17" s="37"/>
      <c r="AP17" s="37"/>
      <c r="AQ17" s="37"/>
      <c r="AR17" s="37"/>
      <c r="AS17" s="37"/>
      <c r="AT17" s="37"/>
      <c r="AU17" s="50"/>
      <c r="AV17" s="49"/>
      <c r="AW17" s="37"/>
      <c r="AX17" s="37"/>
      <c r="AY17" s="37"/>
      <c r="AZ17" s="37"/>
      <c r="BA17" s="37"/>
      <c r="BB17" s="37"/>
      <c r="BC17" s="50"/>
      <c r="BD17" s="49"/>
      <c r="BE17" s="37"/>
      <c r="BF17" s="37"/>
      <c r="BG17" s="37"/>
      <c r="BH17" s="37"/>
      <c r="BI17" s="37"/>
      <c r="BJ17" s="37"/>
      <c r="BK17" s="50"/>
      <c r="BL17" s="49"/>
      <c r="BM17" s="37"/>
      <c r="BN17" s="37"/>
      <c r="BO17" s="37"/>
      <c r="BP17" s="37"/>
      <c r="BQ17" s="37"/>
      <c r="BR17" s="37"/>
      <c r="BS17" s="50"/>
      <c r="BT17" s="49"/>
      <c r="BU17" s="37"/>
      <c r="BV17" s="37"/>
      <c r="BW17" s="37"/>
      <c r="BX17" s="37"/>
      <c r="BY17" s="37"/>
      <c r="BZ17" s="37"/>
      <c r="CA17" s="50"/>
      <c r="CB17" s="49"/>
      <c r="CC17" s="37"/>
      <c r="CD17" s="37"/>
      <c r="CE17" s="37"/>
      <c r="CF17" s="37"/>
      <c r="CG17" s="37"/>
      <c r="CH17" s="37"/>
      <c r="CI17" s="50"/>
      <c r="CJ17" s="49"/>
      <c r="CK17" s="37"/>
      <c r="CL17" s="37"/>
      <c r="CM17" s="37"/>
      <c r="CN17" s="37"/>
      <c r="CO17" s="37"/>
      <c r="CP17" s="37"/>
      <c r="CQ17" s="50"/>
      <c r="CR17" s="49"/>
      <c r="CS17" s="37"/>
      <c r="CT17" s="37"/>
      <c r="CU17" s="37"/>
      <c r="CV17" s="37"/>
      <c r="CW17" s="37"/>
      <c r="CX17" s="37"/>
      <c r="CY17" s="50"/>
      <c r="CZ17" s="49"/>
      <c r="DA17" s="37"/>
      <c r="DB17" s="37"/>
      <c r="DC17" s="37"/>
      <c r="DD17" s="37"/>
      <c r="DE17" s="37"/>
      <c r="DF17" s="37"/>
      <c r="DG17" s="50"/>
      <c r="DH17" s="49"/>
      <c r="DI17" s="37"/>
      <c r="DJ17" s="37"/>
      <c r="DK17" s="37"/>
      <c r="DL17" s="37"/>
      <c r="DM17" s="37"/>
      <c r="DN17" s="37"/>
      <c r="DO17" s="50"/>
      <c r="DP17" s="49"/>
      <c r="DQ17" s="37"/>
      <c r="DR17" s="37"/>
      <c r="DS17" s="37"/>
      <c r="DT17" s="37"/>
      <c r="DU17" s="37"/>
      <c r="DV17" s="37"/>
      <c r="DW17" s="50"/>
      <c r="DX17" s="49"/>
      <c r="DY17" s="37"/>
      <c r="DZ17" s="37"/>
      <c r="EA17" s="37"/>
      <c r="EB17" s="37"/>
      <c r="EC17" s="37"/>
      <c r="ED17" s="37"/>
      <c r="EE17" s="50"/>
      <c r="EF17" s="49"/>
      <c r="EG17" s="37"/>
      <c r="EH17" s="37"/>
      <c r="EI17" s="37"/>
      <c r="EJ17" s="37"/>
      <c r="EK17" s="37"/>
      <c r="EL17" s="37"/>
      <c r="EM17" s="50"/>
      <c r="EN17" s="22"/>
      <c r="EO17" s="12"/>
      <c r="EP17" s="12"/>
      <c r="EQ17" s="12"/>
      <c r="ER17" s="12"/>
      <c r="ES17" s="12"/>
      <c r="ET17" s="12"/>
      <c r="EU17" s="23"/>
      <c r="EV17" s="49"/>
      <c r="EW17" s="37"/>
      <c r="EX17" s="37"/>
      <c r="EY17" s="37"/>
      <c r="EZ17" s="37"/>
      <c r="FA17" s="37"/>
      <c r="FB17" s="37"/>
      <c r="FC17" s="50"/>
      <c r="FD17" s="49"/>
      <c r="FE17" s="37"/>
      <c r="FF17" s="37"/>
      <c r="FG17" s="37"/>
      <c r="FH17" s="37"/>
      <c r="FI17" s="37"/>
      <c r="FJ17" s="37"/>
      <c r="FK17" s="50"/>
      <c r="FL17" s="37" t="s">
        <v>223</v>
      </c>
      <c r="FM17" s="37" t="s">
        <v>223</v>
      </c>
      <c r="FN17" s="37"/>
    </row>
    <row r="18" spans="1:170" x14ac:dyDescent="0.25">
      <c r="A18" s="38">
        <f>ROW(A2)</f>
        <v>2</v>
      </c>
      <c r="B18" s="37" t="s">
        <v>1273</v>
      </c>
      <c r="C18" s="37" t="s">
        <v>1274</v>
      </c>
      <c r="D18" s="48">
        <v>44858.389490740738</v>
      </c>
      <c r="E18" s="37" t="s">
        <v>784</v>
      </c>
      <c r="F18" s="37" t="s">
        <v>784</v>
      </c>
      <c r="G18" s="37" t="s">
        <v>785</v>
      </c>
      <c r="H18" s="49" t="s">
        <v>1271</v>
      </c>
      <c r="I18" s="37" t="s">
        <v>1270</v>
      </c>
      <c r="J18" s="37" t="s">
        <v>221</v>
      </c>
      <c r="K18" s="37">
        <v>1</v>
      </c>
      <c r="L18" s="37"/>
      <c r="M18" s="37"/>
      <c r="N18" s="37" t="s">
        <v>32</v>
      </c>
      <c r="O18" s="50" t="s">
        <v>1272</v>
      </c>
      <c r="P18" s="49"/>
      <c r="Q18" s="37"/>
      <c r="R18" s="37"/>
      <c r="S18" s="37"/>
      <c r="T18" s="37"/>
      <c r="U18" s="37"/>
      <c r="V18" s="37"/>
      <c r="W18" s="50"/>
      <c r="X18" s="49"/>
      <c r="Y18" s="37"/>
      <c r="Z18" s="37"/>
      <c r="AA18" s="37"/>
      <c r="AB18" s="37"/>
      <c r="AC18" s="37"/>
      <c r="AD18" s="37"/>
      <c r="AE18" s="50"/>
      <c r="AF18" s="49"/>
      <c r="AG18" s="37"/>
      <c r="AH18" s="37"/>
      <c r="AI18" s="37"/>
      <c r="AJ18" s="37"/>
      <c r="AK18" s="37"/>
      <c r="AL18" s="37"/>
      <c r="AM18" s="50"/>
      <c r="AN18" s="49"/>
      <c r="AO18" s="37"/>
      <c r="AP18" s="37"/>
      <c r="AQ18" s="37"/>
      <c r="AR18" s="37"/>
      <c r="AS18" s="37"/>
      <c r="AT18" s="37"/>
      <c r="AU18" s="50"/>
      <c r="AV18" s="49"/>
      <c r="AW18" s="37"/>
      <c r="AX18" s="37"/>
      <c r="AY18" s="37"/>
      <c r="AZ18" s="37"/>
      <c r="BA18" s="37"/>
      <c r="BB18" s="37"/>
      <c r="BC18" s="50"/>
      <c r="BD18" s="49"/>
      <c r="BE18" s="37"/>
      <c r="BF18" s="37"/>
      <c r="BG18" s="37"/>
      <c r="BH18" s="37"/>
      <c r="BI18" s="37"/>
      <c r="BJ18" s="37"/>
      <c r="BK18" s="50"/>
      <c r="BL18" s="49"/>
      <c r="BM18" s="37"/>
      <c r="BN18" s="37"/>
      <c r="BO18" s="37"/>
      <c r="BP18" s="37"/>
      <c r="BQ18" s="37"/>
      <c r="BR18" s="37"/>
      <c r="BS18" s="50"/>
      <c r="BT18" s="49"/>
      <c r="BU18" s="37"/>
      <c r="BV18" s="37"/>
      <c r="BW18" s="37"/>
      <c r="BX18" s="37"/>
      <c r="BY18" s="37"/>
      <c r="BZ18" s="37"/>
      <c r="CA18" s="50"/>
      <c r="CB18" s="49"/>
      <c r="CC18" s="37"/>
      <c r="CD18" s="37"/>
      <c r="CE18" s="37"/>
      <c r="CF18" s="37"/>
      <c r="CG18" s="37"/>
      <c r="CH18" s="37"/>
      <c r="CI18" s="50"/>
      <c r="CJ18" s="49"/>
      <c r="CK18" s="37"/>
      <c r="CL18" s="37"/>
      <c r="CM18" s="37"/>
      <c r="CN18" s="37"/>
      <c r="CO18" s="37"/>
      <c r="CP18" s="37"/>
      <c r="CQ18" s="50"/>
      <c r="CR18" s="49"/>
      <c r="CS18" s="37"/>
      <c r="CT18" s="37"/>
      <c r="CU18" s="37"/>
      <c r="CV18" s="37"/>
      <c r="CW18" s="37"/>
      <c r="CX18" s="37"/>
      <c r="CY18" s="50"/>
      <c r="CZ18" s="49"/>
      <c r="DA18" s="37"/>
      <c r="DB18" s="37"/>
      <c r="DC18" s="37"/>
      <c r="DD18" s="37"/>
      <c r="DE18" s="37"/>
      <c r="DF18" s="37"/>
      <c r="DG18" s="50"/>
      <c r="DH18" s="49"/>
      <c r="DI18" s="37"/>
      <c r="DJ18" s="37"/>
      <c r="DK18" s="37"/>
      <c r="DL18" s="37"/>
      <c r="DM18" s="37"/>
      <c r="DN18" s="37"/>
      <c r="DO18" s="50"/>
      <c r="DP18" s="49"/>
      <c r="DQ18" s="37"/>
      <c r="DR18" s="37"/>
      <c r="DS18" s="37"/>
      <c r="DT18" s="37"/>
      <c r="DU18" s="37"/>
      <c r="DV18" s="37"/>
      <c r="DW18" s="50"/>
      <c r="DX18" s="49"/>
      <c r="DY18" s="37"/>
      <c r="DZ18" s="37"/>
      <c r="EA18" s="37"/>
      <c r="EB18" s="37"/>
      <c r="EC18" s="37"/>
      <c r="ED18" s="37"/>
      <c r="EE18" s="50"/>
      <c r="EF18" s="49"/>
      <c r="EG18" s="37"/>
      <c r="EH18" s="37"/>
      <c r="EI18" s="37"/>
      <c r="EJ18" s="37"/>
      <c r="EK18" s="37"/>
      <c r="EL18" s="37"/>
      <c r="EM18" s="50"/>
      <c r="EN18" s="22"/>
      <c r="EO18" s="12"/>
      <c r="EP18" s="12"/>
      <c r="EQ18" s="12"/>
      <c r="ER18" s="12"/>
      <c r="ES18" s="12"/>
      <c r="ET18" s="12"/>
      <c r="EU18" s="23"/>
      <c r="EV18" s="49"/>
      <c r="EW18" s="37"/>
      <c r="EX18" s="37"/>
      <c r="EY18" s="37"/>
      <c r="EZ18" s="37"/>
      <c r="FA18" s="37"/>
      <c r="FB18" s="37"/>
      <c r="FC18" s="50"/>
      <c r="FD18" s="49"/>
      <c r="FE18" s="37"/>
      <c r="FF18" s="37"/>
      <c r="FG18" s="37"/>
      <c r="FH18" s="37"/>
      <c r="FI18" s="37"/>
      <c r="FJ18" s="37"/>
      <c r="FK18" s="50"/>
      <c r="FL18" s="37" t="s">
        <v>223</v>
      </c>
      <c r="FM18" s="37" t="s">
        <v>223</v>
      </c>
      <c r="FN18" s="37"/>
    </row>
    <row r="19" spans="1:170" x14ac:dyDescent="0.25">
      <c r="A19" s="38">
        <f>ROW(A2)</f>
        <v>2</v>
      </c>
      <c r="B19" s="37" t="s">
        <v>1253</v>
      </c>
      <c r="C19" s="37" t="s">
        <v>1254</v>
      </c>
      <c r="D19" s="48">
        <v>44847.61755787037</v>
      </c>
      <c r="E19" s="37" t="s">
        <v>784</v>
      </c>
      <c r="F19" s="37" t="s">
        <v>784</v>
      </c>
      <c r="G19" s="37" t="s">
        <v>785</v>
      </c>
      <c r="H19" s="49" t="s">
        <v>1250</v>
      </c>
      <c r="I19" s="37" t="s">
        <v>1249</v>
      </c>
      <c r="J19" s="37" t="s">
        <v>243</v>
      </c>
      <c r="K19" s="37">
        <v>1</v>
      </c>
      <c r="L19" s="37"/>
      <c r="M19" s="37"/>
      <c r="N19" s="37" t="s">
        <v>223</v>
      </c>
      <c r="O19" s="50"/>
      <c r="P19" s="49" t="s">
        <v>661</v>
      </c>
      <c r="Q19" s="37" t="s">
        <v>660</v>
      </c>
      <c r="R19" s="37" t="s">
        <v>560</v>
      </c>
      <c r="S19" s="37">
        <v>20</v>
      </c>
      <c r="T19" s="37"/>
      <c r="U19" s="37"/>
      <c r="V19" s="37" t="s">
        <v>223</v>
      </c>
      <c r="W19" s="50"/>
      <c r="X19" s="49" t="s">
        <v>434</v>
      </c>
      <c r="Y19" s="37" t="s">
        <v>433</v>
      </c>
      <c r="Z19" s="37" t="s">
        <v>240</v>
      </c>
      <c r="AA19" s="37">
        <v>4</v>
      </c>
      <c r="AB19" s="37"/>
      <c r="AC19" s="37"/>
      <c r="AD19" s="37" t="s">
        <v>223</v>
      </c>
      <c r="AE19" s="50"/>
      <c r="AF19" s="49" t="s">
        <v>689</v>
      </c>
      <c r="AG19" s="37" t="s">
        <v>688</v>
      </c>
      <c r="AH19" s="37" t="s">
        <v>235</v>
      </c>
      <c r="AI19" s="37">
        <v>2</v>
      </c>
      <c r="AJ19" s="37"/>
      <c r="AK19" s="37"/>
      <c r="AL19" s="37" t="s">
        <v>223</v>
      </c>
      <c r="AM19" s="50"/>
      <c r="AN19" s="49" t="s">
        <v>432</v>
      </c>
      <c r="AO19" s="37" t="s">
        <v>431</v>
      </c>
      <c r="AP19" s="37" t="s">
        <v>235</v>
      </c>
      <c r="AQ19" s="37">
        <v>6</v>
      </c>
      <c r="AR19" s="37"/>
      <c r="AS19" s="37"/>
      <c r="AT19" s="37" t="s">
        <v>223</v>
      </c>
      <c r="AU19" s="50"/>
      <c r="AV19" s="49" t="s">
        <v>1252</v>
      </c>
      <c r="AW19" s="37" t="s">
        <v>1251</v>
      </c>
      <c r="AX19" s="37" t="s">
        <v>221</v>
      </c>
      <c r="AY19" s="37">
        <v>1</v>
      </c>
      <c r="AZ19" s="37"/>
      <c r="BA19" s="37"/>
      <c r="BB19" s="37" t="s">
        <v>223</v>
      </c>
      <c r="BC19" s="50"/>
      <c r="BD19" s="49" t="s">
        <v>548</v>
      </c>
      <c r="BE19" s="37" t="s">
        <v>547</v>
      </c>
      <c r="BF19" s="37" t="s">
        <v>382</v>
      </c>
      <c r="BG19" s="37">
        <v>4</v>
      </c>
      <c r="BH19" s="37"/>
      <c r="BI19" s="37"/>
      <c r="BJ19" s="37" t="s">
        <v>223</v>
      </c>
      <c r="BK19" s="50"/>
      <c r="BL19" s="49"/>
      <c r="BM19" s="37"/>
      <c r="BN19" s="37"/>
      <c r="BO19" s="37"/>
      <c r="BP19" s="37"/>
      <c r="BQ19" s="37"/>
      <c r="BR19" s="37"/>
      <c r="BS19" s="50"/>
      <c r="BT19" s="49"/>
      <c r="BU19" s="37"/>
      <c r="BV19" s="37"/>
      <c r="BW19" s="37"/>
      <c r="BX19" s="37"/>
      <c r="BY19" s="37"/>
      <c r="BZ19" s="37"/>
      <c r="CA19" s="50"/>
      <c r="CB19" s="49"/>
      <c r="CC19" s="37"/>
      <c r="CD19" s="37"/>
      <c r="CE19" s="37"/>
      <c r="CF19" s="37"/>
      <c r="CG19" s="37"/>
      <c r="CH19" s="37"/>
      <c r="CI19" s="50"/>
      <c r="CJ19" s="49"/>
      <c r="CK19" s="37"/>
      <c r="CL19" s="37"/>
      <c r="CM19" s="37"/>
      <c r="CN19" s="37"/>
      <c r="CO19" s="37"/>
      <c r="CP19" s="37"/>
      <c r="CQ19" s="50"/>
      <c r="CR19" s="49"/>
      <c r="CS19" s="37"/>
      <c r="CT19" s="37"/>
      <c r="CU19" s="37"/>
      <c r="CV19" s="37"/>
      <c r="CW19" s="37"/>
      <c r="CX19" s="37"/>
      <c r="CY19" s="50"/>
      <c r="CZ19" s="49"/>
      <c r="DA19" s="37"/>
      <c r="DB19" s="37"/>
      <c r="DC19" s="37"/>
      <c r="DD19" s="37"/>
      <c r="DE19" s="37"/>
      <c r="DF19" s="37"/>
      <c r="DG19" s="50"/>
      <c r="DH19" s="49"/>
      <c r="DI19" s="37"/>
      <c r="DJ19" s="37"/>
      <c r="DK19" s="37"/>
      <c r="DL19" s="37"/>
      <c r="DM19" s="37"/>
      <c r="DN19" s="37"/>
      <c r="DO19" s="50"/>
      <c r="DP19" s="49"/>
      <c r="DQ19" s="37"/>
      <c r="DR19" s="37"/>
      <c r="DS19" s="37"/>
      <c r="DT19" s="37"/>
      <c r="DU19" s="37"/>
      <c r="DV19" s="37"/>
      <c r="DW19" s="50"/>
      <c r="DX19" s="49"/>
      <c r="DY19" s="37"/>
      <c r="DZ19" s="37"/>
      <c r="EA19" s="37"/>
      <c r="EB19" s="37"/>
      <c r="EC19" s="37"/>
      <c r="ED19" s="37"/>
      <c r="EE19" s="50"/>
      <c r="EF19" s="49"/>
      <c r="EG19" s="37"/>
      <c r="EH19" s="37"/>
      <c r="EI19" s="37"/>
      <c r="EJ19" s="37"/>
      <c r="EK19" s="37"/>
      <c r="EL19" s="37"/>
      <c r="EM19" s="50"/>
      <c r="EN19" s="22"/>
      <c r="EO19" s="12"/>
      <c r="EP19" s="12"/>
      <c r="EQ19" s="12"/>
      <c r="ER19" s="12"/>
      <c r="ES19" s="12"/>
      <c r="ET19" s="12"/>
      <c r="EU19" s="23"/>
      <c r="EV19" s="49"/>
      <c r="EW19" s="37"/>
      <c r="EX19" s="37"/>
      <c r="EY19" s="37"/>
      <c r="EZ19" s="37"/>
      <c r="FA19" s="37"/>
      <c r="FB19" s="37"/>
      <c r="FC19" s="50"/>
      <c r="FD19" s="49"/>
      <c r="FE19" s="37"/>
      <c r="FF19" s="37"/>
      <c r="FG19" s="37"/>
      <c r="FH19" s="37"/>
      <c r="FI19" s="37"/>
      <c r="FJ19" s="37"/>
      <c r="FK19" s="50"/>
      <c r="FL19" s="37" t="s">
        <v>223</v>
      </c>
      <c r="FM19" s="37" t="s">
        <v>223</v>
      </c>
      <c r="FN19" s="37"/>
    </row>
    <row r="20" spans="1:170" x14ac:dyDescent="0.25">
      <c r="A20" s="38">
        <f>ROW(A2)</f>
        <v>2</v>
      </c>
      <c r="B20" s="37" t="s">
        <v>1235</v>
      </c>
      <c r="C20" s="37" t="s">
        <v>839</v>
      </c>
      <c r="D20" s="48">
        <v>44846.588969907411</v>
      </c>
      <c r="E20" s="37" t="s">
        <v>784</v>
      </c>
      <c r="F20" s="37" t="s">
        <v>784</v>
      </c>
      <c r="G20" s="37" t="s">
        <v>785</v>
      </c>
      <c r="H20" s="49" t="s">
        <v>1224</v>
      </c>
      <c r="I20" s="37" t="s">
        <v>1223</v>
      </c>
      <c r="J20" s="37" t="s">
        <v>420</v>
      </c>
      <c r="K20" s="37">
        <v>4</v>
      </c>
      <c r="L20" s="37">
        <v>1.8</v>
      </c>
      <c r="M20" s="37">
        <v>2.6</v>
      </c>
      <c r="N20" s="37" t="s">
        <v>223</v>
      </c>
      <c r="O20" s="50"/>
      <c r="P20" s="49" t="s">
        <v>763</v>
      </c>
      <c r="Q20" s="37" t="s">
        <v>762</v>
      </c>
      <c r="R20" s="37" t="s">
        <v>221</v>
      </c>
      <c r="S20" s="37">
        <v>1</v>
      </c>
      <c r="T20" s="37">
        <v>1</v>
      </c>
      <c r="U20" s="37">
        <v>2.38</v>
      </c>
      <c r="V20" s="37" t="s">
        <v>223</v>
      </c>
      <c r="W20" s="50"/>
      <c r="X20" s="49" t="s">
        <v>1170</v>
      </c>
      <c r="Y20" s="37" t="s">
        <v>1169</v>
      </c>
      <c r="Z20" s="37" t="s">
        <v>221</v>
      </c>
      <c r="AA20" s="37">
        <v>1</v>
      </c>
      <c r="AB20" s="37">
        <v>1.27</v>
      </c>
      <c r="AC20" s="37">
        <v>2.97</v>
      </c>
      <c r="AD20" s="37" t="s">
        <v>32</v>
      </c>
      <c r="AE20" s="50"/>
      <c r="AF20" s="49" t="s">
        <v>1170</v>
      </c>
      <c r="AG20" s="37" t="s">
        <v>1169</v>
      </c>
      <c r="AH20" s="37" t="s">
        <v>221</v>
      </c>
      <c r="AI20" s="37">
        <v>2</v>
      </c>
      <c r="AJ20" s="37">
        <v>1.27</v>
      </c>
      <c r="AK20" s="37">
        <v>2.8050000000000002</v>
      </c>
      <c r="AL20" s="37" t="s">
        <v>32</v>
      </c>
      <c r="AM20" s="50"/>
      <c r="AN20" s="49" t="s">
        <v>1226</v>
      </c>
      <c r="AO20" s="37" t="s">
        <v>1225</v>
      </c>
      <c r="AP20" s="37" t="s">
        <v>221</v>
      </c>
      <c r="AQ20" s="37">
        <v>10</v>
      </c>
      <c r="AR20" s="37"/>
      <c r="AS20" s="37"/>
      <c r="AT20" s="37" t="s">
        <v>223</v>
      </c>
      <c r="AU20" s="50"/>
      <c r="AV20" s="49"/>
      <c r="AW20" s="37"/>
      <c r="AX20" s="37"/>
      <c r="AY20" s="37"/>
      <c r="AZ20" s="37"/>
      <c r="BA20" s="37"/>
      <c r="BB20" s="37"/>
      <c r="BC20" s="50"/>
      <c r="BD20" s="49"/>
      <c r="BE20" s="37"/>
      <c r="BF20" s="37"/>
      <c r="BG20" s="37"/>
      <c r="BH20" s="37"/>
      <c r="BI20" s="37"/>
      <c r="BJ20" s="37"/>
      <c r="BK20" s="50"/>
      <c r="BL20" s="49"/>
      <c r="BM20" s="37"/>
      <c r="BN20" s="37"/>
      <c r="BO20" s="37"/>
      <c r="BP20" s="37"/>
      <c r="BQ20" s="37"/>
      <c r="BR20" s="37"/>
      <c r="BS20" s="50"/>
      <c r="BT20" s="49"/>
      <c r="BU20" s="37"/>
      <c r="BV20" s="37"/>
      <c r="BW20" s="37"/>
      <c r="BX20" s="37"/>
      <c r="BY20" s="37"/>
      <c r="BZ20" s="37"/>
      <c r="CA20" s="50"/>
      <c r="CB20" s="49"/>
      <c r="CC20" s="37"/>
      <c r="CD20" s="37"/>
      <c r="CE20" s="37"/>
      <c r="CF20" s="37"/>
      <c r="CG20" s="37"/>
      <c r="CH20" s="37"/>
      <c r="CI20" s="50"/>
      <c r="CJ20" s="49"/>
      <c r="CK20" s="37"/>
      <c r="CL20" s="37"/>
      <c r="CM20" s="37"/>
      <c r="CN20" s="37"/>
      <c r="CO20" s="37"/>
      <c r="CP20" s="37"/>
      <c r="CQ20" s="50"/>
      <c r="CR20" s="49"/>
      <c r="CS20" s="37"/>
      <c r="CT20" s="37"/>
      <c r="CU20" s="37"/>
      <c r="CV20" s="37"/>
      <c r="CW20" s="37"/>
      <c r="CX20" s="37"/>
      <c r="CY20" s="50"/>
      <c r="CZ20" s="49"/>
      <c r="DA20" s="37"/>
      <c r="DB20" s="37"/>
      <c r="DC20" s="37"/>
      <c r="DD20" s="37"/>
      <c r="DE20" s="37"/>
      <c r="DF20" s="37"/>
      <c r="DG20" s="50"/>
      <c r="DH20" s="49"/>
      <c r="DI20" s="37"/>
      <c r="DJ20" s="37"/>
      <c r="DK20" s="37"/>
      <c r="DL20" s="37"/>
      <c r="DM20" s="37"/>
      <c r="DN20" s="37"/>
      <c r="DO20" s="50"/>
      <c r="DP20" s="49"/>
      <c r="DQ20" s="37"/>
      <c r="DR20" s="37"/>
      <c r="DS20" s="37"/>
      <c r="DT20" s="37"/>
      <c r="DU20" s="37"/>
      <c r="DV20" s="37"/>
      <c r="DW20" s="50"/>
      <c r="DX20" s="49"/>
      <c r="DY20" s="37"/>
      <c r="DZ20" s="37"/>
      <c r="EA20" s="37"/>
      <c r="EB20" s="37"/>
      <c r="EC20" s="37"/>
      <c r="ED20" s="37"/>
      <c r="EE20" s="50"/>
      <c r="EF20" s="49"/>
      <c r="EG20" s="37"/>
      <c r="EH20" s="37"/>
      <c r="EI20" s="37"/>
      <c r="EJ20" s="37"/>
      <c r="EK20" s="37"/>
      <c r="EL20" s="37"/>
      <c r="EM20" s="50"/>
      <c r="EN20" s="22"/>
      <c r="EO20" s="12"/>
      <c r="EP20" s="12"/>
      <c r="EQ20" s="12"/>
      <c r="ER20" s="12"/>
      <c r="ES20" s="12"/>
      <c r="ET20" s="12"/>
      <c r="EU20" s="23"/>
      <c r="EV20" s="49"/>
      <c r="EW20" s="37"/>
      <c r="EX20" s="37"/>
      <c r="EY20" s="37"/>
      <c r="EZ20" s="37"/>
      <c r="FA20" s="37"/>
      <c r="FB20" s="37"/>
      <c r="FC20" s="50"/>
      <c r="FD20" s="49"/>
      <c r="FE20" s="37"/>
      <c r="FF20" s="37"/>
      <c r="FG20" s="37"/>
      <c r="FH20" s="37"/>
      <c r="FI20" s="37"/>
      <c r="FJ20" s="37"/>
      <c r="FK20" s="50"/>
      <c r="FL20" s="37" t="s">
        <v>223</v>
      </c>
      <c r="FM20" s="37" t="s">
        <v>223</v>
      </c>
      <c r="FN20" s="37"/>
    </row>
    <row r="21" spans="1:170" x14ac:dyDescent="0.25">
      <c r="A21" s="38">
        <f>ROW(A2)</f>
        <v>2</v>
      </c>
      <c r="B21" s="37" t="s">
        <v>1187</v>
      </c>
      <c r="C21" s="37" t="s">
        <v>839</v>
      </c>
      <c r="D21" s="48">
        <v>44846.582337962966</v>
      </c>
      <c r="E21" s="37" t="s">
        <v>784</v>
      </c>
      <c r="F21" s="37" t="s">
        <v>784</v>
      </c>
      <c r="G21" s="37" t="s">
        <v>785</v>
      </c>
      <c r="H21" s="49" t="s">
        <v>1200</v>
      </c>
      <c r="I21" s="37" t="s">
        <v>1199</v>
      </c>
      <c r="J21" s="37" t="s">
        <v>221</v>
      </c>
      <c r="K21" s="37">
        <v>5</v>
      </c>
      <c r="L21" s="37"/>
      <c r="M21" s="37"/>
      <c r="N21" s="37" t="s">
        <v>32</v>
      </c>
      <c r="O21" s="50" t="s">
        <v>1230</v>
      </c>
      <c r="P21" s="49" t="s">
        <v>1202</v>
      </c>
      <c r="Q21" s="37" t="s">
        <v>1201</v>
      </c>
      <c r="R21" s="37" t="s">
        <v>252</v>
      </c>
      <c r="S21" s="37">
        <v>5</v>
      </c>
      <c r="T21" s="37"/>
      <c r="U21" s="37"/>
      <c r="V21" s="37" t="s">
        <v>223</v>
      </c>
      <c r="W21" s="50" t="s">
        <v>1230</v>
      </c>
      <c r="X21" s="49" t="s">
        <v>1204</v>
      </c>
      <c r="Y21" s="37" t="s">
        <v>1203</v>
      </c>
      <c r="Z21" s="37" t="s">
        <v>221</v>
      </c>
      <c r="AA21" s="37">
        <v>5</v>
      </c>
      <c r="AB21" s="37"/>
      <c r="AC21" s="37"/>
      <c r="AD21" s="37" t="s">
        <v>223</v>
      </c>
      <c r="AE21" s="50" t="s">
        <v>1231</v>
      </c>
      <c r="AF21" s="49" t="s">
        <v>1206</v>
      </c>
      <c r="AG21" s="37" t="s">
        <v>1205</v>
      </c>
      <c r="AH21" s="37" t="s">
        <v>221</v>
      </c>
      <c r="AI21" s="37">
        <v>5</v>
      </c>
      <c r="AJ21" s="37"/>
      <c r="AK21" s="37"/>
      <c r="AL21" s="37" t="s">
        <v>223</v>
      </c>
      <c r="AM21" s="50" t="s">
        <v>1231</v>
      </c>
      <c r="AN21" s="49" t="s">
        <v>1208</v>
      </c>
      <c r="AO21" s="37" t="s">
        <v>1207</v>
      </c>
      <c r="AP21" s="37" t="s">
        <v>221</v>
      </c>
      <c r="AQ21" s="37">
        <v>2</v>
      </c>
      <c r="AR21" s="37"/>
      <c r="AS21" s="37"/>
      <c r="AT21" s="37" t="s">
        <v>223</v>
      </c>
      <c r="AU21" s="50" t="s">
        <v>1232</v>
      </c>
      <c r="AV21" s="49" t="s">
        <v>717</v>
      </c>
      <c r="AW21" s="37" t="s">
        <v>716</v>
      </c>
      <c r="AX21" s="37" t="s">
        <v>448</v>
      </c>
      <c r="AY21" s="37">
        <v>5</v>
      </c>
      <c r="AZ21" s="37"/>
      <c r="BA21" s="37"/>
      <c r="BB21" s="37" t="s">
        <v>223</v>
      </c>
      <c r="BC21" s="50" t="s">
        <v>1230</v>
      </c>
      <c r="BD21" s="49" t="s">
        <v>1212</v>
      </c>
      <c r="BE21" s="37" t="s">
        <v>1211</v>
      </c>
      <c r="BF21" s="37" t="s">
        <v>221</v>
      </c>
      <c r="BG21" s="37">
        <v>2</v>
      </c>
      <c r="BH21" s="37"/>
      <c r="BI21" s="37"/>
      <c r="BJ21" s="37" t="s">
        <v>223</v>
      </c>
      <c r="BK21" s="50" t="s">
        <v>1233</v>
      </c>
      <c r="BL21" s="49" t="s">
        <v>1214</v>
      </c>
      <c r="BM21" s="37" t="s">
        <v>1213</v>
      </c>
      <c r="BN21" s="37" t="s">
        <v>221</v>
      </c>
      <c r="BO21" s="37">
        <v>1</v>
      </c>
      <c r="BP21" s="37"/>
      <c r="BQ21" s="37"/>
      <c r="BR21" s="37" t="s">
        <v>223</v>
      </c>
      <c r="BS21" s="50" t="s">
        <v>1233</v>
      </c>
      <c r="BT21" s="49" t="s">
        <v>1216</v>
      </c>
      <c r="BU21" s="37" t="s">
        <v>1215</v>
      </c>
      <c r="BV21" s="37" t="s">
        <v>221</v>
      </c>
      <c r="BW21" s="37">
        <v>1</v>
      </c>
      <c r="BX21" s="37"/>
      <c r="BY21" s="37"/>
      <c r="BZ21" s="37" t="s">
        <v>223</v>
      </c>
      <c r="CA21" s="50" t="s">
        <v>1233</v>
      </c>
      <c r="CB21" s="49" t="s">
        <v>262</v>
      </c>
      <c r="CC21" s="37" t="s">
        <v>259</v>
      </c>
      <c r="CD21" s="37" t="s">
        <v>263</v>
      </c>
      <c r="CE21" s="37">
        <v>10</v>
      </c>
      <c r="CF21" s="37"/>
      <c r="CG21" s="37"/>
      <c r="CH21" s="37" t="s">
        <v>223</v>
      </c>
      <c r="CI21" s="50" t="s">
        <v>1233</v>
      </c>
      <c r="CJ21" s="49" t="s">
        <v>1218</v>
      </c>
      <c r="CK21" s="37" t="s">
        <v>1217</v>
      </c>
      <c r="CL21" s="37" t="s">
        <v>243</v>
      </c>
      <c r="CM21" s="37">
        <v>30</v>
      </c>
      <c r="CN21" s="37"/>
      <c r="CO21" s="37"/>
      <c r="CP21" s="37" t="s">
        <v>223</v>
      </c>
      <c r="CQ21" s="50" t="s">
        <v>1234</v>
      </c>
      <c r="CR21" s="49" t="s">
        <v>1220</v>
      </c>
      <c r="CS21" s="37" t="s">
        <v>1219</v>
      </c>
      <c r="CT21" s="37" t="s">
        <v>221</v>
      </c>
      <c r="CU21" s="37">
        <v>3</v>
      </c>
      <c r="CV21" s="37"/>
      <c r="CW21" s="37"/>
      <c r="CX21" s="37" t="s">
        <v>32</v>
      </c>
      <c r="CY21" s="50"/>
      <c r="CZ21" s="49"/>
      <c r="DA21" s="37"/>
      <c r="DB21" s="37"/>
      <c r="DC21" s="37"/>
      <c r="DD21" s="37"/>
      <c r="DE21" s="37"/>
      <c r="DF21" s="37"/>
      <c r="DG21" s="50"/>
      <c r="DH21" s="49"/>
      <c r="DI21" s="37"/>
      <c r="DJ21" s="37"/>
      <c r="DK21" s="37"/>
      <c r="DL21" s="37"/>
      <c r="DM21" s="37"/>
      <c r="DN21" s="37"/>
      <c r="DO21" s="50"/>
      <c r="DP21" s="49"/>
      <c r="DQ21" s="37"/>
      <c r="DR21" s="37"/>
      <c r="DS21" s="37"/>
      <c r="DT21" s="37"/>
      <c r="DU21" s="37"/>
      <c r="DV21" s="37"/>
      <c r="DW21" s="50"/>
      <c r="DX21" s="49"/>
      <c r="DY21" s="37"/>
      <c r="DZ21" s="37"/>
      <c r="EA21" s="37"/>
      <c r="EB21" s="37"/>
      <c r="EC21" s="37"/>
      <c r="ED21" s="37"/>
      <c r="EE21" s="50"/>
      <c r="EF21" s="49"/>
      <c r="EG21" s="37"/>
      <c r="EH21" s="37"/>
      <c r="EI21" s="37"/>
      <c r="EJ21" s="37"/>
      <c r="EK21" s="37"/>
      <c r="EL21" s="37"/>
      <c r="EM21" s="50"/>
      <c r="EN21" s="22"/>
      <c r="EO21" s="12"/>
      <c r="EP21" s="12"/>
      <c r="EQ21" s="12"/>
      <c r="ER21" s="12"/>
      <c r="ES21" s="12"/>
      <c r="ET21" s="12"/>
      <c r="EU21" s="23"/>
      <c r="EV21" s="49"/>
      <c r="EW21" s="37"/>
      <c r="EX21" s="37"/>
      <c r="EY21" s="37"/>
      <c r="EZ21" s="37"/>
      <c r="FA21" s="37"/>
      <c r="FB21" s="37"/>
      <c r="FC21" s="50"/>
      <c r="FD21" s="49"/>
      <c r="FE21" s="37"/>
      <c r="FF21" s="37"/>
      <c r="FG21" s="37"/>
      <c r="FH21" s="37"/>
      <c r="FI21" s="37"/>
      <c r="FJ21" s="37"/>
      <c r="FK21" s="50"/>
      <c r="FL21" s="37" t="s">
        <v>223</v>
      </c>
      <c r="FM21" s="37" t="s">
        <v>223</v>
      </c>
      <c r="FN21" s="37"/>
    </row>
    <row r="22" spans="1:170" x14ac:dyDescent="0.25">
      <c r="A22" s="38">
        <f>ROW(A2)</f>
        <v>2</v>
      </c>
      <c r="B22" s="37" t="s">
        <v>1187</v>
      </c>
      <c r="C22" s="37" t="s">
        <v>1188</v>
      </c>
      <c r="D22" s="48">
        <v>44845.428657407407</v>
      </c>
      <c r="E22" s="37" t="s">
        <v>784</v>
      </c>
      <c r="F22" s="37" t="s">
        <v>784</v>
      </c>
      <c r="G22" s="37" t="s">
        <v>785</v>
      </c>
      <c r="H22" s="49" t="s">
        <v>1170</v>
      </c>
      <c r="I22" s="37" t="s">
        <v>1169</v>
      </c>
      <c r="J22" s="37" t="s">
        <v>221</v>
      </c>
      <c r="K22" s="37">
        <v>24</v>
      </c>
      <c r="L22" s="37">
        <v>750</v>
      </c>
      <c r="M22" s="37">
        <v>2150</v>
      </c>
      <c r="N22" s="37" t="s">
        <v>32</v>
      </c>
      <c r="O22" s="50"/>
      <c r="P22" s="49" t="s">
        <v>422</v>
      </c>
      <c r="Q22" s="37" t="s">
        <v>421</v>
      </c>
      <c r="R22" s="37" t="s">
        <v>221</v>
      </c>
      <c r="S22" s="37">
        <v>2</v>
      </c>
      <c r="T22" s="37"/>
      <c r="U22" s="37"/>
      <c r="V22" s="37" t="s">
        <v>223</v>
      </c>
      <c r="W22" s="50" t="s">
        <v>32</v>
      </c>
      <c r="X22" s="49" t="s">
        <v>1186</v>
      </c>
      <c r="Y22" s="37" t="s">
        <v>1185</v>
      </c>
      <c r="Z22" s="37" t="s">
        <v>221</v>
      </c>
      <c r="AA22" s="37">
        <v>5</v>
      </c>
      <c r="AB22" s="37"/>
      <c r="AC22" s="37"/>
      <c r="AD22" s="37" t="s">
        <v>32</v>
      </c>
      <c r="AE22" s="50"/>
      <c r="AF22" s="49" t="s">
        <v>1184</v>
      </c>
      <c r="AG22" s="37" t="s">
        <v>1183</v>
      </c>
      <c r="AH22" s="37" t="s">
        <v>221</v>
      </c>
      <c r="AI22" s="37">
        <v>1</v>
      </c>
      <c r="AJ22" s="37"/>
      <c r="AK22" s="37"/>
      <c r="AL22" s="37" t="s">
        <v>223</v>
      </c>
      <c r="AM22" s="50"/>
      <c r="AN22" s="49" t="s">
        <v>1182</v>
      </c>
      <c r="AO22" s="37" t="s">
        <v>1181</v>
      </c>
      <c r="AP22" s="37" t="s">
        <v>570</v>
      </c>
      <c r="AQ22" s="37">
        <v>5</v>
      </c>
      <c r="AR22" s="37"/>
      <c r="AS22" s="37"/>
      <c r="AT22" s="37" t="s">
        <v>32</v>
      </c>
      <c r="AU22" s="50"/>
      <c r="AV22" s="49" t="s">
        <v>767</v>
      </c>
      <c r="AW22" s="37" t="s">
        <v>766</v>
      </c>
      <c r="AX22" s="37" t="s">
        <v>221</v>
      </c>
      <c r="AY22" s="37">
        <v>96</v>
      </c>
      <c r="AZ22" s="37"/>
      <c r="BA22" s="37"/>
      <c r="BB22" s="37" t="s">
        <v>1189</v>
      </c>
      <c r="BC22" s="50"/>
      <c r="BD22" s="49"/>
      <c r="BE22" s="37"/>
      <c r="BF22" s="37"/>
      <c r="BG22" s="37"/>
      <c r="BH22" s="37"/>
      <c r="BI22" s="37"/>
      <c r="BJ22" s="37"/>
      <c r="BK22" s="50"/>
      <c r="BL22" s="49"/>
      <c r="BM22" s="37"/>
      <c r="BN22" s="37"/>
      <c r="BO22" s="37"/>
      <c r="BP22" s="37"/>
      <c r="BQ22" s="37"/>
      <c r="BR22" s="37"/>
      <c r="BS22" s="50"/>
      <c r="BT22" s="49"/>
      <c r="BU22" s="37"/>
      <c r="BV22" s="37"/>
      <c r="BW22" s="37"/>
      <c r="BX22" s="37"/>
      <c r="BY22" s="37"/>
      <c r="BZ22" s="37"/>
      <c r="CA22" s="50"/>
      <c r="CB22" s="49"/>
      <c r="CC22" s="37"/>
      <c r="CD22" s="37"/>
      <c r="CE22" s="37"/>
      <c r="CF22" s="37"/>
      <c r="CG22" s="37"/>
      <c r="CH22" s="37"/>
      <c r="CI22" s="50"/>
      <c r="CJ22" s="49"/>
      <c r="CK22" s="37"/>
      <c r="CL22" s="37"/>
      <c r="CM22" s="37"/>
      <c r="CN22" s="37"/>
      <c r="CO22" s="37"/>
      <c r="CP22" s="37"/>
      <c r="CQ22" s="50"/>
      <c r="CR22" s="49"/>
      <c r="CS22" s="37"/>
      <c r="CT22" s="37"/>
      <c r="CU22" s="37"/>
      <c r="CV22" s="37"/>
      <c r="CW22" s="37"/>
      <c r="CX22" s="37"/>
      <c r="CY22" s="50"/>
      <c r="CZ22" s="49"/>
      <c r="DA22" s="37"/>
      <c r="DB22" s="37"/>
      <c r="DC22" s="37"/>
      <c r="DD22" s="37"/>
      <c r="DE22" s="37"/>
      <c r="DF22" s="37"/>
      <c r="DG22" s="50"/>
      <c r="DH22" s="49"/>
      <c r="DI22" s="37"/>
      <c r="DJ22" s="37"/>
      <c r="DK22" s="37"/>
      <c r="DL22" s="37"/>
      <c r="DM22" s="37"/>
      <c r="DN22" s="37"/>
      <c r="DO22" s="50"/>
      <c r="DP22" s="49"/>
      <c r="DQ22" s="37"/>
      <c r="DR22" s="37"/>
      <c r="DS22" s="37"/>
      <c r="DT22" s="37"/>
      <c r="DU22" s="37"/>
      <c r="DV22" s="37"/>
      <c r="DW22" s="50"/>
      <c r="DX22" s="49"/>
      <c r="DY22" s="37"/>
      <c r="DZ22" s="37"/>
      <c r="EA22" s="37"/>
      <c r="EB22" s="37"/>
      <c r="EC22" s="37"/>
      <c r="ED22" s="37"/>
      <c r="EE22" s="50"/>
      <c r="EF22" s="49"/>
      <c r="EG22" s="37"/>
      <c r="EH22" s="37"/>
      <c r="EI22" s="37"/>
      <c r="EJ22" s="37"/>
      <c r="EK22" s="37"/>
      <c r="EL22" s="37"/>
      <c r="EM22" s="50"/>
      <c r="EN22" s="22"/>
      <c r="EO22" s="12"/>
      <c r="EP22" s="12"/>
      <c r="EQ22" s="12"/>
      <c r="ER22" s="12"/>
      <c r="ES22" s="12"/>
      <c r="ET22" s="12"/>
      <c r="EU22" s="23"/>
      <c r="EV22" s="49"/>
      <c r="EW22" s="37"/>
      <c r="EX22" s="37"/>
      <c r="EY22" s="37"/>
      <c r="EZ22" s="37"/>
      <c r="FA22" s="37"/>
      <c r="FB22" s="37"/>
      <c r="FC22" s="50"/>
      <c r="FD22" s="49"/>
      <c r="FE22" s="37"/>
      <c r="FF22" s="37"/>
      <c r="FG22" s="37"/>
      <c r="FH22" s="37"/>
      <c r="FI22" s="37"/>
      <c r="FJ22" s="37"/>
      <c r="FK22" s="50"/>
      <c r="FL22" s="37" t="s">
        <v>223</v>
      </c>
      <c r="FM22" s="37" t="s">
        <v>223</v>
      </c>
      <c r="FN22" s="37"/>
    </row>
    <row r="23" spans="1:170" x14ac:dyDescent="0.25">
      <c r="A23" s="38">
        <f>ROW(A2)</f>
        <v>2</v>
      </c>
      <c r="B23" s="37" t="s">
        <v>1177</v>
      </c>
      <c r="C23" s="37" t="s">
        <v>782</v>
      </c>
      <c r="D23" s="48">
        <v>44838.439849537041</v>
      </c>
      <c r="E23" s="37" t="s">
        <v>861</v>
      </c>
      <c r="F23" s="37" t="s">
        <v>931</v>
      </c>
      <c r="G23" s="37" t="s">
        <v>887</v>
      </c>
      <c r="H23" s="49" t="s">
        <v>1176</v>
      </c>
      <c r="I23" s="37" t="s">
        <v>1175</v>
      </c>
      <c r="J23" s="37" t="s">
        <v>221</v>
      </c>
      <c r="K23" s="37">
        <v>4</v>
      </c>
      <c r="L23" s="37"/>
      <c r="M23" s="37"/>
      <c r="N23" s="37" t="s">
        <v>223</v>
      </c>
      <c r="O23" s="50"/>
      <c r="P23" s="49" t="s">
        <v>1174</v>
      </c>
      <c r="Q23" s="37" t="s">
        <v>1173</v>
      </c>
      <c r="R23" s="37" t="s">
        <v>221</v>
      </c>
      <c r="S23" s="37">
        <v>12</v>
      </c>
      <c r="T23" s="37"/>
      <c r="U23" s="37"/>
      <c r="V23" s="37" t="s">
        <v>32</v>
      </c>
      <c r="W23" s="50" t="s">
        <v>32</v>
      </c>
      <c r="X23" s="49" t="s">
        <v>1062</v>
      </c>
      <c r="Y23" s="37" t="s">
        <v>1061</v>
      </c>
      <c r="Z23" s="37" t="s">
        <v>221</v>
      </c>
      <c r="AA23" s="37">
        <v>1</v>
      </c>
      <c r="AB23" s="37"/>
      <c r="AC23" s="37"/>
      <c r="AD23" s="37" t="s">
        <v>223</v>
      </c>
      <c r="AE23" s="50" t="s">
        <v>223</v>
      </c>
      <c r="AF23" s="49" t="s">
        <v>1170</v>
      </c>
      <c r="AG23" s="37" t="s">
        <v>1169</v>
      </c>
      <c r="AH23" s="37" t="s">
        <v>221</v>
      </c>
      <c r="AI23" s="37">
        <v>1</v>
      </c>
      <c r="AJ23" s="37">
        <v>2558</v>
      </c>
      <c r="AK23" s="37">
        <v>2695</v>
      </c>
      <c r="AL23" s="37" t="s">
        <v>32</v>
      </c>
      <c r="AM23" s="50"/>
      <c r="AN23" s="49" t="s">
        <v>1170</v>
      </c>
      <c r="AO23" s="37" t="s">
        <v>1169</v>
      </c>
      <c r="AP23" s="37" t="s">
        <v>221</v>
      </c>
      <c r="AQ23" s="37">
        <v>1</v>
      </c>
      <c r="AR23" s="37">
        <v>2548</v>
      </c>
      <c r="AS23" s="37">
        <v>2700</v>
      </c>
      <c r="AT23" s="37" t="s">
        <v>32</v>
      </c>
      <c r="AU23" s="50" t="s">
        <v>32</v>
      </c>
      <c r="AV23" s="49" t="s">
        <v>1170</v>
      </c>
      <c r="AW23" s="37" t="s">
        <v>1169</v>
      </c>
      <c r="AX23" s="37" t="s">
        <v>221</v>
      </c>
      <c r="AY23" s="37">
        <v>1</v>
      </c>
      <c r="AZ23" s="37">
        <v>2548</v>
      </c>
      <c r="BA23" s="37">
        <v>2695</v>
      </c>
      <c r="BB23" s="37" t="s">
        <v>32</v>
      </c>
      <c r="BC23" s="50"/>
      <c r="BD23" s="49"/>
      <c r="BE23" s="37"/>
      <c r="BF23" s="37"/>
      <c r="BG23" s="37"/>
      <c r="BH23" s="37"/>
      <c r="BI23" s="37"/>
      <c r="BJ23" s="37"/>
      <c r="BK23" s="50"/>
      <c r="BL23" s="49"/>
      <c r="BM23" s="37"/>
      <c r="BN23" s="37"/>
      <c r="BO23" s="37"/>
      <c r="BP23" s="37"/>
      <c r="BQ23" s="37"/>
      <c r="BR23" s="37"/>
      <c r="BS23" s="50"/>
      <c r="BT23" s="49"/>
      <c r="BU23" s="37"/>
      <c r="BV23" s="37"/>
      <c r="BW23" s="37"/>
      <c r="BX23" s="37"/>
      <c r="BY23" s="37"/>
      <c r="BZ23" s="37"/>
      <c r="CA23" s="50"/>
      <c r="CB23" s="49"/>
      <c r="CC23" s="37"/>
      <c r="CD23" s="37"/>
      <c r="CE23" s="37"/>
      <c r="CF23" s="37"/>
      <c r="CG23" s="37"/>
      <c r="CH23" s="37"/>
      <c r="CI23" s="50"/>
      <c r="CJ23" s="49"/>
      <c r="CK23" s="37"/>
      <c r="CL23" s="37"/>
      <c r="CM23" s="37"/>
      <c r="CN23" s="37"/>
      <c r="CO23" s="37"/>
      <c r="CP23" s="37"/>
      <c r="CQ23" s="50"/>
      <c r="CR23" s="49"/>
      <c r="CS23" s="37"/>
      <c r="CT23" s="37"/>
      <c r="CU23" s="37"/>
      <c r="CV23" s="37"/>
      <c r="CW23" s="37"/>
      <c r="CX23" s="37"/>
      <c r="CY23" s="50"/>
      <c r="CZ23" s="49"/>
      <c r="DA23" s="37"/>
      <c r="DB23" s="37"/>
      <c r="DC23" s="37"/>
      <c r="DD23" s="37"/>
      <c r="DE23" s="37"/>
      <c r="DF23" s="37"/>
      <c r="DG23" s="50"/>
      <c r="DH23" s="49"/>
      <c r="DI23" s="37"/>
      <c r="DJ23" s="37"/>
      <c r="DK23" s="37"/>
      <c r="DL23" s="37"/>
      <c r="DM23" s="37"/>
      <c r="DN23" s="37"/>
      <c r="DO23" s="50"/>
      <c r="DP23" s="49"/>
      <c r="DQ23" s="37"/>
      <c r="DR23" s="37"/>
      <c r="DS23" s="37"/>
      <c r="DT23" s="37"/>
      <c r="DU23" s="37"/>
      <c r="DV23" s="37"/>
      <c r="DW23" s="50"/>
      <c r="DX23" s="49"/>
      <c r="DY23" s="37"/>
      <c r="DZ23" s="37"/>
      <c r="EA23" s="37"/>
      <c r="EB23" s="37"/>
      <c r="EC23" s="37"/>
      <c r="ED23" s="37"/>
      <c r="EE23" s="50"/>
      <c r="EF23" s="49"/>
      <c r="EG23" s="37"/>
      <c r="EH23" s="37"/>
      <c r="EI23" s="37"/>
      <c r="EJ23" s="37"/>
      <c r="EK23" s="37"/>
      <c r="EL23" s="37"/>
      <c r="EM23" s="50"/>
      <c r="EN23" s="22"/>
      <c r="EO23" s="12"/>
      <c r="EP23" s="12"/>
      <c r="EQ23" s="12"/>
      <c r="ER23" s="12"/>
      <c r="ES23" s="12"/>
      <c r="ET23" s="12"/>
      <c r="EU23" s="23"/>
      <c r="EV23" s="49"/>
      <c r="EW23" s="37"/>
      <c r="EX23" s="37"/>
      <c r="EY23" s="37"/>
      <c r="EZ23" s="37"/>
      <c r="FA23" s="37"/>
      <c r="FB23" s="37"/>
      <c r="FC23" s="50"/>
      <c r="FD23" s="49"/>
      <c r="FE23" s="37"/>
      <c r="FF23" s="37"/>
      <c r="FG23" s="37"/>
      <c r="FH23" s="37"/>
      <c r="FI23" s="37"/>
      <c r="FJ23" s="37"/>
      <c r="FK23" s="50"/>
      <c r="FL23" s="37" t="s">
        <v>223</v>
      </c>
      <c r="FM23" s="37" t="s">
        <v>223</v>
      </c>
      <c r="FN23" s="37"/>
    </row>
    <row r="24" spans="1:170" x14ac:dyDescent="0.25">
      <c r="A24" s="38">
        <f>ROW(A2)</f>
        <v>2</v>
      </c>
      <c r="B24" s="37" t="s">
        <v>1164</v>
      </c>
      <c r="C24" s="37" t="s">
        <v>1163</v>
      </c>
      <c r="D24" s="48">
        <v>44833.764444444445</v>
      </c>
      <c r="E24" s="37" t="s">
        <v>784</v>
      </c>
      <c r="F24" s="37" t="s">
        <v>784</v>
      </c>
      <c r="G24" s="37" t="s">
        <v>785</v>
      </c>
      <c r="H24" s="49" t="s">
        <v>1161</v>
      </c>
      <c r="I24" s="37" t="s">
        <v>1160</v>
      </c>
      <c r="J24" s="37" t="s">
        <v>221</v>
      </c>
      <c r="K24" s="37">
        <v>1</v>
      </c>
      <c r="L24" s="37">
        <v>605</v>
      </c>
      <c r="M24" s="37">
        <v>2110</v>
      </c>
      <c r="N24" s="37" t="s">
        <v>223</v>
      </c>
      <c r="O24" s="50"/>
      <c r="P24" s="49"/>
      <c r="Q24" s="37"/>
      <c r="R24" s="37"/>
      <c r="S24" s="37"/>
      <c r="T24" s="37"/>
      <c r="U24" s="37"/>
      <c r="V24" s="37"/>
      <c r="W24" s="50"/>
      <c r="X24" s="49"/>
      <c r="Y24" s="37"/>
      <c r="Z24" s="37"/>
      <c r="AA24" s="37"/>
      <c r="AB24" s="37"/>
      <c r="AC24" s="37"/>
      <c r="AD24" s="37"/>
      <c r="AE24" s="50"/>
      <c r="AF24" s="49"/>
      <c r="AG24" s="37"/>
      <c r="AH24" s="37"/>
      <c r="AI24" s="37"/>
      <c r="AJ24" s="37"/>
      <c r="AK24" s="37"/>
      <c r="AL24" s="37"/>
      <c r="AM24" s="50"/>
      <c r="AN24" s="49"/>
      <c r="AO24" s="37"/>
      <c r="AP24" s="37"/>
      <c r="AQ24" s="37"/>
      <c r="AR24" s="37"/>
      <c r="AS24" s="37"/>
      <c r="AT24" s="37"/>
      <c r="AU24" s="50"/>
      <c r="AV24" s="49"/>
      <c r="AW24" s="37"/>
      <c r="AX24" s="37"/>
      <c r="AY24" s="37"/>
      <c r="AZ24" s="37"/>
      <c r="BA24" s="37"/>
      <c r="BB24" s="37"/>
      <c r="BC24" s="50"/>
      <c r="BD24" s="49"/>
      <c r="BE24" s="37"/>
      <c r="BF24" s="37"/>
      <c r="BG24" s="37"/>
      <c r="BH24" s="37"/>
      <c r="BI24" s="37"/>
      <c r="BJ24" s="37"/>
      <c r="BK24" s="50"/>
      <c r="BL24" s="49"/>
      <c r="BM24" s="37"/>
      <c r="BN24" s="37"/>
      <c r="BO24" s="37"/>
      <c r="BP24" s="37"/>
      <c r="BQ24" s="37"/>
      <c r="BR24" s="37"/>
      <c r="BS24" s="50"/>
      <c r="BT24" s="49"/>
      <c r="BU24" s="37"/>
      <c r="BV24" s="37"/>
      <c r="BW24" s="37"/>
      <c r="BX24" s="37"/>
      <c r="BY24" s="37"/>
      <c r="BZ24" s="37"/>
      <c r="CA24" s="50"/>
      <c r="CB24" s="49"/>
      <c r="CC24" s="37"/>
      <c r="CD24" s="37"/>
      <c r="CE24" s="37"/>
      <c r="CF24" s="37"/>
      <c r="CG24" s="37"/>
      <c r="CH24" s="37"/>
      <c r="CI24" s="50"/>
      <c r="CJ24" s="49"/>
      <c r="CK24" s="37"/>
      <c r="CL24" s="37"/>
      <c r="CM24" s="37"/>
      <c r="CN24" s="37"/>
      <c r="CO24" s="37"/>
      <c r="CP24" s="37"/>
      <c r="CQ24" s="50"/>
      <c r="CR24" s="49"/>
      <c r="CS24" s="37"/>
      <c r="CT24" s="37"/>
      <c r="CU24" s="37"/>
      <c r="CV24" s="37"/>
      <c r="CW24" s="37"/>
      <c r="CX24" s="37"/>
      <c r="CY24" s="50"/>
      <c r="CZ24" s="49"/>
      <c r="DA24" s="37"/>
      <c r="DB24" s="37"/>
      <c r="DC24" s="37"/>
      <c r="DD24" s="37"/>
      <c r="DE24" s="37"/>
      <c r="DF24" s="37"/>
      <c r="DG24" s="50"/>
      <c r="DH24" s="49"/>
      <c r="DI24" s="37"/>
      <c r="DJ24" s="37"/>
      <c r="DK24" s="37"/>
      <c r="DL24" s="37"/>
      <c r="DM24" s="37"/>
      <c r="DN24" s="37"/>
      <c r="DO24" s="50"/>
      <c r="DP24" s="49"/>
      <c r="DQ24" s="37"/>
      <c r="DR24" s="37"/>
      <c r="DS24" s="37"/>
      <c r="DT24" s="37"/>
      <c r="DU24" s="37"/>
      <c r="DV24" s="37"/>
      <c r="DW24" s="50"/>
      <c r="DX24" s="49"/>
      <c r="DY24" s="37"/>
      <c r="DZ24" s="37"/>
      <c r="EA24" s="37"/>
      <c r="EB24" s="37"/>
      <c r="EC24" s="37"/>
      <c r="ED24" s="37"/>
      <c r="EE24" s="50"/>
      <c r="EF24" s="49"/>
      <c r="EG24" s="37"/>
      <c r="EH24" s="37"/>
      <c r="EI24" s="37"/>
      <c r="EJ24" s="37"/>
      <c r="EK24" s="37"/>
      <c r="EL24" s="37"/>
      <c r="EM24" s="50"/>
      <c r="EN24" s="22"/>
      <c r="EO24" s="12"/>
      <c r="EP24" s="12"/>
      <c r="EQ24" s="12"/>
      <c r="ER24" s="12"/>
      <c r="ES24" s="12"/>
      <c r="ET24" s="12"/>
      <c r="EU24" s="23"/>
      <c r="EV24" s="49"/>
      <c r="EW24" s="37"/>
      <c r="EX24" s="37"/>
      <c r="EY24" s="37"/>
      <c r="EZ24" s="37"/>
      <c r="FA24" s="37"/>
      <c r="FB24" s="37"/>
      <c r="FC24" s="50"/>
      <c r="FD24" s="49"/>
      <c r="FE24" s="37"/>
      <c r="FF24" s="37"/>
      <c r="FG24" s="37"/>
      <c r="FH24" s="37"/>
      <c r="FI24" s="37"/>
      <c r="FJ24" s="37"/>
      <c r="FK24" s="50"/>
      <c r="FL24" s="37" t="s">
        <v>223</v>
      </c>
      <c r="FM24" s="37" t="s">
        <v>223</v>
      </c>
      <c r="FN24" s="37"/>
    </row>
    <row r="25" spans="1:170" x14ac:dyDescent="0.25">
      <c r="A25" s="38">
        <f>ROW(A2)</f>
        <v>2</v>
      </c>
      <c r="B25" s="37" t="s">
        <v>1155</v>
      </c>
      <c r="C25" s="37" t="s">
        <v>1151</v>
      </c>
      <c r="D25" s="48">
        <v>44831.584502314814</v>
      </c>
      <c r="E25" s="37" t="s">
        <v>821</v>
      </c>
      <c r="F25" s="37" t="s">
        <v>840</v>
      </c>
      <c r="G25" s="37" t="s">
        <v>785</v>
      </c>
      <c r="H25" s="49" t="s">
        <v>1153</v>
      </c>
      <c r="I25" s="37" t="s">
        <v>1152</v>
      </c>
      <c r="J25" s="37" t="s">
        <v>221</v>
      </c>
      <c r="K25" s="37">
        <v>8</v>
      </c>
      <c r="L25" s="37"/>
      <c r="M25" s="37"/>
      <c r="N25" s="37" t="s">
        <v>223</v>
      </c>
      <c r="O25" s="50" t="s">
        <v>1154</v>
      </c>
      <c r="P25" s="49"/>
      <c r="Q25" s="37"/>
      <c r="R25" s="37"/>
      <c r="S25" s="37"/>
      <c r="T25" s="37"/>
      <c r="U25" s="37"/>
      <c r="V25" s="37"/>
      <c r="W25" s="50"/>
      <c r="X25" s="49"/>
      <c r="Y25" s="37"/>
      <c r="Z25" s="37"/>
      <c r="AA25" s="37"/>
      <c r="AB25" s="37"/>
      <c r="AC25" s="37"/>
      <c r="AD25" s="37"/>
      <c r="AE25" s="50"/>
      <c r="AF25" s="49"/>
      <c r="AG25" s="37"/>
      <c r="AH25" s="37"/>
      <c r="AI25" s="37"/>
      <c r="AJ25" s="37"/>
      <c r="AK25" s="37"/>
      <c r="AL25" s="37"/>
      <c r="AM25" s="50"/>
      <c r="AN25" s="49"/>
      <c r="AO25" s="37"/>
      <c r="AP25" s="37"/>
      <c r="AQ25" s="37"/>
      <c r="AR25" s="37"/>
      <c r="AS25" s="37"/>
      <c r="AT25" s="37"/>
      <c r="AU25" s="50"/>
      <c r="AV25" s="49"/>
      <c r="AW25" s="37"/>
      <c r="AX25" s="37"/>
      <c r="AY25" s="37"/>
      <c r="AZ25" s="37"/>
      <c r="BA25" s="37"/>
      <c r="BB25" s="37"/>
      <c r="BC25" s="50"/>
      <c r="BD25" s="49"/>
      <c r="BE25" s="37"/>
      <c r="BF25" s="37"/>
      <c r="BG25" s="37"/>
      <c r="BH25" s="37"/>
      <c r="BI25" s="37"/>
      <c r="BJ25" s="37"/>
      <c r="BK25" s="50"/>
      <c r="BL25" s="49"/>
      <c r="BM25" s="37"/>
      <c r="BN25" s="37"/>
      <c r="BO25" s="37"/>
      <c r="BP25" s="37"/>
      <c r="BQ25" s="37"/>
      <c r="BR25" s="37"/>
      <c r="BS25" s="50"/>
      <c r="BT25" s="49"/>
      <c r="BU25" s="37"/>
      <c r="BV25" s="37"/>
      <c r="BW25" s="37"/>
      <c r="BX25" s="37"/>
      <c r="BY25" s="37"/>
      <c r="BZ25" s="37"/>
      <c r="CA25" s="50"/>
      <c r="CB25" s="49"/>
      <c r="CC25" s="37"/>
      <c r="CD25" s="37"/>
      <c r="CE25" s="37"/>
      <c r="CF25" s="37"/>
      <c r="CG25" s="37"/>
      <c r="CH25" s="37"/>
      <c r="CI25" s="50"/>
      <c r="CJ25" s="49"/>
      <c r="CK25" s="37"/>
      <c r="CL25" s="37"/>
      <c r="CM25" s="37"/>
      <c r="CN25" s="37"/>
      <c r="CO25" s="37"/>
      <c r="CP25" s="37"/>
      <c r="CQ25" s="50"/>
      <c r="CR25" s="49"/>
      <c r="CS25" s="37"/>
      <c r="CT25" s="37"/>
      <c r="CU25" s="37"/>
      <c r="CV25" s="37"/>
      <c r="CW25" s="37"/>
      <c r="CX25" s="37"/>
      <c r="CY25" s="50"/>
      <c r="CZ25" s="49"/>
      <c r="DA25" s="37"/>
      <c r="DB25" s="37"/>
      <c r="DC25" s="37"/>
      <c r="DD25" s="37"/>
      <c r="DE25" s="37"/>
      <c r="DF25" s="37"/>
      <c r="DG25" s="50"/>
      <c r="DH25" s="49"/>
      <c r="DI25" s="37"/>
      <c r="DJ25" s="37"/>
      <c r="DK25" s="37"/>
      <c r="DL25" s="37"/>
      <c r="DM25" s="37"/>
      <c r="DN25" s="37"/>
      <c r="DO25" s="50"/>
      <c r="DP25" s="49"/>
      <c r="DQ25" s="37"/>
      <c r="DR25" s="37"/>
      <c r="DS25" s="37"/>
      <c r="DT25" s="37"/>
      <c r="DU25" s="37"/>
      <c r="DV25" s="37"/>
      <c r="DW25" s="50"/>
      <c r="DX25" s="49"/>
      <c r="DY25" s="37"/>
      <c r="DZ25" s="37"/>
      <c r="EA25" s="37"/>
      <c r="EB25" s="37"/>
      <c r="EC25" s="37"/>
      <c r="ED25" s="37"/>
      <c r="EE25" s="50"/>
      <c r="EF25" s="49"/>
      <c r="EG25" s="37"/>
      <c r="EH25" s="37"/>
      <c r="EI25" s="37"/>
      <c r="EJ25" s="37"/>
      <c r="EK25" s="37"/>
      <c r="EL25" s="37"/>
      <c r="EM25" s="50"/>
      <c r="EN25" s="22"/>
      <c r="EO25" s="12"/>
      <c r="EP25" s="12"/>
      <c r="EQ25" s="12"/>
      <c r="ER25" s="12"/>
      <c r="ES25" s="12"/>
      <c r="ET25" s="12"/>
      <c r="EU25" s="23"/>
      <c r="EV25" s="49"/>
      <c r="EW25" s="37"/>
      <c r="EX25" s="37"/>
      <c r="EY25" s="37"/>
      <c r="EZ25" s="37"/>
      <c r="FA25" s="37"/>
      <c r="FB25" s="37"/>
      <c r="FC25" s="50"/>
      <c r="FD25" s="49"/>
      <c r="FE25" s="37"/>
      <c r="FF25" s="37"/>
      <c r="FG25" s="37"/>
      <c r="FH25" s="37"/>
      <c r="FI25" s="37"/>
      <c r="FJ25" s="37"/>
      <c r="FK25" s="50"/>
      <c r="FL25" s="37" t="s">
        <v>629</v>
      </c>
      <c r="FM25" s="37" t="s">
        <v>629</v>
      </c>
      <c r="FN25" s="37"/>
    </row>
    <row r="26" spans="1:170" x14ac:dyDescent="0.25">
      <c r="A26" s="38">
        <f>ROW(A2)</f>
        <v>2</v>
      </c>
      <c r="B26" s="37" t="s">
        <v>1150</v>
      </c>
      <c r="C26" s="37" t="s">
        <v>1151</v>
      </c>
      <c r="D26" s="48">
        <v>44831.579259259262</v>
      </c>
      <c r="E26" s="37" t="s">
        <v>821</v>
      </c>
      <c r="F26" s="37" t="s">
        <v>840</v>
      </c>
      <c r="G26" s="37" t="s">
        <v>785</v>
      </c>
      <c r="H26" s="49" t="s">
        <v>1148</v>
      </c>
      <c r="I26" s="37" t="s">
        <v>1147</v>
      </c>
      <c r="J26" s="37" t="s">
        <v>221</v>
      </c>
      <c r="K26" s="37">
        <v>1</v>
      </c>
      <c r="L26" s="37"/>
      <c r="M26" s="37"/>
      <c r="N26" s="37" t="s">
        <v>223</v>
      </c>
      <c r="O26" s="50" t="s">
        <v>1149</v>
      </c>
      <c r="P26" s="49"/>
      <c r="Q26" s="37"/>
      <c r="R26" s="37"/>
      <c r="S26" s="37"/>
      <c r="T26" s="37"/>
      <c r="U26" s="37"/>
      <c r="V26" s="37"/>
      <c r="W26" s="50"/>
      <c r="X26" s="49"/>
      <c r="Y26" s="37"/>
      <c r="Z26" s="37"/>
      <c r="AA26" s="37"/>
      <c r="AB26" s="37"/>
      <c r="AC26" s="37"/>
      <c r="AD26" s="37"/>
      <c r="AE26" s="50"/>
      <c r="AF26" s="49"/>
      <c r="AG26" s="37"/>
      <c r="AH26" s="37"/>
      <c r="AI26" s="37"/>
      <c r="AJ26" s="37"/>
      <c r="AK26" s="37"/>
      <c r="AL26" s="37"/>
      <c r="AM26" s="50"/>
      <c r="AN26" s="49"/>
      <c r="AO26" s="37"/>
      <c r="AP26" s="37"/>
      <c r="AQ26" s="37"/>
      <c r="AR26" s="37"/>
      <c r="AS26" s="37"/>
      <c r="AT26" s="37"/>
      <c r="AU26" s="50"/>
      <c r="AV26" s="49"/>
      <c r="AW26" s="37"/>
      <c r="AX26" s="37"/>
      <c r="AY26" s="37"/>
      <c r="AZ26" s="37"/>
      <c r="BA26" s="37"/>
      <c r="BB26" s="37"/>
      <c r="BC26" s="50"/>
      <c r="BD26" s="49"/>
      <c r="BE26" s="37"/>
      <c r="BF26" s="37"/>
      <c r="BG26" s="37"/>
      <c r="BH26" s="37"/>
      <c r="BI26" s="37"/>
      <c r="BJ26" s="37"/>
      <c r="BK26" s="50"/>
      <c r="BL26" s="49"/>
      <c r="BM26" s="37"/>
      <c r="BN26" s="37"/>
      <c r="BO26" s="37"/>
      <c r="BP26" s="37"/>
      <c r="BQ26" s="37"/>
      <c r="BR26" s="37"/>
      <c r="BS26" s="50"/>
      <c r="BT26" s="49"/>
      <c r="BU26" s="37"/>
      <c r="BV26" s="37"/>
      <c r="BW26" s="37"/>
      <c r="BX26" s="37"/>
      <c r="BY26" s="37"/>
      <c r="BZ26" s="37"/>
      <c r="CA26" s="50"/>
      <c r="CB26" s="49"/>
      <c r="CC26" s="37"/>
      <c r="CD26" s="37"/>
      <c r="CE26" s="37"/>
      <c r="CF26" s="37"/>
      <c r="CG26" s="37"/>
      <c r="CH26" s="37"/>
      <c r="CI26" s="50"/>
      <c r="CJ26" s="49"/>
      <c r="CK26" s="37"/>
      <c r="CL26" s="37"/>
      <c r="CM26" s="37"/>
      <c r="CN26" s="37"/>
      <c r="CO26" s="37"/>
      <c r="CP26" s="37"/>
      <c r="CQ26" s="50"/>
      <c r="CR26" s="49"/>
      <c r="CS26" s="37"/>
      <c r="CT26" s="37"/>
      <c r="CU26" s="37"/>
      <c r="CV26" s="37"/>
      <c r="CW26" s="37"/>
      <c r="CX26" s="37"/>
      <c r="CY26" s="50"/>
      <c r="CZ26" s="49"/>
      <c r="DA26" s="37"/>
      <c r="DB26" s="37"/>
      <c r="DC26" s="37"/>
      <c r="DD26" s="37"/>
      <c r="DE26" s="37"/>
      <c r="DF26" s="37"/>
      <c r="DG26" s="50"/>
      <c r="DH26" s="49"/>
      <c r="DI26" s="37"/>
      <c r="DJ26" s="37"/>
      <c r="DK26" s="37"/>
      <c r="DL26" s="37"/>
      <c r="DM26" s="37"/>
      <c r="DN26" s="37"/>
      <c r="DO26" s="50"/>
      <c r="DP26" s="49"/>
      <c r="DQ26" s="37"/>
      <c r="DR26" s="37"/>
      <c r="DS26" s="37"/>
      <c r="DT26" s="37"/>
      <c r="DU26" s="37"/>
      <c r="DV26" s="37"/>
      <c r="DW26" s="50"/>
      <c r="DX26" s="49"/>
      <c r="DY26" s="37"/>
      <c r="DZ26" s="37"/>
      <c r="EA26" s="37"/>
      <c r="EB26" s="37"/>
      <c r="EC26" s="37"/>
      <c r="ED26" s="37"/>
      <c r="EE26" s="50"/>
      <c r="EF26" s="49"/>
      <c r="EG26" s="37"/>
      <c r="EH26" s="37"/>
      <c r="EI26" s="37"/>
      <c r="EJ26" s="37"/>
      <c r="EK26" s="37"/>
      <c r="EL26" s="37"/>
      <c r="EM26" s="50"/>
      <c r="EN26" s="22"/>
      <c r="EO26" s="12"/>
      <c r="EP26" s="12"/>
      <c r="EQ26" s="12"/>
      <c r="ER26" s="12"/>
      <c r="ES26" s="12"/>
      <c r="ET26" s="12"/>
      <c r="EU26" s="23"/>
      <c r="EV26" s="49"/>
      <c r="EW26" s="37"/>
      <c r="EX26" s="37"/>
      <c r="EY26" s="37"/>
      <c r="EZ26" s="37"/>
      <c r="FA26" s="37"/>
      <c r="FB26" s="37"/>
      <c r="FC26" s="50"/>
      <c r="FD26" s="49"/>
      <c r="FE26" s="37"/>
      <c r="FF26" s="37"/>
      <c r="FG26" s="37"/>
      <c r="FH26" s="37"/>
      <c r="FI26" s="37"/>
      <c r="FJ26" s="37"/>
      <c r="FK26" s="50"/>
      <c r="FL26" s="37" t="s">
        <v>629</v>
      </c>
      <c r="FM26" s="37" t="s">
        <v>629</v>
      </c>
      <c r="FN26" s="37"/>
    </row>
    <row r="27" spans="1:170" x14ac:dyDescent="0.25">
      <c r="A27" s="38">
        <f>ROW(A2)</f>
        <v>2</v>
      </c>
      <c r="B27" s="37" t="s">
        <v>1140</v>
      </c>
      <c r="C27" s="37" t="s">
        <v>1141</v>
      </c>
      <c r="D27" s="48">
        <v>44831.570902777778</v>
      </c>
      <c r="E27" s="37" t="s">
        <v>783</v>
      </c>
      <c r="F27" s="37" t="s">
        <v>895</v>
      </c>
      <c r="G27" s="37" t="s">
        <v>785</v>
      </c>
      <c r="H27" s="49" t="s">
        <v>643</v>
      </c>
      <c r="I27" s="37" t="s">
        <v>642</v>
      </c>
      <c r="J27" s="37" t="s">
        <v>221</v>
      </c>
      <c r="K27" s="37">
        <v>10</v>
      </c>
      <c r="L27" s="37"/>
      <c r="M27" s="37"/>
      <c r="N27" s="37" t="s">
        <v>976</v>
      </c>
      <c r="O27" s="50" t="s">
        <v>1139</v>
      </c>
      <c r="P27" s="49" t="s">
        <v>1132</v>
      </c>
      <c r="Q27" s="37" t="s">
        <v>1131</v>
      </c>
      <c r="R27" s="37" t="s">
        <v>221</v>
      </c>
      <c r="S27" s="37">
        <v>6</v>
      </c>
      <c r="T27" s="37"/>
      <c r="U27" s="37"/>
      <c r="V27" s="37" t="s">
        <v>32</v>
      </c>
      <c r="W27" s="50" t="s">
        <v>1142</v>
      </c>
      <c r="X27" s="49" t="s">
        <v>1134</v>
      </c>
      <c r="Y27" s="37" t="s">
        <v>1133</v>
      </c>
      <c r="Z27" s="37" t="s">
        <v>221</v>
      </c>
      <c r="AA27" s="37">
        <v>1</v>
      </c>
      <c r="AB27" s="37"/>
      <c r="AC27" s="37"/>
      <c r="AD27" s="37" t="s">
        <v>32</v>
      </c>
      <c r="AE27" s="50" t="s">
        <v>1143</v>
      </c>
      <c r="AF27" s="49" t="s">
        <v>663</v>
      </c>
      <c r="AG27" s="37" t="s">
        <v>662</v>
      </c>
      <c r="AH27" s="37" t="s">
        <v>570</v>
      </c>
      <c r="AI27" s="37">
        <v>2</v>
      </c>
      <c r="AJ27" s="37"/>
      <c r="AK27" s="37"/>
      <c r="AL27" s="37" t="s">
        <v>223</v>
      </c>
      <c r="AM27" s="50" t="s">
        <v>1144</v>
      </c>
      <c r="AN27" s="49" t="s">
        <v>1136</v>
      </c>
      <c r="AO27" s="37" t="s">
        <v>1135</v>
      </c>
      <c r="AP27" s="37" t="s">
        <v>221</v>
      </c>
      <c r="AQ27" s="37">
        <v>1</v>
      </c>
      <c r="AR27" s="37"/>
      <c r="AS27" s="37"/>
      <c r="AT27" s="37" t="s">
        <v>32</v>
      </c>
      <c r="AU27" s="50" t="s">
        <v>1144</v>
      </c>
      <c r="AV27" s="49" t="s">
        <v>1138</v>
      </c>
      <c r="AW27" s="37" t="s">
        <v>1137</v>
      </c>
      <c r="AX27" s="37" t="s">
        <v>570</v>
      </c>
      <c r="AY27" s="37">
        <v>1</v>
      </c>
      <c r="AZ27" s="37"/>
      <c r="BA27" s="37"/>
      <c r="BB27" s="37" t="s">
        <v>32</v>
      </c>
      <c r="BC27" s="50" t="s">
        <v>1144</v>
      </c>
      <c r="BD27" s="49" t="s">
        <v>424</v>
      </c>
      <c r="BE27" s="37" t="s">
        <v>423</v>
      </c>
      <c r="BF27" s="37" t="s">
        <v>221</v>
      </c>
      <c r="BG27" s="37">
        <v>1</v>
      </c>
      <c r="BH27" s="37"/>
      <c r="BI27" s="37"/>
      <c r="BJ27" s="37" t="s">
        <v>223</v>
      </c>
      <c r="BK27" s="50" t="s">
        <v>1145</v>
      </c>
      <c r="BL27" s="49"/>
      <c r="BM27" s="37"/>
      <c r="BN27" s="37"/>
      <c r="BO27" s="37"/>
      <c r="BP27" s="37"/>
      <c r="BQ27" s="37"/>
      <c r="BR27" s="37"/>
      <c r="BS27" s="50"/>
      <c r="BT27" s="49"/>
      <c r="BU27" s="37"/>
      <c r="BV27" s="37"/>
      <c r="BW27" s="37"/>
      <c r="BX27" s="37"/>
      <c r="BY27" s="37"/>
      <c r="BZ27" s="37"/>
      <c r="CA27" s="50"/>
      <c r="CB27" s="49"/>
      <c r="CC27" s="37"/>
      <c r="CD27" s="37"/>
      <c r="CE27" s="37"/>
      <c r="CF27" s="37"/>
      <c r="CG27" s="37"/>
      <c r="CH27" s="37"/>
      <c r="CI27" s="50"/>
      <c r="CJ27" s="49"/>
      <c r="CK27" s="37"/>
      <c r="CL27" s="37"/>
      <c r="CM27" s="37"/>
      <c r="CN27" s="37"/>
      <c r="CO27" s="37"/>
      <c r="CP27" s="37"/>
      <c r="CQ27" s="50"/>
      <c r="CR27" s="49"/>
      <c r="CS27" s="37"/>
      <c r="CT27" s="37"/>
      <c r="CU27" s="37"/>
      <c r="CV27" s="37"/>
      <c r="CW27" s="37"/>
      <c r="CX27" s="37"/>
      <c r="CY27" s="50"/>
      <c r="CZ27" s="49"/>
      <c r="DA27" s="37"/>
      <c r="DB27" s="37"/>
      <c r="DC27" s="37"/>
      <c r="DD27" s="37"/>
      <c r="DE27" s="37"/>
      <c r="DF27" s="37"/>
      <c r="DG27" s="50"/>
      <c r="DH27" s="49"/>
      <c r="DI27" s="37"/>
      <c r="DJ27" s="37"/>
      <c r="DK27" s="37"/>
      <c r="DL27" s="37"/>
      <c r="DM27" s="37"/>
      <c r="DN27" s="37"/>
      <c r="DO27" s="50"/>
      <c r="DP27" s="49"/>
      <c r="DQ27" s="37"/>
      <c r="DR27" s="37"/>
      <c r="DS27" s="37"/>
      <c r="DT27" s="37"/>
      <c r="DU27" s="37"/>
      <c r="DV27" s="37"/>
      <c r="DW27" s="50"/>
      <c r="DX27" s="49"/>
      <c r="DY27" s="37"/>
      <c r="DZ27" s="37"/>
      <c r="EA27" s="37"/>
      <c r="EB27" s="37"/>
      <c r="EC27" s="37"/>
      <c r="ED27" s="37"/>
      <c r="EE27" s="50"/>
      <c r="EF27" s="49"/>
      <c r="EG27" s="37"/>
      <c r="EH27" s="37"/>
      <c r="EI27" s="37"/>
      <c r="EJ27" s="37"/>
      <c r="EK27" s="37"/>
      <c r="EL27" s="37"/>
      <c r="EM27" s="50"/>
      <c r="EN27" s="22"/>
      <c r="EO27" s="12"/>
      <c r="EP27" s="12"/>
      <c r="EQ27" s="12"/>
      <c r="ER27" s="12"/>
      <c r="ES27" s="12"/>
      <c r="ET27" s="12"/>
      <c r="EU27" s="23"/>
      <c r="EV27" s="49"/>
      <c r="EW27" s="37"/>
      <c r="EX27" s="37"/>
      <c r="EY27" s="37"/>
      <c r="EZ27" s="37"/>
      <c r="FA27" s="37"/>
      <c r="FB27" s="37"/>
      <c r="FC27" s="50"/>
      <c r="FD27" s="49"/>
      <c r="FE27" s="37"/>
      <c r="FF27" s="37"/>
      <c r="FG27" s="37"/>
      <c r="FH27" s="37"/>
      <c r="FI27" s="37"/>
      <c r="FJ27" s="37"/>
      <c r="FK27" s="50"/>
      <c r="FL27" s="37" t="s">
        <v>629</v>
      </c>
      <c r="FM27" s="37" t="s">
        <v>629</v>
      </c>
      <c r="FN27" s="37"/>
    </row>
    <row r="28" spans="1:170" x14ac:dyDescent="0.25">
      <c r="A28" s="38">
        <f>ROW(A2)</f>
        <v>2</v>
      </c>
      <c r="B28" s="37" t="s">
        <v>1130</v>
      </c>
      <c r="C28" s="37" t="s">
        <v>923</v>
      </c>
      <c r="D28" s="48">
        <v>44831.410300925927</v>
      </c>
      <c r="E28" s="37" t="s">
        <v>918</v>
      </c>
      <c r="F28" s="37" t="s">
        <v>918</v>
      </c>
      <c r="G28" s="37" t="s">
        <v>785</v>
      </c>
      <c r="H28" s="49" t="s">
        <v>1094</v>
      </c>
      <c r="I28" s="37" t="s">
        <v>1093</v>
      </c>
      <c r="J28" s="37" t="s">
        <v>221</v>
      </c>
      <c r="K28" s="37">
        <v>1</v>
      </c>
      <c r="L28" s="37"/>
      <c r="M28" s="37"/>
      <c r="N28" s="37" t="s">
        <v>223</v>
      </c>
      <c r="O28" s="50" t="s">
        <v>281</v>
      </c>
      <c r="P28" s="49" t="s">
        <v>1096</v>
      </c>
      <c r="Q28" s="37" t="s">
        <v>1095</v>
      </c>
      <c r="R28" s="37" t="s">
        <v>221</v>
      </c>
      <c r="S28" s="37">
        <v>1</v>
      </c>
      <c r="T28" s="37"/>
      <c r="U28" s="37"/>
      <c r="V28" s="37" t="s">
        <v>223</v>
      </c>
      <c r="W28" s="50" t="s">
        <v>281</v>
      </c>
      <c r="X28" s="49" t="s">
        <v>1099</v>
      </c>
      <c r="Y28" s="37" t="s">
        <v>1098</v>
      </c>
      <c r="Z28" s="37" t="s">
        <v>221</v>
      </c>
      <c r="AA28" s="37">
        <v>1</v>
      </c>
      <c r="AB28" s="37"/>
      <c r="AC28" s="37"/>
      <c r="AD28" s="37" t="s">
        <v>223</v>
      </c>
      <c r="AE28" s="50" t="s">
        <v>1024</v>
      </c>
      <c r="AF28" s="49" t="s">
        <v>1101</v>
      </c>
      <c r="AG28" s="37" t="s">
        <v>1100</v>
      </c>
      <c r="AH28" s="37" t="s">
        <v>221</v>
      </c>
      <c r="AI28" s="37">
        <v>1</v>
      </c>
      <c r="AJ28" s="37"/>
      <c r="AK28" s="37"/>
      <c r="AL28" s="37" t="s">
        <v>223</v>
      </c>
      <c r="AM28" s="50" t="s">
        <v>281</v>
      </c>
      <c r="AN28" s="49" t="s">
        <v>1103</v>
      </c>
      <c r="AO28" s="37" t="s">
        <v>1102</v>
      </c>
      <c r="AP28" s="37" t="s">
        <v>221</v>
      </c>
      <c r="AQ28" s="37">
        <v>1</v>
      </c>
      <c r="AR28" s="37"/>
      <c r="AS28" s="37">
        <v>4.5999999999999996</v>
      </c>
      <c r="AT28" s="37" t="s">
        <v>223</v>
      </c>
      <c r="AU28" s="50" t="s">
        <v>1024</v>
      </c>
      <c r="AV28" s="49" t="s">
        <v>1106</v>
      </c>
      <c r="AW28" s="37" t="s">
        <v>1105</v>
      </c>
      <c r="AX28" s="37" t="s">
        <v>221</v>
      </c>
      <c r="AY28" s="37">
        <v>1</v>
      </c>
      <c r="AZ28" s="37"/>
      <c r="BA28" s="37">
        <v>4.5999999999999996</v>
      </c>
      <c r="BB28" s="37" t="s">
        <v>223</v>
      </c>
      <c r="BC28" s="50" t="s">
        <v>281</v>
      </c>
      <c r="BD28" s="49" t="s">
        <v>1108</v>
      </c>
      <c r="BE28" s="37" t="s">
        <v>1107</v>
      </c>
      <c r="BF28" s="37" t="s">
        <v>221</v>
      </c>
      <c r="BG28" s="37">
        <v>1</v>
      </c>
      <c r="BH28" s="37"/>
      <c r="BI28" s="37"/>
      <c r="BJ28" s="37" t="s">
        <v>223</v>
      </c>
      <c r="BK28" s="50" t="s">
        <v>1024</v>
      </c>
      <c r="BL28" s="49" t="s">
        <v>1111</v>
      </c>
      <c r="BM28" s="37" t="s">
        <v>1110</v>
      </c>
      <c r="BN28" s="37" t="s">
        <v>221</v>
      </c>
      <c r="BO28" s="37">
        <v>1</v>
      </c>
      <c r="BP28" s="37"/>
      <c r="BQ28" s="37"/>
      <c r="BR28" s="37" t="s">
        <v>223</v>
      </c>
      <c r="BS28" s="50" t="s">
        <v>1024</v>
      </c>
      <c r="BT28" s="49" t="s">
        <v>1113</v>
      </c>
      <c r="BU28" s="37" t="s">
        <v>1112</v>
      </c>
      <c r="BV28" s="37" t="s">
        <v>221</v>
      </c>
      <c r="BW28" s="37">
        <v>1</v>
      </c>
      <c r="BX28" s="37"/>
      <c r="BY28" s="37"/>
      <c r="BZ28" s="37" t="s">
        <v>223</v>
      </c>
      <c r="CA28" s="50" t="s">
        <v>1024</v>
      </c>
      <c r="CB28" s="49" t="s">
        <v>1115</v>
      </c>
      <c r="CC28" s="37" t="s">
        <v>1114</v>
      </c>
      <c r="CD28" s="37" t="s">
        <v>221</v>
      </c>
      <c r="CE28" s="37">
        <v>2</v>
      </c>
      <c r="CF28" s="37"/>
      <c r="CG28" s="37"/>
      <c r="CH28" s="37" t="s">
        <v>223</v>
      </c>
      <c r="CI28" s="50" t="s">
        <v>1024</v>
      </c>
      <c r="CJ28" s="49" t="s">
        <v>1117</v>
      </c>
      <c r="CK28" s="37" t="s">
        <v>1116</v>
      </c>
      <c r="CL28" s="37" t="s">
        <v>221</v>
      </c>
      <c r="CM28" s="37">
        <v>1</v>
      </c>
      <c r="CN28" s="37"/>
      <c r="CO28" s="37"/>
      <c r="CP28" s="37" t="s">
        <v>223</v>
      </c>
      <c r="CQ28" s="50" t="s">
        <v>281</v>
      </c>
      <c r="CR28" s="49" t="s">
        <v>1120</v>
      </c>
      <c r="CS28" s="37" t="s">
        <v>1119</v>
      </c>
      <c r="CT28" s="37" t="s">
        <v>221</v>
      </c>
      <c r="CU28" s="37">
        <v>1</v>
      </c>
      <c r="CV28" s="37"/>
      <c r="CW28" s="37"/>
      <c r="CX28" s="37" t="s">
        <v>223</v>
      </c>
      <c r="CY28" s="50" t="s">
        <v>1024</v>
      </c>
      <c r="CZ28" s="49" t="s">
        <v>1123</v>
      </c>
      <c r="DA28" s="37" t="s">
        <v>1122</v>
      </c>
      <c r="DB28" s="37" t="s">
        <v>221</v>
      </c>
      <c r="DC28" s="37">
        <v>1</v>
      </c>
      <c r="DD28" s="37"/>
      <c r="DE28" s="37"/>
      <c r="DF28" s="37" t="s">
        <v>223</v>
      </c>
      <c r="DG28" s="50" t="s">
        <v>1024</v>
      </c>
      <c r="DH28" s="49" t="s">
        <v>1125</v>
      </c>
      <c r="DI28" s="37" t="s">
        <v>1124</v>
      </c>
      <c r="DJ28" s="37" t="s">
        <v>221</v>
      </c>
      <c r="DK28" s="37">
        <v>1</v>
      </c>
      <c r="DL28" s="37"/>
      <c r="DM28" s="37"/>
      <c r="DN28" s="37" t="s">
        <v>223</v>
      </c>
      <c r="DO28" s="50" t="s">
        <v>1024</v>
      </c>
      <c r="DP28" s="49" t="s">
        <v>1127</v>
      </c>
      <c r="DQ28" s="37" t="s">
        <v>1126</v>
      </c>
      <c r="DR28" s="37" t="s">
        <v>221</v>
      </c>
      <c r="DS28" s="37">
        <v>1</v>
      </c>
      <c r="DT28" s="37"/>
      <c r="DU28" s="37"/>
      <c r="DV28" s="37" t="s">
        <v>223</v>
      </c>
      <c r="DW28" s="50" t="s">
        <v>1024</v>
      </c>
      <c r="DX28" s="49" t="s">
        <v>1129</v>
      </c>
      <c r="DY28" s="37" t="s">
        <v>1128</v>
      </c>
      <c r="DZ28" s="37" t="s">
        <v>221</v>
      </c>
      <c r="EA28" s="37">
        <v>1</v>
      </c>
      <c r="EB28" s="37"/>
      <c r="EC28" s="37"/>
      <c r="ED28" s="37" t="s">
        <v>32</v>
      </c>
      <c r="EE28" s="50" t="s">
        <v>281</v>
      </c>
      <c r="EF28" s="49"/>
      <c r="EG28" s="37"/>
      <c r="EH28" s="37"/>
      <c r="EI28" s="37"/>
      <c r="EJ28" s="37"/>
      <c r="EK28" s="37"/>
      <c r="EL28" s="37"/>
      <c r="EM28" s="50"/>
      <c r="EN28" s="22"/>
      <c r="EO28" s="12"/>
      <c r="EP28" s="12"/>
      <c r="EQ28" s="12"/>
      <c r="ER28" s="12"/>
      <c r="ES28" s="12"/>
      <c r="ET28" s="12"/>
      <c r="EU28" s="23"/>
      <c r="EV28" s="49"/>
      <c r="EW28" s="37"/>
      <c r="EX28" s="37"/>
      <c r="EY28" s="37"/>
      <c r="EZ28" s="37"/>
      <c r="FA28" s="37"/>
      <c r="FB28" s="37"/>
      <c r="FC28" s="50"/>
      <c r="FD28" s="49"/>
      <c r="FE28" s="37"/>
      <c r="FF28" s="37"/>
      <c r="FG28" s="37"/>
      <c r="FH28" s="37"/>
      <c r="FI28" s="37"/>
      <c r="FJ28" s="37"/>
      <c r="FK28" s="50"/>
      <c r="FL28" s="37" t="s">
        <v>32</v>
      </c>
      <c r="FM28" s="37" t="s">
        <v>223</v>
      </c>
      <c r="FN28" s="37"/>
    </row>
    <row r="29" spans="1:170" x14ac:dyDescent="0.25">
      <c r="A29" s="38">
        <f>ROW(A2)</f>
        <v>2</v>
      </c>
      <c r="B29" s="37" t="s">
        <v>1088</v>
      </c>
      <c r="C29" s="37" t="s">
        <v>1089</v>
      </c>
      <c r="D29" s="48">
        <v>44830.751666666663</v>
      </c>
      <c r="E29" s="37" t="s">
        <v>784</v>
      </c>
      <c r="F29" s="37" t="s">
        <v>784</v>
      </c>
      <c r="G29" s="37" t="s">
        <v>785</v>
      </c>
      <c r="H29" s="49" t="s">
        <v>1087</v>
      </c>
      <c r="I29" s="37" t="s">
        <v>1086</v>
      </c>
      <c r="J29" s="37" t="s">
        <v>221</v>
      </c>
      <c r="K29" s="37">
        <v>4</v>
      </c>
      <c r="L29" s="37">
        <v>0.67500000000000004</v>
      </c>
      <c r="M29" s="37">
        <v>3.2749999999999999</v>
      </c>
      <c r="N29" s="37" t="s">
        <v>223</v>
      </c>
      <c r="O29" s="50"/>
      <c r="P29" s="49" t="s">
        <v>1087</v>
      </c>
      <c r="Q29" s="37" t="s">
        <v>1086</v>
      </c>
      <c r="R29" s="37" t="s">
        <v>221</v>
      </c>
      <c r="S29" s="37">
        <v>4</v>
      </c>
      <c r="T29" s="37">
        <v>0.72499999999999998</v>
      </c>
      <c r="U29" s="37">
        <v>3.335</v>
      </c>
      <c r="V29" s="37" t="s">
        <v>223</v>
      </c>
      <c r="W29" s="50" t="s">
        <v>223</v>
      </c>
      <c r="X29" s="49" t="s">
        <v>1087</v>
      </c>
      <c r="Y29" s="37" t="s">
        <v>1086</v>
      </c>
      <c r="Z29" s="37" t="s">
        <v>221</v>
      </c>
      <c r="AA29" s="37">
        <v>4</v>
      </c>
      <c r="AB29" s="37">
        <v>0.72499999999999998</v>
      </c>
      <c r="AC29" s="37">
        <v>3.34</v>
      </c>
      <c r="AD29" s="37" t="s">
        <v>223</v>
      </c>
      <c r="AE29" s="50" t="s">
        <v>223</v>
      </c>
      <c r="AF29" s="49" t="s">
        <v>1087</v>
      </c>
      <c r="AG29" s="37" t="s">
        <v>1086</v>
      </c>
      <c r="AH29" s="37" t="s">
        <v>221</v>
      </c>
      <c r="AI29" s="37">
        <v>4</v>
      </c>
      <c r="AJ29" s="37">
        <v>0.73499999999999999</v>
      </c>
      <c r="AK29" s="37">
        <v>3.3149999999999999</v>
      </c>
      <c r="AL29" s="37" t="s">
        <v>223</v>
      </c>
      <c r="AM29" s="50" t="s">
        <v>223</v>
      </c>
      <c r="AN29" s="49"/>
      <c r="AO29" s="37"/>
      <c r="AP29" s="37"/>
      <c r="AQ29" s="37"/>
      <c r="AR29" s="37"/>
      <c r="AS29" s="37"/>
      <c r="AT29" s="37"/>
      <c r="AU29" s="50"/>
      <c r="AV29" s="49"/>
      <c r="AW29" s="37"/>
      <c r="AX29" s="37"/>
      <c r="AY29" s="37"/>
      <c r="AZ29" s="37"/>
      <c r="BA29" s="37"/>
      <c r="BB29" s="37"/>
      <c r="BC29" s="50"/>
      <c r="BD29" s="49"/>
      <c r="BE29" s="37"/>
      <c r="BF29" s="37"/>
      <c r="BG29" s="37"/>
      <c r="BH29" s="37"/>
      <c r="BI29" s="37"/>
      <c r="BJ29" s="37"/>
      <c r="BK29" s="50"/>
      <c r="BL29" s="49"/>
      <c r="BM29" s="37"/>
      <c r="BN29" s="37"/>
      <c r="BO29" s="37"/>
      <c r="BP29" s="37"/>
      <c r="BQ29" s="37"/>
      <c r="BR29" s="37"/>
      <c r="BS29" s="50"/>
      <c r="BT29" s="49"/>
      <c r="BU29" s="37"/>
      <c r="BV29" s="37"/>
      <c r="BW29" s="37"/>
      <c r="BX29" s="37"/>
      <c r="BY29" s="37"/>
      <c r="BZ29" s="37"/>
      <c r="CA29" s="50"/>
      <c r="CB29" s="49"/>
      <c r="CC29" s="37"/>
      <c r="CD29" s="37"/>
      <c r="CE29" s="37"/>
      <c r="CF29" s="37"/>
      <c r="CG29" s="37"/>
      <c r="CH29" s="37"/>
      <c r="CI29" s="50"/>
      <c r="CJ29" s="49"/>
      <c r="CK29" s="37"/>
      <c r="CL29" s="37"/>
      <c r="CM29" s="37"/>
      <c r="CN29" s="37"/>
      <c r="CO29" s="37"/>
      <c r="CP29" s="37"/>
      <c r="CQ29" s="50"/>
      <c r="CR29" s="49"/>
      <c r="CS29" s="37"/>
      <c r="CT29" s="37"/>
      <c r="CU29" s="37"/>
      <c r="CV29" s="37"/>
      <c r="CW29" s="37"/>
      <c r="CX29" s="37"/>
      <c r="CY29" s="50"/>
      <c r="CZ29" s="49"/>
      <c r="DA29" s="37"/>
      <c r="DB29" s="37"/>
      <c r="DC29" s="37"/>
      <c r="DD29" s="37"/>
      <c r="DE29" s="37"/>
      <c r="DF29" s="37"/>
      <c r="DG29" s="50"/>
      <c r="DH29" s="49"/>
      <c r="DI29" s="37"/>
      <c r="DJ29" s="37"/>
      <c r="DK29" s="37"/>
      <c r="DL29" s="37"/>
      <c r="DM29" s="37"/>
      <c r="DN29" s="37"/>
      <c r="DO29" s="50"/>
      <c r="DP29" s="49"/>
      <c r="DQ29" s="37"/>
      <c r="DR29" s="37"/>
      <c r="DS29" s="37"/>
      <c r="DT29" s="37"/>
      <c r="DU29" s="37"/>
      <c r="DV29" s="37"/>
      <c r="DW29" s="50"/>
      <c r="DX29" s="49"/>
      <c r="DY29" s="37"/>
      <c r="DZ29" s="37"/>
      <c r="EA29" s="37"/>
      <c r="EB29" s="37"/>
      <c r="EC29" s="37"/>
      <c r="ED29" s="37"/>
      <c r="EE29" s="50"/>
      <c r="EF29" s="49"/>
      <c r="EG29" s="37"/>
      <c r="EH29" s="37"/>
      <c r="EI29" s="37"/>
      <c r="EJ29" s="37"/>
      <c r="EK29" s="37"/>
      <c r="EL29" s="37"/>
      <c r="EM29" s="50"/>
      <c r="EN29" s="22"/>
      <c r="EO29" s="12"/>
      <c r="EP29" s="12"/>
      <c r="EQ29" s="12"/>
      <c r="ER29" s="12"/>
      <c r="ES29" s="12"/>
      <c r="ET29" s="12"/>
      <c r="EU29" s="23"/>
      <c r="EV29" s="49"/>
      <c r="EW29" s="37"/>
      <c r="EX29" s="37"/>
      <c r="EY29" s="37"/>
      <c r="EZ29" s="37"/>
      <c r="FA29" s="37"/>
      <c r="FB29" s="37"/>
      <c r="FC29" s="50"/>
      <c r="FD29" s="49"/>
      <c r="FE29" s="37"/>
      <c r="FF29" s="37"/>
      <c r="FG29" s="37"/>
      <c r="FH29" s="37"/>
      <c r="FI29" s="37"/>
      <c r="FJ29" s="37"/>
      <c r="FK29" s="50"/>
      <c r="FL29" s="37" t="s">
        <v>223</v>
      </c>
      <c r="FM29" s="37" t="s">
        <v>223</v>
      </c>
      <c r="FN29" s="37"/>
    </row>
    <row r="30" spans="1:170" x14ac:dyDescent="0.25">
      <c r="A30" s="38">
        <f>ROW(A2)</f>
        <v>2</v>
      </c>
      <c r="B30" s="37" t="s">
        <v>1082</v>
      </c>
      <c r="C30" s="37" t="s">
        <v>823</v>
      </c>
      <c r="D30" s="48">
        <v>44830.742013888892</v>
      </c>
      <c r="E30" s="37" t="s">
        <v>830</v>
      </c>
      <c r="F30" s="37" t="s">
        <v>784</v>
      </c>
      <c r="G30" s="37" t="s">
        <v>785</v>
      </c>
      <c r="H30" s="49" t="s">
        <v>1080</v>
      </c>
      <c r="I30" s="37" t="s">
        <v>1079</v>
      </c>
      <c r="J30" s="37" t="s">
        <v>221</v>
      </c>
      <c r="K30" s="37">
        <v>3</v>
      </c>
      <c r="L30" s="37"/>
      <c r="M30" s="37"/>
      <c r="N30" s="37" t="s">
        <v>976</v>
      </c>
      <c r="O30" s="50" t="s">
        <v>223</v>
      </c>
      <c r="P30" s="49" t="s">
        <v>663</v>
      </c>
      <c r="Q30" s="37" t="s">
        <v>662</v>
      </c>
      <c r="R30" s="37" t="s">
        <v>570</v>
      </c>
      <c r="S30" s="37">
        <v>500</v>
      </c>
      <c r="T30" s="37"/>
      <c r="U30" s="37"/>
      <c r="V30" s="37" t="s">
        <v>223</v>
      </c>
      <c r="W30" s="50" t="s">
        <v>223</v>
      </c>
      <c r="X30" s="49" t="s">
        <v>447</v>
      </c>
      <c r="Y30" s="37" t="s">
        <v>446</v>
      </c>
      <c r="Z30" s="37" t="s">
        <v>448</v>
      </c>
      <c r="AA30" s="37">
        <v>500</v>
      </c>
      <c r="AB30" s="37"/>
      <c r="AC30" s="37"/>
      <c r="AD30" s="37" t="s">
        <v>223</v>
      </c>
      <c r="AE30" s="50" t="s">
        <v>223</v>
      </c>
      <c r="AF30" s="49"/>
      <c r="AG30" s="37"/>
      <c r="AH30" s="37"/>
      <c r="AI30" s="37"/>
      <c r="AJ30" s="37"/>
      <c r="AK30" s="37"/>
      <c r="AL30" s="37"/>
      <c r="AM30" s="50"/>
      <c r="AN30" s="49"/>
      <c r="AO30" s="37"/>
      <c r="AP30" s="37"/>
      <c r="AQ30" s="37"/>
      <c r="AR30" s="37"/>
      <c r="AS30" s="37"/>
      <c r="AT30" s="37"/>
      <c r="AU30" s="50"/>
      <c r="AV30" s="49"/>
      <c r="AW30" s="37"/>
      <c r="AX30" s="37"/>
      <c r="AY30" s="37"/>
      <c r="AZ30" s="37"/>
      <c r="BA30" s="37"/>
      <c r="BB30" s="37"/>
      <c r="BC30" s="50"/>
      <c r="BD30" s="49"/>
      <c r="BE30" s="37"/>
      <c r="BF30" s="37"/>
      <c r="BG30" s="37"/>
      <c r="BH30" s="37"/>
      <c r="BI30" s="37"/>
      <c r="BJ30" s="37"/>
      <c r="BK30" s="50"/>
      <c r="BL30" s="49"/>
      <c r="BM30" s="37"/>
      <c r="BN30" s="37"/>
      <c r="BO30" s="37"/>
      <c r="BP30" s="37"/>
      <c r="BQ30" s="37"/>
      <c r="BR30" s="37"/>
      <c r="BS30" s="50"/>
      <c r="BT30" s="49"/>
      <c r="BU30" s="37"/>
      <c r="BV30" s="37"/>
      <c r="BW30" s="37"/>
      <c r="BX30" s="37"/>
      <c r="BY30" s="37"/>
      <c r="BZ30" s="37"/>
      <c r="CA30" s="50"/>
      <c r="CB30" s="49"/>
      <c r="CC30" s="37"/>
      <c r="CD30" s="37"/>
      <c r="CE30" s="37"/>
      <c r="CF30" s="37"/>
      <c r="CG30" s="37"/>
      <c r="CH30" s="37"/>
      <c r="CI30" s="50"/>
      <c r="CJ30" s="49"/>
      <c r="CK30" s="37"/>
      <c r="CL30" s="37"/>
      <c r="CM30" s="37"/>
      <c r="CN30" s="37"/>
      <c r="CO30" s="37"/>
      <c r="CP30" s="37"/>
      <c r="CQ30" s="50"/>
      <c r="CR30" s="49"/>
      <c r="CS30" s="37"/>
      <c r="CT30" s="37"/>
      <c r="CU30" s="37"/>
      <c r="CV30" s="37"/>
      <c r="CW30" s="37"/>
      <c r="CX30" s="37"/>
      <c r="CY30" s="50"/>
      <c r="CZ30" s="49"/>
      <c r="DA30" s="37"/>
      <c r="DB30" s="37"/>
      <c r="DC30" s="37"/>
      <c r="DD30" s="37"/>
      <c r="DE30" s="37"/>
      <c r="DF30" s="37"/>
      <c r="DG30" s="50"/>
      <c r="DH30" s="49"/>
      <c r="DI30" s="37"/>
      <c r="DJ30" s="37"/>
      <c r="DK30" s="37"/>
      <c r="DL30" s="37"/>
      <c r="DM30" s="37"/>
      <c r="DN30" s="37"/>
      <c r="DO30" s="50"/>
      <c r="DP30" s="49"/>
      <c r="DQ30" s="37"/>
      <c r="DR30" s="37"/>
      <c r="DS30" s="37"/>
      <c r="DT30" s="37"/>
      <c r="DU30" s="37"/>
      <c r="DV30" s="37"/>
      <c r="DW30" s="50"/>
      <c r="DX30" s="49"/>
      <c r="DY30" s="37"/>
      <c r="DZ30" s="37"/>
      <c r="EA30" s="37"/>
      <c r="EB30" s="37"/>
      <c r="EC30" s="37"/>
      <c r="ED30" s="37"/>
      <c r="EE30" s="50"/>
      <c r="EF30" s="49"/>
      <c r="EG30" s="37"/>
      <c r="EH30" s="37"/>
      <c r="EI30" s="37"/>
      <c r="EJ30" s="37"/>
      <c r="EK30" s="37"/>
      <c r="EL30" s="37"/>
      <c r="EM30" s="50"/>
      <c r="EN30" s="22"/>
      <c r="EO30" s="12"/>
      <c r="EP30" s="12"/>
      <c r="EQ30" s="12"/>
      <c r="ER30" s="12"/>
      <c r="ES30" s="12"/>
      <c r="ET30" s="12"/>
      <c r="EU30" s="23"/>
      <c r="EV30" s="49"/>
      <c r="EW30" s="37"/>
      <c r="EX30" s="37"/>
      <c r="EY30" s="37"/>
      <c r="EZ30" s="37"/>
      <c r="FA30" s="37"/>
      <c r="FB30" s="37"/>
      <c r="FC30" s="50"/>
      <c r="FD30" s="49"/>
      <c r="FE30" s="37"/>
      <c r="FF30" s="37"/>
      <c r="FG30" s="37"/>
      <c r="FH30" s="37"/>
      <c r="FI30" s="37"/>
      <c r="FJ30" s="37"/>
      <c r="FK30" s="50"/>
      <c r="FL30" s="37" t="s">
        <v>223</v>
      </c>
      <c r="FM30" s="37" t="s">
        <v>223</v>
      </c>
      <c r="FN30" s="37"/>
    </row>
    <row r="31" spans="1:170" x14ac:dyDescent="0.25">
      <c r="A31" s="38">
        <f>ROW(A2)</f>
        <v>2</v>
      </c>
      <c r="B31" s="37" t="s">
        <v>1078</v>
      </c>
      <c r="C31" s="37" t="s">
        <v>897</v>
      </c>
      <c r="D31" s="48">
        <v>44830.736238425925</v>
      </c>
      <c r="E31" s="37" t="s">
        <v>898</v>
      </c>
      <c r="F31" s="37" t="s">
        <v>784</v>
      </c>
      <c r="G31" s="37" t="s">
        <v>785</v>
      </c>
      <c r="H31" s="49" t="s">
        <v>747</v>
      </c>
      <c r="I31" s="37" t="s">
        <v>746</v>
      </c>
      <c r="J31" s="37" t="s">
        <v>570</v>
      </c>
      <c r="K31" s="37">
        <v>2</v>
      </c>
      <c r="L31" s="37"/>
      <c r="M31" s="37"/>
      <c r="N31" s="37" t="s">
        <v>629</v>
      </c>
      <c r="O31" s="50" t="s">
        <v>223</v>
      </c>
      <c r="P31" s="49" t="s">
        <v>743</v>
      </c>
      <c r="Q31" s="37" t="s">
        <v>742</v>
      </c>
      <c r="R31" s="37" t="s">
        <v>221</v>
      </c>
      <c r="S31" s="37">
        <v>4</v>
      </c>
      <c r="T31" s="37"/>
      <c r="U31" s="37"/>
      <c r="V31" s="37" t="s">
        <v>629</v>
      </c>
      <c r="W31" s="50" t="s">
        <v>223</v>
      </c>
      <c r="X31" s="49" t="s">
        <v>572</v>
      </c>
      <c r="Y31" s="37" t="s">
        <v>571</v>
      </c>
      <c r="Z31" s="37" t="s">
        <v>221</v>
      </c>
      <c r="AA31" s="37">
        <v>1</v>
      </c>
      <c r="AB31" s="37"/>
      <c r="AC31" s="37"/>
      <c r="AD31" s="37" t="s">
        <v>223</v>
      </c>
      <c r="AE31" s="50" t="s">
        <v>223</v>
      </c>
      <c r="AF31" s="49" t="s">
        <v>1080</v>
      </c>
      <c r="AG31" s="37" t="s">
        <v>1079</v>
      </c>
      <c r="AH31" s="37" t="s">
        <v>221</v>
      </c>
      <c r="AI31" s="37">
        <v>2</v>
      </c>
      <c r="AJ31" s="37"/>
      <c r="AK31" s="37"/>
      <c r="AL31" s="37" t="s">
        <v>629</v>
      </c>
      <c r="AM31" s="50"/>
      <c r="AN31" s="49"/>
      <c r="AO31" s="37"/>
      <c r="AP31" s="37"/>
      <c r="AQ31" s="37"/>
      <c r="AR31" s="37"/>
      <c r="AS31" s="37"/>
      <c r="AT31" s="37"/>
      <c r="AU31" s="50"/>
      <c r="AV31" s="49"/>
      <c r="AW31" s="37"/>
      <c r="AX31" s="37"/>
      <c r="AY31" s="37"/>
      <c r="AZ31" s="37"/>
      <c r="BA31" s="37"/>
      <c r="BB31" s="37"/>
      <c r="BC31" s="50"/>
      <c r="BD31" s="49"/>
      <c r="BE31" s="37"/>
      <c r="BF31" s="37"/>
      <c r="BG31" s="37"/>
      <c r="BH31" s="37"/>
      <c r="BI31" s="37"/>
      <c r="BJ31" s="37"/>
      <c r="BK31" s="50"/>
      <c r="BL31" s="49"/>
      <c r="BM31" s="37"/>
      <c r="BN31" s="37"/>
      <c r="BO31" s="37"/>
      <c r="BP31" s="37"/>
      <c r="BQ31" s="37"/>
      <c r="BR31" s="37"/>
      <c r="BS31" s="50"/>
      <c r="BT31" s="49"/>
      <c r="BU31" s="37"/>
      <c r="BV31" s="37"/>
      <c r="BW31" s="37"/>
      <c r="BX31" s="37"/>
      <c r="BY31" s="37"/>
      <c r="BZ31" s="37"/>
      <c r="CA31" s="50"/>
      <c r="CB31" s="49"/>
      <c r="CC31" s="37"/>
      <c r="CD31" s="37"/>
      <c r="CE31" s="37"/>
      <c r="CF31" s="37"/>
      <c r="CG31" s="37"/>
      <c r="CH31" s="37"/>
      <c r="CI31" s="50"/>
      <c r="CJ31" s="49"/>
      <c r="CK31" s="37"/>
      <c r="CL31" s="37"/>
      <c r="CM31" s="37"/>
      <c r="CN31" s="37"/>
      <c r="CO31" s="37"/>
      <c r="CP31" s="37"/>
      <c r="CQ31" s="50"/>
      <c r="CR31" s="49"/>
      <c r="CS31" s="37"/>
      <c r="CT31" s="37"/>
      <c r="CU31" s="37"/>
      <c r="CV31" s="37"/>
      <c r="CW31" s="37"/>
      <c r="CX31" s="37"/>
      <c r="CY31" s="50"/>
      <c r="CZ31" s="49"/>
      <c r="DA31" s="37"/>
      <c r="DB31" s="37"/>
      <c r="DC31" s="37"/>
      <c r="DD31" s="37"/>
      <c r="DE31" s="37"/>
      <c r="DF31" s="37"/>
      <c r="DG31" s="50"/>
      <c r="DH31" s="49"/>
      <c r="DI31" s="37"/>
      <c r="DJ31" s="37"/>
      <c r="DK31" s="37"/>
      <c r="DL31" s="37"/>
      <c r="DM31" s="37"/>
      <c r="DN31" s="37"/>
      <c r="DO31" s="50"/>
      <c r="DP31" s="49"/>
      <c r="DQ31" s="37"/>
      <c r="DR31" s="37"/>
      <c r="DS31" s="37"/>
      <c r="DT31" s="37"/>
      <c r="DU31" s="37"/>
      <c r="DV31" s="37"/>
      <c r="DW31" s="50"/>
      <c r="DX31" s="49"/>
      <c r="DY31" s="37"/>
      <c r="DZ31" s="37"/>
      <c r="EA31" s="37"/>
      <c r="EB31" s="37"/>
      <c r="EC31" s="37"/>
      <c r="ED31" s="37"/>
      <c r="EE31" s="50"/>
      <c r="EF31" s="49"/>
      <c r="EG31" s="37"/>
      <c r="EH31" s="37"/>
      <c r="EI31" s="37"/>
      <c r="EJ31" s="37"/>
      <c r="EK31" s="37"/>
      <c r="EL31" s="37"/>
      <c r="EM31" s="50"/>
      <c r="EN31" s="22"/>
      <c r="EO31" s="12"/>
      <c r="EP31" s="12"/>
      <c r="EQ31" s="12"/>
      <c r="ER31" s="12"/>
      <c r="ES31" s="12"/>
      <c r="ET31" s="12"/>
      <c r="EU31" s="23"/>
      <c r="EV31" s="49"/>
      <c r="EW31" s="37"/>
      <c r="EX31" s="37"/>
      <c r="EY31" s="37"/>
      <c r="EZ31" s="37"/>
      <c r="FA31" s="37"/>
      <c r="FB31" s="37"/>
      <c r="FC31" s="50"/>
      <c r="FD31" s="49"/>
      <c r="FE31" s="37"/>
      <c r="FF31" s="37"/>
      <c r="FG31" s="37"/>
      <c r="FH31" s="37"/>
      <c r="FI31" s="37"/>
      <c r="FJ31" s="37"/>
      <c r="FK31" s="50"/>
      <c r="FL31" s="37" t="s">
        <v>223</v>
      </c>
      <c r="FM31" s="37" t="s">
        <v>223</v>
      </c>
      <c r="FN31" s="37"/>
    </row>
    <row r="32" spans="1:170" x14ac:dyDescent="0.25">
      <c r="A32" s="38">
        <f>ROW(A2)</f>
        <v>2</v>
      </c>
      <c r="B32" s="37" t="s">
        <v>1059</v>
      </c>
      <c r="C32" s="37" t="s">
        <v>1060</v>
      </c>
      <c r="D32" s="48">
        <v>44830.720254629632</v>
      </c>
      <c r="E32" s="37" t="s">
        <v>955</v>
      </c>
      <c r="F32" s="37" t="s">
        <v>918</v>
      </c>
      <c r="G32" s="37" t="s">
        <v>785</v>
      </c>
      <c r="H32" s="49" t="s">
        <v>442</v>
      </c>
      <c r="I32" s="37" t="s">
        <v>441</v>
      </c>
      <c r="J32" s="37" t="s">
        <v>240</v>
      </c>
      <c r="K32" s="37">
        <v>8</v>
      </c>
      <c r="L32" s="37"/>
      <c r="M32" s="37"/>
      <c r="N32" s="37" t="s">
        <v>223</v>
      </c>
      <c r="O32" s="50" t="s">
        <v>223</v>
      </c>
      <c r="P32" s="49" t="s">
        <v>256</v>
      </c>
      <c r="Q32" s="37" t="s">
        <v>253</v>
      </c>
      <c r="R32" s="37" t="s">
        <v>235</v>
      </c>
      <c r="S32" s="37">
        <v>2</v>
      </c>
      <c r="T32" s="37"/>
      <c r="U32" s="37"/>
      <c r="V32" s="37" t="s">
        <v>223</v>
      </c>
      <c r="W32" s="50" t="s">
        <v>223</v>
      </c>
      <c r="X32" s="49" t="s">
        <v>434</v>
      </c>
      <c r="Y32" s="37" t="s">
        <v>433</v>
      </c>
      <c r="Z32" s="37" t="s">
        <v>240</v>
      </c>
      <c r="AA32" s="37">
        <v>8</v>
      </c>
      <c r="AB32" s="37"/>
      <c r="AC32" s="37"/>
      <c r="AD32" s="37" t="s">
        <v>223</v>
      </c>
      <c r="AE32" s="50" t="s">
        <v>223</v>
      </c>
      <c r="AF32" s="49" t="s">
        <v>513</v>
      </c>
      <c r="AG32" s="37" t="s">
        <v>512</v>
      </c>
      <c r="AH32" s="37" t="s">
        <v>514</v>
      </c>
      <c r="AI32" s="37">
        <v>2</v>
      </c>
      <c r="AJ32" s="37"/>
      <c r="AK32" s="37"/>
      <c r="AL32" s="37" t="s">
        <v>223</v>
      </c>
      <c r="AM32" s="50" t="s">
        <v>32</v>
      </c>
      <c r="AN32" s="49" t="s">
        <v>1062</v>
      </c>
      <c r="AO32" s="37" t="s">
        <v>1061</v>
      </c>
      <c r="AP32" s="37" t="s">
        <v>221</v>
      </c>
      <c r="AQ32" s="37">
        <v>6</v>
      </c>
      <c r="AR32" s="37"/>
      <c r="AS32" s="37"/>
      <c r="AT32" s="37" t="s">
        <v>223</v>
      </c>
      <c r="AU32" s="50" t="s">
        <v>32</v>
      </c>
      <c r="AV32" s="49" t="s">
        <v>470</v>
      </c>
      <c r="AW32" s="37" t="s">
        <v>469</v>
      </c>
      <c r="AX32" s="37" t="s">
        <v>243</v>
      </c>
      <c r="AY32" s="37">
        <v>10</v>
      </c>
      <c r="AZ32" s="37"/>
      <c r="BA32" s="37"/>
      <c r="BB32" s="37" t="s">
        <v>223</v>
      </c>
      <c r="BC32" s="50" t="s">
        <v>32</v>
      </c>
      <c r="BD32" s="49" t="s">
        <v>468</v>
      </c>
      <c r="BE32" s="37" t="s">
        <v>467</v>
      </c>
      <c r="BF32" s="37" t="s">
        <v>243</v>
      </c>
      <c r="BG32" s="37">
        <v>20</v>
      </c>
      <c r="BH32" s="37"/>
      <c r="BI32" s="37"/>
      <c r="BJ32" s="37" t="s">
        <v>223</v>
      </c>
      <c r="BK32" s="50" t="s">
        <v>32</v>
      </c>
      <c r="BL32" s="49" t="s">
        <v>1065</v>
      </c>
      <c r="BM32" s="37" t="s">
        <v>1064</v>
      </c>
      <c r="BN32" s="37" t="s">
        <v>448</v>
      </c>
      <c r="BO32" s="37">
        <v>1</v>
      </c>
      <c r="BP32" s="37"/>
      <c r="BQ32" s="37"/>
      <c r="BR32" s="37" t="s">
        <v>223</v>
      </c>
      <c r="BS32" s="50" t="s">
        <v>223</v>
      </c>
      <c r="BT32" s="49" t="s">
        <v>1075</v>
      </c>
      <c r="BU32" s="37" t="s">
        <v>1074</v>
      </c>
      <c r="BV32" s="37" t="s">
        <v>448</v>
      </c>
      <c r="BW32" s="37">
        <v>1</v>
      </c>
      <c r="BX32" s="37"/>
      <c r="BY32" s="37"/>
      <c r="BZ32" s="37" t="s">
        <v>223</v>
      </c>
      <c r="CA32" s="50" t="s">
        <v>223</v>
      </c>
      <c r="CB32" s="49" t="s">
        <v>1067</v>
      </c>
      <c r="CC32" s="37" t="s">
        <v>1066</v>
      </c>
      <c r="CD32" s="37" t="s">
        <v>221</v>
      </c>
      <c r="CE32" s="37">
        <v>16</v>
      </c>
      <c r="CF32" s="37"/>
      <c r="CG32" s="37"/>
      <c r="CH32" s="37" t="s">
        <v>32</v>
      </c>
      <c r="CI32" s="50" t="s">
        <v>223</v>
      </c>
      <c r="CJ32" s="49" t="s">
        <v>1069</v>
      </c>
      <c r="CK32" s="37" t="s">
        <v>1068</v>
      </c>
      <c r="CL32" s="37" t="s">
        <v>221</v>
      </c>
      <c r="CM32" s="37">
        <v>1</v>
      </c>
      <c r="CN32" s="37"/>
      <c r="CO32" s="37"/>
      <c r="CP32" s="37" t="s">
        <v>32</v>
      </c>
      <c r="CQ32" s="50" t="s">
        <v>32</v>
      </c>
      <c r="CR32" s="49" t="s">
        <v>1071</v>
      </c>
      <c r="CS32" s="37" t="s">
        <v>1070</v>
      </c>
      <c r="CT32" s="37" t="s">
        <v>221</v>
      </c>
      <c r="CU32" s="37">
        <v>8</v>
      </c>
      <c r="CV32" s="37"/>
      <c r="CW32" s="37"/>
      <c r="CX32" s="37" t="s">
        <v>223</v>
      </c>
      <c r="CY32" s="50" t="s">
        <v>223</v>
      </c>
      <c r="CZ32" s="49" t="s">
        <v>1073</v>
      </c>
      <c r="DA32" s="37" t="s">
        <v>1072</v>
      </c>
      <c r="DB32" s="37" t="s">
        <v>221</v>
      </c>
      <c r="DC32" s="37">
        <v>2</v>
      </c>
      <c r="DD32" s="37"/>
      <c r="DE32" s="37"/>
      <c r="DF32" s="37" t="s">
        <v>223</v>
      </c>
      <c r="DG32" s="50" t="s">
        <v>223</v>
      </c>
      <c r="DH32" s="49"/>
      <c r="DI32" s="37"/>
      <c r="DJ32" s="37"/>
      <c r="DK32" s="37"/>
      <c r="DL32" s="37"/>
      <c r="DM32" s="37"/>
      <c r="DN32" s="37"/>
      <c r="DO32" s="50"/>
      <c r="DP32" s="49"/>
      <c r="DQ32" s="37"/>
      <c r="DR32" s="37"/>
      <c r="DS32" s="37"/>
      <c r="DT32" s="37"/>
      <c r="DU32" s="37"/>
      <c r="DV32" s="37"/>
      <c r="DW32" s="50"/>
      <c r="DX32" s="49"/>
      <c r="DY32" s="37"/>
      <c r="DZ32" s="37"/>
      <c r="EA32" s="37"/>
      <c r="EB32" s="37"/>
      <c r="EC32" s="37"/>
      <c r="ED32" s="37"/>
      <c r="EE32" s="50"/>
      <c r="EF32" s="49"/>
      <c r="EG32" s="37"/>
      <c r="EH32" s="37"/>
      <c r="EI32" s="37"/>
      <c r="EJ32" s="37"/>
      <c r="EK32" s="37"/>
      <c r="EL32" s="37"/>
      <c r="EM32" s="50"/>
      <c r="EN32" s="22"/>
      <c r="EO32" s="12"/>
      <c r="EP32" s="12"/>
      <c r="EQ32" s="12"/>
      <c r="ER32" s="12"/>
      <c r="ES32" s="12"/>
      <c r="ET32" s="12"/>
      <c r="EU32" s="23"/>
      <c r="EV32" s="49"/>
      <c r="EW32" s="37"/>
      <c r="EX32" s="37"/>
      <c r="EY32" s="37"/>
      <c r="EZ32" s="37"/>
      <c r="FA32" s="37"/>
      <c r="FB32" s="37"/>
      <c r="FC32" s="50"/>
      <c r="FD32" s="49"/>
      <c r="FE32" s="37"/>
      <c r="FF32" s="37"/>
      <c r="FG32" s="37"/>
      <c r="FH32" s="37"/>
      <c r="FI32" s="37"/>
      <c r="FJ32" s="37"/>
      <c r="FK32" s="50"/>
      <c r="FL32" s="37" t="s">
        <v>32</v>
      </c>
      <c r="FM32" s="37" t="s">
        <v>223</v>
      </c>
      <c r="FN32" s="37"/>
    </row>
    <row r="33" spans="1:170" x14ac:dyDescent="0.25">
      <c r="A33" s="38">
        <f>ROW(A2)</f>
        <v>2</v>
      </c>
      <c r="B33" s="37" t="s">
        <v>953</v>
      </c>
      <c r="C33" s="37" t="s">
        <v>954</v>
      </c>
      <c r="D33" s="48">
        <v>44830.442083333335</v>
      </c>
      <c r="E33" s="37" t="s">
        <v>955</v>
      </c>
      <c r="F33" s="37" t="s">
        <v>784</v>
      </c>
      <c r="G33" s="37" t="s">
        <v>785</v>
      </c>
      <c r="H33" s="49" t="s">
        <v>765</v>
      </c>
      <c r="I33" s="37" t="s">
        <v>764</v>
      </c>
      <c r="J33" s="37" t="s">
        <v>221</v>
      </c>
      <c r="K33" s="37">
        <v>5</v>
      </c>
      <c r="L33" s="37"/>
      <c r="M33" s="37"/>
      <c r="N33" s="37" t="s">
        <v>32</v>
      </c>
      <c r="O33" s="50"/>
      <c r="P33" s="49"/>
      <c r="Q33" s="37"/>
      <c r="R33" s="37"/>
      <c r="S33" s="37"/>
      <c r="T33" s="37"/>
      <c r="U33" s="37"/>
      <c r="V33" s="37"/>
      <c r="W33" s="50"/>
      <c r="X33" s="49"/>
      <c r="Y33" s="37"/>
      <c r="Z33" s="37"/>
      <c r="AA33" s="37"/>
      <c r="AB33" s="37"/>
      <c r="AC33" s="37"/>
      <c r="AD33" s="37"/>
      <c r="AE33" s="50"/>
      <c r="AF33" s="49"/>
      <c r="AG33" s="37"/>
      <c r="AH33" s="37"/>
      <c r="AI33" s="37"/>
      <c r="AJ33" s="37"/>
      <c r="AK33" s="37"/>
      <c r="AL33" s="37"/>
      <c r="AM33" s="50"/>
      <c r="AN33" s="49"/>
      <c r="AO33" s="37"/>
      <c r="AP33" s="37"/>
      <c r="AQ33" s="37"/>
      <c r="AR33" s="37"/>
      <c r="AS33" s="37"/>
      <c r="AT33" s="37"/>
      <c r="AU33" s="50"/>
      <c r="AV33" s="49"/>
      <c r="AW33" s="37"/>
      <c r="AX33" s="37"/>
      <c r="AY33" s="37"/>
      <c r="AZ33" s="37"/>
      <c r="BA33" s="37"/>
      <c r="BB33" s="37"/>
      <c r="BC33" s="50"/>
      <c r="BD33" s="49"/>
      <c r="BE33" s="37"/>
      <c r="BF33" s="37"/>
      <c r="BG33" s="37"/>
      <c r="BH33" s="37"/>
      <c r="BI33" s="37"/>
      <c r="BJ33" s="37"/>
      <c r="BK33" s="50"/>
      <c r="BL33" s="49"/>
      <c r="BM33" s="37"/>
      <c r="BN33" s="37"/>
      <c r="BO33" s="37"/>
      <c r="BP33" s="37"/>
      <c r="BQ33" s="37"/>
      <c r="BR33" s="37"/>
      <c r="BS33" s="50"/>
      <c r="BT33" s="49"/>
      <c r="BU33" s="37"/>
      <c r="BV33" s="37"/>
      <c r="BW33" s="37"/>
      <c r="BX33" s="37"/>
      <c r="BY33" s="37"/>
      <c r="BZ33" s="37"/>
      <c r="CA33" s="50"/>
      <c r="CB33" s="49"/>
      <c r="CC33" s="37"/>
      <c r="CD33" s="37"/>
      <c r="CE33" s="37"/>
      <c r="CF33" s="37"/>
      <c r="CG33" s="37"/>
      <c r="CH33" s="37"/>
      <c r="CI33" s="50"/>
      <c r="CJ33" s="49"/>
      <c r="CK33" s="37"/>
      <c r="CL33" s="37"/>
      <c r="CM33" s="37"/>
      <c r="CN33" s="37"/>
      <c r="CO33" s="37"/>
      <c r="CP33" s="37"/>
      <c r="CQ33" s="50"/>
      <c r="CR33" s="49"/>
      <c r="CS33" s="37"/>
      <c r="CT33" s="37"/>
      <c r="CU33" s="37"/>
      <c r="CV33" s="37"/>
      <c r="CW33" s="37"/>
      <c r="CX33" s="37"/>
      <c r="CY33" s="50"/>
      <c r="CZ33" s="49"/>
      <c r="DA33" s="37"/>
      <c r="DB33" s="37"/>
      <c r="DC33" s="37"/>
      <c r="DD33" s="37"/>
      <c r="DE33" s="37"/>
      <c r="DF33" s="37"/>
      <c r="DG33" s="50"/>
      <c r="DH33" s="49"/>
      <c r="DI33" s="37"/>
      <c r="DJ33" s="37"/>
      <c r="DK33" s="37"/>
      <c r="DL33" s="37"/>
      <c r="DM33" s="37"/>
      <c r="DN33" s="37"/>
      <c r="DO33" s="50"/>
      <c r="DP33" s="49"/>
      <c r="DQ33" s="37"/>
      <c r="DR33" s="37"/>
      <c r="DS33" s="37"/>
      <c r="DT33" s="37"/>
      <c r="DU33" s="37"/>
      <c r="DV33" s="37"/>
      <c r="DW33" s="50"/>
      <c r="DX33" s="49"/>
      <c r="DY33" s="37"/>
      <c r="DZ33" s="37"/>
      <c r="EA33" s="37"/>
      <c r="EB33" s="37"/>
      <c r="EC33" s="37"/>
      <c r="ED33" s="37"/>
      <c r="EE33" s="50"/>
      <c r="EF33" s="49"/>
      <c r="EG33" s="37"/>
      <c r="EH33" s="37"/>
      <c r="EI33" s="37"/>
      <c r="EJ33" s="37"/>
      <c r="EK33" s="37"/>
      <c r="EL33" s="37"/>
      <c r="EM33" s="50"/>
      <c r="EN33" s="22"/>
      <c r="EO33" s="12"/>
      <c r="EP33" s="12"/>
      <c r="EQ33" s="12"/>
      <c r="ER33" s="12"/>
      <c r="ES33" s="12"/>
      <c r="ET33" s="12"/>
      <c r="EU33" s="23"/>
      <c r="EV33" s="49"/>
      <c r="EW33" s="37"/>
      <c r="EX33" s="37"/>
      <c r="EY33" s="37"/>
      <c r="EZ33" s="37"/>
      <c r="FA33" s="37"/>
      <c r="FB33" s="37"/>
      <c r="FC33" s="50"/>
      <c r="FD33" s="49"/>
      <c r="FE33" s="37"/>
      <c r="FF33" s="37"/>
      <c r="FG33" s="37"/>
      <c r="FH33" s="37"/>
      <c r="FI33" s="37"/>
      <c r="FJ33" s="37"/>
      <c r="FK33" s="50"/>
      <c r="FL33" s="37" t="s">
        <v>223</v>
      </c>
      <c r="FM33" s="37" t="s">
        <v>223</v>
      </c>
      <c r="FN33" s="37"/>
    </row>
    <row r="34" spans="1:170" x14ac:dyDescent="0.25">
      <c r="A34" s="38">
        <f>ROW(A2)</f>
        <v>2</v>
      </c>
      <c r="B34" s="37" t="s">
        <v>890</v>
      </c>
      <c r="C34" s="37" t="s">
        <v>223</v>
      </c>
      <c r="D34" s="48">
        <v>44827.555335648147</v>
      </c>
      <c r="E34" s="37" t="s">
        <v>785</v>
      </c>
      <c r="F34" s="37" t="s">
        <v>785</v>
      </c>
      <c r="G34" s="37" t="s">
        <v>785</v>
      </c>
      <c r="H34" s="49" t="s">
        <v>383</v>
      </c>
      <c r="I34" s="37" t="s">
        <v>380</v>
      </c>
      <c r="J34" s="37" t="s">
        <v>382</v>
      </c>
      <c r="K34" s="37">
        <v>22</v>
      </c>
      <c r="L34" s="37"/>
      <c r="M34" s="37"/>
      <c r="N34" s="37" t="s">
        <v>223</v>
      </c>
      <c r="O34" s="50" t="s">
        <v>32</v>
      </c>
      <c r="P34" s="49"/>
      <c r="Q34" s="37"/>
      <c r="R34" s="37"/>
      <c r="S34" s="37"/>
      <c r="T34" s="37"/>
      <c r="U34" s="37"/>
      <c r="V34" s="37"/>
      <c r="W34" s="50"/>
      <c r="X34" s="49"/>
      <c r="Y34" s="37"/>
      <c r="Z34" s="37"/>
      <c r="AA34" s="37"/>
      <c r="AB34" s="37"/>
      <c r="AC34" s="37"/>
      <c r="AD34" s="37"/>
      <c r="AE34" s="50"/>
      <c r="AF34" s="49"/>
      <c r="AG34" s="37"/>
      <c r="AH34" s="37"/>
      <c r="AI34" s="37"/>
      <c r="AJ34" s="37"/>
      <c r="AK34" s="37"/>
      <c r="AL34" s="37"/>
      <c r="AM34" s="50"/>
      <c r="AN34" s="49"/>
      <c r="AO34" s="37"/>
      <c r="AP34" s="37"/>
      <c r="AQ34" s="37"/>
      <c r="AR34" s="37"/>
      <c r="AS34" s="37"/>
      <c r="AT34" s="37"/>
      <c r="AU34" s="50"/>
      <c r="AV34" s="49"/>
      <c r="AW34" s="37"/>
      <c r="AX34" s="37"/>
      <c r="AY34" s="37"/>
      <c r="AZ34" s="37"/>
      <c r="BA34" s="37"/>
      <c r="BB34" s="37"/>
      <c r="BC34" s="50"/>
      <c r="BD34" s="49"/>
      <c r="BE34" s="37"/>
      <c r="BF34" s="37"/>
      <c r="BG34" s="37"/>
      <c r="BH34" s="37"/>
      <c r="BI34" s="37"/>
      <c r="BJ34" s="37"/>
      <c r="BK34" s="50"/>
      <c r="BL34" s="49"/>
      <c r="BM34" s="37"/>
      <c r="BN34" s="37"/>
      <c r="BO34" s="37"/>
      <c r="BP34" s="37"/>
      <c r="BQ34" s="37"/>
      <c r="BR34" s="37"/>
      <c r="BS34" s="50"/>
      <c r="BT34" s="49"/>
      <c r="BU34" s="37"/>
      <c r="BV34" s="37"/>
      <c r="BW34" s="37"/>
      <c r="BX34" s="37"/>
      <c r="BY34" s="37"/>
      <c r="BZ34" s="37"/>
      <c r="CA34" s="50"/>
      <c r="CB34" s="49"/>
      <c r="CC34" s="37"/>
      <c r="CD34" s="37"/>
      <c r="CE34" s="37"/>
      <c r="CF34" s="37"/>
      <c r="CG34" s="37"/>
      <c r="CH34" s="37"/>
      <c r="CI34" s="50"/>
      <c r="CJ34" s="49"/>
      <c r="CK34" s="37"/>
      <c r="CL34" s="37"/>
      <c r="CM34" s="37"/>
      <c r="CN34" s="37"/>
      <c r="CO34" s="37"/>
      <c r="CP34" s="37"/>
      <c r="CQ34" s="50"/>
      <c r="CR34" s="49"/>
      <c r="CS34" s="37"/>
      <c r="CT34" s="37"/>
      <c r="CU34" s="37"/>
      <c r="CV34" s="37"/>
      <c r="CW34" s="37"/>
      <c r="CX34" s="37"/>
      <c r="CY34" s="50"/>
      <c r="CZ34" s="49"/>
      <c r="DA34" s="37"/>
      <c r="DB34" s="37"/>
      <c r="DC34" s="37"/>
      <c r="DD34" s="37"/>
      <c r="DE34" s="37"/>
      <c r="DF34" s="37"/>
      <c r="DG34" s="50"/>
      <c r="DH34" s="49"/>
      <c r="DI34" s="37"/>
      <c r="DJ34" s="37"/>
      <c r="DK34" s="37"/>
      <c r="DL34" s="37"/>
      <c r="DM34" s="37"/>
      <c r="DN34" s="37"/>
      <c r="DO34" s="50"/>
      <c r="DP34" s="49"/>
      <c r="DQ34" s="37"/>
      <c r="DR34" s="37"/>
      <c r="DS34" s="37"/>
      <c r="DT34" s="37"/>
      <c r="DU34" s="37"/>
      <c r="DV34" s="37"/>
      <c r="DW34" s="50"/>
      <c r="DX34" s="49"/>
      <c r="DY34" s="37"/>
      <c r="DZ34" s="37"/>
      <c r="EA34" s="37"/>
      <c r="EB34" s="37"/>
      <c r="EC34" s="37"/>
      <c r="ED34" s="37"/>
      <c r="EE34" s="50"/>
      <c r="EF34" s="49"/>
      <c r="EG34" s="37"/>
      <c r="EH34" s="37"/>
      <c r="EI34" s="37"/>
      <c r="EJ34" s="37"/>
      <c r="EK34" s="37"/>
      <c r="EL34" s="37"/>
      <c r="EM34" s="50"/>
      <c r="EN34" s="22"/>
      <c r="EO34" s="12"/>
      <c r="EP34" s="12"/>
      <c r="EQ34" s="12"/>
      <c r="ER34" s="12"/>
      <c r="ES34" s="12"/>
      <c r="ET34" s="12"/>
      <c r="EU34" s="23"/>
      <c r="EV34" s="49"/>
      <c r="EW34" s="37"/>
      <c r="EX34" s="37"/>
      <c r="EY34" s="37"/>
      <c r="EZ34" s="37"/>
      <c r="FA34" s="37"/>
      <c r="FB34" s="37"/>
      <c r="FC34" s="50"/>
      <c r="FD34" s="49"/>
      <c r="FE34" s="37"/>
      <c r="FF34" s="37"/>
      <c r="FG34" s="37"/>
      <c r="FH34" s="37"/>
      <c r="FI34" s="37"/>
      <c r="FJ34" s="37"/>
      <c r="FK34" s="50"/>
      <c r="FL34" s="37" t="s">
        <v>223</v>
      </c>
      <c r="FM34" s="37" t="s">
        <v>223</v>
      </c>
      <c r="FN34" s="9"/>
    </row>
    <row r="35" spans="1:170" x14ac:dyDescent="0.25">
      <c r="A35" s="38">
        <f t="shared" ref="A35:A66" si="1">ROW(A34)</f>
        <v>34</v>
      </c>
      <c r="B35" s="37" t="s">
        <v>891</v>
      </c>
      <c r="C35" s="37" t="s">
        <v>223</v>
      </c>
      <c r="D35" s="48">
        <v>44827.551388888889</v>
      </c>
      <c r="E35" s="37" t="s">
        <v>785</v>
      </c>
      <c r="F35" s="37" t="s">
        <v>785</v>
      </c>
      <c r="G35" s="37" t="s">
        <v>785</v>
      </c>
      <c r="H35" s="49" t="s">
        <v>773</v>
      </c>
      <c r="I35" s="37" t="s">
        <v>772</v>
      </c>
      <c r="J35" s="37" t="s">
        <v>221</v>
      </c>
      <c r="K35" s="37">
        <v>1</v>
      </c>
      <c r="L35" s="37"/>
      <c r="M35" s="37"/>
      <c r="N35" s="37" t="s">
        <v>223</v>
      </c>
      <c r="O35" s="50" t="s">
        <v>223</v>
      </c>
      <c r="P35" s="49" t="s">
        <v>606</v>
      </c>
      <c r="Q35" s="37" t="s">
        <v>605</v>
      </c>
      <c r="R35" s="37" t="s">
        <v>235</v>
      </c>
      <c r="S35" s="37">
        <v>5</v>
      </c>
      <c r="T35" s="37"/>
      <c r="U35" s="37"/>
      <c r="V35" s="37" t="s">
        <v>223</v>
      </c>
      <c r="W35" s="50" t="s">
        <v>32</v>
      </c>
      <c r="X35" s="49" t="s">
        <v>601</v>
      </c>
      <c r="Y35" s="37" t="s">
        <v>600</v>
      </c>
      <c r="Z35" s="37" t="s">
        <v>235</v>
      </c>
      <c r="AA35" s="37">
        <v>1</v>
      </c>
      <c r="AB35" s="37"/>
      <c r="AC35" s="37"/>
      <c r="AD35" s="37" t="s">
        <v>223</v>
      </c>
      <c r="AE35" s="50" t="s">
        <v>223</v>
      </c>
      <c r="AF35" s="49"/>
      <c r="AG35" s="37"/>
      <c r="AH35" s="37"/>
      <c r="AI35" s="37"/>
      <c r="AJ35" s="37"/>
      <c r="AK35" s="37"/>
      <c r="AL35" s="37"/>
      <c r="AM35" s="50"/>
      <c r="AN35" s="49"/>
      <c r="AO35" s="37"/>
      <c r="AP35" s="37"/>
      <c r="AQ35" s="37"/>
      <c r="AR35" s="37"/>
      <c r="AS35" s="37"/>
      <c r="AT35" s="37"/>
      <c r="AU35" s="50"/>
      <c r="AV35" s="49"/>
      <c r="AW35" s="37"/>
      <c r="AX35" s="37"/>
      <c r="AY35" s="37"/>
      <c r="AZ35" s="37"/>
      <c r="BA35" s="37"/>
      <c r="BB35" s="37"/>
      <c r="BC35" s="50"/>
      <c r="BD35" s="49"/>
      <c r="BE35" s="37"/>
      <c r="BF35" s="37"/>
      <c r="BG35" s="37"/>
      <c r="BH35" s="37"/>
      <c r="BI35" s="37"/>
      <c r="BJ35" s="37"/>
      <c r="BK35" s="50"/>
      <c r="BL35" s="49"/>
      <c r="BM35" s="37"/>
      <c r="BN35" s="37"/>
      <c r="BO35" s="37"/>
      <c r="BP35" s="37"/>
      <c r="BQ35" s="37"/>
      <c r="BR35" s="37"/>
      <c r="BS35" s="50"/>
      <c r="BT35" s="49"/>
      <c r="BU35" s="37"/>
      <c r="BV35" s="37"/>
      <c r="BW35" s="37"/>
      <c r="BX35" s="37"/>
      <c r="BY35" s="37"/>
      <c r="BZ35" s="37"/>
      <c r="CA35" s="50"/>
      <c r="CB35" s="49"/>
      <c r="CC35" s="37"/>
      <c r="CD35" s="37"/>
      <c r="CE35" s="37"/>
      <c r="CF35" s="37"/>
      <c r="CG35" s="37"/>
      <c r="CH35" s="37"/>
      <c r="CI35" s="50"/>
      <c r="CJ35" s="49"/>
      <c r="CK35" s="37"/>
      <c r="CL35" s="37"/>
      <c r="CM35" s="37"/>
      <c r="CN35" s="37"/>
      <c r="CO35" s="37"/>
      <c r="CP35" s="37"/>
      <c r="CQ35" s="50"/>
      <c r="CR35" s="49"/>
      <c r="CS35" s="37"/>
      <c r="CT35" s="37"/>
      <c r="CU35" s="37"/>
      <c r="CV35" s="37"/>
      <c r="CW35" s="37"/>
      <c r="CX35" s="37"/>
      <c r="CY35" s="50"/>
      <c r="CZ35" s="49"/>
      <c r="DA35" s="37"/>
      <c r="DB35" s="37"/>
      <c r="DC35" s="37"/>
      <c r="DD35" s="37"/>
      <c r="DE35" s="37"/>
      <c r="DF35" s="37"/>
      <c r="DG35" s="50"/>
      <c r="DH35" s="49"/>
      <c r="DI35" s="37"/>
      <c r="DJ35" s="37"/>
      <c r="DK35" s="37"/>
      <c r="DL35" s="37"/>
      <c r="DM35" s="37"/>
      <c r="DN35" s="37"/>
      <c r="DO35" s="50"/>
      <c r="DP35" s="49"/>
      <c r="DQ35" s="37"/>
      <c r="DR35" s="37"/>
      <c r="DS35" s="37"/>
      <c r="DT35" s="37"/>
      <c r="DU35" s="37"/>
      <c r="DV35" s="37"/>
      <c r="DW35" s="50"/>
      <c r="DX35" s="49"/>
      <c r="DY35" s="37"/>
      <c r="DZ35" s="37"/>
      <c r="EA35" s="37"/>
      <c r="EB35" s="37"/>
      <c r="EC35" s="37"/>
      <c r="ED35" s="37"/>
      <c r="EE35" s="50"/>
      <c r="EF35" s="49"/>
      <c r="EG35" s="37"/>
      <c r="EH35" s="37"/>
      <c r="EI35" s="37"/>
      <c r="EJ35" s="37"/>
      <c r="EK35" s="37"/>
      <c r="EL35" s="37"/>
      <c r="EM35" s="50"/>
      <c r="EN35" s="22"/>
      <c r="EO35" s="12"/>
      <c r="EP35" s="12"/>
      <c r="EQ35" s="12"/>
      <c r="ER35" s="12"/>
      <c r="ES35" s="12"/>
      <c r="ET35" s="12"/>
      <c r="EU35" s="23"/>
      <c r="EV35" s="49"/>
      <c r="EW35" s="37"/>
      <c r="EX35" s="37"/>
      <c r="EY35" s="37"/>
      <c r="EZ35" s="37"/>
      <c r="FA35" s="37"/>
      <c r="FB35" s="37"/>
      <c r="FC35" s="50"/>
      <c r="FD35" s="49"/>
      <c r="FE35" s="37"/>
      <c r="FF35" s="37"/>
      <c r="FG35" s="37"/>
      <c r="FH35" s="37"/>
      <c r="FI35" s="37"/>
      <c r="FJ35" s="37"/>
      <c r="FK35" s="50"/>
      <c r="FL35" s="37" t="s">
        <v>223</v>
      </c>
      <c r="FM35" s="37" t="s">
        <v>223</v>
      </c>
      <c r="FN35" s="37"/>
    </row>
    <row r="36" spans="1:170" x14ac:dyDescent="0.25">
      <c r="A36" s="38">
        <f t="shared" si="1"/>
        <v>35</v>
      </c>
      <c r="B36" s="37" t="s">
        <v>892</v>
      </c>
      <c r="C36" s="37" t="s">
        <v>893</v>
      </c>
      <c r="D36" s="48">
        <v>44827.462199074071</v>
      </c>
      <c r="E36" s="37" t="s">
        <v>894</v>
      </c>
      <c r="F36" s="37" t="s">
        <v>895</v>
      </c>
      <c r="G36" s="37" t="s">
        <v>785</v>
      </c>
      <c r="H36" s="49" t="s">
        <v>624</v>
      </c>
      <c r="I36" s="37" t="s">
        <v>623</v>
      </c>
      <c r="J36" s="37" t="s">
        <v>626</v>
      </c>
      <c r="K36" s="37">
        <v>5</v>
      </c>
      <c r="L36" s="37"/>
      <c r="M36" s="37"/>
      <c r="N36" s="37" t="s">
        <v>32</v>
      </c>
      <c r="O36" s="50" t="s">
        <v>223</v>
      </c>
      <c r="P36" s="49"/>
      <c r="Q36" s="37"/>
      <c r="R36" s="37"/>
      <c r="S36" s="37"/>
      <c r="T36" s="37"/>
      <c r="U36" s="37"/>
      <c r="V36" s="37"/>
      <c r="W36" s="50"/>
      <c r="X36" s="49"/>
      <c r="Y36" s="37"/>
      <c r="Z36" s="37"/>
      <c r="AA36" s="37"/>
      <c r="AB36" s="37"/>
      <c r="AC36" s="37"/>
      <c r="AD36" s="37"/>
      <c r="AE36" s="50"/>
      <c r="AF36" s="49"/>
      <c r="AG36" s="37"/>
      <c r="AH36" s="37"/>
      <c r="AI36" s="37"/>
      <c r="AJ36" s="37"/>
      <c r="AK36" s="37"/>
      <c r="AL36" s="37"/>
      <c r="AM36" s="50"/>
      <c r="AN36" s="49"/>
      <c r="AO36" s="37"/>
      <c r="AP36" s="37"/>
      <c r="AQ36" s="37"/>
      <c r="AR36" s="37"/>
      <c r="AS36" s="37"/>
      <c r="AT36" s="37"/>
      <c r="AU36" s="50"/>
      <c r="AV36" s="49"/>
      <c r="AW36" s="37"/>
      <c r="AX36" s="37"/>
      <c r="AY36" s="37"/>
      <c r="AZ36" s="37"/>
      <c r="BA36" s="37"/>
      <c r="BB36" s="37"/>
      <c r="BC36" s="50"/>
      <c r="BD36" s="49"/>
      <c r="BE36" s="37"/>
      <c r="BF36" s="37"/>
      <c r="BG36" s="37"/>
      <c r="BH36" s="37"/>
      <c r="BI36" s="37"/>
      <c r="BJ36" s="37"/>
      <c r="BK36" s="50"/>
      <c r="BL36" s="49"/>
      <c r="BM36" s="37"/>
      <c r="BN36" s="37"/>
      <c r="BO36" s="37"/>
      <c r="BP36" s="37"/>
      <c r="BQ36" s="37"/>
      <c r="BR36" s="37"/>
      <c r="BS36" s="50"/>
      <c r="BT36" s="49"/>
      <c r="BU36" s="37"/>
      <c r="BV36" s="37"/>
      <c r="BW36" s="37"/>
      <c r="BX36" s="37"/>
      <c r="BY36" s="37"/>
      <c r="BZ36" s="37"/>
      <c r="CA36" s="50"/>
      <c r="CB36" s="49"/>
      <c r="CC36" s="37"/>
      <c r="CD36" s="37"/>
      <c r="CE36" s="37"/>
      <c r="CF36" s="37"/>
      <c r="CG36" s="37"/>
      <c r="CH36" s="37"/>
      <c r="CI36" s="50"/>
      <c r="CJ36" s="49"/>
      <c r="CK36" s="37"/>
      <c r="CL36" s="37"/>
      <c r="CM36" s="37"/>
      <c r="CN36" s="37"/>
      <c r="CO36" s="37"/>
      <c r="CP36" s="37"/>
      <c r="CQ36" s="50"/>
      <c r="CR36" s="49"/>
      <c r="CS36" s="37"/>
      <c r="CT36" s="37"/>
      <c r="CU36" s="37"/>
      <c r="CV36" s="37"/>
      <c r="CW36" s="37"/>
      <c r="CX36" s="37"/>
      <c r="CY36" s="50"/>
      <c r="CZ36" s="49"/>
      <c r="DA36" s="37"/>
      <c r="DB36" s="37"/>
      <c r="DC36" s="37"/>
      <c r="DD36" s="37"/>
      <c r="DE36" s="37"/>
      <c r="DF36" s="37"/>
      <c r="DG36" s="50"/>
      <c r="DH36" s="49"/>
      <c r="DI36" s="37"/>
      <c r="DJ36" s="37"/>
      <c r="DK36" s="37"/>
      <c r="DL36" s="37"/>
      <c r="DM36" s="37"/>
      <c r="DN36" s="37"/>
      <c r="DO36" s="50"/>
      <c r="DP36" s="49"/>
      <c r="DQ36" s="37"/>
      <c r="DR36" s="37"/>
      <c r="DS36" s="37"/>
      <c r="DT36" s="37"/>
      <c r="DU36" s="37"/>
      <c r="DV36" s="37"/>
      <c r="DW36" s="50"/>
      <c r="DX36" s="49"/>
      <c r="DY36" s="37"/>
      <c r="DZ36" s="37"/>
      <c r="EA36" s="37"/>
      <c r="EB36" s="37"/>
      <c r="EC36" s="37"/>
      <c r="ED36" s="37"/>
      <c r="EE36" s="50"/>
      <c r="EF36" s="49"/>
      <c r="EG36" s="37"/>
      <c r="EH36" s="37"/>
      <c r="EI36" s="37"/>
      <c r="EJ36" s="37"/>
      <c r="EK36" s="37"/>
      <c r="EL36" s="37"/>
      <c r="EM36" s="50"/>
      <c r="EN36" s="22"/>
      <c r="EO36" s="12"/>
      <c r="EP36" s="12"/>
      <c r="EQ36" s="12"/>
      <c r="ER36" s="12"/>
      <c r="ES36" s="12"/>
      <c r="ET36" s="12"/>
      <c r="EU36" s="23"/>
      <c r="EV36" s="49"/>
      <c r="EW36" s="37"/>
      <c r="EX36" s="37"/>
      <c r="EY36" s="37"/>
      <c r="EZ36" s="37"/>
      <c r="FA36" s="37"/>
      <c r="FB36" s="37"/>
      <c r="FC36" s="50"/>
      <c r="FD36" s="49"/>
      <c r="FE36" s="37"/>
      <c r="FF36" s="37"/>
      <c r="FG36" s="37"/>
      <c r="FH36" s="37"/>
      <c r="FI36" s="37"/>
      <c r="FJ36" s="37"/>
      <c r="FK36" s="50"/>
      <c r="FL36" s="37" t="s">
        <v>223</v>
      </c>
      <c r="FM36" s="37" t="s">
        <v>32</v>
      </c>
      <c r="FN36" s="37"/>
    </row>
    <row r="37" spans="1:170" x14ac:dyDescent="0.25">
      <c r="A37" s="38">
        <f t="shared" si="1"/>
        <v>36</v>
      </c>
      <c r="B37" s="37" t="s">
        <v>896</v>
      </c>
      <c r="C37" s="37" t="s">
        <v>897</v>
      </c>
      <c r="D37" s="48">
        <v>44827.460625</v>
      </c>
      <c r="E37" s="37" t="s">
        <v>898</v>
      </c>
      <c r="F37" s="37" t="s">
        <v>785</v>
      </c>
      <c r="G37" s="37" t="s">
        <v>785</v>
      </c>
      <c r="H37" s="49" t="s">
        <v>422</v>
      </c>
      <c r="I37" s="37" t="s">
        <v>421</v>
      </c>
      <c r="J37" s="37"/>
      <c r="K37" s="37">
        <v>4</v>
      </c>
      <c r="L37" s="37"/>
      <c r="M37" s="37"/>
      <c r="N37" s="37" t="s">
        <v>223</v>
      </c>
      <c r="O37" s="50" t="s">
        <v>223</v>
      </c>
      <c r="P37" s="49"/>
      <c r="Q37" s="37"/>
      <c r="R37" s="37"/>
      <c r="S37" s="37"/>
      <c r="T37" s="37"/>
      <c r="U37" s="37"/>
      <c r="V37" s="37"/>
      <c r="W37" s="50"/>
      <c r="X37" s="49"/>
      <c r="Y37" s="37"/>
      <c r="Z37" s="37"/>
      <c r="AA37" s="37"/>
      <c r="AB37" s="37"/>
      <c r="AC37" s="37"/>
      <c r="AD37" s="37"/>
      <c r="AE37" s="50"/>
      <c r="AF37" s="49"/>
      <c r="AG37" s="37"/>
      <c r="AH37" s="37"/>
      <c r="AI37" s="37"/>
      <c r="AJ37" s="37"/>
      <c r="AK37" s="37"/>
      <c r="AL37" s="37"/>
      <c r="AM37" s="50"/>
      <c r="AN37" s="49"/>
      <c r="AO37" s="37"/>
      <c r="AP37" s="37"/>
      <c r="AQ37" s="37"/>
      <c r="AR37" s="37"/>
      <c r="AS37" s="37"/>
      <c r="AT37" s="37"/>
      <c r="AU37" s="50"/>
      <c r="AV37" s="49"/>
      <c r="AW37" s="37"/>
      <c r="AX37" s="37"/>
      <c r="AY37" s="37"/>
      <c r="AZ37" s="37"/>
      <c r="BA37" s="37"/>
      <c r="BB37" s="37"/>
      <c r="BC37" s="50"/>
      <c r="BD37" s="49"/>
      <c r="BE37" s="37"/>
      <c r="BF37" s="37"/>
      <c r="BG37" s="37"/>
      <c r="BH37" s="37"/>
      <c r="BI37" s="37"/>
      <c r="BJ37" s="37"/>
      <c r="BK37" s="50"/>
      <c r="BL37" s="49"/>
      <c r="BM37" s="37"/>
      <c r="BN37" s="37"/>
      <c r="BO37" s="37"/>
      <c r="BP37" s="37"/>
      <c r="BQ37" s="37"/>
      <c r="BR37" s="37"/>
      <c r="BS37" s="50"/>
      <c r="BT37" s="49"/>
      <c r="BU37" s="37"/>
      <c r="BV37" s="37"/>
      <c r="BW37" s="37"/>
      <c r="BX37" s="37"/>
      <c r="BY37" s="37"/>
      <c r="BZ37" s="37"/>
      <c r="CA37" s="50"/>
      <c r="CB37" s="49"/>
      <c r="CC37" s="37"/>
      <c r="CD37" s="37"/>
      <c r="CE37" s="37"/>
      <c r="CF37" s="37"/>
      <c r="CG37" s="37"/>
      <c r="CH37" s="37"/>
      <c r="CI37" s="50"/>
      <c r="CJ37" s="49"/>
      <c r="CK37" s="37"/>
      <c r="CL37" s="37"/>
      <c r="CM37" s="37"/>
      <c r="CN37" s="37"/>
      <c r="CO37" s="37"/>
      <c r="CP37" s="37"/>
      <c r="CQ37" s="50"/>
      <c r="CR37" s="49"/>
      <c r="CS37" s="37"/>
      <c r="CT37" s="37"/>
      <c r="CU37" s="37"/>
      <c r="CV37" s="37"/>
      <c r="CW37" s="37"/>
      <c r="CX37" s="37"/>
      <c r="CY37" s="50"/>
      <c r="CZ37" s="49"/>
      <c r="DA37" s="37"/>
      <c r="DB37" s="37"/>
      <c r="DC37" s="37"/>
      <c r="DD37" s="37"/>
      <c r="DE37" s="37"/>
      <c r="DF37" s="37"/>
      <c r="DG37" s="50"/>
      <c r="DH37" s="49"/>
      <c r="DI37" s="37"/>
      <c r="DJ37" s="37"/>
      <c r="DK37" s="37"/>
      <c r="DL37" s="37"/>
      <c r="DM37" s="37"/>
      <c r="DN37" s="37"/>
      <c r="DO37" s="50"/>
      <c r="DP37" s="49"/>
      <c r="DQ37" s="37"/>
      <c r="DR37" s="37"/>
      <c r="DS37" s="37"/>
      <c r="DT37" s="37"/>
      <c r="DU37" s="37"/>
      <c r="DV37" s="37"/>
      <c r="DW37" s="50"/>
      <c r="DX37" s="49"/>
      <c r="DY37" s="37"/>
      <c r="DZ37" s="37"/>
      <c r="EA37" s="37"/>
      <c r="EB37" s="37"/>
      <c r="EC37" s="37"/>
      <c r="ED37" s="37"/>
      <c r="EE37" s="50"/>
      <c r="EF37" s="49"/>
      <c r="EG37" s="37"/>
      <c r="EH37" s="37"/>
      <c r="EI37" s="37"/>
      <c r="EJ37" s="37"/>
      <c r="EK37" s="37"/>
      <c r="EL37" s="37"/>
      <c r="EM37" s="50"/>
      <c r="EN37" s="22"/>
      <c r="EO37" s="12"/>
      <c r="EP37" s="12"/>
      <c r="EQ37" s="12"/>
      <c r="ER37" s="12"/>
      <c r="ES37" s="12"/>
      <c r="ET37" s="12"/>
      <c r="EU37" s="23"/>
      <c r="EV37" s="49"/>
      <c r="EW37" s="37"/>
      <c r="EX37" s="37"/>
      <c r="EY37" s="37"/>
      <c r="EZ37" s="37"/>
      <c r="FA37" s="37"/>
      <c r="FB37" s="37"/>
      <c r="FC37" s="50"/>
      <c r="FD37" s="49"/>
      <c r="FE37" s="37"/>
      <c r="FF37" s="37"/>
      <c r="FG37" s="37"/>
      <c r="FH37" s="37"/>
      <c r="FI37" s="37"/>
      <c r="FJ37" s="37"/>
      <c r="FK37" s="50"/>
      <c r="FL37" s="37" t="s">
        <v>223</v>
      </c>
      <c r="FM37" s="37" t="s">
        <v>223</v>
      </c>
      <c r="FN37" s="37"/>
    </row>
    <row r="38" spans="1:170" x14ac:dyDescent="0.25">
      <c r="A38" s="38">
        <f t="shared" si="1"/>
        <v>37</v>
      </c>
      <c r="B38" s="37" t="s">
        <v>899</v>
      </c>
      <c r="C38" s="37" t="s">
        <v>900</v>
      </c>
      <c r="D38" s="48">
        <v>44827.445196759261</v>
      </c>
      <c r="E38" s="37" t="s">
        <v>816</v>
      </c>
      <c r="F38" s="37" t="s">
        <v>785</v>
      </c>
      <c r="G38" s="37" t="s">
        <v>785</v>
      </c>
      <c r="H38" s="49" t="s">
        <v>770</v>
      </c>
      <c r="I38" s="37" t="s">
        <v>769</v>
      </c>
      <c r="J38" s="37" t="s">
        <v>221</v>
      </c>
      <c r="K38" s="37">
        <v>1</v>
      </c>
      <c r="L38" s="37"/>
      <c r="M38" s="37"/>
      <c r="N38" s="37" t="s">
        <v>223</v>
      </c>
      <c r="O38" s="50" t="s">
        <v>223</v>
      </c>
      <c r="P38" s="49"/>
      <c r="Q38" s="37"/>
      <c r="R38" s="37"/>
      <c r="S38" s="37"/>
      <c r="T38" s="37"/>
      <c r="U38" s="37"/>
      <c r="V38" s="37"/>
      <c r="W38" s="50"/>
      <c r="X38" s="49"/>
      <c r="Y38" s="37"/>
      <c r="Z38" s="37"/>
      <c r="AA38" s="37"/>
      <c r="AB38" s="37"/>
      <c r="AC38" s="37"/>
      <c r="AD38" s="37"/>
      <c r="AE38" s="50"/>
      <c r="AF38" s="49"/>
      <c r="AG38" s="37"/>
      <c r="AH38" s="37"/>
      <c r="AI38" s="37"/>
      <c r="AJ38" s="37"/>
      <c r="AK38" s="37"/>
      <c r="AL38" s="37"/>
      <c r="AM38" s="50"/>
      <c r="AN38" s="49"/>
      <c r="AO38" s="37"/>
      <c r="AP38" s="37"/>
      <c r="AQ38" s="37"/>
      <c r="AR38" s="37"/>
      <c r="AS38" s="37"/>
      <c r="AT38" s="37"/>
      <c r="AU38" s="50"/>
      <c r="AV38" s="49"/>
      <c r="AW38" s="37"/>
      <c r="AX38" s="37"/>
      <c r="AY38" s="37"/>
      <c r="AZ38" s="37"/>
      <c r="BA38" s="37"/>
      <c r="BB38" s="37"/>
      <c r="BC38" s="50"/>
      <c r="BD38" s="49"/>
      <c r="BE38" s="37"/>
      <c r="BF38" s="37"/>
      <c r="BG38" s="37"/>
      <c r="BH38" s="37"/>
      <c r="BI38" s="37"/>
      <c r="BJ38" s="37"/>
      <c r="BK38" s="50"/>
      <c r="BL38" s="49"/>
      <c r="BM38" s="37"/>
      <c r="BN38" s="37"/>
      <c r="BO38" s="37"/>
      <c r="BP38" s="37"/>
      <c r="BQ38" s="37"/>
      <c r="BR38" s="37"/>
      <c r="BS38" s="50"/>
      <c r="BT38" s="49"/>
      <c r="BU38" s="37"/>
      <c r="BV38" s="37"/>
      <c r="BW38" s="37"/>
      <c r="BX38" s="37"/>
      <c r="BY38" s="37"/>
      <c r="BZ38" s="37"/>
      <c r="CA38" s="50"/>
      <c r="CB38" s="49"/>
      <c r="CC38" s="37"/>
      <c r="CD38" s="37"/>
      <c r="CE38" s="37"/>
      <c r="CF38" s="37"/>
      <c r="CG38" s="37"/>
      <c r="CH38" s="37"/>
      <c r="CI38" s="50"/>
      <c r="CJ38" s="49"/>
      <c r="CK38" s="37"/>
      <c r="CL38" s="37"/>
      <c r="CM38" s="37"/>
      <c r="CN38" s="37"/>
      <c r="CO38" s="37"/>
      <c r="CP38" s="37"/>
      <c r="CQ38" s="50"/>
      <c r="CR38" s="49"/>
      <c r="CS38" s="37"/>
      <c r="CT38" s="37"/>
      <c r="CU38" s="37"/>
      <c r="CV38" s="37"/>
      <c r="CW38" s="37"/>
      <c r="CX38" s="37"/>
      <c r="CY38" s="50"/>
      <c r="CZ38" s="49"/>
      <c r="DA38" s="37"/>
      <c r="DB38" s="37"/>
      <c r="DC38" s="37"/>
      <c r="DD38" s="37"/>
      <c r="DE38" s="37"/>
      <c r="DF38" s="37"/>
      <c r="DG38" s="50"/>
      <c r="DH38" s="49"/>
      <c r="DI38" s="37"/>
      <c r="DJ38" s="37"/>
      <c r="DK38" s="37"/>
      <c r="DL38" s="37"/>
      <c r="DM38" s="37"/>
      <c r="DN38" s="37"/>
      <c r="DO38" s="50"/>
      <c r="DP38" s="49"/>
      <c r="DQ38" s="37"/>
      <c r="DR38" s="37"/>
      <c r="DS38" s="37"/>
      <c r="DT38" s="37"/>
      <c r="DU38" s="37"/>
      <c r="DV38" s="37"/>
      <c r="DW38" s="50"/>
      <c r="DX38" s="49"/>
      <c r="DY38" s="37"/>
      <c r="DZ38" s="37"/>
      <c r="EA38" s="37"/>
      <c r="EB38" s="37"/>
      <c r="EC38" s="37"/>
      <c r="ED38" s="37"/>
      <c r="EE38" s="50"/>
      <c r="EF38" s="49"/>
      <c r="EG38" s="37"/>
      <c r="EH38" s="37"/>
      <c r="EI38" s="37"/>
      <c r="EJ38" s="37"/>
      <c r="EK38" s="37"/>
      <c r="EL38" s="37"/>
      <c r="EM38" s="50"/>
      <c r="EN38" s="22"/>
      <c r="EO38" s="12"/>
      <c r="EP38" s="12"/>
      <c r="EQ38" s="12"/>
      <c r="ER38" s="12"/>
      <c r="ES38" s="12"/>
      <c r="ET38" s="12"/>
      <c r="EU38" s="23"/>
      <c r="EV38" s="49"/>
      <c r="EW38" s="37"/>
      <c r="EX38" s="37"/>
      <c r="EY38" s="37"/>
      <c r="EZ38" s="37"/>
      <c r="FA38" s="37"/>
      <c r="FB38" s="37"/>
      <c r="FC38" s="50"/>
      <c r="FD38" s="49"/>
      <c r="FE38" s="37"/>
      <c r="FF38" s="37"/>
      <c r="FG38" s="37"/>
      <c r="FH38" s="37"/>
      <c r="FI38" s="37"/>
      <c r="FJ38" s="37"/>
      <c r="FK38" s="50"/>
      <c r="FL38" s="37" t="s">
        <v>223</v>
      </c>
      <c r="FM38" s="37" t="s">
        <v>223</v>
      </c>
      <c r="FN38" s="37"/>
    </row>
    <row r="39" spans="1:170" x14ac:dyDescent="0.25">
      <c r="A39" s="38">
        <f t="shared" si="1"/>
        <v>38</v>
      </c>
      <c r="B39" s="37" t="s">
        <v>901</v>
      </c>
      <c r="C39" s="37" t="s">
        <v>900</v>
      </c>
      <c r="D39" s="48">
        <v>44826.481608796297</v>
      </c>
      <c r="E39" s="37" t="s">
        <v>816</v>
      </c>
      <c r="F39" s="37" t="s">
        <v>785</v>
      </c>
      <c r="G39" s="37" t="s">
        <v>785</v>
      </c>
      <c r="H39" s="49" t="s">
        <v>767</v>
      </c>
      <c r="I39" s="37" t="s">
        <v>766</v>
      </c>
      <c r="J39" s="37" t="s">
        <v>221</v>
      </c>
      <c r="K39" s="37">
        <v>6</v>
      </c>
      <c r="L39" s="37"/>
      <c r="M39" s="37"/>
      <c r="N39" s="37" t="s">
        <v>223</v>
      </c>
      <c r="O39" s="50" t="s">
        <v>223</v>
      </c>
      <c r="P39" s="49" t="s">
        <v>770</v>
      </c>
      <c r="Q39" s="37" t="s">
        <v>769</v>
      </c>
      <c r="R39" s="37" t="s">
        <v>221</v>
      </c>
      <c r="S39" s="37">
        <v>3</v>
      </c>
      <c r="T39" s="37"/>
      <c r="U39" s="37"/>
      <c r="V39" s="37" t="s">
        <v>223</v>
      </c>
      <c r="W39" s="50" t="s">
        <v>223</v>
      </c>
      <c r="X39" s="49">
        <v>1311</v>
      </c>
      <c r="Y39" s="37" t="s">
        <v>488</v>
      </c>
      <c r="Z39" s="37" t="s">
        <v>235</v>
      </c>
      <c r="AA39" s="37">
        <v>2</v>
      </c>
      <c r="AB39" s="37"/>
      <c r="AC39" s="37"/>
      <c r="AD39" s="37" t="s">
        <v>223</v>
      </c>
      <c r="AE39" s="50" t="s">
        <v>223</v>
      </c>
      <c r="AF39" s="49"/>
      <c r="AG39" s="37"/>
      <c r="AH39" s="37"/>
      <c r="AI39" s="37"/>
      <c r="AJ39" s="37"/>
      <c r="AK39" s="37"/>
      <c r="AL39" s="37"/>
      <c r="AM39" s="50"/>
      <c r="AN39" s="49"/>
      <c r="AO39" s="37"/>
      <c r="AP39" s="37"/>
      <c r="AQ39" s="37"/>
      <c r="AR39" s="37"/>
      <c r="AS39" s="37"/>
      <c r="AT39" s="37"/>
      <c r="AU39" s="50"/>
      <c r="AV39" s="49"/>
      <c r="AW39" s="37"/>
      <c r="AX39" s="37"/>
      <c r="AY39" s="37"/>
      <c r="AZ39" s="37"/>
      <c r="BA39" s="37"/>
      <c r="BB39" s="37"/>
      <c r="BC39" s="50"/>
      <c r="BD39" s="49"/>
      <c r="BE39" s="37"/>
      <c r="BF39" s="37"/>
      <c r="BG39" s="37"/>
      <c r="BH39" s="37"/>
      <c r="BI39" s="37"/>
      <c r="BJ39" s="37"/>
      <c r="BK39" s="50"/>
      <c r="BL39" s="49"/>
      <c r="BM39" s="37"/>
      <c r="BN39" s="37"/>
      <c r="BO39" s="37"/>
      <c r="BP39" s="37"/>
      <c r="BQ39" s="37"/>
      <c r="BR39" s="37"/>
      <c r="BS39" s="50"/>
      <c r="BT39" s="49"/>
      <c r="BU39" s="37"/>
      <c r="BV39" s="37"/>
      <c r="BW39" s="37"/>
      <c r="BX39" s="37"/>
      <c r="BY39" s="37"/>
      <c r="BZ39" s="37"/>
      <c r="CA39" s="50"/>
      <c r="CB39" s="49"/>
      <c r="CC39" s="37"/>
      <c r="CD39" s="37"/>
      <c r="CE39" s="37"/>
      <c r="CF39" s="37"/>
      <c r="CG39" s="37"/>
      <c r="CH39" s="37"/>
      <c r="CI39" s="50"/>
      <c r="CJ39" s="49"/>
      <c r="CK39" s="37"/>
      <c r="CL39" s="37"/>
      <c r="CM39" s="37"/>
      <c r="CN39" s="37"/>
      <c r="CO39" s="37"/>
      <c r="CP39" s="37"/>
      <c r="CQ39" s="50"/>
      <c r="CR39" s="49"/>
      <c r="CS39" s="37"/>
      <c r="CT39" s="37"/>
      <c r="CU39" s="37"/>
      <c r="CV39" s="37"/>
      <c r="CW39" s="37"/>
      <c r="CX39" s="37"/>
      <c r="CY39" s="50"/>
      <c r="CZ39" s="49"/>
      <c r="DA39" s="37"/>
      <c r="DB39" s="37"/>
      <c r="DC39" s="37"/>
      <c r="DD39" s="37"/>
      <c r="DE39" s="37"/>
      <c r="DF39" s="37"/>
      <c r="DG39" s="50"/>
      <c r="DH39" s="49"/>
      <c r="DI39" s="37"/>
      <c r="DJ39" s="37"/>
      <c r="DK39" s="37"/>
      <c r="DL39" s="37"/>
      <c r="DM39" s="37"/>
      <c r="DN39" s="37"/>
      <c r="DO39" s="50"/>
      <c r="DP39" s="49"/>
      <c r="DQ39" s="37"/>
      <c r="DR39" s="37"/>
      <c r="DS39" s="37"/>
      <c r="DT39" s="37"/>
      <c r="DU39" s="37"/>
      <c r="DV39" s="37"/>
      <c r="DW39" s="50"/>
      <c r="DX39" s="49"/>
      <c r="DY39" s="37"/>
      <c r="DZ39" s="37"/>
      <c r="EA39" s="37"/>
      <c r="EB39" s="37"/>
      <c r="EC39" s="37"/>
      <c r="ED39" s="37"/>
      <c r="EE39" s="50"/>
      <c r="EF39" s="49"/>
      <c r="EG39" s="37"/>
      <c r="EH39" s="37"/>
      <c r="EI39" s="37"/>
      <c r="EJ39" s="37"/>
      <c r="EK39" s="37"/>
      <c r="EL39" s="37"/>
      <c r="EM39" s="50"/>
      <c r="EN39" s="22"/>
      <c r="EO39" s="12"/>
      <c r="EP39" s="12"/>
      <c r="EQ39" s="12"/>
      <c r="ER39" s="12"/>
      <c r="ES39" s="12"/>
      <c r="ET39" s="12"/>
      <c r="EU39" s="23"/>
      <c r="EV39" s="49"/>
      <c r="EW39" s="37"/>
      <c r="EX39" s="37"/>
      <c r="EY39" s="37"/>
      <c r="EZ39" s="37"/>
      <c r="FA39" s="37"/>
      <c r="FB39" s="37"/>
      <c r="FC39" s="50"/>
      <c r="FD39" s="49"/>
      <c r="FE39" s="37"/>
      <c r="FF39" s="37"/>
      <c r="FG39" s="37"/>
      <c r="FH39" s="37"/>
      <c r="FI39" s="37"/>
      <c r="FJ39" s="37"/>
      <c r="FK39" s="50"/>
      <c r="FL39" s="37" t="s">
        <v>223</v>
      </c>
      <c r="FM39" s="37"/>
      <c r="FN39" s="37"/>
    </row>
    <row r="40" spans="1:170" x14ac:dyDescent="0.25">
      <c r="A40" s="38">
        <f t="shared" si="1"/>
        <v>39</v>
      </c>
      <c r="B40" s="37" t="s">
        <v>901</v>
      </c>
      <c r="C40" s="37" t="s">
        <v>787</v>
      </c>
      <c r="D40" s="48">
        <v>44826.444664351853</v>
      </c>
      <c r="E40" s="37" t="s">
        <v>784</v>
      </c>
      <c r="F40" s="37" t="s">
        <v>784</v>
      </c>
      <c r="G40" s="37" t="s">
        <v>894</v>
      </c>
      <c r="H40" s="49" t="s">
        <v>624</v>
      </c>
      <c r="I40" s="37" t="s">
        <v>623</v>
      </c>
      <c r="J40" s="37" t="s">
        <v>626</v>
      </c>
      <c r="K40" s="37">
        <v>20</v>
      </c>
      <c r="L40" s="37"/>
      <c r="M40" s="37"/>
      <c r="N40" s="37" t="s">
        <v>32</v>
      </c>
      <c r="O40" s="50" t="s">
        <v>790</v>
      </c>
      <c r="P40" s="49"/>
      <c r="Q40" s="37"/>
      <c r="R40" s="37"/>
      <c r="S40" s="37"/>
      <c r="T40" s="37"/>
      <c r="U40" s="37"/>
      <c r="V40" s="37"/>
      <c r="W40" s="50"/>
      <c r="X40" s="49"/>
      <c r="Y40" s="37"/>
      <c r="Z40" s="37"/>
      <c r="AA40" s="37"/>
      <c r="AB40" s="37"/>
      <c r="AC40" s="37"/>
      <c r="AD40" s="37"/>
      <c r="AE40" s="50"/>
      <c r="AF40" s="49"/>
      <c r="AG40" s="37"/>
      <c r="AH40" s="37"/>
      <c r="AI40" s="37"/>
      <c r="AJ40" s="37"/>
      <c r="AK40" s="37"/>
      <c r="AL40" s="37"/>
      <c r="AM40" s="50"/>
      <c r="AN40" s="49"/>
      <c r="AO40" s="37"/>
      <c r="AP40" s="37"/>
      <c r="AQ40" s="37"/>
      <c r="AR40" s="37"/>
      <c r="AS40" s="37"/>
      <c r="AT40" s="37"/>
      <c r="AU40" s="50"/>
      <c r="AV40" s="49"/>
      <c r="AW40" s="37"/>
      <c r="AX40" s="37"/>
      <c r="AY40" s="37"/>
      <c r="AZ40" s="37"/>
      <c r="BA40" s="37"/>
      <c r="BB40" s="37"/>
      <c r="BC40" s="50"/>
      <c r="BD40" s="49"/>
      <c r="BE40" s="37"/>
      <c r="BF40" s="37"/>
      <c r="BG40" s="37"/>
      <c r="BH40" s="37"/>
      <c r="BI40" s="37"/>
      <c r="BJ40" s="37"/>
      <c r="BK40" s="50"/>
      <c r="BL40" s="49"/>
      <c r="BM40" s="37"/>
      <c r="BN40" s="37"/>
      <c r="BO40" s="37"/>
      <c r="BP40" s="37"/>
      <c r="BQ40" s="37"/>
      <c r="BR40" s="37"/>
      <c r="BS40" s="50"/>
      <c r="BT40" s="49"/>
      <c r="BU40" s="37"/>
      <c r="BV40" s="37"/>
      <c r="BW40" s="37"/>
      <c r="BX40" s="37"/>
      <c r="BY40" s="37"/>
      <c r="BZ40" s="37"/>
      <c r="CA40" s="50"/>
      <c r="CB40" s="49"/>
      <c r="CC40" s="37"/>
      <c r="CD40" s="37"/>
      <c r="CE40" s="37"/>
      <c r="CF40" s="37"/>
      <c r="CG40" s="37"/>
      <c r="CH40" s="37"/>
      <c r="CI40" s="50"/>
      <c r="CJ40" s="49"/>
      <c r="CK40" s="37"/>
      <c r="CL40" s="37"/>
      <c r="CM40" s="37"/>
      <c r="CN40" s="37"/>
      <c r="CO40" s="37"/>
      <c r="CP40" s="37"/>
      <c r="CQ40" s="50"/>
      <c r="CR40" s="49"/>
      <c r="CS40" s="37"/>
      <c r="CT40" s="37"/>
      <c r="CU40" s="37"/>
      <c r="CV40" s="37"/>
      <c r="CW40" s="37"/>
      <c r="CX40" s="37"/>
      <c r="CY40" s="50"/>
      <c r="CZ40" s="49"/>
      <c r="DA40" s="37"/>
      <c r="DB40" s="37"/>
      <c r="DC40" s="37"/>
      <c r="DD40" s="37"/>
      <c r="DE40" s="37"/>
      <c r="DF40" s="37"/>
      <c r="DG40" s="50"/>
      <c r="DH40" s="49"/>
      <c r="DI40" s="37"/>
      <c r="DJ40" s="37"/>
      <c r="DK40" s="37"/>
      <c r="DL40" s="37"/>
      <c r="DM40" s="37"/>
      <c r="DN40" s="37"/>
      <c r="DO40" s="50"/>
      <c r="DP40" s="49"/>
      <c r="DQ40" s="37"/>
      <c r="DR40" s="37"/>
      <c r="DS40" s="37"/>
      <c r="DT40" s="37"/>
      <c r="DU40" s="37"/>
      <c r="DV40" s="37"/>
      <c r="DW40" s="50"/>
      <c r="DX40" s="49"/>
      <c r="DY40" s="37"/>
      <c r="DZ40" s="37"/>
      <c r="EA40" s="37"/>
      <c r="EB40" s="37"/>
      <c r="EC40" s="37"/>
      <c r="ED40" s="37"/>
      <c r="EE40" s="50"/>
      <c r="EF40" s="49"/>
      <c r="EG40" s="37"/>
      <c r="EH40" s="37"/>
      <c r="EI40" s="37"/>
      <c r="EJ40" s="37"/>
      <c r="EK40" s="37"/>
      <c r="EL40" s="37"/>
      <c r="EM40" s="50"/>
      <c r="EN40" s="22"/>
      <c r="EO40" s="12"/>
      <c r="EP40" s="12"/>
      <c r="EQ40" s="12"/>
      <c r="ER40" s="12"/>
      <c r="ES40" s="12"/>
      <c r="ET40" s="12"/>
      <c r="EU40" s="23"/>
      <c r="EV40" s="49"/>
      <c r="EW40" s="37"/>
      <c r="EX40" s="37"/>
      <c r="EY40" s="37"/>
      <c r="EZ40" s="37"/>
      <c r="FA40" s="37"/>
      <c r="FB40" s="37"/>
      <c r="FC40" s="50"/>
      <c r="FD40" s="49"/>
      <c r="FE40" s="37"/>
      <c r="FF40" s="37"/>
      <c r="FG40" s="37"/>
      <c r="FH40" s="37"/>
      <c r="FI40" s="37"/>
      <c r="FJ40" s="37"/>
      <c r="FK40" s="50"/>
      <c r="FL40" s="37" t="s">
        <v>790</v>
      </c>
      <c r="FM40" s="37"/>
      <c r="FN40" s="37"/>
    </row>
    <row r="41" spans="1:170" x14ac:dyDescent="0.25">
      <c r="A41" s="38">
        <f t="shared" si="1"/>
        <v>40</v>
      </c>
      <c r="B41" s="37" t="s">
        <v>902</v>
      </c>
      <c r="C41" s="37" t="s">
        <v>787</v>
      </c>
      <c r="D41" s="48">
        <v>44826.440104166664</v>
      </c>
      <c r="E41" s="37" t="s">
        <v>784</v>
      </c>
      <c r="F41" s="37" t="s">
        <v>784</v>
      </c>
      <c r="G41" s="37" t="s">
        <v>785</v>
      </c>
      <c r="H41" s="49" t="s">
        <v>765</v>
      </c>
      <c r="I41" s="37" t="s">
        <v>764</v>
      </c>
      <c r="J41" s="37" t="s">
        <v>221</v>
      </c>
      <c r="K41" s="37">
        <v>5</v>
      </c>
      <c r="L41" s="37"/>
      <c r="M41" s="37"/>
      <c r="N41" s="37" t="s">
        <v>629</v>
      </c>
      <c r="O41" s="50" t="s">
        <v>793</v>
      </c>
      <c r="P41" s="49" t="s">
        <v>422</v>
      </c>
      <c r="Q41" s="37" t="s">
        <v>421</v>
      </c>
      <c r="R41" s="37"/>
      <c r="S41" s="37">
        <v>9</v>
      </c>
      <c r="T41" s="37"/>
      <c r="U41" s="37"/>
      <c r="V41" s="37" t="s">
        <v>645</v>
      </c>
      <c r="W41" s="50" t="s">
        <v>793</v>
      </c>
      <c r="X41" s="49"/>
      <c r="Y41" s="37"/>
      <c r="Z41" s="37"/>
      <c r="AA41" s="37"/>
      <c r="AB41" s="37"/>
      <c r="AC41" s="37"/>
      <c r="AD41" s="37"/>
      <c r="AE41" s="50"/>
      <c r="AF41" s="49"/>
      <c r="AG41" s="37"/>
      <c r="AH41" s="37"/>
      <c r="AI41" s="37"/>
      <c r="AJ41" s="37"/>
      <c r="AK41" s="37"/>
      <c r="AL41" s="37"/>
      <c r="AM41" s="50"/>
      <c r="AN41" s="49"/>
      <c r="AO41" s="37"/>
      <c r="AP41" s="37"/>
      <c r="AQ41" s="37"/>
      <c r="AR41" s="37"/>
      <c r="AS41" s="37"/>
      <c r="AT41" s="37"/>
      <c r="AU41" s="50"/>
      <c r="AV41" s="49"/>
      <c r="AW41" s="37"/>
      <c r="AX41" s="37"/>
      <c r="AY41" s="37"/>
      <c r="AZ41" s="37"/>
      <c r="BA41" s="37"/>
      <c r="BB41" s="37"/>
      <c r="BC41" s="50"/>
      <c r="BD41" s="49"/>
      <c r="BE41" s="37"/>
      <c r="BF41" s="37"/>
      <c r="BG41" s="37"/>
      <c r="BH41" s="37"/>
      <c r="BI41" s="37"/>
      <c r="BJ41" s="37"/>
      <c r="BK41" s="50"/>
      <c r="BL41" s="49"/>
      <c r="BM41" s="37"/>
      <c r="BN41" s="37"/>
      <c r="BO41" s="37"/>
      <c r="BP41" s="37"/>
      <c r="BQ41" s="37"/>
      <c r="BR41" s="37"/>
      <c r="BS41" s="50"/>
      <c r="BT41" s="49"/>
      <c r="BU41" s="37"/>
      <c r="BV41" s="37"/>
      <c r="BW41" s="37"/>
      <c r="BX41" s="37"/>
      <c r="BY41" s="37"/>
      <c r="BZ41" s="37"/>
      <c r="CA41" s="50"/>
      <c r="CB41" s="49"/>
      <c r="CC41" s="37"/>
      <c r="CD41" s="37"/>
      <c r="CE41" s="37"/>
      <c r="CF41" s="37"/>
      <c r="CG41" s="37"/>
      <c r="CH41" s="37"/>
      <c r="CI41" s="50"/>
      <c r="CJ41" s="49"/>
      <c r="CK41" s="37"/>
      <c r="CL41" s="37"/>
      <c r="CM41" s="37"/>
      <c r="CN41" s="37"/>
      <c r="CO41" s="37"/>
      <c r="CP41" s="37"/>
      <c r="CQ41" s="50"/>
      <c r="CR41" s="49"/>
      <c r="CS41" s="37"/>
      <c r="CT41" s="37"/>
      <c r="CU41" s="37"/>
      <c r="CV41" s="37"/>
      <c r="CW41" s="37"/>
      <c r="CX41" s="37"/>
      <c r="CY41" s="50"/>
      <c r="CZ41" s="49"/>
      <c r="DA41" s="37"/>
      <c r="DB41" s="37"/>
      <c r="DC41" s="37"/>
      <c r="DD41" s="37"/>
      <c r="DE41" s="37"/>
      <c r="DF41" s="37"/>
      <c r="DG41" s="50"/>
      <c r="DH41" s="49"/>
      <c r="DI41" s="37"/>
      <c r="DJ41" s="37"/>
      <c r="DK41" s="37"/>
      <c r="DL41" s="37"/>
      <c r="DM41" s="37"/>
      <c r="DN41" s="37"/>
      <c r="DO41" s="50"/>
      <c r="DP41" s="49"/>
      <c r="DQ41" s="37"/>
      <c r="DR41" s="37"/>
      <c r="DS41" s="37"/>
      <c r="DT41" s="37"/>
      <c r="DU41" s="37"/>
      <c r="DV41" s="37"/>
      <c r="DW41" s="50"/>
      <c r="DX41" s="49"/>
      <c r="DY41" s="37"/>
      <c r="DZ41" s="37"/>
      <c r="EA41" s="37"/>
      <c r="EB41" s="37"/>
      <c r="EC41" s="37"/>
      <c r="ED41" s="37"/>
      <c r="EE41" s="50"/>
      <c r="EF41" s="49"/>
      <c r="EG41" s="37"/>
      <c r="EH41" s="37"/>
      <c r="EI41" s="37"/>
      <c r="EJ41" s="37"/>
      <c r="EK41" s="37"/>
      <c r="EL41" s="37"/>
      <c r="EM41" s="50"/>
      <c r="EN41" s="22"/>
      <c r="EO41" s="12"/>
      <c r="EP41" s="12"/>
      <c r="EQ41" s="12"/>
      <c r="ER41" s="12"/>
      <c r="ES41" s="12"/>
      <c r="ET41" s="12"/>
      <c r="EU41" s="23"/>
      <c r="EV41" s="49"/>
      <c r="EW41" s="37"/>
      <c r="EX41" s="37"/>
      <c r="EY41" s="37"/>
      <c r="EZ41" s="37"/>
      <c r="FA41" s="37"/>
      <c r="FB41" s="37"/>
      <c r="FC41" s="50"/>
      <c r="FD41" s="49"/>
      <c r="FE41" s="37"/>
      <c r="FF41" s="37"/>
      <c r="FG41" s="37"/>
      <c r="FH41" s="37"/>
      <c r="FI41" s="37"/>
      <c r="FJ41" s="37"/>
      <c r="FK41" s="50"/>
      <c r="FL41" s="37" t="s">
        <v>903</v>
      </c>
      <c r="FM41" s="37"/>
      <c r="FN41" s="37"/>
    </row>
    <row r="42" spans="1:170" x14ac:dyDescent="0.25">
      <c r="A42" s="38">
        <f t="shared" si="1"/>
        <v>41</v>
      </c>
      <c r="B42" s="37" t="s">
        <v>904</v>
      </c>
      <c r="C42" s="37" t="s">
        <v>795</v>
      </c>
      <c r="D42" s="48">
        <v>44826.433159722219</v>
      </c>
      <c r="E42" s="37" t="s">
        <v>784</v>
      </c>
      <c r="F42" s="37" t="s">
        <v>784</v>
      </c>
      <c r="G42" s="37" t="s">
        <v>785</v>
      </c>
      <c r="H42" s="49" t="s">
        <v>225</v>
      </c>
      <c r="I42" s="37" t="s">
        <v>224</v>
      </c>
      <c r="J42" s="37" t="s">
        <v>221</v>
      </c>
      <c r="K42" s="37">
        <v>1</v>
      </c>
      <c r="L42" s="37"/>
      <c r="M42" s="37"/>
      <c r="N42" s="37" t="s">
        <v>223</v>
      </c>
      <c r="O42" s="50" t="s">
        <v>796</v>
      </c>
      <c r="P42" s="49" t="s">
        <v>763</v>
      </c>
      <c r="Q42" s="37" t="s">
        <v>762</v>
      </c>
      <c r="R42" s="37" t="s">
        <v>221</v>
      </c>
      <c r="S42" s="37">
        <v>1</v>
      </c>
      <c r="T42" s="37"/>
      <c r="U42" s="37"/>
      <c r="V42" s="37" t="s">
        <v>223</v>
      </c>
      <c r="W42" s="50"/>
      <c r="X42" s="49"/>
      <c r="Y42" s="37"/>
      <c r="Z42" s="37"/>
      <c r="AA42" s="37"/>
      <c r="AB42" s="37"/>
      <c r="AC42" s="37"/>
      <c r="AD42" s="37"/>
      <c r="AE42" s="50"/>
      <c r="AF42" s="49"/>
      <c r="AG42" s="37"/>
      <c r="AH42" s="37"/>
      <c r="AI42" s="37"/>
      <c r="AJ42" s="37"/>
      <c r="AK42" s="37"/>
      <c r="AL42" s="37"/>
      <c r="AM42" s="50"/>
      <c r="AN42" s="49"/>
      <c r="AO42" s="37"/>
      <c r="AP42" s="37"/>
      <c r="AQ42" s="37"/>
      <c r="AR42" s="37"/>
      <c r="AS42" s="37"/>
      <c r="AT42" s="37"/>
      <c r="AU42" s="50"/>
      <c r="AV42" s="49"/>
      <c r="AW42" s="37"/>
      <c r="AX42" s="37"/>
      <c r="AY42" s="37"/>
      <c r="AZ42" s="37"/>
      <c r="BA42" s="37"/>
      <c r="BB42" s="37"/>
      <c r="BC42" s="50"/>
      <c r="BD42" s="49"/>
      <c r="BE42" s="37"/>
      <c r="BF42" s="37"/>
      <c r="BG42" s="37"/>
      <c r="BH42" s="37"/>
      <c r="BI42" s="37"/>
      <c r="BJ42" s="37"/>
      <c r="BK42" s="50"/>
      <c r="BL42" s="49"/>
      <c r="BM42" s="37"/>
      <c r="BN42" s="37"/>
      <c r="BO42" s="37"/>
      <c r="BP42" s="37"/>
      <c r="BQ42" s="37"/>
      <c r="BR42" s="37"/>
      <c r="BS42" s="50"/>
      <c r="BT42" s="49"/>
      <c r="BU42" s="37"/>
      <c r="BV42" s="37"/>
      <c r="BW42" s="37"/>
      <c r="BX42" s="37"/>
      <c r="BY42" s="37"/>
      <c r="BZ42" s="37"/>
      <c r="CA42" s="50"/>
      <c r="CB42" s="49"/>
      <c r="CC42" s="37"/>
      <c r="CD42" s="37"/>
      <c r="CE42" s="37"/>
      <c r="CF42" s="37"/>
      <c r="CG42" s="37"/>
      <c r="CH42" s="37"/>
      <c r="CI42" s="50"/>
      <c r="CJ42" s="49"/>
      <c r="CK42" s="37"/>
      <c r="CL42" s="37"/>
      <c r="CM42" s="37"/>
      <c r="CN42" s="37"/>
      <c r="CO42" s="37"/>
      <c r="CP42" s="37"/>
      <c r="CQ42" s="50"/>
      <c r="CR42" s="49"/>
      <c r="CS42" s="37"/>
      <c r="CT42" s="37"/>
      <c r="CU42" s="37"/>
      <c r="CV42" s="37"/>
      <c r="CW42" s="37"/>
      <c r="CX42" s="37"/>
      <c r="CY42" s="50"/>
      <c r="CZ42" s="49"/>
      <c r="DA42" s="37"/>
      <c r="DB42" s="37"/>
      <c r="DC42" s="37"/>
      <c r="DD42" s="37"/>
      <c r="DE42" s="37"/>
      <c r="DF42" s="37"/>
      <c r="DG42" s="50"/>
      <c r="DH42" s="49"/>
      <c r="DI42" s="37"/>
      <c r="DJ42" s="37"/>
      <c r="DK42" s="37"/>
      <c r="DL42" s="37"/>
      <c r="DM42" s="37"/>
      <c r="DN42" s="37"/>
      <c r="DO42" s="50"/>
      <c r="DP42" s="49"/>
      <c r="DQ42" s="37"/>
      <c r="DR42" s="37"/>
      <c r="DS42" s="37"/>
      <c r="DT42" s="37"/>
      <c r="DU42" s="37"/>
      <c r="DV42" s="37"/>
      <c r="DW42" s="50"/>
      <c r="DX42" s="49"/>
      <c r="DY42" s="37"/>
      <c r="DZ42" s="37"/>
      <c r="EA42" s="37"/>
      <c r="EB42" s="37"/>
      <c r="EC42" s="37"/>
      <c r="ED42" s="37"/>
      <c r="EE42" s="50"/>
      <c r="EF42" s="49"/>
      <c r="EG42" s="37"/>
      <c r="EH42" s="37"/>
      <c r="EI42" s="37"/>
      <c r="EJ42" s="37"/>
      <c r="EK42" s="37"/>
      <c r="EL42" s="37"/>
      <c r="EM42" s="50"/>
      <c r="EN42" s="22"/>
      <c r="EO42" s="12"/>
      <c r="EP42" s="12"/>
      <c r="EQ42" s="12"/>
      <c r="ER42" s="12"/>
      <c r="ES42" s="12"/>
      <c r="ET42" s="12"/>
      <c r="EU42" s="23"/>
      <c r="EV42" s="49"/>
      <c r="EW42" s="37"/>
      <c r="EX42" s="37"/>
      <c r="EY42" s="37"/>
      <c r="EZ42" s="37"/>
      <c r="FA42" s="37"/>
      <c r="FB42" s="37"/>
      <c r="FC42" s="50"/>
      <c r="FD42" s="49"/>
      <c r="FE42" s="37"/>
      <c r="FF42" s="37"/>
      <c r="FG42" s="37"/>
      <c r="FH42" s="37"/>
      <c r="FI42" s="37"/>
      <c r="FJ42" s="37"/>
      <c r="FK42" s="50"/>
      <c r="FL42" s="37" t="s">
        <v>796</v>
      </c>
      <c r="FM42" s="37"/>
      <c r="FN42" s="37"/>
    </row>
    <row r="43" spans="1:170" x14ac:dyDescent="0.25">
      <c r="A43" s="38">
        <f t="shared" si="1"/>
        <v>42</v>
      </c>
      <c r="B43" s="37" t="s">
        <v>905</v>
      </c>
      <c r="C43" s="37" t="s">
        <v>223</v>
      </c>
      <c r="D43" s="48">
        <v>44825.633206018516</v>
      </c>
      <c r="E43" s="37" t="s">
        <v>887</v>
      </c>
      <c r="F43" s="37" t="s">
        <v>853</v>
      </c>
      <c r="G43" s="37" t="s">
        <v>906</v>
      </c>
      <c r="H43" s="49" t="s">
        <v>470</v>
      </c>
      <c r="I43" s="37" t="s">
        <v>469</v>
      </c>
      <c r="J43" s="37" t="s">
        <v>243</v>
      </c>
      <c r="K43" s="37">
        <v>190</v>
      </c>
      <c r="L43" s="37"/>
      <c r="M43" s="37"/>
      <c r="N43" s="37" t="s">
        <v>223</v>
      </c>
      <c r="O43" s="50" t="s">
        <v>223</v>
      </c>
      <c r="P43" s="49"/>
      <c r="Q43" s="37"/>
      <c r="R43" s="37"/>
      <c r="S43" s="37"/>
      <c r="T43" s="37"/>
      <c r="U43" s="37"/>
      <c r="V43" s="37"/>
      <c r="W43" s="50"/>
      <c r="X43" s="49"/>
      <c r="Y43" s="37"/>
      <c r="Z43" s="37"/>
      <c r="AA43" s="37"/>
      <c r="AB43" s="37"/>
      <c r="AC43" s="37"/>
      <c r="AD43" s="37"/>
      <c r="AE43" s="50"/>
      <c r="AF43" s="49"/>
      <c r="AG43" s="37"/>
      <c r="AH43" s="37"/>
      <c r="AI43" s="37"/>
      <c r="AJ43" s="37"/>
      <c r="AK43" s="37"/>
      <c r="AL43" s="37"/>
      <c r="AM43" s="50"/>
      <c r="AN43" s="49"/>
      <c r="AO43" s="37"/>
      <c r="AP43" s="37"/>
      <c r="AQ43" s="37"/>
      <c r="AR43" s="37"/>
      <c r="AS43" s="37"/>
      <c r="AT43" s="37"/>
      <c r="AU43" s="50"/>
      <c r="AV43" s="49"/>
      <c r="AW43" s="37"/>
      <c r="AX43" s="37"/>
      <c r="AY43" s="37"/>
      <c r="AZ43" s="37"/>
      <c r="BA43" s="37"/>
      <c r="BB43" s="37"/>
      <c r="BC43" s="50"/>
      <c r="BD43" s="49"/>
      <c r="BE43" s="37"/>
      <c r="BF43" s="37"/>
      <c r="BG43" s="37"/>
      <c r="BH43" s="37"/>
      <c r="BI43" s="37"/>
      <c r="BJ43" s="37"/>
      <c r="BK43" s="50"/>
      <c r="BL43" s="49"/>
      <c r="BM43" s="37"/>
      <c r="BN43" s="37"/>
      <c r="BO43" s="37"/>
      <c r="BP43" s="37"/>
      <c r="BQ43" s="37"/>
      <c r="BR43" s="37"/>
      <c r="BS43" s="50"/>
      <c r="BT43" s="49"/>
      <c r="BU43" s="37"/>
      <c r="BV43" s="37"/>
      <c r="BW43" s="37"/>
      <c r="BX43" s="37"/>
      <c r="BY43" s="37"/>
      <c r="BZ43" s="37"/>
      <c r="CA43" s="50"/>
      <c r="CB43" s="49"/>
      <c r="CC43" s="37"/>
      <c r="CD43" s="37"/>
      <c r="CE43" s="37"/>
      <c r="CF43" s="37"/>
      <c r="CG43" s="37"/>
      <c r="CH43" s="37"/>
      <c r="CI43" s="50"/>
      <c r="CJ43" s="49"/>
      <c r="CK43" s="37"/>
      <c r="CL43" s="37"/>
      <c r="CM43" s="37"/>
      <c r="CN43" s="37"/>
      <c r="CO43" s="37"/>
      <c r="CP43" s="37"/>
      <c r="CQ43" s="50"/>
      <c r="CR43" s="49"/>
      <c r="CS43" s="37"/>
      <c r="CT43" s="37"/>
      <c r="CU43" s="37"/>
      <c r="CV43" s="37"/>
      <c r="CW43" s="37"/>
      <c r="CX43" s="37"/>
      <c r="CY43" s="50"/>
      <c r="CZ43" s="49"/>
      <c r="DA43" s="37"/>
      <c r="DB43" s="37"/>
      <c r="DC43" s="37"/>
      <c r="DD43" s="37"/>
      <c r="DE43" s="37"/>
      <c r="DF43" s="37"/>
      <c r="DG43" s="50"/>
      <c r="DH43" s="49"/>
      <c r="DI43" s="37"/>
      <c r="DJ43" s="37"/>
      <c r="DK43" s="37"/>
      <c r="DL43" s="37"/>
      <c r="DM43" s="37"/>
      <c r="DN43" s="37"/>
      <c r="DO43" s="50"/>
      <c r="DP43" s="49"/>
      <c r="DQ43" s="37"/>
      <c r="DR43" s="37"/>
      <c r="DS43" s="37"/>
      <c r="DT43" s="37"/>
      <c r="DU43" s="37"/>
      <c r="DV43" s="37"/>
      <c r="DW43" s="50"/>
      <c r="DX43" s="49"/>
      <c r="DY43" s="37"/>
      <c r="DZ43" s="37"/>
      <c r="EA43" s="37"/>
      <c r="EB43" s="37"/>
      <c r="EC43" s="37"/>
      <c r="ED43" s="37"/>
      <c r="EE43" s="50"/>
      <c r="EF43" s="49"/>
      <c r="EG43" s="37"/>
      <c r="EH43" s="37"/>
      <c r="EI43" s="37"/>
      <c r="EJ43" s="37"/>
      <c r="EK43" s="37"/>
      <c r="EL43" s="37"/>
      <c r="EM43" s="50"/>
      <c r="EN43" s="22"/>
      <c r="EO43" s="12"/>
      <c r="EP43" s="12"/>
      <c r="EQ43" s="12"/>
      <c r="ER43" s="12"/>
      <c r="ES43" s="12"/>
      <c r="ET43" s="12"/>
      <c r="EU43" s="23"/>
      <c r="EV43" s="49"/>
      <c r="EW43" s="37"/>
      <c r="EX43" s="37"/>
      <c r="EY43" s="37"/>
      <c r="EZ43" s="37"/>
      <c r="FA43" s="37"/>
      <c r="FB43" s="37"/>
      <c r="FC43" s="50"/>
      <c r="FD43" s="49"/>
      <c r="FE43" s="37"/>
      <c r="FF43" s="37"/>
      <c r="FG43" s="37"/>
      <c r="FH43" s="37"/>
      <c r="FI43" s="37"/>
      <c r="FJ43" s="37"/>
      <c r="FK43" s="50"/>
      <c r="FL43" s="37" t="s">
        <v>223</v>
      </c>
      <c r="FM43" s="37" t="s">
        <v>223</v>
      </c>
      <c r="FN43" s="37"/>
    </row>
    <row r="44" spans="1:170" x14ac:dyDescent="0.25">
      <c r="A44" s="38">
        <f t="shared" si="1"/>
        <v>43</v>
      </c>
      <c r="B44" s="37" t="s">
        <v>907</v>
      </c>
      <c r="C44" s="37" t="s">
        <v>798</v>
      </c>
      <c r="D44" s="48">
        <v>44825.615752314814</v>
      </c>
      <c r="E44" s="37" t="s">
        <v>784</v>
      </c>
      <c r="F44" s="37" t="s">
        <v>784</v>
      </c>
      <c r="G44" s="37" t="s">
        <v>785</v>
      </c>
      <c r="H44" s="49" t="s">
        <v>597</v>
      </c>
      <c r="I44" s="37" t="s">
        <v>596</v>
      </c>
      <c r="J44" s="37" t="s">
        <v>235</v>
      </c>
      <c r="K44" s="37">
        <v>16</v>
      </c>
      <c r="L44" s="37"/>
      <c r="M44" s="37"/>
      <c r="N44" s="37" t="s">
        <v>223</v>
      </c>
      <c r="O44" s="50" t="s">
        <v>223</v>
      </c>
      <c r="P44" s="49"/>
      <c r="Q44" s="37"/>
      <c r="R44" s="37"/>
      <c r="S44" s="37"/>
      <c r="T44" s="37"/>
      <c r="U44" s="37"/>
      <c r="V44" s="37"/>
      <c r="W44" s="50"/>
      <c r="X44" s="49"/>
      <c r="Y44" s="37"/>
      <c r="Z44" s="37"/>
      <c r="AA44" s="37"/>
      <c r="AB44" s="37"/>
      <c r="AC44" s="37"/>
      <c r="AD44" s="37"/>
      <c r="AE44" s="50"/>
      <c r="AF44" s="49"/>
      <c r="AG44" s="37"/>
      <c r="AH44" s="37"/>
      <c r="AI44" s="37"/>
      <c r="AJ44" s="37"/>
      <c r="AK44" s="37"/>
      <c r="AL44" s="37"/>
      <c r="AM44" s="50"/>
      <c r="AN44" s="49"/>
      <c r="AO44" s="37"/>
      <c r="AP44" s="37"/>
      <c r="AQ44" s="37"/>
      <c r="AR44" s="37"/>
      <c r="AS44" s="37"/>
      <c r="AT44" s="37"/>
      <c r="AU44" s="50"/>
      <c r="AV44" s="49"/>
      <c r="AW44" s="37"/>
      <c r="AX44" s="37"/>
      <c r="AY44" s="37"/>
      <c r="AZ44" s="37"/>
      <c r="BA44" s="37"/>
      <c r="BB44" s="37"/>
      <c r="BC44" s="50"/>
      <c r="BD44" s="49"/>
      <c r="BE44" s="37"/>
      <c r="BF44" s="37"/>
      <c r="BG44" s="37"/>
      <c r="BH44" s="37"/>
      <c r="BI44" s="37"/>
      <c r="BJ44" s="37"/>
      <c r="BK44" s="50"/>
      <c r="BL44" s="49"/>
      <c r="BM44" s="37"/>
      <c r="BN44" s="37"/>
      <c r="BO44" s="37"/>
      <c r="BP44" s="37"/>
      <c r="BQ44" s="37"/>
      <c r="BR44" s="37"/>
      <c r="BS44" s="50"/>
      <c r="BT44" s="49"/>
      <c r="BU44" s="37"/>
      <c r="BV44" s="37"/>
      <c r="BW44" s="37"/>
      <c r="BX44" s="37"/>
      <c r="BY44" s="37"/>
      <c r="BZ44" s="37"/>
      <c r="CA44" s="50"/>
      <c r="CB44" s="49"/>
      <c r="CC44" s="37"/>
      <c r="CD44" s="37"/>
      <c r="CE44" s="37"/>
      <c r="CF44" s="37"/>
      <c r="CG44" s="37"/>
      <c r="CH44" s="37"/>
      <c r="CI44" s="50"/>
      <c r="CJ44" s="49"/>
      <c r="CK44" s="37"/>
      <c r="CL44" s="37"/>
      <c r="CM44" s="37"/>
      <c r="CN44" s="37"/>
      <c r="CO44" s="37"/>
      <c r="CP44" s="37"/>
      <c r="CQ44" s="50"/>
      <c r="CR44" s="49"/>
      <c r="CS44" s="37"/>
      <c r="CT44" s="37"/>
      <c r="CU44" s="37"/>
      <c r="CV44" s="37"/>
      <c r="CW44" s="37"/>
      <c r="CX44" s="37"/>
      <c r="CY44" s="50"/>
      <c r="CZ44" s="49"/>
      <c r="DA44" s="37"/>
      <c r="DB44" s="37"/>
      <c r="DC44" s="37"/>
      <c r="DD44" s="37"/>
      <c r="DE44" s="37"/>
      <c r="DF44" s="37"/>
      <c r="DG44" s="50"/>
      <c r="DH44" s="49"/>
      <c r="DI44" s="37"/>
      <c r="DJ44" s="37"/>
      <c r="DK44" s="37"/>
      <c r="DL44" s="37"/>
      <c r="DM44" s="37"/>
      <c r="DN44" s="37"/>
      <c r="DO44" s="50"/>
      <c r="DP44" s="49"/>
      <c r="DQ44" s="37"/>
      <c r="DR44" s="37"/>
      <c r="DS44" s="37"/>
      <c r="DT44" s="37"/>
      <c r="DU44" s="37"/>
      <c r="DV44" s="37"/>
      <c r="DW44" s="50"/>
      <c r="DX44" s="49"/>
      <c r="DY44" s="37"/>
      <c r="DZ44" s="37"/>
      <c r="EA44" s="37"/>
      <c r="EB44" s="37"/>
      <c r="EC44" s="37"/>
      <c r="ED44" s="37"/>
      <c r="EE44" s="50"/>
      <c r="EF44" s="49"/>
      <c r="EG44" s="37"/>
      <c r="EH44" s="37"/>
      <c r="EI44" s="37"/>
      <c r="EJ44" s="37"/>
      <c r="EK44" s="37"/>
      <c r="EL44" s="37"/>
      <c r="EM44" s="50"/>
      <c r="EN44" s="22"/>
      <c r="EO44" s="12"/>
      <c r="EP44" s="12"/>
      <c r="EQ44" s="12"/>
      <c r="ER44" s="12"/>
      <c r="ES44" s="12"/>
      <c r="ET44" s="12"/>
      <c r="EU44" s="23"/>
      <c r="EV44" s="49"/>
      <c r="EW44" s="37"/>
      <c r="EX44" s="37"/>
      <c r="EY44" s="37"/>
      <c r="EZ44" s="37"/>
      <c r="FA44" s="37"/>
      <c r="FB44" s="37"/>
      <c r="FC44" s="50"/>
      <c r="FD44" s="49"/>
      <c r="FE44" s="37"/>
      <c r="FF44" s="37"/>
      <c r="FG44" s="37"/>
      <c r="FH44" s="37"/>
      <c r="FI44" s="37"/>
      <c r="FJ44" s="37"/>
      <c r="FK44" s="50"/>
      <c r="FL44" s="37"/>
      <c r="FM44" s="37"/>
      <c r="FN44" s="37"/>
    </row>
    <row r="45" spans="1:170" x14ac:dyDescent="0.25">
      <c r="A45" s="38">
        <f t="shared" si="1"/>
        <v>44</v>
      </c>
      <c r="B45" s="37" t="s">
        <v>908</v>
      </c>
      <c r="C45" s="37" t="s">
        <v>787</v>
      </c>
      <c r="D45" s="48">
        <v>44825.555810185186</v>
      </c>
      <c r="E45" s="37" t="s">
        <v>804</v>
      </c>
      <c r="F45" s="37" t="s">
        <v>805</v>
      </c>
      <c r="G45" s="37" t="s">
        <v>785</v>
      </c>
      <c r="H45" s="49" t="s">
        <v>743</v>
      </c>
      <c r="I45" s="37" t="s">
        <v>742</v>
      </c>
      <c r="J45" s="37" t="s">
        <v>221</v>
      </c>
      <c r="K45" s="37">
        <v>10</v>
      </c>
      <c r="L45" s="37"/>
      <c r="M45" s="37"/>
      <c r="N45" s="37" t="s">
        <v>629</v>
      </c>
      <c r="O45" s="50" t="s">
        <v>807</v>
      </c>
      <c r="P45" s="49" t="s">
        <v>745</v>
      </c>
      <c r="Q45" s="37" t="s">
        <v>744</v>
      </c>
      <c r="R45" s="37" t="s">
        <v>221</v>
      </c>
      <c r="S45" s="37">
        <v>1</v>
      </c>
      <c r="T45" s="37"/>
      <c r="U45" s="37"/>
      <c r="V45" s="37" t="s">
        <v>629</v>
      </c>
      <c r="W45" s="50" t="s">
        <v>807</v>
      </c>
      <c r="X45" s="49" t="s">
        <v>749</v>
      </c>
      <c r="Y45" s="37" t="s">
        <v>748</v>
      </c>
      <c r="Z45" s="37" t="s">
        <v>221</v>
      </c>
      <c r="AA45" s="37">
        <v>5</v>
      </c>
      <c r="AB45" s="37"/>
      <c r="AC45" s="37"/>
      <c r="AD45" s="37" t="s">
        <v>629</v>
      </c>
      <c r="AE45" s="50" t="s">
        <v>807</v>
      </c>
      <c r="AF45" s="49" t="s">
        <v>663</v>
      </c>
      <c r="AG45" s="37" t="s">
        <v>662</v>
      </c>
      <c r="AH45" s="37" t="s">
        <v>570</v>
      </c>
      <c r="AI45" s="37">
        <v>20</v>
      </c>
      <c r="AJ45" s="37"/>
      <c r="AK45" s="37"/>
      <c r="AL45" s="37" t="s">
        <v>223</v>
      </c>
      <c r="AM45" s="50" t="s">
        <v>808</v>
      </c>
      <c r="AN45" s="49" t="s">
        <v>447</v>
      </c>
      <c r="AO45" s="37" t="s">
        <v>446</v>
      </c>
      <c r="AP45" s="37" t="s">
        <v>448</v>
      </c>
      <c r="AQ45" s="37">
        <v>5</v>
      </c>
      <c r="AR45" s="37"/>
      <c r="AS45" s="37"/>
      <c r="AT45" s="37" t="s">
        <v>223</v>
      </c>
      <c r="AU45" s="50" t="s">
        <v>808</v>
      </c>
      <c r="AV45" s="49"/>
      <c r="AW45" s="37"/>
      <c r="AX45" s="37"/>
      <c r="AY45" s="37"/>
      <c r="AZ45" s="37"/>
      <c r="BA45" s="37"/>
      <c r="BB45" s="37"/>
      <c r="BC45" s="50"/>
      <c r="BD45" s="49"/>
      <c r="BE45" s="37"/>
      <c r="BF45" s="37"/>
      <c r="BG45" s="37"/>
      <c r="BH45" s="37"/>
      <c r="BI45" s="37"/>
      <c r="BJ45" s="37"/>
      <c r="BK45" s="50"/>
      <c r="BL45" s="49"/>
      <c r="BM45" s="37"/>
      <c r="BN45" s="37"/>
      <c r="BO45" s="37"/>
      <c r="BP45" s="37"/>
      <c r="BQ45" s="37"/>
      <c r="BR45" s="37"/>
      <c r="BS45" s="50"/>
      <c r="BT45" s="49"/>
      <c r="BU45" s="37"/>
      <c r="BV45" s="37"/>
      <c r="BW45" s="37"/>
      <c r="BX45" s="37"/>
      <c r="BY45" s="37"/>
      <c r="BZ45" s="37"/>
      <c r="CA45" s="50"/>
      <c r="CB45" s="49"/>
      <c r="CC45" s="37"/>
      <c r="CD45" s="37"/>
      <c r="CE45" s="37"/>
      <c r="CF45" s="37"/>
      <c r="CG45" s="37"/>
      <c r="CH45" s="37"/>
      <c r="CI45" s="50"/>
      <c r="CJ45" s="49"/>
      <c r="CK45" s="37"/>
      <c r="CL45" s="37"/>
      <c r="CM45" s="37"/>
      <c r="CN45" s="37"/>
      <c r="CO45" s="37"/>
      <c r="CP45" s="37"/>
      <c r="CQ45" s="50"/>
      <c r="CR45" s="49"/>
      <c r="CS45" s="37"/>
      <c r="CT45" s="37"/>
      <c r="CU45" s="37"/>
      <c r="CV45" s="37"/>
      <c r="CW45" s="37"/>
      <c r="CX45" s="37"/>
      <c r="CY45" s="50"/>
      <c r="CZ45" s="49"/>
      <c r="DA45" s="37"/>
      <c r="DB45" s="37"/>
      <c r="DC45" s="37"/>
      <c r="DD45" s="37"/>
      <c r="DE45" s="37"/>
      <c r="DF45" s="37"/>
      <c r="DG45" s="50"/>
      <c r="DH45" s="49"/>
      <c r="DI45" s="37"/>
      <c r="DJ45" s="37"/>
      <c r="DK45" s="37"/>
      <c r="DL45" s="37"/>
      <c r="DM45" s="37"/>
      <c r="DN45" s="37"/>
      <c r="DO45" s="50"/>
      <c r="DP45" s="49"/>
      <c r="DQ45" s="37"/>
      <c r="DR45" s="37"/>
      <c r="DS45" s="37"/>
      <c r="DT45" s="37"/>
      <c r="DU45" s="37"/>
      <c r="DV45" s="37"/>
      <c r="DW45" s="50"/>
      <c r="DX45" s="49"/>
      <c r="DY45" s="37"/>
      <c r="DZ45" s="37"/>
      <c r="EA45" s="37"/>
      <c r="EB45" s="37"/>
      <c r="EC45" s="37"/>
      <c r="ED45" s="37"/>
      <c r="EE45" s="50"/>
      <c r="EF45" s="49"/>
      <c r="EG45" s="37"/>
      <c r="EH45" s="37"/>
      <c r="EI45" s="37"/>
      <c r="EJ45" s="37"/>
      <c r="EK45" s="37"/>
      <c r="EL45" s="37"/>
      <c r="EM45" s="50"/>
      <c r="EN45" s="22"/>
      <c r="EO45" s="12"/>
      <c r="EP45" s="12"/>
      <c r="EQ45" s="12"/>
      <c r="ER45" s="12"/>
      <c r="ES45" s="12"/>
      <c r="ET45" s="12"/>
      <c r="EU45" s="23"/>
      <c r="EV45" s="49"/>
      <c r="EW45" s="37"/>
      <c r="EX45" s="37"/>
      <c r="EY45" s="37"/>
      <c r="EZ45" s="37"/>
      <c r="FA45" s="37"/>
      <c r="FB45" s="37"/>
      <c r="FC45" s="50"/>
      <c r="FD45" s="49"/>
      <c r="FE45" s="37"/>
      <c r="FF45" s="37"/>
      <c r="FG45" s="37"/>
      <c r="FH45" s="37"/>
      <c r="FI45" s="37"/>
      <c r="FJ45" s="37"/>
      <c r="FK45" s="50"/>
      <c r="FL45" s="37" t="s">
        <v>629</v>
      </c>
      <c r="FM45" s="37"/>
      <c r="FN45" s="37"/>
    </row>
    <row r="46" spans="1:170" x14ac:dyDescent="0.25">
      <c r="A46" s="38">
        <f t="shared" si="1"/>
        <v>45</v>
      </c>
      <c r="B46" s="37" t="s">
        <v>909</v>
      </c>
      <c r="C46" s="37" t="s">
        <v>787</v>
      </c>
      <c r="D46" s="48">
        <v>44825.551527777781</v>
      </c>
      <c r="E46" s="37" t="s">
        <v>910</v>
      </c>
      <c r="F46" s="37" t="s">
        <v>805</v>
      </c>
      <c r="G46" s="37" t="s">
        <v>785</v>
      </c>
      <c r="H46" s="49" t="s">
        <v>741</v>
      </c>
      <c r="I46" s="37" t="s">
        <v>740</v>
      </c>
      <c r="J46" s="37" t="s">
        <v>221</v>
      </c>
      <c r="K46" s="37">
        <v>4</v>
      </c>
      <c r="L46" s="37"/>
      <c r="M46" s="37"/>
      <c r="N46" s="37" t="s">
        <v>629</v>
      </c>
      <c r="O46" s="50" t="s">
        <v>911</v>
      </c>
      <c r="P46" s="49"/>
      <c r="Q46" s="37"/>
      <c r="R46" s="37"/>
      <c r="S46" s="37"/>
      <c r="T46" s="37"/>
      <c r="U46" s="37"/>
      <c r="V46" s="37"/>
      <c r="W46" s="50"/>
      <c r="X46" s="49"/>
      <c r="Y46" s="37"/>
      <c r="Z46" s="37"/>
      <c r="AA46" s="37"/>
      <c r="AB46" s="37"/>
      <c r="AC46" s="37"/>
      <c r="AD46" s="37"/>
      <c r="AE46" s="50"/>
      <c r="AF46" s="49"/>
      <c r="AG46" s="37"/>
      <c r="AH46" s="37"/>
      <c r="AI46" s="37"/>
      <c r="AJ46" s="37"/>
      <c r="AK46" s="37"/>
      <c r="AL46" s="37"/>
      <c r="AM46" s="50"/>
      <c r="AN46" s="49"/>
      <c r="AO46" s="37"/>
      <c r="AP46" s="37"/>
      <c r="AQ46" s="37"/>
      <c r="AR46" s="37"/>
      <c r="AS46" s="37"/>
      <c r="AT46" s="37"/>
      <c r="AU46" s="50"/>
      <c r="AV46" s="49"/>
      <c r="AW46" s="37"/>
      <c r="AX46" s="37"/>
      <c r="AY46" s="37"/>
      <c r="AZ46" s="37"/>
      <c r="BA46" s="37"/>
      <c r="BB46" s="37"/>
      <c r="BC46" s="50"/>
      <c r="BD46" s="49"/>
      <c r="BE46" s="37"/>
      <c r="BF46" s="37"/>
      <c r="BG46" s="37"/>
      <c r="BH46" s="37"/>
      <c r="BI46" s="37"/>
      <c r="BJ46" s="37"/>
      <c r="BK46" s="50"/>
      <c r="BL46" s="49"/>
      <c r="BM46" s="37"/>
      <c r="BN46" s="37"/>
      <c r="BO46" s="37"/>
      <c r="BP46" s="37"/>
      <c r="BQ46" s="37"/>
      <c r="BR46" s="37"/>
      <c r="BS46" s="50"/>
      <c r="BT46" s="49"/>
      <c r="BU46" s="37"/>
      <c r="BV46" s="37"/>
      <c r="BW46" s="37"/>
      <c r="BX46" s="37"/>
      <c r="BY46" s="37"/>
      <c r="BZ46" s="37"/>
      <c r="CA46" s="50"/>
      <c r="CB46" s="49"/>
      <c r="CC46" s="37"/>
      <c r="CD46" s="37"/>
      <c r="CE46" s="37"/>
      <c r="CF46" s="37"/>
      <c r="CG46" s="37"/>
      <c r="CH46" s="37"/>
      <c r="CI46" s="50"/>
      <c r="CJ46" s="49"/>
      <c r="CK46" s="37"/>
      <c r="CL46" s="37"/>
      <c r="CM46" s="37"/>
      <c r="CN46" s="37"/>
      <c r="CO46" s="37"/>
      <c r="CP46" s="37"/>
      <c r="CQ46" s="50"/>
      <c r="CR46" s="49"/>
      <c r="CS46" s="37"/>
      <c r="CT46" s="37"/>
      <c r="CU46" s="37"/>
      <c r="CV46" s="37"/>
      <c r="CW46" s="37"/>
      <c r="CX46" s="37"/>
      <c r="CY46" s="50"/>
      <c r="CZ46" s="49"/>
      <c r="DA46" s="37"/>
      <c r="DB46" s="37"/>
      <c r="DC46" s="37"/>
      <c r="DD46" s="37"/>
      <c r="DE46" s="37"/>
      <c r="DF46" s="37"/>
      <c r="DG46" s="50"/>
      <c r="DH46" s="49"/>
      <c r="DI46" s="37"/>
      <c r="DJ46" s="37"/>
      <c r="DK46" s="37"/>
      <c r="DL46" s="37"/>
      <c r="DM46" s="37"/>
      <c r="DN46" s="37"/>
      <c r="DO46" s="50"/>
      <c r="DP46" s="49"/>
      <c r="DQ46" s="37"/>
      <c r="DR46" s="37"/>
      <c r="DS46" s="37"/>
      <c r="DT46" s="37"/>
      <c r="DU46" s="37"/>
      <c r="DV46" s="37"/>
      <c r="DW46" s="50"/>
      <c r="DX46" s="49"/>
      <c r="DY46" s="37"/>
      <c r="DZ46" s="37"/>
      <c r="EA46" s="37"/>
      <c r="EB46" s="37"/>
      <c r="EC46" s="37"/>
      <c r="ED46" s="37"/>
      <c r="EE46" s="50"/>
      <c r="EF46" s="49"/>
      <c r="EG46" s="37"/>
      <c r="EH46" s="37"/>
      <c r="EI46" s="37"/>
      <c r="EJ46" s="37"/>
      <c r="EK46" s="37"/>
      <c r="EL46" s="37"/>
      <c r="EM46" s="50"/>
      <c r="EN46" s="22"/>
      <c r="EO46" s="12"/>
      <c r="EP46" s="12"/>
      <c r="EQ46" s="12"/>
      <c r="ER46" s="12"/>
      <c r="ES46" s="12"/>
      <c r="ET46" s="12"/>
      <c r="EU46" s="23"/>
      <c r="EV46" s="49"/>
      <c r="EW46" s="37"/>
      <c r="EX46" s="37"/>
      <c r="EY46" s="37"/>
      <c r="EZ46" s="37"/>
      <c r="FA46" s="37"/>
      <c r="FB46" s="37"/>
      <c r="FC46" s="50"/>
      <c r="FD46" s="49"/>
      <c r="FE46" s="37"/>
      <c r="FF46" s="37"/>
      <c r="FG46" s="37"/>
      <c r="FH46" s="37"/>
      <c r="FI46" s="37"/>
      <c r="FJ46" s="37"/>
      <c r="FK46" s="50"/>
      <c r="FL46" s="37" t="s">
        <v>629</v>
      </c>
      <c r="FM46" s="37"/>
      <c r="FN46" s="37"/>
    </row>
    <row r="47" spans="1:170" x14ac:dyDescent="0.25">
      <c r="A47" s="38">
        <f t="shared" si="1"/>
        <v>46</v>
      </c>
      <c r="B47" s="37" t="s">
        <v>912</v>
      </c>
      <c r="C47" s="37" t="s">
        <v>823</v>
      </c>
      <c r="D47" s="48">
        <v>44823.750914351855</v>
      </c>
      <c r="E47" s="37" t="s">
        <v>784</v>
      </c>
      <c r="F47" s="37" t="s">
        <v>824</v>
      </c>
      <c r="G47" s="37" t="s">
        <v>785</v>
      </c>
      <c r="H47" s="49" t="s">
        <v>447</v>
      </c>
      <c r="I47" s="37" t="s">
        <v>446</v>
      </c>
      <c r="J47" s="37" t="s">
        <v>448</v>
      </c>
      <c r="K47" s="37">
        <v>5</v>
      </c>
      <c r="L47" s="37"/>
      <c r="M47" s="37"/>
      <c r="N47" s="37" t="s">
        <v>223</v>
      </c>
      <c r="O47" s="50" t="s">
        <v>223</v>
      </c>
      <c r="P47" s="49" t="s">
        <v>643</v>
      </c>
      <c r="Q47" s="37" t="s">
        <v>642</v>
      </c>
      <c r="R47" s="37" t="s">
        <v>235</v>
      </c>
      <c r="S47" s="37">
        <v>3</v>
      </c>
      <c r="T47" s="37"/>
      <c r="U47" s="37"/>
      <c r="V47" s="37" t="s">
        <v>223</v>
      </c>
      <c r="W47" s="50"/>
      <c r="X47" s="49" t="s">
        <v>426</v>
      </c>
      <c r="Y47" s="37" t="s">
        <v>818</v>
      </c>
      <c r="Z47" s="37" t="s">
        <v>235</v>
      </c>
      <c r="AA47" s="37">
        <v>4</v>
      </c>
      <c r="AB47" s="37"/>
      <c r="AC47" s="37"/>
      <c r="AD47" s="37" t="s">
        <v>223</v>
      </c>
      <c r="AE47" s="50"/>
      <c r="AF47" s="49" t="s">
        <v>663</v>
      </c>
      <c r="AG47" s="37" t="s">
        <v>662</v>
      </c>
      <c r="AH47" s="37" t="s">
        <v>570</v>
      </c>
      <c r="AI47" s="37">
        <v>5</v>
      </c>
      <c r="AJ47" s="37"/>
      <c r="AK47" s="37"/>
      <c r="AL47" s="37" t="s">
        <v>223</v>
      </c>
      <c r="AM47" s="50" t="s">
        <v>223</v>
      </c>
      <c r="AN47" s="49"/>
      <c r="AO47" s="37"/>
      <c r="AP47" s="37"/>
      <c r="AQ47" s="37"/>
      <c r="AR47" s="37"/>
      <c r="AS47" s="37"/>
      <c r="AT47" s="37"/>
      <c r="AU47" s="50"/>
      <c r="AV47" s="49"/>
      <c r="AW47" s="37"/>
      <c r="AX47" s="37"/>
      <c r="AY47" s="37"/>
      <c r="AZ47" s="37"/>
      <c r="BA47" s="37"/>
      <c r="BB47" s="37"/>
      <c r="BC47" s="50"/>
      <c r="BD47" s="49"/>
      <c r="BE47" s="37"/>
      <c r="BF47" s="37"/>
      <c r="BG47" s="37"/>
      <c r="BH47" s="37"/>
      <c r="BI47" s="37"/>
      <c r="BJ47" s="37"/>
      <c r="BK47" s="50"/>
      <c r="BL47" s="49"/>
      <c r="BM47" s="37"/>
      <c r="BN47" s="37"/>
      <c r="BO47" s="37"/>
      <c r="BP47" s="37"/>
      <c r="BQ47" s="37"/>
      <c r="BR47" s="37"/>
      <c r="BS47" s="50"/>
      <c r="BT47" s="49"/>
      <c r="BU47" s="37"/>
      <c r="BV47" s="37"/>
      <c r="BW47" s="37"/>
      <c r="BX47" s="37"/>
      <c r="BY47" s="37"/>
      <c r="BZ47" s="37"/>
      <c r="CA47" s="50"/>
      <c r="CB47" s="49"/>
      <c r="CC47" s="37"/>
      <c r="CD47" s="37"/>
      <c r="CE47" s="37"/>
      <c r="CF47" s="37"/>
      <c r="CG47" s="37"/>
      <c r="CH47" s="37"/>
      <c r="CI47" s="50"/>
      <c r="CJ47" s="49"/>
      <c r="CK47" s="37"/>
      <c r="CL47" s="37"/>
      <c r="CM47" s="37"/>
      <c r="CN47" s="37"/>
      <c r="CO47" s="37"/>
      <c r="CP47" s="37"/>
      <c r="CQ47" s="50"/>
      <c r="CR47" s="49"/>
      <c r="CS47" s="37"/>
      <c r="CT47" s="37"/>
      <c r="CU47" s="37"/>
      <c r="CV47" s="37"/>
      <c r="CW47" s="37"/>
      <c r="CX47" s="37"/>
      <c r="CY47" s="50"/>
      <c r="CZ47" s="49"/>
      <c r="DA47" s="37"/>
      <c r="DB47" s="37"/>
      <c r="DC47" s="37"/>
      <c r="DD47" s="37"/>
      <c r="DE47" s="37"/>
      <c r="DF47" s="37"/>
      <c r="DG47" s="50"/>
      <c r="DH47" s="49"/>
      <c r="DI47" s="37"/>
      <c r="DJ47" s="37"/>
      <c r="DK47" s="37"/>
      <c r="DL47" s="37"/>
      <c r="DM47" s="37"/>
      <c r="DN47" s="37"/>
      <c r="DO47" s="50"/>
      <c r="DP47" s="49"/>
      <c r="DQ47" s="37"/>
      <c r="DR47" s="37"/>
      <c r="DS47" s="37"/>
      <c r="DT47" s="37"/>
      <c r="DU47" s="37"/>
      <c r="DV47" s="37"/>
      <c r="DW47" s="50"/>
      <c r="DX47" s="49"/>
      <c r="DY47" s="37"/>
      <c r="DZ47" s="37"/>
      <c r="EA47" s="37"/>
      <c r="EB47" s="37"/>
      <c r="EC47" s="37"/>
      <c r="ED47" s="37"/>
      <c r="EE47" s="50"/>
      <c r="EF47" s="49"/>
      <c r="EG47" s="37"/>
      <c r="EH47" s="37"/>
      <c r="EI47" s="37"/>
      <c r="EJ47" s="37"/>
      <c r="EK47" s="37"/>
      <c r="EL47" s="37"/>
      <c r="EM47" s="50"/>
      <c r="EN47" s="22"/>
      <c r="EO47" s="12"/>
      <c r="EP47" s="12"/>
      <c r="EQ47" s="12"/>
      <c r="ER47" s="12"/>
      <c r="ES47" s="12"/>
      <c r="ET47" s="12"/>
      <c r="EU47" s="23"/>
      <c r="EV47" s="49"/>
      <c r="EW47" s="37"/>
      <c r="EX47" s="37"/>
      <c r="EY47" s="37"/>
      <c r="EZ47" s="37"/>
      <c r="FA47" s="37"/>
      <c r="FB47" s="37"/>
      <c r="FC47" s="50"/>
      <c r="FD47" s="49"/>
      <c r="FE47" s="37"/>
      <c r="FF47" s="37"/>
      <c r="FG47" s="37"/>
      <c r="FH47" s="37"/>
      <c r="FI47" s="37"/>
      <c r="FJ47" s="37"/>
      <c r="FK47" s="50"/>
      <c r="FL47" s="37" t="s">
        <v>903</v>
      </c>
      <c r="FM47" s="37"/>
      <c r="FN47" s="37"/>
    </row>
    <row r="48" spans="1:170" x14ac:dyDescent="0.25">
      <c r="A48" s="38">
        <f t="shared" si="1"/>
        <v>47</v>
      </c>
      <c r="B48" s="37" t="s">
        <v>913</v>
      </c>
      <c r="C48" s="37" t="s">
        <v>815</v>
      </c>
      <c r="D48" s="48">
        <v>44823.741111111114</v>
      </c>
      <c r="E48" s="37" t="s">
        <v>816</v>
      </c>
      <c r="F48" s="37" t="s">
        <v>784</v>
      </c>
      <c r="G48" s="37" t="s">
        <v>785</v>
      </c>
      <c r="H48" s="49" t="s">
        <v>581</v>
      </c>
      <c r="I48" s="37" t="s">
        <v>580</v>
      </c>
      <c r="J48" s="37" t="s">
        <v>221</v>
      </c>
      <c r="K48" s="37">
        <v>1</v>
      </c>
      <c r="L48" s="37"/>
      <c r="M48" s="37"/>
      <c r="N48" s="37" t="s">
        <v>223</v>
      </c>
      <c r="O48" s="50" t="s">
        <v>223</v>
      </c>
      <c r="P48" s="49" t="s">
        <v>599</v>
      </c>
      <c r="Q48" s="37" t="s">
        <v>598</v>
      </c>
      <c r="R48" s="37" t="s">
        <v>240</v>
      </c>
      <c r="S48" s="37">
        <v>1</v>
      </c>
      <c r="T48" s="37"/>
      <c r="U48" s="37"/>
      <c r="V48" s="37" t="s">
        <v>223</v>
      </c>
      <c r="W48" s="50" t="s">
        <v>223</v>
      </c>
      <c r="X48" s="49" t="s">
        <v>238</v>
      </c>
      <c r="Y48" s="37" t="s">
        <v>237</v>
      </c>
      <c r="Z48" s="37" t="s">
        <v>240</v>
      </c>
      <c r="AA48" s="37">
        <v>1</v>
      </c>
      <c r="AB48" s="37"/>
      <c r="AC48" s="37"/>
      <c r="AD48" s="37" t="s">
        <v>223</v>
      </c>
      <c r="AE48" s="50" t="s">
        <v>223</v>
      </c>
      <c r="AF48" s="49" t="s">
        <v>534</v>
      </c>
      <c r="AG48" s="37" t="s">
        <v>533</v>
      </c>
      <c r="AH48" s="37" t="s">
        <v>240</v>
      </c>
      <c r="AI48" s="37">
        <v>3</v>
      </c>
      <c r="AJ48" s="37"/>
      <c r="AK48" s="37"/>
      <c r="AL48" s="37" t="s">
        <v>32</v>
      </c>
      <c r="AM48" s="50" t="s">
        <v>223</v>
      </c>
      <c r="AN48" s="49" t="s">
        <v>683</v>
      </c>
      <c r="AO48" s="37" t="s">
        <v>682</v>
      </c>
      <c r="AP48" s="37" t="s">
        <v>221</v>
      </c>
      <c r="AQ48" s="37">
        <v>1</v>
      </c>
      <c r="AR48" s="37"/>
      <c r="AS48" s="37"/>
      <c r="AT48" s="37" t="s">
        <v>223</v>
      </c>
      <c r="AU48" s="50" t="s">
        <v>223</v>
      </c>
      <c r="AV48" s="49" t="s">
        <v>272</v>
      </c>
      <c r="AW48" s="37" t="s">
        <v>271</v>
      </c>
      <c r="AX48" s="37" t="s">
        <v>221</v>
      </c>
      <c r="AY48" s="37">
        <v>4</v>
      </c>
      <c r="AZ48" s="37"/>
      <c r="BA48" s="37"/>
      <c r="BB48" s="37" t="s">
        <v>223</v>
      </c>
      <c r="BC48" s="50" t="s">
        <v>828</v>
      </c>
      <c r="BD48" s="49" t="s">
        <v>490</v>
      </c>
      <c r="BE48" s="37" t="s">
        <v>489</v>
      </c>
      <c r="BF48" s="37" t="s">
        <v>221</v>
      </c>
      <c r="BG48" s="37">
        <v>2</v>
      </c>
      <c r="BH48" s="37"/>
      <c r="BI48" s="37"/>
      <c r="BJ48" s="37" t="s">
        <v>223</v>
      </c>
      <c r="BK48" s="50" t="s">
        <v>828</v>
      </c>
      <c r="BL48" s="49" t="s">
        <v>400</v>
      </c>
      <c r="BM48" s="37" t="s">
        <v>399</v>
      </c>
      <c r="BN48" s="37" t="s">
        <v>221</v>
      </c>
      <c r="BO48" s="37">
        <v>6</v>
      </c>
      <c r="BP48" s="37"/>
      <c r="BQ48" s="37"/>
      <c r="BR48" s="37" t="s">
        <v>223</v>
      </c>
      <c r="BS48" s="50" t="s">
        <v>828</v>
      </c>
      <c r="BT48" s="49"/>
      <c r="BU48" s="37"/>
      <c r="BV48" s="37"/>
      <c r="BW48" s="37"/>
      <c r="BX48" s="37"/>
      <c r="BY48" s="37"/>
      <c r="BZ48" s="37"/>
      <c r="CA48" s="50"/>
      <c r="CB48" s="49"/>
      <c r="CC48" s="37"/>
      <c r="CD48" s="37"/>
      <c r="CE48" s="37"/>
      <c r="CF48" s="37"/>
      <c r="CG48" s="37"/>
      <c r="CH48" s="37"/>
      <c r="CI48" s="50"/>
      <c r="CJ48" s="49"/>
      <c r="CK48" s="37"/>
      <c r="CL48" s="37"/>
      <c r="CM48" s="37"/>
      <c r="CN48" s="37"/>
      <c r="CO48" s="37"/>
      <c r="CP48" s="37"/>
      <c r="CQ48" s="50"/>
      <c r="CR48" s="49"/>
      <c r="CS48" s="37"/>
      <c r="CT48" s="37"/>
      <c r="CU48" s="37"/>
      <c r="CV48" s="37"/>
      <c r="CW48" s="37"/>
      <c r="CX48" s="37"/>
      <c r="CY48" s="50"/>
      <c r="CZ48" s="49"/>
      <c r="DA48" s="37"/>
      <c r="DB48" s="37"/>
      <c r="DC48" s="37"/>
      <c r="DD48" s="37"/>
      <c r="DE48" s="37"/>
      <c r="DF48" s="37"/>
      <c r="DG48" s="50"/>
      <c r="DH48" s="49"/>
      <c r="DI48" s="37"/>
      <c r="DJ48" s="37"/>
      <c r="DK48" s="37"/>
      <c r="DL48" s="37"/>
      <c r="DM48" s="37"/>
      <c r="DN48" s="37"/>
      <c r="DO48" s="50"/>
      <c r="DP48" s="49"/>
      <c r="DQ48" s="37"/>
      <c r="DR48" s="37"/>
      <c r="DS48" s="37"/>
      <c r="DT48" s="37"/>
      <c r="DU48" s="37"/>
      <c r="DV48" s="37"/>
      <c r="DW48" s="50"/>
      <c r="DX48" s="49"/>
      <c r="DY48" s="37"/>
      <c r="DZ48" s="37"/>
      <c r="EA48" s="37"/>
      <c r="EB48" s="37"/>
      <c r="EC48" s="37"/>
      <c r="ED48" s="37"/>
      <c r="EE48" s="50"/>
      <c r="EF48" s="49"/>
      <c r="EG48" s="37"/>
      <c r="EH48" s="37"/>
      <c r="EI48" s="37"/>
      <c r="EJ48" s="37"/>
      <c r="EK48" s="37"/>
      <c r="EL48" s="37"/>
      <c r="EM48" s="50"/>
      <c r="EN48" s="22"/>
      <c r="EO48" s="12"/>
      <c r="EP48" s="12"/>
      <c r="EQ48" s="12"/>
      <c r="ER48" s="12"/>
      <c r="ES48" s="12"/>
      <c r="ET48" s="12"/>
      <c r="EU48" s="23"/>
      <c r="EV48" s="49"/>
      <c r="EW48" s="37"/>
      <c r="EX48" s="37"/>
      <c r="EY48" s="37"/>
      <c r="EZ48" s="37"/>
      <c r="FA48" s="37"/>
      <c r="FB48" s="37"/>
      <c r="FC48" s="50"/>
      <c r="FD48" s="49"/>
      <c r="FE48" s="37"/>
      <c r="FF48" s="37"/>
      <c r="FG48" s="37"/>
      <c r="FH48" s="37"/>
      <c r="FI48" s="37"/>
      <c r="FJ48" s="37"/>
      <c r="FK48" s="50"/>
      <c r="FL48" s="37" t="s">
        <v>903</v>
      </c>
      <c r="FM48" s="37"/>
      <c r="FN48" s="37"/>
    </row>
    <row r="49" spans="1:170" x14ac:dyDescent="0.25">
      <c r="A49" s="38">
        <f t="shared" si="1"/>
        <v>48</v>
      </c>
      <c r="B49" s="37" t="s">
        <v>914</v>
      </c>
      <c r="C49" s="37" t="s">
        <v>820</v>
      </c>
      <c r="D49" s="48">
        <v>44823.733460648145</v>
      </c>
      <c r="E49" s="37" t="s">
        <v>830</v>
      </c>
      <c r="F49" s="37" t="s">
        <v>784</v>
      </c>
      <c r="G49" s="37" t="s">
        <v>785</v>
      </c>
      <c r="H49" s="49" t="s">
        <v>568</v>
      </c>
      <c r="I49" s="37" t="s">
        <v>567</v>
      </c>
      <c r="J49" s="37" t="s">
        <v>570</v>
      </c>
      <c r="K49" s="37">
        <v>1</v>
      </c>
      <c r="L49" s="37"/>
      <c r="M49" s="37"/>
      <c r="N49" s="37" t="s">
        <v>223</v>
      </c>
      <c r="O49" s="50" t="s">
        <v>831</v>
      </c>
      <c r="P49" s="49" t="s">
        <v>665</v>
      </c>
      <c r="Q49" s="37" t="s">
        <v>664</v>
      </c>
      <c r="R49" s="37" t="s">
        <v>570</v>
      </c>
      <c r="S49" s="37">
        <v>1</v>
      </c>
      <c r="T49" s="37"/>
      <c r="U49" s="37"/>
      <c r="V49" s="37" t="s">
        <v>223</v>
      </c>
      <c r="W49" s="50" t="s">
        <v>223</v>
      </c>
      <c r="X49" s="49" t="s">
        <v>466</v>
      </c>
      <c r="Y49" s="37" t="s">
        <v>465</v>
      </c>
      <c r="Z49" s="37" t="s">
        <v>235</v>
      </c>
      <c r="AA49" s="37">
        <v>1</v>
      </c>
      <c r="AB49" s="37"/>
      <c r="AC49" s="37"/>
      <c r="AD49" s="37" t="s">
        <v>223</v>
      </c>
      <c r="AE49" s="50" t="s">
        <v>223</v>
      </c>
      <c r="AF49" s="49"/>
      <c r="AG49" s="37"/>
      <c r="AH49" s="37"/>
      <c r="AI49" s="37"/>
      <c r="AJ49" s="37"/>
      <c r="AK49" s="37"/>
      <c r="AL49" s="37"/>
      <c r="AM49" s="50"/>
      <c r="AN49" s="49"/>
      <c r="AO49" s="37"/>
      <c r="AP49" s="37"/>
      <c r="AQ49" s="37"/>
      <c r="AR49" s="37"/>
      <c r="AS49" s="37"/>
      <c r="AT49" s="37"/>
      <c r="AU49" s="50"/>
      <c r="AV49" s="49"/>
      <c r="AW49" s="37"/>
      <c r="AX49" s="37"/>
      <c r="AY49" s="37"/>
      <c r="AZ49" s="37"/>
      <c r="BA49" s="37"/>
      <c r="BB49" s="37"/>
      <c r="BC49" s="50"/>
      <c r="BD49" s="49"/>
      <c r="BE49" s="37"/>
      <c r="BF49" s="37"/>
      <c r="BG49" s="37"/>
      <c r="BH49" s="37"/>
      <c r="BI49" s="37"/>
      <c r="BJ49" s="37"/>
      <c r="BK49" s="50"/>
      <c r="BL49" s="49"/>
      <c r="BM49" s="37"/>
      <c r="BN49" s="37"/>
      <c r="BO49" s="37"/>
      <c r="BP49" s="37"/>
      <c r="BQ49" s="37"/>
      <c r="BR49" s="37"/>
      <c r="BS49" s="50"/>
      <c r="BT49" s="49"/>
      <c r="BU49" s="37"/>
      <c r="BV49" s="37"/>
      <c r="BW49" s="37"/>
      <c r="BX49" s="37"/>
      <c r="BY49" s="37"/>
      <c r="BZ49" s="37"/>
      <c r="CA49" s="50"/>
      <c r="CB49" s="49"/>
      <c r="CC49" s="37"/>
      <c r="CD49" s="37"/>
      <c r="CE49" s="37"/>
      <c r="CF49" s="37"/>
      <c r="CG49" s="37"/>
      <c r="CH49" s="37"/>
      <c r="CI49" s="50"/>
      <c r="CJ49" s="49"/>
      <c r="CK49" s="37"/>
      <c r="CL49" s="37"/>
      <c r="CM49" s="37"/>
      <c r="CN49" s="37"/>
      <c r="CO49" s="37"/>
      <c r="CP49" s="37"/>
      <c r="CQ49" s="50"/>
      <c r="CR49" s="49"/>
      <c r="CS49" s="37"/>
      <c r="CT49" s="37"/>
      <c r="CU49" s="37"/>
      <c r="CV49" s="37"/>
      <c r="CW49" s="37"/>
      <c r="CX49" s="37"/>
      <c r="CY49" s="50"/>
      <c r="CZ49" s="49"/>
      <c r="DA49" s="37"/>
      <c r="DB49" s="37"/>
      <c r="DC49" s="37"/>
      <c r="DD49" s="37"/>
      <c r="DE49" s="37"/>
      <c r="DF49" s="37"/>
      <c r="DG49" s="50"/>
      <c r="DH49" s="49"/>
      <c r="DI49" s="37"/>
      <c r="DJ49" s="37"/>
      <c r="DK49" s="37"/>
      <c r="DL49" s="37"/>
      <c r="DM49" s="37"/>
      <c r="DN49" s="37"/>
      <c r="DO49" s="50"/>
      <c r="DP49" s="49"/>
      <c r="DQ49" s="37"/>
      <c r="DR49" s="37"/>
      <c r="DS49" s="37"/>
      <c r="DT49" s="37"/>
      <c r="DU49" s="37"/>
      <c r="DV49" s="37"/>
      <c r="DW49" s="50"/>
      <c r="DX49" s="49"/>
      <c r="DY49" s="37"/>
      <c r="DZ49" s="37"/>
      <c r="EA49" s="37"/>
      <c r="EB49" s="37"/>
      <c r="EC49" s="37"/>
      <c r="ED49" s="37"/>
      <c r="EE49" s="50"/>
      <c r="EF49" s="49"/>
      <c r="EG49" s="37"/>
      <c r="EH49" s="37"/>
      <c r="EI49" s="37"/>
      <c r="EJ49" s="37"/>
      <c r="EK49" s="37"/>
      <c r="EL49" s="37"/>
      <c r="EM49" s="50"/>
      <c r="EN49" s="22"/>
      <c r="EO49" s="12"/>
      <c r="EP49" s="12"/>
      <c r="EQ49" s="12"/>
      <c r="ER49" s="12"/>
      <c r="ES49" s="12"/>
      <c r="ET49" s="12"/>
      <c r="EU49" s="23"/>
      <c r="EV49" s="49"/>
      <c r="EW49" s="37"/>
      <c r="EX49" s="37"/>
      <c r="EY49" s="37"/>
      <c r="EZ49" s="37"/>
      <c r="FA49" s="37"/>
      <c r="FB49" s="37"/>
      <c r="FC49" s="50"/>
      <c r="FD49" s="49"/>
      <c r="FE49" s="37"/>
      <c r="FF49" s="37"/>
      <c r="FG49" s="37"/>
      <c r="FH49" s="37"/>
      <c r="FI49" s="37"/>
      <c r="FJ49" s="37"/>
      <c r="FK49" s="50"/>
      <c r="FL49" s="37" t="s">
        <v>903</v>
      </c>
      <c r="FM49" s="37"/>
      <c r="FN49" s="37"/>
    </row>
    <row r="50" spans="1:170" x14ac:dyDescent="0.25">
      <c r="A50" s="38">
        <f t="shared" si="1"/>
        <v>49</v>
      </c>
      <c r="B50" s="37" t="s">
        <v>915</v>
      </c>
      <c r="C50" s="37" t="s">
        <v>833</v>
      </c>
      <c r="D50" s="48">
        <v>44823.728055555555</v>
      </c>
      <c r="E50" s="37" t="s">
        <v>824</v>
      </c>
      <c r="F50" s="37" t="s">
        <v>784</v>
      </c>
      <c r="G50" s="37" t="s">
        <v>785</v>
      </c>
      <c r="H50" s="49" t="s">
        <v>530</v>
      </c>
      <c r="I50" s="37" t="s">
        <v>529</v>
      </c>
      <c r="J50" s="37" t="s">
        <v>221</v>
      </c>
      <c r="K50" s="37">
        <v>30</v>
      </c>
      <c r="L50" s="37"/>
      <c r="M50" s="37"/>
      <c r="N50" s="37" t="s">
        <v>223</v>
      </c>
      <c r="O50" s="50" t="s">
        <v>834</v>
      </c>
      <c r="P50" s="49" t="s">
        <v>663</v>
      </c>
      <c r="Q50" s="37" t="s">
        <v>662</v>
      </c>
      <c r="R50" s="37" t="s">
        <v>570</v>
      </c>
      <c r="S50" s="37">
        <v>8</v>
      </c>
      <c r="T50" s="37"/>
      <c r="U50" s="37"/>
      <c r="V50" s="37" t="s">
        <v>223</v>
      </c>
      <c r="W50" s="50" t="s">
        <v>788</v>
      </c>
      <c r="X50" s="49" t="s">
        <v>447</v>
      </c>
      <c r="Y50" s="37" t="s">
        <v>446</v>
      </c>
      <c r="Z50" s="37" t="s">
        <v>448</v>
      </c>
      <c r="AA50" s="37">
        <v>2</v>
      </c>
      <c r="AB50" s="37"/>
      <c r="AC50" s="37"/>
      <c r="AD50" s="37" t="s">
        <v>223</v>
      </c>
      <c r="AE50" s="50" t="s">
        <v>835</v>
      </c>
      <c r="AF50" s="49" t="s">
        <v>624</v>
      </c>
      <c r="AG50" s="37" t="s">
        <v>623</v>
      </c>
      <c r="AH50" s="37" t="s">
        <v>626</v>
      </c>
      <c r="AI50" s="37">
        <v>50</v>
      </c>
      <c r="AJ50" s="37"/>
      <c r="AK50" s="37"/>
      <c r="AL50" s="37" t="s">
        <v>32</v>
      </c>
      <c r="AM50" s="50" t="s">
        <v>788</v>
      </c>
      <c r="AN50" s="49" t="s">
        <v>685</v>
      </c>
      <c r="AO50" s="37" t="s">
        <v>684</v>
      </c>
      <c r="AP50" s="37" t="s">
        <v>221</v>
      </c>
      <c r="AQ50" s="37">
        <v>6</v>
      </c>
      <c r="AR50" s="37"/>
      <c r="AS50" s="37"/>
      <c r="AT50" s="37" t="s">
        <v>223</v>
      </c>
      <c r="AU50" s="50"/>
      <c r="AV50" s="49" t="s">
        <v>379</v>
      </c>
      <c r="AW50" s="37" t="s">
        <v>378</v>
      </c>
      <c r="AX50" s="37" t="s">
        <v>221</v>
      </c>
      <c r="AY50" s="37">
        <v>5</v>
      </c>
      <c r="AZ50" s="37"/>
      <c r="BA50" s="37"/>
      <c r="BB50" s="37" t="s">
        <v>223</v>
      </c>
      <c r="BC50" s="50"/>
      <c r="BD50" s="49" t="s">
        <v>554</v>
      </c>
      <c r="BE50" s="37" t="s">
        <v>553</v>
      </c>
      <c r="BF50" s="37" t="s">
        <v>221</v>
      </c>
      <c r="BG50" s="37">
        <v>150</v>
      </c>
      <c r="BH50" s="37"/>
      <c r="BI50" s="37"/>
      <c r="BJ50" s="37" t="s">
        <v>223</v>
      </c>
      <c r="BK50" s="50"/>
      <c r="BL50" s="49"/>
      <c r="BM50" s="37"/>
      <c r="BN50" s="37"/>
      <c r="BO50" s="37"/>
      <c r="BP50" s="37"/>
      <c r="BQ50" s="37"/>
      <c r="BR50" s="37"/>
      <c r="BS50" s="50"/>
      <c r="BT50" s="49"/>
      <c r="BU50" s="37"/>
      <c r="BV50" s="37"/>
      <c r="BW50" s="37"/>
      <c r="BX50" s="37"/>
      <c r="BY50" s="37"/>
      <c r="BZ50" s="37"/>
      <c r="CA50" s="50"/>
      <c r="CB50" s="49"/>
      <c r="CC50" s="37"/>
      <c r="CD50" s="37"/>
      <c r="CE50" s="37"/>
      <c r="CF50" s="37"/>
      <c r="CG50" s="37"/>
      <c r="CH50" s="37"/>
      <c r="CI50" s="50"/>
      <c r="CJ50" s="49"/>
      <c r="CK50" s="37"/>
      <c r="CL50" s="37"/>
      <c r="CM50" s="37"/>
      <c r="CN50" s="37"/>
      <c r="CO50" s="37"/>
      <c r="CP50" s="37"/>
      <c r="CQ50" s="50"/>
      <c r="CR50" s="49"/>
      <c r="CS50" s="37"/>
      <c r="CT50" s="37"/>
      <c r="CU50" s="37"/>
      <c r="CV50" s="37"/>
      <c r="CW50" s="37"/>
      <c r="CX50" s="37"/>
      <c r="CY50" s="50"/>
      <c r="CZ50" s="49"/>
      <c r="DA50" s="37"/>
      <c r="DB50" s="37"/>
      <c r="DC50" s="37"/>
      <c r="DD50" s="37"/>
      <c r="DE50" s="37"/>
      <c r="DF50" s="37"/>
      <c r="DG50" s="50"/>
      <c r="DH50" s="49"/>
      <c r="DI50" s="37"/>
      <c r="DJ50" s="37"/>
      <c r="DK50" s="37"/>
      <c r="DL50" s="37"/>
      <c r="DM50" s="37"/>
      <c r="DN50" s="37"/>
      <c r="DO50" s="50"/>
      <c r="DP50" s="49"/>
      <c r="DQ50" s="37"/>
      <c r="DR50" s="37"/>
      <c r="DS50" s="37"/>
      <c r="DT50" s="37"/>
      <c r="DU50" s="37"/>
      <c r="DV50" s="37"/>
      <c r="DW50" s="50"/>
      <c r="DX50" s="49"/>
      <c r="DY50" s="37"/>
      <c r="DZ50" s="37"/>
      <c r="EA50" s="37"/>
      <c r="EB50" s="37"/>
      <c r="EC50" s="37"/>
      <c r="ED50" s="37"/>
      <c r="EE50" s="50"/>
      <c r="EF50" s="49"/>
      <c r="EG50" s="37"/>
      <c r="EH50" s="37"/>
      <c r="EI50" s="37"/>
      <c r="EJ50" s="37"/>
      <c r="EK50" s="37"/>
      <c r="EL50" s="37"/>
      <c r="EM50" s="50"/>
      <c r="EN50" s="22"/>
      <c r="EO50" s="12"/>
      <c r="EP50" s="12"/>
      <c r="EQ50" s="12"/>
      <c r="ER50" s="12"/>
      <c r="ES50" s="12"/>
      <c r="ET50" s="12"/>
      <c r="EU50" s="23"/>
      <c r="EV50" s="49"/>
      <c r="EW50" s="37"/>
      <c r="EX50" s="37"/>
      <c r="EY50" s="37"/>
      <c r="EZ50" s="37"/>
      <c r="FA50" s="37"/>
      <c r="FB50" s="37"/>
      <c r="FC50" s="50"/>
      <c r="FD50" s="49"/>
      <c r="FE50" s="37"/>
      <c r="FF50" s="37"/>
      <c r="FG50" s="37"/>
      <c r="FH50" s="37"/>
      <c r="FI50" s="37"/>
      <c r="FJ50" s="37"/>
      <c r="FK50" s="50"/>
      <c r="FL50" s="37" t="s">
        <v>903</v>
      </c>
      <c r="FM50" s="37"/>
      <c r="FN50" s="37"/>
    </row>
    <row r="51" spans="1:170" x14ac:dyDescent="0.25">
      <c r="A51" s="38">
        <f t="shared" si="1"/>
        <v>50</v>
      </c>
      <c r="B51" s="37" t="s">
        <v>916</v>
      </c>
      <c r="C51" s="37" t="s">
        <v>917</v>
      </c>
      <c r="D51" s="48">
        <v>44823.514976851853</v>
      </c>
      <c r="E51" s="37" t="s">
        <v>898</v>
      </c>
      <c r="F51" s="37" t="s">
        <v>918</v>
      </c>
      <c r="G51" s="37" t="s">
        <v>785</v>
      </c>
      <c r="H51" s="49" t="s">
        <v>919</v>
      </c>
      <c r="I51" s="37" t="s">
        <v>920</v>
      </c>
      <c r="J51" s="37" t="s">
        <v>221</v>
      </c>
      <c r="K51" s="37">
        <v>6</v>
      </c>
      <c r="L51" s="37"/>
      <c r="M51" s="37"/>
      <c r="N51" s="37" t="s">
        <v>223</v>
      </c>
      <c r="O51" s="50" t="s">
        <v>921</v>
      </c>
      <c r="P51" s="49"/>
      <c r="Q51" s="37"/>
      <c r="R51" s="37"/>
      <c r="S51" s="37"/>
      <c r="T51" s="37"/>
      <c r="U51" s="37"/>
      <c r="V51" s="37"/>
      <c r="W51" s="50"/>
      <c r="X51" s="49"/>
      <c r="Y51" s="37"/>
      <c r="Z51" s="37"/>
      <c r="AA51" s="37"/>
      <c r="AB51" s="37"/>
      <c r="AC51" s="37"/>
      <c r="AD51" s="37"/>
      <c r="AE51" s="50"/>
      <c r="AF51" s="49"/>
      <c r="AG51" s="37"/>
      <c r="AH51" s="37"/>
      <c r="AI51" s="37"/>
      <c r="AJ51" s="37"/>
      <c r="AK51" s="37"/>
      <c r="AL51" s="37"/>
      <c r="AM51" s="50"/>
      <c r="AN51" s="49"/>
      <c r="AO51" s="37"/>
      <c r="AP51" s="37"/>
      <c r="AQ51" s="37"/>
      <c r="AR51" s="37"/>
      <c r="AS51" s="37"/>
      <c r="AT51" s="37"/>
      <c r="AU51" s="50"/>
      <c r="AV51" s="49"/>
      <c r="AW51" s="37"/>
      <c r="AX51" s="37"/>
      <c r="AY51" s="37"/>
      <c r="AZ51" s="37"/>
      <c r="BA51" s="37"/>
      <c r="BB51" s="37"/>
      <c r="BC51" s="50"/>
      <c r="BD51" s="49"/>
      <c r="BE51" s="37"/>
      <c r="BF51" s="37"/>
      <c r="BG51" s="37"/>
      <c r="BH51" s="37"/>
      <c r="BI51" s="37"/>
      <c r="BJ51" s="37"/>
      <c r="BK51" s="50"/>
      <c r="BL51" s="49"/>
      <c r="BM51" s="37"/>
      <c r="BN51" s="37"/>
      <c r="BO51" s="37"/>
      <c r="BP51" s="37"/>
      <c r="BQ51" s="37"/>
      <c r="BR51" s="37"/>
      <c r="BS51" s="50"/>
      <c r="BT51" s="49"/>
      <c r="BU51" s="37"/>
      <c r="BV51" s="37"/>
      <c r="BW51" s="37"/>
      <c r="BX51" s="37"/>
      <c r="BY51" s="37"/>
      <c r="BZ51" s="37"/>
      <c r="CA51" s="50"/>
      <c r="CB51" s="49"/>
      <c r="CC51" s="37"/>
      <c r="CD51" s="37"/>
      <c r="CE51" s="37"/>
      <c r="CF51" s="37"/>
      <c r="CG51" s="37"/>
      <c r="CH51" s="37"/>
      <c r="CI51" s="50"/>
      <c r="CJ51" s="49"/>
      <c r="CK51" s="37"/>
      <c r="CL51" s="37"/>
      <c r="CM51" s="37"/>
      <c r="CN51" s="37"/>
      <c r="CO51" s="37"/>
      <c r="CP51" s="37"/>
      <c r="CQ51" s="50"/>
      <c r="CR51" s="49"/>
      <c r="CS51" s="37"/>
      <c r="CT51" s="37"/>
      <c r="CU51" s="37"/>
      <c r="CV51" s="37"/>
      <c r="CW51" s="37"/>
      <c r="CX51" s="37"/>
      <c r="CY51" s="50"/>
      <c r="CZ51" s="49"/>
      <c r="DA51" s="37"/>
      <c r="DB51" s="37"/>
      <c r="DC51" s="37"/>
      <c r="DD51" s="37"/>
      <c r="DE51" s="37"/>
      <c r="DF51" s="37"/>
      <c r="DG51" s="50"/>
      <c r="DH51" s="49"/>
      <c r="DI51" s="37"/>
      <c r="DJ51" s="37"/>
      <c r="DK51" s="37"/>
      <c r="DL51" s="37"/>
      <c r="DM51" s="37"/>
      <c r="DN51" s="37"/>
      <c r="DO51" s="50"/>
      <c r="DP51" s="49"/>
      <c r="DQ51" s="37"/>
      <c r="DR51" s="37"/>
      <c r="DS51" s="37"/>
      <c r="DT51" s="37"/>
      <c r="DU51" s="37"/>
      <c r="DV51" s="37"/>
      <c r="DW51" s="50"/>
      <c r="DX51" s="49"/>
      <c r="DY51" s="37"/>
      <c r="DZ51" s="37"/>
      <c r="EA51" s="37"/>
      <c r="EB51" s="37"/>
      <c r="EC51" s="37"/>
      <c r="ED51" s="37"/>
      <c r="EE51" s="50"/>
      <c r="EF51" s="49"/>
      <c r="EG51" s="37"/>
      <c r="EH51" s="37"/>
      <c r="EI51" s="37"/>
      <c r="EJ51" s="37"/>
      <c r="EK51" s="37"/>
      <c r="EL51" s="37"/>
      <c r="EM51" s="50"/>
      <c r="EN51" s="22"/>
      <c r="EO51" s="12"/>
      <c r="EP51" s="12"/>
      <c r="EQ51" s="12"/>
      <c r="ER51" s="12"/>
      <c r="ES51" s="12"/>
      <c r="ET51" s="12"/>
      <c r="EU51" s="23"/>
      <c r="EV51" s="49"/>
      <c r="EW51" s="37"/>
      <c r="EX51" s="37"/>
      <c r="EY51" s="37"/>
      <c r="EZ51" s="37"/>
      <c r="FA51" s="37"/>
      <c r="FB51" s="37"/>
      <c r="FC51" s="50"/>
      <c r="FD51" s="49"/>
      <c r="FE51" s="37"/>
      <c r="FF51" s="37"/>
      <c r="FG51" s="37"/>
      <c r="FH51" s="37"/>
      <c r="FI51" s="37"/>
      <c r="FJ51" s="37"/>
      <c r="FK51" s="50"/>
      <c r="FL51" s="37" t="s">
        <v>921</v>
      </c>
      <c r="FM51" s="37"/>
      <c r="FN51" s="37"/>
    </row>
    <row r="52" spans="1:170" x14ac:dyDescent="0.25">
      <c r="A52" s="38">
        <f t="shared" si="1"/>
        <v>51</v>
      </c>
      <c r="B52" s="37" t="s">
        <v>922</v>
      </c>
      <c r="C52" s="37" t="s">
        <v>923</v>
      </c>
      <c r="D52" s="48">
        <v>44823.440937500003</v>
      </c>
      <c r="E52" s="37" t="s">
        <v>918</v>
      </c>
      <c r="F52" s="37" t="s">
        <v>924</v>
      </c>
      <c r="G52" s="37" t="s">
        <v>785</v>
      </c>
      <c r="H52" s="49">
        <v>2032</v>
      </c>
      <c r="I52" s="37" t="s">
        <v>579</v>
      </c>
      <c r="J52" s="37" t="s">
        <v>280</v>
      </c>
      <c r="K52" s="37">
        <v>1</v>
      </c>
      <c r="L52" s="37"/>
      <c r="M52" s="37"/>
      <c r="N52" s="37" t="s">
        <v>223</v>
      </c>
      <c r="O52" s="50"/>
      <c r="P52" s="49" t="s">
        <v>486</v>
      </c>
      <c r="Q52" s="37" t="s">
        <v>485</v>
      </c>
      <c r="R52" s="37" t="s">
        <v>487</v>
      </c>
      <c r="S52" s="37">
        <v>1</v>
      </c>
      <c r="T52" s="37"/>
      <c r="U52" s="37"/>
      <c r="V52" s="37" t="s">
        <v>223</v>
      </c>
      <c r="W52" s="50"/>
      <c r="X52" s="49" t="s">
        <v>279</v>
      </c>
      <c r="Y52" s="37" t="s">
        <v>278</v>
      </c>
      <c r="Z52" s="37" t="s">
        <v>280</v>
      </c>
      <c r="AA52" s="37">
        <v>2</v>
      </c>
      <c r="AB52" s="37"/>
      <c r="AC52" s="37"/>
      <c r="AD52" s="37" t="s">
        <v>223</v>
      </c>
      <c r="AE52" s="50"/>
      <c r="AF52" s="49" t="s">
        <v>365</v>
      </c>
      <c r="AG52" s="37" t="s">
        <v>364</v>
      </c>
      <c r="AH52" s="37" t="s">
        <v>221</v>
      </c>
      <c r="AI52" s="37">
        <v>1</v>
      </c>
      <c r="AJ52" s="37"/>
      <c r="AK52" s="37"/>
      <c r="AL52" s="37" t="s">
        <v>223</v>
      </c>
      <c r="AM52" s="50"/>
      <c r="AN52" s="49" t="s">
        <v>305</v>
      </c>
      <c r="AO52" s="37" t="s">
        <v>304</v>
      </c>
      <c r="AP52" s="37" t="s">
        <v>221</v>
      </c>
      <c r="AQ52" s="37">
        <v>2</v>
      </c>
      <c r="AR52" s="37"/>
      <c r="AS52" s="37"/>
      <c r="AT52" s="37" t="s">
        <v>223</v>
      </c>
      <c r="AU52" s="50"/>
      <c r="AV52" s="49" t="s">
        <v>715</v>
      </c>
      <c r="AW52" s="37" t="s">
        <v>714</v>
      </c>
      <c r="AX52" s="37" t="s">
        <v>448</v>
      </c>
      <c r="AY52" s="37">
        <v>2</v>
      </c>
      <c r="AZ52" s="37"/>
      <c r="BA52" s="37"/>
      <c r="BB52" s="37" t="s">
        <v>223</v>
      </c>
      <c r="BC52" s="50"/>
      <c r="BD52" s="49" t="s">
        <v>294</v>
      </c>
      <c r="BE52" s="37" t="s">
        <v>293</v>
      </c>
      <c r="BF52" s="37" t="s">
        <v>263</v>
      </c>
      <c r="BG52" s="37">
        <v>1</v>
      </c>
      <c r="BH52" s="37"/>
      <c r="BI52" s="37"/>
      <c r="BJ52" s="37" t="s">
        <v>223</v>
      </c>
      <c r="BK52" s="50"/>
      <c r="BL52" s="49" t="s">
        <v>450</v>
      </c>
      <c r="BM52" s="37" t="s">
        <v>449</v>
      </c>
      <c r="BN52" s="37" t="s">
        <v>243</v>
      </c>
      <c r="BO52" s="37">
        <v>13</v>
      </c>
      <c r="BP52" s="37"/>
      <c r="BQ52" s="37"/>
      <c r="BR52" s="37" t="s">
        <v>223</v>
      </c>
      <c r="BS52" s="50"/>
      <c r="BT52" s="49" t="s">
        <v>460</v>
      </c>
      <c r="BU52" s="37" t="s">
        <v>459</v>
      </c>
      <c r="BV52" s="37" t="s">
        <v>243</v>
      </c>
      <c r="BW52" s="37">
        <v>5</v>
      </c>
      <c r="BX52" s="37"/>
      <c r="BY52" s="37"/>
      <c r="BZ52" s="37" t="s">
        <v>223</v>
      </c>
      <c r="CA52" s="50"/>
      <c r="CB52" s="49" t="s">
        <v>462</v>
      </c>
      <c r="CC52" s="37" t="s">
        <v>461</v>
      </c>
      <c r="CD52" s="37" t="s">
        <v>243</v>
      </c>
      <c r="CE52" s="37">
        <v>11</v>
      </c>
      <c r="CF52" s="37"/>
      <c r="CG52" s="37"/>
      <c r="CH52" s="37" t="s">
        <v>223</v>
      </c>
      <c r="CI52" s="50"/>
      <c r="CJ52" s="49" t="s">
        <v>657</v>
      </c>
      <c r="CK52" s="37" t="s">
        <v>656</v>
      </c>
      <c r="CL52" s="37" t="s">
        <v>221</v>
      </c>
      <c r="CM52" s="37">
        <v>10</v>
      </c>
      <c r="CN52" s="37"/>
      <c r="CO52" s="37"/>
      <c r="CP52" s="37" t="s">
        <v>223</v>
      </c>
      <c r="CQ52" s="50"/>
      <c r="CR52" s="49" t="s">
        <v>552</v>
      </c>
      <c r="CS52" s="37" t="s">
        <v>551</v>
      </c>
      <c r="CT52" s="37" t="s">
        <v>221</v>
      </c>
      <c r="CU52" s="37">
        <v>40</v>
      </c>
      <c r="CV52" s="37"/>
      <c r="CW52" s="37"/>
      <c r="CX52" s="37" t="s">
        <v>223</v>
      </c>
      <c r="CY52" s="50"/>
      <c r="CZ52" s="49" t="s">
        <v>563</v>
      </c>
      <c r="DA52" s="37" t="s">
        <v>562</v>
      </c>
      <c r="DB52" s="37" t="s">
        <v>221</v>
      </c>
      <c r="DC52" s="37">
        <v>20</v>
      </c>
      <c r="DD52" s="37"/>
      <c r="DE52" s="37"/>
      <c r="DF52" s="37" t="s">
        <v>223</v>
      </c>
      <c r="DG52" s="50"/>
      <c r="DH52" s="49" t="s">
        <v>593</v>
      </c>
      <c r="DI52" s="37" t="s">
        <v>591</v>
      </c>
      <c r="DJ52" s="37" t="s">
        <v>221</v>
      </c>
      <c r="DK52" s="37">
        <v>30</v>
      </c>
      <c r="DL52" s="37"/>
      <c r="DM52" s="37"/>
      <c r="DN52" s="37" t="s">
        <v>223</v>
      </c>
      <c r="DO52" s="50"/>
      <c r="DP52" s="49" t="s">
        <v>565</v>
      </c>
      <c r="DQ52" s="37" t="s">
        <v>564</v>
      </c>
      <c r="DR52" s="37" t="s">
        <v>221</v>
      </c>
      <c r="DS52" s="37">
        <v>25</v>
      </c>
      <c r="DT52" s="37"/>
      <c r="DU52" s="37"/>
      <c r="DV52" s="37" t="s">
        <v>223</v>
      </c>
      <c r="DW52" s="50"/>
      <c r="DX52" s="49" t="s">
        <v>331</v>
      </c>
      <c r="DY52" s="37" t="s">
        <v>330</v>
      </c>
      <c r="DZ52" s="37" t="s">
        <v>252</v>
      </c>
      <c r="EA52" s="37">
        <v>1</v>
      </c>
      <c r="EB52" s="37"/>
      <c r="EC52" s="37"/>
      <c r="ED52" s="37" t="s">
        <v>223</v>
      </c>
      <c r="EE52" s="50"/>
      <c r="EF52" s="49" t="s">
        <v>717</v>
      </c>
      <c r="EG52" s="37" t="s">
        <v>716</v>
      </c>
      <c r="EH52" s="37" t="s">
        <v>448</v>
      </c>
      <c r="EI52" s="37">
        <v>1</v>
      </c>
      <c r="EJ52" s="37"/>
      <c r="EK52" s="37"/>
      <c r="EL52" s="37" t="s">
        <v>223</v>
      </c>
      <c r="EM52" s="50"/>
      <c r="EN52" s="22" t="s">
        <v>721</v>
      </c>
      <c r="EO52" s="12" t="s">
        <v>718</v>
      </c>
      <c r="EP52" s="12" t="s">
        <v>448</v>
      </c>
      <c r="EQ52" s="12">
        <v>1</v>
      </c>
      <c r="ER52" s="12"/>
      <c r="ES52" s="12"/>
      <c r="ET52" s="12" t="s">
        <v>223</v>
      </c>
      <c r="EU52" s="23"/>
      <c r="EV52" s="49" t="s">
        <v>711</v>
      </c>
      <c r="EW52" s="37" t="s">
        <v>710</v>
      </c>
      <c r="EX52" s="37" t="s">
        <v>448</v>
      </c>
      <c r="EY52" s="37">
        <v>1</v>
      </c>
      <c r="EZ52" s="37"/>
      <c r="FA52" s="37"/>
      <c r="FB52" s="37" t="s">
        <v>223</v>
      </c>
      <c r="FC52" s="50"/>
      <c r="FD52" s="49"/>
      <c r="FE52" s="37"/>
      <c r="FF52" s="37"/>
      <c r="FG52" s="37"/>
      <c r="FH52" s="37"/>
      <c r="FI52" s="37"/>
      <c r="FJ52" s="37"/>
      <c r="FK52" s="50"/>
      <c r="FL52" s="37" t="s">
        <v>903</v>
      </c>
      <c r="FM52" s="37"/>
      <c r="FN52" s="37"/>
    </row>
    <row r="53" spans="1:170" x14ac:dyDescent="0.25">
      <c r="A53" s="38">
        <f t="shared" si="1"/>
        <v>52</v>
      </c>
      <c r="B53" s="37" t="s">
        <v>925</v>
      </c>
      <c r="C53" s="37" t="s">
        <v>223</v>
      </c>
      <c r="D53" s="48">
        <v>44823.392083333332</v>
      </c>
      <c r="E53" s="37" t="s">
        <v>783</v>
      </c>
      <c r="F53" s="37" t="s">
        <v>840</v>
      </c>
      <c r="G53" s="37" t="s">
        <v>785</v>
      </c>
      <c r="H53" s="49" t="s">
        <v>572</v>
      </c>
      <c r="I53" s="37" t="s">
        <v>571</v>
      </c>
      <c r="J53" s="37" t="s">
        <v>221</v>
      </c>
      <c r="K53" s="37">
        <v>1</v>
      </c>
      <c r="L53" s="37"/>
      <c r="M53" s="37"/>
      <c r="N53" s="37" t="s">
        <v>223</v>
      </c>
      <c r="O53" s="50"/>
      <c r="P53" s="49"/>
      <c r="Q53" s="37"/>
      <c r="R53" s="37"/>
      <c r="S53" s="37"/>
      <c r="T53" s="37"/>
      <c r="U53" s="37"/>
      <c r="V53" s="37"/>
      <c r="W53" s="50"/>
      <c r="X53" s="49"/>
      <c r="Y53" s="37"/>
      <c r="Z53" s="37"/>
      <c r="AA53" s="37"/>
      <c r="AB53" s="37"/>
      <c r="AC53" s="37"/>
      <c r="AD53" s="37"/>
      <c r="AE53" s="50"/>
      <c r="AF53" s="49"/>
      <c r="AG53" s="37"/>
      <c r="AH53" s="37"/>
      <c r="AI53" s="37"/>
      <c r="AJ53" s="37"/>
      <c r="AK53" s="37"/>
      <c r="AL53" s="37"/>
      <c r="AM53" s="50"/>
      <c r="AN53" s="49"/>
      <c r="AO53" s="37"/>
      <c r="AP53" s="37"/>
      <c r="AQ53" s="37"/>
      <c r="AR53" s="37"/>
      <c r="AS53" s="37"/>
      <c r="AT53" s="37"/>
      <c r="AU53" s="50"/>
      <c r="AV53" s="49"/>
      <c r="AW53" s="37"/>
      <c r="AX53" s="37"/>
      <c r="AY53" s="37"/>
      <c r="AZ53" s="37"/>
      <c r="BA53" s="37"/>
      <c r="BB53" s="37"/>
      <c r="BC53" s="50"/>
      <c r="BD53" s="49"/>
      <c r="BE53" s="37"/>
      <c r="BF53" s="37"/>
      <c r="BG53" s="37"/>
      <c r="BH53" s="37"/>
      <c r="BI53" s="37"/>
      <c r="BJ53" s="37"/>
      <c r="BK53" s="50"/>
      <c r="BL53" s="49"/>
      <c r="BM53" s="37"/>
      <c r="BN53" s="37"/>
      <c r="BO53" s="37"/>
      <c r="BP53" s="37"/>
      <c r="BQ53" s="37"/>
      <c r="BR53" s="37"/>
      <c r="BS53" s="50"/>
      <c r="BT53" s="49"/>
      <c r="BU53" s="37"/>
      <c r="BV53" s="37"/>
      <c r="BW53" s="37"/>
      <c r="BX53" s="37"/>
      <c r="BY53" s="37"/>
      <c r="BZ53" s="37"/>
      <c r="CA53" s="50"/>
      <c r="CB53" s="49"/>
      <c r="CC53" s="37"/>
      <c r="CD53" s="37"/>
      <c r="CE53" s="37"/>
      <c r="CF53" s="37"/>
      <c r="CG53" s="37"/>
      <c r="CH53" s="37"/>
      <c r="CI53" s="50"/>
      <c r="CJ53" s="49"/>
      <c r="CK53" s="37"/>
      <c r="CL53" s="37"/>
      <c r="CM53" s="37"/>
      <c r="CN53" s="37"/>
      <c r="CO53" s="37"/>
      <c r="CP53" s="37"/>
      <c r="CQ53" s="50"/>
      <c r="CR53" s="49"/>
      <c r="CS53" s="37"/>
      <c r="CT53" s="37"/>
      <c r="CU53" s="37"/>
      <c r="CV53" s="37"/>
      <c r="CW53" s="37"/>
      <c r="CX53" s="37"/>
      <c r="CY53" s="50"/>
      <c r="CZ53" s="49"/>
      <c r="DA53" s="37"/>
      <c r="DB53" s="37"/>
      <c r="DC53" s="37"/>
      <c r="DD53" s="37"/>
      <c r="DE53" s="37"/>
      <c r="DF53" s="37"/>
      <c r="DG53" s="50"/>
      <c r="DH53" s="49"/>
      <c r="DI53" s="37"/>
      <c r="DJ53" s="37"/>
      <c r="DK53" s="37"/>
      <c r="DL53" s="37"/>
      <c r="DM53" s="37"/>
      <c r="DN53" s="37"/>
      <c r="DO53" s="50"/>
      <c r="DP53" s="49"/>
      <c r="DQ53" s="37"/>
      <c r="DR53" s="37"/>
      <c r="DS53" s="37"/>
      <c r="DT53" s="37"/>
      <c r="DU53" s="37"/>
      <c r="DV53" s="37"/>
      <c r="DW53" s="50"/>
      <c r="DX53" s="49"/>
      <c r="DY53" s="37"/>
      <c r="DZ53" s="37"/>
      <c r="EA53" s="37"/>
      <c r="EB53" s="37"/>
      <c r="EC53" s="37"/>
      <c r="ED53" s="37"/>
      <c r="EE53" s="50"/>
      <c r="EF53" s="49"/>
      <c r="EG53" s="37"/>
      <c r="EH53" s="37"/>
      <c r="EI53" s="37"/>
      <c r="EJ53" s="37"/>
      <c r="EK53" s="37"/>
      <c r="EL53" s="37"/>
      <c r="EM53" s="50"/>
      <c r="EN53" s="22"/>
      <c r="EO53" s="12"/>
      <c r="EP53" s="12"/>
      <c r="EQ53" s="12"/>
      <c r="ER53" s="12"/>
      <c r="ES53" s="12"/>
      <c r="ET53" s="12"/>
      <c r="EU53" s="23"/>
      <c r="EV53" s="49"/>
      <c r="EW53" s="37"/>
      <c r="EX53" s="37"/>
      <c r="EY53" s="37"/>
      <c r="EZ53" s="37"/>
      <c r="FA53" s="37"/>
      <c r="FB53" s="37"/>
      <c r="FC53" s="50"/>
      <c r="FD53" s="49"/>
      <c r="FE53" s="37"/>
      <c r="FF53" s="37"/>
      <c r="FG53" s="37"/>
      <c r="FH53" s="37"/>
      <c r="FI53" s="37"/>
      <c r="FJ53" s="37"/>
      <c r="FK53" s="50"/>
      <c r="FL53" s="37" t="s">
        <v>926</v>
      </c>
      <c r="FM53" s="37"/>
      <c r="FN53" s="37"/>
    </row>
    <row r="54" spans="1:170" x14ac:dyDescent="0.25">
      <c r="A54" s="38">
        <f t="shared" si="1"/>
        <v>53</v>
      </c>
      <c r="B54" s="37" t="s">
        <v>927</v>
      </c>
      <c r="C54" s="37" t="s">
        <v>839</v>
      </c>
      <c r="D54" s="48">
        <v>44823.390127314815</v>
      </c>
      <c r="E54" s="37" t="s">
        <v>783</v>
      </c>
      <c r="F54" s="37" t="s">
        <v>840</v>
      </c>
      <c r="G54" s="37" t="s">
        <v>785</v>
      </c>
      <c r="H54" s="49" t="s">
        <v>572</v>
      </c>
      <c r="I54" s="37" t="s">
        <v>571</v>
      </c>
      <c r="J54" s="37" t="s">
        <v>221</v>
      </c>
      <c r="K54" s="37">
        <v>1</v>
      </c>
      <c r="L54" s="37"/>
      <c r="M54" s="37"/>
      <c r="N54" s="37" t="s">
        <v>223</v>
      </c>
      <c r="O54" s="50"/>
      <c r="P54" s="49"/>
      <c r="Q54" s="37"/>
      <c r="R54" s="37"/>
      <c r="S54" s="37"/>
      <c r="T54" s="37"/>
      <c r="U54" s="37"/>
      <c r="V54" s="37"/>
      <c r="W54" s="50"/>
      <c r="X54" s="49"/>
      <c r="Y54" s="37"/>
      <c r="Z54" s="37"/>
      <c r="AA54" s="37"/>
      <c r="AB54" s="37"/>
      <c r="AC54" s="37"/>
      <c r="AD54" s="37"/>
      <c r="AE54" s="50"/>
      <c r="AF54" s="49"/>
      <c r="AG54" s="37"/>
      <c r="AH54" s="37"/>
      <c r="AI54" s="37"/>
      <c r="AJ54" s="37"/>
      <c r="AK54" s="37"/>
      <c r="AL54" s="37"/>
      <c r="AM54" s="50"/>
      <c r="AN54" s="49"/>
      <c r="AO54" s="37"/>
      <c r="AP54" s="37"/>
      <c r="AQ54" s="37"/>
      <c r="AR54" s="37"/>
      <c r="AS54" s="37"/>
      <c r="AT54" s="37"/>
      <c r="AU54" s="50"/>
      <c r="AV54" s="49"/>
      <c r="AW54" s="37"/>
      <c r="AX54" s="37"/>
      <c r="AY54" s="37"/>
      <c r="AZ54" s="37"/>
      <c r="BA54" s="37"/>
      <c r="BB54" s="37"/>
      <c r="BC54" s="50"/>
      <c r="BD54" s="49"/>
      <c r="BE54" s="37"/>
      <c r="BF54" s="37"/>
      <c r="BG54" s="37"/>
      <c r="BH54" s="37"/>
      <c r="BI54" s="37"/>
      <c r="BJ54" s="37"/>
      <c r="BK54" s="50"/>
      <c r="BL54" s="49"/>
      <c r="BM54" s="37"/>
      <c r="BN54" s="37"/>
      <c r="BO54" s="37"/>
      <c r="BP54" s="37"/>
      <c r="BQ54" s="37"/>
      <c r="BR54" s="37"/>
      <c r="BS54" s="50"/>
      <c r="BT54" s="49"/>
      <c r="BU54" s="37"/>
      <c r="BV54" s="37"/>
      <c r="BW54" s="37"/>
      <c r="BX54" s="37"/>
      <c r="BY54" s="37"/>
      <c r="BZ54" s="37"/>
      <c r="CA54" s="50"/>
      <c r="CB54" s="49"/>
      <c r="CC54" s="37"/>
      <c r="CD54" s="37"/>
      <c r="CE54" s="37"/>
      <c r="CF54" s="37"/>
      <c r="CG54" s="37"/>
      <c r="CH54" s="37"/>
      <c r="CI54" s="50"/>
      <c r="CJ54" s="49"/>
      <c r="CK54" s="37"/>
      <c r="CL54" s="37"/>
      <c r="CM54" s="37"/>
      <c r="CN54" s="37"/>
      <c r="CO54" s="37"/>
      <c r="CP54" s="37"/>
      <c r="CQ54" s="50"/>
      <c r="CR54" s="49"/>
      <c r="CS54" s="37"/>
      <c r="CT54" s="37"/>
      <c r="CU54" s="37"/>
      <c r="CV54" s="37"/>
      <c r="CW54" s="37"/>
      <c r="CX54" s="37"/>
      <c r="CY54" s="50"/>
      <c r="CZ54" s="49"/>
      <c r="DA54" s="37"/>
      <c r="DB54" s="37"/>
      <c r="DC54" s="37"/>
      <c r="DD54" s="37"/>
      <c r="DE54" s="37"/>
      <c r="DF54" s="37"/>
      <c r="DG54" s="50"/>
      <c r="DH54" s="49"/>
      <c r="DI54" s="37"/>
      <c r="DJ54" s="37"/>
      <c r="DK54" s="37"/>
      <c r="DL54" s="37"/>
      <c r="DM54" s="37"/>
      <c r="DN54" s="37"/>
      <c r="DO54" s="50"/>
      <c r="DP54" s="49"/>
      <c r="DQ54" s="37"/>
      <c r="DR54" s="37"/>
      <c r="DS54" s="37"/>
      <c r="DT54" s="37"/>
      <c r="DU54" s="37"/>
      <c r="DV54" s="37"/>
      <c r="DW54" s="50"/>
      <c r="DX54" s="49"/>
      <c r="DY54" s="37"/>
      <c r="DZ54" s="37"/>
      <c r="EA54" s="37"/>
      <c r="EB54" s="37"/>
      <c r="EC54" s="37"/>
      <c r="ED54" s="37"/>
      <c r="EE54" s="50"/>
      <c r="EF54" s="49"/>
      <c r="EG54" s="37"/>
      <c r="EH54" s="37"/>
      <c r="EI54" s="37"/>
      <c r="EJ54" s="37"/>
      <c r="EK54" s="37"/>
      <c r="EL54" s="37"/>
      <c r="EM54" s="50"/>
      <c r="EN54" s="22"/>
      <c r="EO54" s="12"/>
      <c r="EP54" s="12"/>
      <c r="EQ54" s="12"/>
      <c r="ER54" s="12"/>
      <c r="ES54" s="12"/>
      <c r="ET54" s="12"/>
      <c r="EU54" s="23"/>
      <c r="EV54" s="49"/>
      <c r="EW54" s="37"/>
      <c r="EX54" s="37"/>
      <c r="EY54" s="37"/>
      <c r="EZ54" s="37"/>
      <c r="FA54" s="37"/>
      <c r="FB54" s="37"/>
      <c r="FC54" s="50"/>
      <c r="FD54" s="49"/>
      <c r="FE54" s="37"/>
      <c r="FF54" s="37"/>
      <c r="FG54" s="37"/>
      <c r="FH54" s="37"/>
      <c r="FI54" s="37"/>
      <c r="FJ54" s="37"/>
      <c r="FK54" s="50"/>
      <c r="FL54" s="37" t="s">
        <v>926</v>
      </c>
      <c r="FM54" s="37"/>
      <c r="FN54" s="37"/>
    </row>
    <row r="55" spans="1:170" x14ac:dyDescent="0.25">
      <c r="A55" s="38">
        <f t="shared" si="1"/>
        <v>54</v>
      </c>
      <c r="B55" s="37" t="s">
        <v>928</v>
      </c>
      <c r="C55" s="37" t="s">
        <v>929</v>
      </c>
      <c r="D55" s="48">
        <v>44821.494675925926</v>
      </c>
      <c r="E55" s="37" t="s">
        <v>784</v>
      </c>
      <c r="F55" s="37" t="s">
        <v>784</v>
      </c>
      <c r="G55" s="37" t="s">
        <v>785</v>
      </c>
      <c r="H55" s="49">
        <v>4601</v>
      </c>
      <c r="I55" s="37" t="s">
        <v>329</v>
      </c>
      <c r="J55" s="37" t="s">
        <v>240</v>
      </c>
      <c r="K55" s="37">
        <v>24</v>
      </c>
      <c r="L55" s="37"/>
      <c r="M55" s="37"/>
      <c r="N55" s="37" t="s">
        <v>223</v>
      </c>
      <c r="O55" s="50" t="s">
        <v>930</v>
      </c>
      <c r="P55" s="49">
        <v>4604</v>
      </c>
      <c r="Q55" s="37" t="s">
        <v>655</v>
      </c>
      <c r="R55" s="37" t="s">
        <v>240</v>
      </c>
      <c r="S55" s="37">
        <v>10</v>
      </c>
      <c r="T55" s="37"/>
      <c r="U55" s="37"/>
      <c r="V55" s="37" t="s">
        <v>223</v>
      </c>
      <c r="W55" s="50" t="s">
        <v>930</v>
      </c>
      <c r="X55" s="49">
        <v>4605</v>
      </c>
      <c r="Y55" s="37" t="s">
        <v>478</v>
      </c>
      <c r="Z55" s="37" t="s">
        <v>240</v>
      </c>
      <c r="AA55" s="37">
        <v>38</v>
      </c>
      <c r="AB55" s="37"/>
      <c r="AC55" s="37"/>
      <c r="AD55" s="37" t="s">
        <v>223</v>
      </c>
      <c r="AE55" s="50" t="s">
        <v>930</v>
      </c>
      <c r="AF55" s="49" t="s">
        <v>597</v>
      </c>
      <c r="AG55" s="37" t="s">
        <v>596</v>
      </c>
      <c r="AH55" s="37" t="s">
        <v>235</v>
      </c>
      <c r="AI55" s="37">
        <v>32</v>
      </c>
      <c r="AJ55" s="37"/>
      <c r="AK55" s="37"/>
      <c r="AL55" s="37" t="s">
        <v>223</v>
      </c>
      <c r="AM55" s="50" t="s">
        <v>930</v>
      </c>
      <c r="AN55" s="49" t="s">
        <v>709</v>
      </c>
      <c r="AO55" s="37" t="s">
        <v>708</v>
      </c>
      <c r="AP55" s="37" t="s">
        <v>448</v>
      </c>
      <c r="AQ55" s="37">
        <v>20</v>
      </c>
      <c r="AR55" s="37"/>
      <c r="AS55" s="37"/>
      <c r="AT55" s="37" t="s">
        <v>223</v>
      </c>
      <c r="AU55" s="50" t="s">
        <v>930</v>
      </c>
      <c r="AV55" s="49" t="s">
        <v>426</v>
      </c>
      <c r="AW55" s="37" t="s">
        <v>818</v>
      </c>
      <c r="AX55" s="37" t="s">
        <v>235</v>
      </c>
      <c r="AY55" s="37">
        <v>40</v>
      </c>
      <c r="AZ55" s="37"/>
      <c r="BA55" s="37"/>
      <c r="BB55" s="37" t="s">
        <v>223</v>
      </c>
      <c r="BC55" s="50" t="s">
        <v>930</v>
      </c>
      <c r="BD55" s="49" t="s">
        <v>601</v>
      </c>
      <c r="BE55" s="37" t="s">
        <v>607</v>
      </c>
      <c r="BF55" s="37" t="s">
        <v>221</v>
      </c>
      <c r="BG55" s="37">
        <v>24</v>
      </c>
      <c r="BH55" s="37"/>
      <c r="BI55" s="37"/>
      <c r="BJ55" s="37" t="s">
        <v>223</v>
      </c>
      <c r="BK55" s="50" t="s">
        <v>930</v>
      </c>
      <c r="BL55" s="49"/>
      <c r="BM55" s="37"/>
      <c r="BN55" s="37"/>
      <c r="BO55" s="37"/>
      <c r="BP55" s="37"/>
      <c r="BQ55" s="37"/>
      <c r="BR55" s="37"/>
      <c r="BS55" s="50"/>
      <c r="BT55" s="49"/>
      <c r="BU55" s="37"/>
      <c r="BV55" s="37"/>
      <c r="BW55" s="37"/>
      <c r="BX55" s="37"/>
      <c r="BY55" s="37"/>
      <c r="BZ55" s="37"/>
      <c r="CA55" s="50"/>
      <c r="CB55" s="49"/>
      <c r="CC55" s="37"/>
      <c r="CD55" s="37"/>
      <c r="CE55" s="37"/>
      <c r="CF55" s="37"/>
      <c r="CG55" s="37"/>
      <c r="CH55" s="37"/>
      <c r="CI55" s="50"/>
      <c r="CJ55" s="49"/>
      <c r="CK55" s="37"/>
      <c r="CL55" s="37"/>
      <c r="CM55" s="37"/>
      <c r="CN55" s="37"/>
      <c r="CO55" s="37"/>
      <c r="CP55" s="37"/>
      <c r="CQ55" s="50"/>
      <c r="CR55" s="49"/>
      <c r="CS55" s="37"/>
      <c r="CT55" s="37"/>
      <c r="CU55" s="37"/>
      <c r="CV55" s="37"/>
      <c r="CW55" s="37"/>
      <c r="CX55" s="37"/>
      <c r="CY55" s="50"/>
      <c r="CZ55" s="49"/>
      <c r="DA55" s="37"/>
      <c r="DB55" s="37"/>
      <c r="DC55" s="37"/>
      <c r="DD55" s="37"/>
      <c r="DE55" s="37"/>
      <c r="DF55" s="37"/>
      <c r="DG55" s="50"/>
      <c r="DH55" s="49"/>
      <c r="DI55" s="37"/>
      <c r="DJ55" s="37"/>
      <c r="DK55" s="37"/>
      <c r="DL55" s="37"/>
      <c r="DM55" s="37"/>
      <c r="DN55" s="37"/>
      <c r="DO55" s="50"/>
      <c r="DP55" s="49"/>
      <c r="DQ55" s="37"/>
      <c r="DR55" s="37"/>
      <c r="DS55" s="37"/>
      <c r="DT55" s="37"/>
      <c r="DU55" s="37"/>
      <c r="DV55" s="37"/>
      <c r="DW55" s="50"/>
      <c r="DX55" s="49"/>
      <c r="DY55" s="37"/>
      <c r="DZ55" s="37"/>
      <c r="EA55" s="37"/>
      <c r="EB55" s="37"/>
      <c r="EC55" s="37"/>
      <c r="ED55" s="37"/>
      <c r="EE55" s="50"/>
      <c r="EF55" s="49"/>
      <c r="EG55" s="37"/>
      <c r="EH55" s="37"/>
      <c r="EI55" s="37"/>
      <c r="EJ55" s="37"/>
      <c r="EK55" s="37"/>
      <c r="EL55" s="37"/>
      <c r="EM55" s="50"/>
      <c r="EN55" s="22"/>
      <c r="EO55" s="12"/>
      <c r="EP55" s="12"/>
      <c r="EQ55" s="12"/>
      <c r="ER55" s="12"/>
      <c r="ES55" s="12"/>
      <c r="ET55" s="12"/>
      <c r="EU55" s="23"/>
      <c r="EV55" s="49"/>
      <c r="EW55" s="37"/>
      <c r="EX55" s="37"/>
      <c r="EY55" s="37"/>
      <c r="EZ55" s="37"/>
      <c r="FA55" s="37"/>
      <c r="FB55" s="37"/>
      <c r="FC55" s="50"/>
      <c r="FD55" s="49"/>
      <c r="FE55" s="37"/>
      <c r="FF55" s="37"/>
      <c r="FG55" s="37"/>
      <c r="FH55" s="37"/>
      <c r="FI55" s="37"/>
      <c r="FJ55" s="37"/>
      <c r="FK55" s="50"/>
      <c r="FL55" s="37" t="s">
        <v>903</v>
      </c>
      <c r="FM55" s="37" t="s">
        <v>903</v>
      </c>
      <c r="FN55" s="37"/>
    </row>
    <row r="56" spans="1:170" x14ac:dyDescent="0.25">
      <c r="A56" s="38">
        <f t="shared" si="1"/>
        <v>55</v>
      </c>
      <c r="B56" s="37" t="s">
        <v>928</v>
      </c>
      <c r="C56" s="37" t="s">
        <v>893</v>
      </c>
      <c r="D56" s="48">
        <v>44821.487881944442</v>
      </c>
      <c r="E56" s="37" t="s">
        <v>931</v>
      </c>
      <c r="F56" s="37" t="s">
        <v>931</v>
      </c>
      <c r="G56" s="37" t="s">
        <v>887</v>
      </c>
      <c r="H56" s="49" t="s">
        <v>528</v>
      </c>
      <c r="I56" s="37" t="s">
        <v>932</v>
      </c>
      <c r="J56" s="37" t="s">
        <v>263</v>
      </c>
      <c r="K56" s="37">
        <v>1</v>
      </c>
      <c r="L56" s="37"/>
      <c r="M56" s="37"/>
      <c r="N56" s="37" t="s">
        <v>223</v>
      </c>
      <c r="O56" s="50"/>
      <c r="P56" s="49">
        <v>1402</v>
      </c>
      <c r="Q56" s="37" t="s">
        <v>328</v>
      </c>
      <c r="R56" s="37" t="s">
        <v>240</v>
      </c>
      <c r="S56" s="37">
        <v>8</v>
      </c>
      <c r="T56" s="37"/>
      <c r="U56" s="37"/>
      <c r="V56" s="37" t="s">
        <v>223</v>
      </c>
      <c r="W56" s="50"/>
      <c r="X56" s="49">
        <v>1401</v>
      </c>
      <c r="Y56" s="37" t="s">
        <v>477</v>
      </c>
      <c r="Z56" s="37" t="s">
        <v>240</v>
      </c>
      <c r="AA56" s="37">
        <v>3</v>
      </c>
      <c r="AB56" s="37"/>
      <c r="AC56" s="37"/>
      <c r="AD56" s="37" t="s">
        <v>223</v>
      </c>
      <c r="AE56" s="50"/>
      <c r="AF56" s="49">
        <v>1430</v>
      </c>
      <c r="AG56" s="37" t="s">
        <v>511</v>
      </c>
      <c r="AH56" s="37" t="s">
        <v>240</v>
      </c>
      <c r="AI56" s="37">
        <v>10</v>
      </c>
      <c r="AJ56" s="37"/>
      <c r="AK56" s="37"/>
      <c r="AL56" s="37" t="s">
        <v>223</v>
      </c>
      <c r="AM56" s="50"/>
      <c r="AN56" s="49" t="s">
        <v>434</v>
      </c>
      <c r="AO56" s="37" t="s">
        <v>433</v>
      </c>
      <c r="AP56" s="37" t="s">
        <v>240</v>
      </c>
      <c r="AQ56" s="37">
        <v>64</v>
      </c>
      <c r="AR56" s="37"/>
      <c r="AS56" s="37"/>
      <c r="AT56" s="37" t="s">
        <v>223</v>
      </c>
      <c r="AU56" s="50"/>
      <c r="AV56" s="49">
        <v>4601</v>
      </c>
      <c r="AW56" s="37" t="s">
        <v>329</v>
      </c>
      <c r="AX56" s="37" t="s">
        <v>240</v>
      </c>
      <c r="AY56" s="37">
        <v>4</v>
      </c>
      <c r="AZ56" s="37"/>
      <c r="BA56" s="37"/>
      <c r="BB56" s="37" t="s">
        <v>223</v>
      </c>
      <c r="BC56" s="50"/>
      <c r="BD56" s="49">
        <v>4605</v>
      </c>
      <c r="BE56" s="37" t="s">
        <v>478</v>
      </c>
      <c r="BF56" s="37" t="s">
        <v>240</v>
      </c>
      <c r="BG56" s="37">
        <v>4</v>
      </c>
      <c r="BH56" s="37"/>
      <c r="BI56" s="37"/>
      <c r="BJ56" s="37" t="s">
        <v>223</v>
      </c>
      <c r="BK56" s="50"/>
      <c r="BL56" s="49">
        <v>4604</v>
      </c>
      <c r="BM56" s="37" t="s">
        <v>655</v>
      </c>
      <c r="BN56" s="37" t="s">
        <v>240</v>
      </c>
      <c r="BO56" s="37">
        <v>4</v>
      </c>
      <c r="BP56" s="37"/>
      <c r="BQ56" s="37"/>
      <c r="BR56" s="37" t="s">
        <v>223</v>
      </c>
      <c r="BS56" s="50"/>
      <c r="BT56" s="49" t="s">
        <v>601</v>
      </c>
      <c r="BU56" s="37" t="s">
        <v>607</v>
      </c>
      <c r="BV56" s="37" t="s">
        <v>221</v>
      </c>
      <c r="BW56" s="37">
        <v>16</v>
      </c>
      <c r="BX56" s="37"/>
      <c r="BY56" s="37"/>
      <c r="BZ56" s="37" t="s">
        <v>223</v>
      </c>
      <c r="CA56" s="50"/>
      <c r="CB56" s="49" t="s">
        <v>294</v>
      </c>
      <c r="CC56" s="37" t="s">
        <v>293</v>
      </c>
      <c r="CD56" s="37" t="s">
        <v>263</v>
      </c>
      <c r="CE56" s="37">
        <v>6</v>
      </c>
      <c r="CF56" s="37"/>
      <c r="CG56" s="37"/>
      <c r="CH56" s="37" t="s">
        <v>223</v>
      </c>
      <c r="CI56" s="50"/>
      <c r="CJ56" s="49" t="s">
        <v>468</v>
      </c>
      <c r="CK56" s="37" t="s">
        <v>467</v>
      </c>
      <c r="CL56" s="37" t="s">
        <v>448</v>
      </c>
      <c r="CM56" s="37">
        <v>300</v>
      </c>
      <c r="CN56" s="37"/>
      <c r="CO56" s="37"/>
      <c r="CP56" s="37" t="s">
        <v>223</v>
      </c>
      <c r="CQ56" s="50"/>
      <c r="CR56" s="49" t="s">
        <v>470</v>
      </c>
      <c r="CS56" s="37" t="s">
        <v>469</v>
      </c>
      <c r="CT56" s="37" t="s">
        <v>382</v>
      </c>
      <c r="CU56" s="37">
        <v>40</v>
      </c>
      <c r="CV56" s="37"/>
      <c r="CW56" s="37"/>
      <c r="CX56" s="37" t="s">
        <v>223</v>
      </c>
      <c r="CY56" s="50" t="s">
        <v>930</v>
      </c>
      <c r="CZ56" s="49"/>
      <c r="DA56" s="37"/>
      <c r="DB56" s="37"/>
      <c r="DC56" s="37"/>
      <c r="DD56" s="37"/>
      <c r="DE56" s="37"/>
      <c r="DF56" s="37"/>
      <c r="DG56" s="50"/>
      <c r="DH56" s="49"/>
      <c r="DI56" s="37"/>
      <c r="DJ56" s="37"/>
      <c r="DK56" s="37"/>
      <c r="DL56" s="37"/>
      <c r="DM56" s="37"/>
      <c r="DN56" s="37"/>
      <c r="DO56" s="50"/>
      <c r="DP56" s="49"/>
      <c r="DQ56" s="37"/>
      <c r="DR56" s="37"/>
      <c r="DS56" s="37"/>
      <c r="DT56" s="37"/>
      <c r="DU56" s="37"/>
      <c r="DV56" s="37"/>
      <c r="DW56" s="50"/>
      <c r="DX56" s="49"/>
      <c r="DY56" s="37"/>
      <c r="DZ56" s="37"/>
      <c r="EA56" s="37"/>
      <c r="EB56" s="37"/>
      <c r="EC56" s="37"/>
      <c r="ED56" s="37"/>
      <c r="EE56" s="50"/>
      <c r="EF56" s="49"/>
      <c r="EG56" s="37"/>
      <c r="EH56" s="37"/>
      <c r="EI56" s="37"/>
      <c r="EJ56" s="37"/>
      <c r="EK56" s="37"/>
      <c r="EL56" s="37"/>
      <c r="EM56" s="50"/>
      <c r="EN56" s="22"/>
      <c r="EO56" s="12"/>
      <c r="EP56" s="12"/>
      <c r="EQ56" s="12"/>
      <c r="ER56" s="12"/>
      <c r="ES56" s="12"/>
      <c r="ET56" s="12"/>
      <c r="EU56" s="23"/>
      <c r="EV56" s="49"/>
      <c r="EW56" s="37"/>
      <c r="EX56" s="37"/>
      <c r="EY56" s="37"/>
      <c r="EZ56" s="37"/>
      <c r="FA56" s="37"/>
      <c r="FB56" s="37"/>
      <c r="FC56" s="50"/>
      <c r="FD56" s="49"/>
      <c r="FE56" s="37"/>
      <c r="FF56" s="37"/>
      <c r="FG56" s="37"/>
      <c r="FH56" s="37"/>
      <c r="FI56" s="37"/>
      <c r="FJ56" s="37"/>
      <c r="FK56" s="50"/>
      <c r="FL56" s="37" t="s">
        <v>903</v>
      </c>
      <c r="FM56" s="37" t="s">
        <v>903</v>
      </c>
      <c r="FN56" s="37"/>
    </row>
    <row r="57" spans="1:170" x14ac:dyDescent="0.25">
      <c r="A57" s="38">
        <f t="shared" si="1"/>
        <v>56</v>
      </c>
      <c r="B57" s="37" t="s">
        <v>933</v>
      </c>
      <c r="C57" s="37" t="s">
        <v>852</v>
      </c>
      <c r="D57" s="48">
        <v>44819.441851851851</v>
      </c>
      <c r="E57" s="37" t="s">
        <v>931</v>
      </c>
      <c r="F57" s="37" t="s">
        <v>853</v>
      </c>
      <c r="G57" s="37" t="s">
        <v>854</v>
      </c>
      <c r="H57" s="49" t="s">
        <v>693</v>
      </c>
      <c r="I57" s="37" t="s">
        <v>692</v>
      </c>
      <c r="J57" s="37" t="s">
        <v>235</v>
      </c>
      <c r="K57" s="37">
        <v>1</v>
      </c>
      <c r="L57" s="37">
        <v>75.5</v>
      </c>
      <c r="M57" s="37">
        <v>1720</v>
      </c>
      <c r="N57" s="37" t="s">
        <v>32</v>
      </c>
      <c r="O57" s="50" t="s">
        <v>32</v>
      </c>
      <c r="P57" s="49"/>
      <c r="Q57" s="37"/>
      <c r="R57" s="37"/>
      <c r="S57" s="37"/>
      <c r="T57" s="37"/>
      <c r="U57" s="37"/>
      <c r="V57" s="37"/>
      <c r="W57" s="50"/>
      <c r="X57" s="49"/>
      <c r="Y57" s="37"/>
      <c r="Z57" s="37"/>
      <c r="AA57" s="37"/>
      <c r="AB57" s="37"/>
      <c r="AC57" s="37"/>
      <c r="AD57" s="37"/>
      <c r="AE57" s="50"/>
      <c r="AF57" s="49"/>
      <c r="AG57" s="37"/>
      <c r="AH57" s="37"/>
      <c r="AI57" s="37"/>
      <c r="AJ57" s="37"/>
      <c r="AK57" s="37"/>
      <c r="AL57" s="37"/>
      <c r="AM57" s="50"/>
      <c r="AN57" s="49"/>
      <c r="AO57" s="37"/>
      <c r="AP57" s="37"/>
      <c r="AQ57" s="37"/>
      <c r="AR57" s="37"/>
      <c r="AS57" s="37"/>
      <c r="AT57" s="37"/>
      <c r="AU57" s="50"/>
      <c r="AV57" s="49"/>
      <c r="AW57" s="37"/>
      <c r="AX57" s="37"/>
      <c r="AY57" s="37"/>
      <c r="AZ57" s="37"/>
      <c r="BA57" s="37"/>
      <c r="BB57" s="37"/>
      <c r="BC57" s="50"/>
      <c r="BD57" s="49"/>
      <c r="BE57" s="37"/>
      <c r="BF57" s="37"/>
      <c r="BG57" s="37"/>
      <c r="BH57" s="37"/>
      <c r="BI57" s="37"/>
      <c r="BJ57" s="37"/>
      <c r="BK57" s="50"/>
      <c r="BL57" s="49"/>
      <c r="BM57" s="37"/>
      <c r="BN57" s="37"/>
      <c r="BO57" s="37"/>
      <c r="BP57" s="37"/>
      <c r="BQ57" s="37"/>
      <c r="BR57" s="37"/>
      <c r="BS57" s="50"/>
      <c r="BT57" s="49"/>
      <c r="BU57" s="37"/>
      <c r="BV57" s="37"/>
      <c r="BW57" s="37"/>
      <c r="BX57" s="37"/>
      <c r="BY57" s="37"/>
      <c r="BZ57" s="37"/>
      <c r="CA57" s="50"/>
      <c r="CB57" s="49"/>
      <c r="CC57" s="37"/>
      <c r="CD57" s="37"/>
      <c r="CE57" s="37"/>
      <c r="CF57" s="37"/>
      <c r="CG57" s="37"/>
      <c r="CH57" s="37"/>
      <c r="CI57" s="50"/>
      <c r="CJ57" s="49"/>
      <c r="CK57" s="37"/>
      <c r="CL57" s="37"/>
      <c r="CM57" s="37"/>
      <c r="CN57" s="37"/>
      <c r="CO57" s="37"/>
      <c r="CP57" s="37"/>
      <c r="CQ57" s="50"/>
      <c r="CR57" s="49"/>
      <c r="CS57" s="37"/>
      <c r="CT57" s="37"/>
      <c r="CU57" s="37"/>
      <c r="CV57" s="37"/>
      <c r="CW57" s="37"/>
      <c r="CX57" s="37"/>
      <c r="CY57" s="50"/>
      <c r="CZ57" s="49"/>
      <c r="DA57" s="37"/>
      <c r="DB57" s="37"/>
      <c r="DC57" s="37"/>
      <c r="DD57" s="37"/>
      <c r="DE57" s="37"/>
      <c r="DF57" s="37"/>
      <c r="DG57" s="50"/>
      <c r="DH57" s="49"/>
      <c r="DI57" s="37"/>
      <c r="DJ57" s="37"/>
      <c r="DK57" s="37"/>
      <c r="DL57" s="37"/>
      <c r="DM57" s="37"/>
      <c r="DN57" s="37"/>
      <c r="DO57" s="50"/>
      <c r="DP57" s="49"/>
      <c r="DQ57" s="37"/>
      <c r="DR57" s="37"/>
      <c r="DS57" s="37"/>
      <c r="DT57" s="37"/>
      <c r="DU57" s="37"/>
      <c r="DV57" s="37"/>
      <c r="DW57" s="50"/>
      <c r="DX57" s="49"/>
      <c r="DY57" s="37"/>
      <c r="DZ57" s="37"/>
      <c r="EA57" s="37"/>
      <c r="EB57" s="37"/>
      <c r="EC57" s="37"/>
      <c r="ED57" s="37"/>
      <c r="EE57" s="50"/>
      <c r="EF57" s="49"/>
      <c r="EG57" s="37"/>
      <c r="EH57" s="37"/>
      <c r="EI57" s="37"/>
      <c r="EJ57" s="37"/>
      <c r="EK57" s="37"/>
      <c r="EL57" s="37"/>
      <c r="EM57" s="50"/>
      <c r="EN57" s="22"/>
      <c r="EO57" s="12"/>
      <c r="EP57" s="12"/>
      <c r="EQ57" s="12"/>
      <c r="ER57" s="12"/>
      <c r="ES57" s="12"/>
      <c r="ET57" s="12"/>
      <c r="EU57" s="23"/>
      <c r="EV57" s="49"/>
      <c r="EW57" s="37"/>
      <c r="EX57" s="37"/>
      <c r="EY57" s="37"/>
      <c r="EZ57" s="37"/>
      <c r="FA57" s="37"/>
      <c r="FB57" s="37"/>
      <c r="FC57" s="50"/>
      <c r="FD57" s="49"/>
      <c r="FE57" s="37"/>
      <c r="FF57" s="37"/>
      <c r="FG57" s="37"/>
      <c r="FH57" s="37"/>
      <c r="FI57" s="37"/>
      <c r="FJ57" s="37"/>
      <c r="FK57" s="50"/>
      <c r="FL57" s="37"/>
      <c r="FM57" s="37"/>
      <c r="FN57" s="37"/>
    </row>
    <row r="58" spans="1:170" x14ac:dyDescent="0.25">
      <c r="A58" s="38">
        <f t="shared" si="1"/>
        <v>57</v>
      </c>
      <c r="B58" s="37" t="s">
        <v>934</v>
      </c>
      <c r="C58" s="37" t="s">
        <v>852</v>
      </c>
      <c r="D58" s="48">
        <v>44819.440393518518</v>
      </c>
      <c r="E58" s="37" t="s">
        <v>931</v>
      </c>
      <c r="F58" s="37" t="s">
        <v>853</v>
      </c>
      <c r="G58" s="37" t="s">
        <v>854</v>
      </c>
      <c r="H58" s="49" t="s">
        <v>693</v>
      </c>
      <c r="I58" s="37" t="s">
        <v>692</v>
      </c>
      <c r="J58" s="37" t="s">
        <v>235</v>
      </c>
      <c r="K58" s="37">
        <v>3</v>
      </c>
      <c r="L58" s="37" t="s">
        <v>855</v>
      </c>
      <c r="M58" s="37" t="s">
        <v>858</v>
      </c>
      <c r="N58" s="37" t="s">
        <v>32</v>
      </c>
      <c r="O58" s="50" t="s">
        <v>32</v>
      </c>
      <c r="P58" s="49"/>
      <c r="Q58" s="37"/>
      <c r="R58" s="37"/>
      <c r="S58" s="37"/>
      <c r="T58" s="37"/>
      <c r="U58" s="37"/>
      <c r="V58" s="37"/>
      <c r="W58" s="50"/>
      <c r="X58" s="49"/>
      <c r="Y58" s="37"/>
      <c r="Z58" s="37"/>
      <c r="AA58" s="37"/>
      <c r="AB58" s="37"/>
      <c r="AC58" s="37"/>
      <c r="AD58" s="37"/>
      <c r="AE58" s="50"/>
      <c r="AF58" s="49"/>
      <c r="AG58" s="37"/>
      <c r="AH58" s="37"/>
      <c r="AI58" s="37"/>
      <c r="AJ58" s="37"/>
      <c r="AK58" s="37"/>
      <c r="AL58" s="37"/>
      <c r="AM58" s="50"/>
      <c r="AN58" s="49"/>
      <c r="AO58" s="37"/>
      <c r="AP58" s="37"/>
      <c r="AQ58" s="37"/>
      <c r="AR58" s="37"/>
      <c r="AS58" s="37"/>
      <c r="AT58" s="37"/>
      <c r="AU58" s="50"/>
      <c r="AV58" s="49"/>
      <c r="AW58" s="37"/>
      <c r="AX58" s="37"/>
      <c r="AY58" s="37"/>
      <c r="AZ58" s="37"/>
      <c r="BA58" s="37"/>
      <c r="BB58" s="37"/>
      <c r="BC58" s="50"/>
      <c r="BD58" s="49"/>
      <c r="BE58" s="37"/>
      <c r="BF58" s="37"/>
      <c r="BG58" s="37"/>
      <c r="BH58" s="37"/>
      <c r="BI58" s="37"/>
      <c r="BJ58" s="37"/>
      <c r="BK58" s="50"/>
      <c r="BL58" s="49"/>
      <c r="BM58" s="37"/>
      <c r="BN58" s="37"/>
      <c r="BO58" s="37"/>
      <c r="BP58" s="37"/>
      <c r="BQ58" s="37"/>
      <c r="BR58" s="37"/>
      <c r="BS58" s="50"/>
      <c r="BT58" s="49"/>
      <c r="BU58" s="37"/>
      <c r="BV58" s="37"/>
      <c r="BW58" s="37"/>
      <c r="BX58" s="37"/>
      <c r="BY58" s="37"/>
      <c r="BZ58" s="37"/>
      <c r="CA58" s="50"/>
      <c r="CB58" s="49"/>
      <c r="CC58" s="37"/>
      <c r="CD58" s="37"/>
      <c r="CE58" s="37"/>
      <c r="CF58" s="37"/>
      <c r="CG58" s="37"/>
      <c r="CH58" s="37"/>
      <c r="CI58" s="50"/>
      <c r="CJ58" s="49"/>
      <c r="CK58" s="37"/>
      <c r="CL58" s="37"/>
      <c r="CM58" s="37"/>
      <c r="CN58" s="37"/>
      <c r="CO58" s="37"/>
      <c r="CP58" s="37"/>
      <c r="CQ58" s="50"/>
      <c r="CR58" s="49"/>
      <c r="CS58" s="37"/>
      <c r="CT58" s="37"/>
      <c r="CU58" s="37"/>
      <c r="CV58" s="37"/>
      <c r="CW58" s="37"/>
      <c r="CX58" s="37"/>
      <c r="CY58" s="50"/>
      <c r="CZ58" s="49"/>
      <c r="DA58" s="37"/>
      <c r="DB58" s="37"/>
      <c r="DC58" s="37"/>
      <c r="DD58" s="37"/>
      <c r="DE58" s="37"/>
      <c r="DF58" s="37"/>
      <c r="DG58" s="50"/>
      <c r="DH58" s="49"/>
      <c r="DI58" s="37"/>
      <c r="DJ58" s="37"/>
      <c r="DK58" s="37"/>
      <c r="DL58" s="37"/>
      <c r="DM58" s="37"/>
      <c r="DN58" s="37"/>
      <c r="DO58" s="50"/>
      <c r="DP58" s="49"/>
      <c r="DQ58" s="37"/>
      <c r="DR58" s="37"/>
      <c r="DS58" s="37"/>
      <c r="DT58" s="37"/>
      <c r="DU58" s="37"/>
      <c r="DV58" s="37"/>
      <c r="DW58" s="50"/>
      <c r="DX58" s="49"/>
      <c r="DY58" s="37"/>
      <c r="DZ58" s="37"/>
      <c r="EA58" s="37"/>
      <c r="EB58" s="37"/>
      <c r="EC58" s="37"/>
      <c r="ED58" s="37"/>
      <c r="EE58" s="50"/>
      <c r="EF58" s="49"/>
      <c r="EG58" s="37"/>
      <c r="EH58" s="37"/>
      <c r="EI58" s="37"/>
      <c r="EJ58" s="37"/>
      <c r="EK58" s="37"/>
      <c r="EL58" s="37"/>
      <c r="EM58" s="50"/>
      <c r="EN58" s="22"/>
      <c r="EO58" s="12"/>
      <c r="EP58" s="12"/>
      <c r="EQ58" s="12"/>
      <c r="ER58" s="12"/>
      <c r="ES58" s="12"/>
      <c r="ET58" s="12"/>
      <c r="EU58" s="23"/>
      <c r="EV58" s="49"/>
      <c r="EW58" s="37"/>
      <c r="EX58" s="37"/>
      <c r="EY58" s="37"/>
      <c r="EZ58" s="37"/>
      <c r="FA58" s="37"/>
      <c r="FB58" s="37"/>
      <c r="FC58" s="50"/>
      <c r="FD58" s="49"/>
      <c r="FE58" s="37"/>
      <c r="FF58" s="37"/>
      <c r="FG58" s="37"/>
      <c r="FH58" s="37"/>
      <c r="FI58" s="37"/>
      <c r="FJ58" s="37"/>
      <c r="FK58" s="50"/>
      <c r="FL58" s="37"/>
      <c r="FM58" s="37"/>
      <c r="FN58" s="37"/>
    </row>
    <row r="59" spans="1:170" x14ac:dyDescent="0.25">
      <c r="A59" s="38">
        <f t="shared" si="1"/>
        <v>58</v>
      </c>
      <c r="B59" s="37" t="s">
        <v>935</v>
      </c>
      <c r="C59" s="37" t="s">
        <v>860</v>
      </c>
      <c r="D59" s="48">
        <v>44819.428113425929</v>
      </c>
      <c r="E59" s="37" t="s">
        <v>861</v>
      </c>
      <c r="F59" s="37" t="s">
        <v>862</v>
      </c>
      <c r="G59" s="37" t="s">
        <v>854</v>
      </c>
      <c r="H59" s="49" t="s">
        <v>225</v>
      </c>
      <c r="I59" s="37" t="s">
        <v>863</v>
      </c>
      <c r="J59" s="37" t="s">
        <v>518</v>
      </c>
      <c r="K59" s="37">
        <v>4</v>
      </c>
      <c r="L59" s="37">
        <v>44624</v>
      </c>
      <c r="M59" s="37" t="s">
        <v>936</v>
      </c>
      <c r="N59" s="37" t="s">
        <v>520</v>
      </c>
      <c r="O59" s="50" t="s">
        <v>32</v>
      </c>
      <c r="P59" s="49" t="s">
        <v>624</v>
      </c>
      <c r="Q59" s="37" t="s">
        <v>864</v>
      </c>
      <c r="R59" s="37" t="s">
        <v>626</v>
      </c>
      <c r="S59" s="37">
        <v>2</v>
      </c>
      <c r="T59" s="37"/>
      <c r="U59" s="37"/>
      <c r="V59" s="37" t="s">
        <v>32</v>
      </c>
      <c r="W59" s="50" t="s">
        <v>32</v>
      </c>
      <c r="X59" s="49"/>
      <c r="Y59" s="37"/>
      <c r="Z59" s="37"/>
      <c r="AA59" s="37"/>
      <c r="AB59" s="37"/>
      <c r="AC59" s="37"/>
      <c r="AD59" s="37"/>
      <c r="AE59" s="50"/>
      <c r="AF59" s="49"/>
      <c r="AG59" s="37"/>
      <c r="AH59" s="37"/>
      <c r="AI59" s="37"/>
      <c r="AJ59" s="37"/>
      <c r="AK59" s="37"/>
      <c r="AL59" s="37"/>
      <c r="AM59" s="50"/>
      <c r="AN59" s="49"/>
      <c r="AO59" s="37"/>
      <c r="AP59" s="37"/>
      <c r="AQ59" s="37"/>
      <c r="AR59" s="37"/>
      <c r="AS59" s="37"/>
      <c r="AT59" s="37"/>
      <c r="AU59" s="50"/>
      <c r="AV59" s="49"/>
      <c r="AW59" s="37"/>
      <c r="AX59" s="37"/>
      <c r="AY59" s="37"/>
      <c r="AZ59" s="37"/>
      <c r="BA59" s="37"/>
      <c r="BB59" s="37"/>
      <c r="BC59" s="50"/>
      <c r="BD59" s="49"/>
      <c r="BE59" s="37"/>
      <c r="BF59" s="37"/>
      <c r="BG59" s="37"/>
      <c r="BH59" s="37"/>
      <c r="BI59" s="37"/>
      <c r="BJ59" s="37"/>
      <c r="BK59" s="50"/>
      <c r="BL59" s="49"/>
      <c r="BM59" s="37"/>
      <c r="BN59" s="37"/>
      <c r="BO59" s="37"/>
      <c r="BP59" s="37"/>
      <c r="BQ59" s="37"/>
      <c r="BR59" s="37"/>
      <c r="BS59" s="50"/>
      <c r="BT59" s="49"/>
      <c r="BU59" s="37"/>
      <c r="BV59" s="37"/>
      <c r="BW59" s="37"/>
      <c r="BX59" s="37"/>
      <c r="BY59" s="37"/>
      <c r="BZ59" s="37"/>
      <c r="CA59" s="50"/>
      <c r="CB59" s="49"/>
      <c r="CC59" s="37"/>
      <c r="CD59" s="37"/>
      <c r="CE59" s="37"/>
      <c r="CF59" s="37"/>
      <c r="CG59" s="37"/>
      <c r="CH59" s="37"/>
      <c r="CI59" s="50"/>
      <c r="CJ59" s="49"/>
      <c r="CK59" s="37"/>
      <c r="CL59" s="37"/>
      <c r="CM59" s="37"/>
      <c r="CN59" s="37"/>
      <c r="CO59" s="37"/>
      <c r="CP59" s="37"/>
      <c r="CQ59" s="50"/>
      <c r="CR59" s="49"/>
      <c r="CS59" s="37"/>
      <c r="CT59" s="37"/>
      <c r="CU59" s="37"/>
      <c r="CV59" s="37"/>
      <c r="CW59" s="37"/>
      <c r="CX59" s="37"/>
      <c r="CY59" s="50"/>
      <c r="CZ59" s="49"/>
      <c r="DA59" s="37"/>
      <c r="DB59" s="37"/>
      <c r="DC59" s="37"/>
      <c r="DD59" s="37"/>
      <c r="DE59" s="37"/>
      <c r="DF59" s="37"/>
      <c r="DG59" s="50"/>
      <c r="DH59" s="49"/>
      <c r="DI59" s="37"/>
      <c r="DJ59" s="37"/>
      <c r="DK59" s="37"/>
      <c r="DL59" s="37"/>
      <c r="DM59" s="37"/>
      <c r="DN59" s="37"/>
      <c r="DO59" s="50"/>
      <c r="DP59" s="49"/>
      <c r="DQ59" s="37"/>
      <c r="DR59" s="37"/>
      <c r="DS59" s="37"/>
      <c r="DT59" s="37"/>
      <c r="DU59" s="37"/>
      <c r="DV59" s="37"/>
      <c r="DW59" s="50"/>
      <c r="DX59" s="49"/>
      <c r="DY59" s="37"/>
      <c r="DZ59" s="37"/>
      <c r="EA59" s="37"/>
      <c r="EB59" s="37"/>
      <c r="EC59" s="37"/>
      <c r="ED59" s="37"/>
      <c r="EE59" s="50"/>
      <c r="EF59" s="49"/>
      <c r="EG59" s="37"/>
      <c r="EH59" s="37"/>
      <c r="EI59" s="37"/>
      <c r="EJ59" s="37"/>
      <c r="EK59" s="37"/>
      <c r="EL59" s="37"/>
      <c r="EM59" s="50"/>
      <c r="EN59" s="22"/>
      <c r="EO59" s="12"/>
      <c r="EP59" s="12"/>
      <c r="EQ59" s="12"/>
      <c r="ER59" s="12"/>
      <c r="ES59" s="12"/>
      <c r="ET59" s="12"/>
      <c r="EU59" s="23"/>
      <c r="EV59" s="49"/>
      <c r="EW59" s="37"/>
      <c r="EX59" s="37"/>
      <c r="EY59" s="37"/>
      <c r="EZ59" s="37"/>
      <c r="FA59" s="37"/>
      <c r="FB59" s="37"/>
      <c r="FC59" s="50"/>
      <c r="FD59" s="49"/>
      <c r="FE59" s="37"/>
      <c r="FF59" s="37"/>
      <c r="FG59" s="37"/>
      <c r="FH59" s="37"/>
      <c r="FI59" s="37"/>
      <c r="FJ59" s="37"/>
      <c r="FK59" s="50"/>
      <c r="FL59" s="37"/>
      <c r="FM59" s="37"/>
      <c r="FN59" s="37"/>
    </row>
    <row r="60" spans="1:170" x14ac:dyDescent="0.25">
      <c r="A60" s="38">
        <f t="shared" si="1"/>
        <v>59</v>
      </c>
      <c r="B60" s="37" t="s">
        <v>937</v>
      </c>
      <c r="C60" s="37" t="s">
        <v>866</v>
      </c>
      <c r="D60" s="48">
        <v>44818.761377314811</v>
      </c>
      <c r="E60" s="37" t="s">
        <v>867</v>
      </c>
      <c r="F60" s="37" t="s">
        <v>867</v>
      </c>
      <c r="G60" s="37" t="s">
        <v>868</v>
      </c>
      <c r="H60" s="49" t="s">
        <v>516</v>
      </c>
      <c r="I60" s="37" t="s">
        <v>515</v>
      </c>
      <c r="J60" s="37" t="s">
        <v>518</v>
      </c>
      <c r="K60" s="37">
        <v>2</v>
      </c>
      <c r="L60" s="37" t="s">
        <v>869</v>
      </c>
      <c r="M60" s="37" t="s">
        <v>870</v>
      </c>
      <c r="N60" s="37" t="s">
        <v>520</v>
      </c>
      <c r="O60" s="50">
        <v>85915</v>
      </c>
      <c r="P60" s="49"/>
      <c r="Q60" s="37"/>
      <c r="R60" s="37"/>
      <c r="S60" s="37"/>
      <c r="T60" s="37"/>
      <c r="U60" s="37"/>
      <c r="V60" s="37"/>
      <c r="W60" s="50"/>
      <c r="X60" s="49"/>
      <c r="Y60" s="37"/>
      <c r="Z60" s="37"/>
      <c r="AA60" s="37"/>
      <c r="AB60" s="37"/>
      <c r="AC60" s="37"/>
      <c r="AD60" s="37"/>
      <c r="AE60" s="50"/>
      <c r="AF60" s="49"/>
      <c r="AG60" s="37"/>
      <c r="AH60" s="37"/>
      <c r="AI60" s="37"/>
      <c r="AJ60" s="37"/>
      <c r="AK60" s="37"/>
      <c r="AL60" s="37"/>
      <c r="AM60" s="50"/>
      <c r="AN60" s="49"/>
      <c r="AO60" s="37"/>
      <c r="AP60" s="37"/>
      <c r="AQ60" s="37"/>
      <c r="AR60" s="37"/>
      <c r="AS60" s="37"/>
      <c r="AT60" s="37"/>
      <c r="AU60" s="50"/>
      <c r="AV60" s="49"/>
      <c r="AW60" s="37"/>
      <c r="AX60" s="37"/>
      <c r="AY60" s="37"/>
      <c r="AZ60" s="37"/>
      <c r="BA60" s="37"/>
      <c r="BB60" s="37"/>
      <c r="BC60" s="50"/>
      <c r="BD60" s="49"/>
      <c r="BE60" s="37"/>
      <c r="BF60" s="37"/>
      <c r="BG60" s="37"/>
      <c r="BH60" s="37"/>
      <c r="BI60" s="37"/>
      <c r="BJ60" s="37"/>
      <c r="BK60" s="50"/>
      <c r="BL60" s="49"/>
      <c r="BM60" s="37"/>
      <c r="BN60" s="37"/>
      <c r="BO60" s="37"/>
      <c r="BP60" s="37"/>
      <c r="BQ60" s="37"/>
      <c r="BR60" s="37"/>
      <c r="BS60" s="50"/>
      <c r="BT60" s="49"/>
      <c r="BU60" s="37"/>
      <c r="BV60" s="37"/>
      <c r="BW60" s="37"/>
      <c r="BX60" s="37"/>
      <c r="BY60" s="37"/>
      <c r="BZ60" s="37"/>
      <c r="CA60" s="50"/>
      <c r="CB60" s="49"/>
      <c r="CC60" s="37"/>
      <c r="CD60" s="37"/>
      <c r="CE60" s="37"/>
      <c r="CF60" s="37"/>
      <c r="CG60" s="37"/>
      <c r="CH60" s="37"/>
      <c r="CI60" s="50"/>
      <c r="CJ60" s="49"/>
      <c r="CK60" s="37"/>
      <c r="CL60" s="37"/>
      <c r="CM60" s="37"/>
      <c r="CN60" s="37"/>
      <c r="CO60" s="37"/>
      <c r="CP60" s="37"/>
      <c r="CQ60" s="50"/>
      <c r="CR60" s="49"/>
      <c r="CS60" s="37"/>
      <c r="CT60" s="37"/>
      <c r="CU60" s="37"/>
      <c r="CV60" s="37"/>
      <c r="CW60" s="37"/>
      <c r="CX60" s="37"/>
      <c r="CY60" s="50"/>
      <c r="CZ60" s="49"/>
      <c r="DA60" s="37"/>
      <c r="DB60" s="37"/>
      <c r="DC60" s="37"/>
      <c r="DD60" s="37"/>
      <c r="DE60" s="37"/>
      <c r="DF60" s="37"/>
      <c r="DG60" s="50"/>
      <c r="DH60" s="49"/>
      <c r="DI60" s="37"/>
      <c r="DJ60" s="37"/>
      <c r="DK60" s="37"/>
      <c r="DL60" s="37"/>
      <c r="DM60" s="37"/>
      <c r="DN60" s="37"/>
      <c r="DO60" s="50"/>
      <c r="DP60" s="49"/>
      <c r="DQ60" s="37"/>
      <c r="DR60" s="37"/>
      <c r="DS60" s="37"/>
      <c r="DT60" s="37"/>
      <c r="DU60" s="37"/>
      <c r="DV60" s="37"/>
      <c r="DW60" s="50"/>
      <c r="DX60" s="49"/>
      <c r="DY60" s="37"/>
      <c r="DZ60" s="37"/>
      <c r="EA60" s="37"/>
      <c r="EB60" s="37"/>
      <c r="EC60" s="37"/>
      <c r="ED60" s="37"/>
      <c r="EE60" s="50"/>
      <c r="EF60" s="49"/>
      <c r="EG60" s="37"/>
      <c r="EH60" s="37"/>
      <c r="EI60" s="37"/>
      <c r="EJ60" s="37"/>
      <c r="EK60" s="37"/>
      <c r="EL60" s="37"/>
      <c r="EM60" s="50"/>
      <c r="EN60" s="22"/>
      <c r="EO60" s="12"/>
      <c r="EP60" s="12"/>
      <c r="EQ60" s="12"/>
      <c r="ER60" s="12"/>
      <c r="ES60" s="12"/>
      <c r="ET60" s="12"/>
      <c r="EU60" s="23"/>
      <c r="EV60" s="49"/>
      <c r="EW60" s="37"/>
      <c r="EX60" s="37"/>
      <c r="EY60" s="37"/>
      <c r="EZ60" s="37"/>
      <c r="FA60" s="37"/>
      <c r="FB60" s="37"/>
      <c r="FC60" s="50"/>
      <c r="FD60" s="49"/>
      <c r="FE60" s="37"/>
      <c r="FF60" s="37"/>
      <c r="FG60" s="37"/>
      <c r="FH60" s="37"/>
      <c r="FI60" s="37"/>
      <c r="FJ60" s="37"/>
      <c r="FK60" s="50"/>
      <c r="FL60" s="37">
        <v>85915</v>
      </c>
      <c r="FM60" s="37"/>
      <c r="FN60" s="37"/>
    </row>
    <row r="61" spans="1:170" x14ac:dyDescent="0.25">
      <c r="A61" s="38">
        <f t="shared" si="1"/>
        <v>60</v>
      </c>
      <c r="B61" s="37" t="s">
        <v>938</v>
      </c>
      <c r="C61" s="37" t="s">
        <v>939</v>
      </c>
      <c r="D61" s="48">
        <v>44818.736168981479</v>
      </c>
      <c r="E61" s="37" t="s">
        <v>867</v>
      </c>
      <c r="F61" s="37" t="s">
        <v>940</v>
      </c>
      <c r="G61" s="37" t="s">
        <v>868</v>
      </c>
      <c r="H61" s="49" t="s">
        <v>219</v>
      </c>
      <c r="I61" s="37" t="s">
        <v>873</v>
      </c>
      <c r="J61" s="37" t="s">
        <v>874</v>
      </c>
      <c r="K61" s="37">
        <v>18</v>
      </c>
      <c r="L61" s="37"/>
      <c r="M61" s="37"/>
      <c r="N61" s="37" t="s">
        <v>520</v>
      </c>
      <c r="O61" s="50"/>
      <c r="P61" s="49"/>
      <c r="Q61" s="37"/>
      <c r="R61" s="37"/>
      <c r="S61" s="37"/>
      <c r="T61" s="37"/>
      <c r="U61" s="37"/>
      <c r="V61" s="37"/>
      <c r="W61" s="50"/>
      <c r="X61" s="49"/>
      <c r="Y61" s="37"/>
      <c r="Z61" s="37"/>
      <c r="AA61" s="37"/>
      <c r="AB61" s="37"/>
      <c r="AC61" s="37"/>
      <c r="AD61" s="37"/>
      <c r="AE61" s="50"/>
      <c r="AF61" s="49"/>
      <c r="AG61" s="37"/>
      <c r="AH61" s="37"/>
      <c r="AI61" s="37"/>
      <c r="AJ61" s="37"/>
      <c r="AK61" s="37"/>
      <c r="AL61" s="37"/>
      <c r="AM61" s="50"/>
      <c r="AN61" s="49"/>
      <c r="AO61" s="37"/>
      <c r="AP61" s="37"/>
      <c r="AQ61" s="37"/>
      <c r="AR61" s="37"/>
      <c r="AS61" s="37"/>
      <c r="AT61" s="37"/>
      <c r="AU61" s="50"/>
      <c r="AV61" s="49"/>
      <c r="AW61" s="37"/>
      <c r="AX61" s="37"/>
      <c r="AY61" s="37"/>
      <c r="AZ61" s="37"/>
      <c r="BA61" s="37"/>
      <c r="BB61" s="37"/>
      <c r="BC61" s="50"/>
      <c r="BD61" s="49"/>
      <c r="BE61" s="37"/>
      <c r="BF61" s="37"/>
      <c r="BG61" s="37"/>
      <c r="BH61" s="37"/>
      <c r="BI61" s="37"/>
      <c r="BJ61" s="37"/>
      <c r="BK61" s="50"/>
      <c r="BL61" s="49"/>
      <c r="BM61" s="37"/>
      <c r="BN61" s="37"/>
      <c r="BO61" s="37"/>
      <c r="BP61" s="37"/>
      <c r="BQ61" s="37"/>
      <c r="BR61" s="37"/>
      <c r="BS61" s="50"/>
      <c r="BT61" s="49"/>
      <c r="BU61" s="37"/>
      <c r="BV61" s="37"/>
      <c r="BW61" s="37"/>
      <c r="BX61" s="37"/>
      <c r="BY61" s="37"/>
      <c r="BZ61" s="37"/>
      <c r="CA61" s="50"/>
      <c r="CB61" s="49"/>
      <c r="CC61" s="37"/>
      <c r="CD61" s="37"/>
      <c r="CE61" s="37"/>
      <c r="CF61" s="37"/>
      <c r="CG61" s="37"/>
      <c r="CH61" s="37"/>
      <c r="CI61" s="50"/>
      <c r="CJ61" s="49"/>
      <c r="CK61" s="37"/>
      <c r="CL61" s="37"/>
      <c r="CM61" s="37"/>
      <c r="CN61" s="37"/>
      <c r="CO61" s="37"/>
      <c r="CP61" s="37"/>
      <c r="CQ61" s="50"/>
      <c r="CR61" s="49"/>
      <c r="CS61" s="37"/>
      <c r="CT61" s="37"/>
      <c r="CU61" s="37"/>
      <c r="CV61" s="37"/>
      <c r="CW61" s="37"/>
      <c r="CX61" s="37"/>
      <c r="CY61" s="50"/>
      <c r="CZ61" s="49"/>
      <c r="DA61" s="37"/>
      <c r="DB61" s="37"/>
      <c r="DC61" s="37"/>
      <c r="DD61" s="37"/>
      <c r="DE61" s="37"/>
      <c r="DF61" s="37"/>
      <c r="DG61" s="50"/>
      <c r="DH61" s="49"/>
      <c r="DI61" s="37"/>
      <c r="DJ61" s="37"/>
      <c r="DK61" s="37"/>
      <c r="DL61" s="37"/>
      <c r="DM61" s="37"/>
      <c r="DN61" s="37"/>
      <c r="DO61" s="50"/>
      <c r="DP61" s="49"/>
      <c r="DQ61" s="37"/>
      <c r="DR61" s="37"/>
      <c r="DS61" s="37"/>
      <c r="DT61" s="37"/>
      <c r="DU61" s="37"/>
      <c r="DV61" s="37"/>
      <c r="DW61" s="50"/>
      <c r="DX61" s="49"/>
      <c r="DY61" s="37"/>
      <c r="DZ61" s="37"/>
      <c r="EA61" s="37"/>
      <c r="EB61" s="37"/>
      <c r="EC61" s="37"/>
      <c r="ED61" s="37"/>
      <c r="EE61" s="50"/>
      <c r="EF61" s="49"/>
      <c r="EG61" s="37"/>
      <c r="EH61" s="37"/>
      <c r="EI61" s="37"/>
      <c r="EJ61" s="37"/>
      <c r="EK61" s="37"/>
      <c r="EL61" s="37"/>
      <c r="EM61" s="50"/>
      <c r="EN61" s="22"/>
      <c r="EO61" s="12"/>
      <c r="EP61" s="12"/>
      <c r="EQ61" s="12"/>
      <c r="ER61" s="12"/>
      <c r="ES61" s="12"/>
      <c r="ET61" s="12"/>
      <c r="EU61" s="23"/>
      <c r="EV61" s="49"/>
      <c r="EW61" s="37"/>
      <c r="EX61" s="37"/>
      <c r="EY61" s="37"/>
      <c r="EZ61" s="37"/>
      <c r="FA61" s="37"/>
      <c r="FB61" s="37"/>
      <c r="FC61" s="50"/>
      <c r="FD61" s="49"/>
      <c r="FE61" s="37"/>
      <c r="FF61" s="37"/>
      <c r="FG61" s="37"/>
      <c r="FH61" s="37"/>
      <c r="FI61" s="37"/>
      <c r="FJ61" s="37"/>
      <c r="FK61" s="50"/>
      <c r="FL61" s="37" t="s">
        <v>875</v>
      </c>
      <c r="FM61" s="37"/>
      <c r="FN61" s="37"/>
    </row>
    <row r="62" spans="1:170" x14ac:dyDescent="0.25">
      <c r="A62" s="38">
        <f t="shared" si="1"/>
        <v>61</v>
      </c>
      <c r="B62" s="37" t="s">
        <v>941</v>
      </c>
      <c r="C62" s="37" t="s">
        <v>942</v>
      </c>
      <c r="D62" s="48">
        <v>44818.729942129627</v>
      </c>
      <c r="E62" s="37" t="s">
        <v>943</v>
      </c>
      <c r="F62" s="37" t="s">
        <v>853</v>
      </c>
      <c r="G62" s="37" t="s">
        <v>854</v>
      </c>
      <c r="H62" s="49" t="s">
        <v>466</v>
      </c>
      <c r="I62" s="37" t="s">
        <v>465</v>
      </c>
      <c r="J62" s="37" t="s">
        <v>235</v>
      </c>
      <c r="K62" s="37">
        <v>2</v>
      </c>
      <c r="L62" s="37"/>
      <c r="M62" s="37"/>
      <c r="N62" s="37" t="s">
        <v>223</v>
      </c>
      <c r="O62" s="50"/>
      <c r="P62" s="49"/>
      <c r="Q62" s="37"/>
      <c r="R62" s="37"/>
      <c r="S62" s="37"/>
      <c r="T62" s="37"/>
      <c r="U62" s="37"/>
      <c r="V62" s="37"/>
      <c r="W62" s="50"/>
      <c r="X62" s="49"/>
      <c r="Y62" s="37"/>
      <c r="Z62" s="37"/>
      <c r="AA62" s="37"/>
      <c r="AB62" s="37"/>
      <c r="AC62" s="37"/>
      <c r="AD62" s="37"/>
      <c r="AE62" s="50"/>
      <c r="AF62" s="49"/>
      <c r="AG62" s="37"/>
      <c r="AH62" s="37"/>
      <c r="AI62" s="37"/>
      <c r="AJ62" s="37"/>
      <c r="AK62" s="37"/>
      <c r="AL62" s="37"/>
      <c r="AM62" s="50"/>
      <c r="AN62" s="49"/>
      <c r="AO62" s="37"/>
      <c r="AP62" s="37"/>
      <c r="AQ62" s="37"/>
      <c r="AR62" s="37"/>
      <c r="AS62" s="37"/>
      <c r="AT62" s="37"/>
      <c r="AU62" s="50"/>
      <c r="AV62" s="49"/>
      <c r="AW62" s="37"/>
      <c r="AX62" s="37"/>
      <c r="AY62" s="37"/>
      <c r="AZ62" s="37"/>
      <c r="BA62" s="37"/>
      <c r="BB62" s="37"/>
      <c r="BC62" s="50"/>
      <c r="BD62" s="49"/>
      <c r="BE62" s="37"/>
      <c r="BF62" s="37"/>
      <c r="BG62" s="37"/>
      <c r="BH62" s="37"/>
      <c r="BI62" s="37"/>
      <c r="BJ62" s="37"/>
      <c r="BK62" s="50"/>
      <c r="BL62" s="49"/>
      <c r="BM62" s="37"/>
      <c r="BN62" s="37"/>
      <c r="BO62" s="37"/>
      <c r="BP62" s="37"/>
      <c r="BQ62" s="37"/>
      <c r="BR62" s="37"/>
      <c r="BS62" s="50"/>
      <c r="BT62" s="49"/>
      <c r="BU62" s="37"/>
      <c r="BV62" s="37"/>
      <c r="BW62" s="37"/>
      <c r="BX62" s="37"/>
      <c r="BY62" s="37"/>
      <c r="BZ62" s="37"/>
      <c r="CA62" s="50"/>
      <c r="CB62" s="49"/>
      <c r="CC62" s="37"/>
      <c r="CD62" s="37"/>
      <c r="CE62" s="37"/>
      <c r="CF62" s="37"/>
      <c r="CG62" s="37"/>
      <c r="CH62" s="37"/>
      <c r="CI62" s="50"/>
      <c r="CJ62" s="49"/>
      <c r="CK62" s="37"/>
      <c r="CL62" s="37"/>
      <c r="CM62" s="37"/>
      <c r="CN62" s="37"/>
      <c r="CO62" s="37"/>
      <c r="CP62" s="37"/>
      <c r="CQ62" s="50"/>
      <c r="CR62" s="49"/>
      <c r="CS62" s="37"/>
      <c r="CT62" s="37"/>
      <c r="CU62" s="37"/>
      <c r="CV62" s="37"/>
      <c r="CW62" s="37"/>
      <c r="CX62" s="37"/>
      <c r="CY62" s="50"/>
      <c r="CZ62" s="49"/>
      <c r="DA62" s="37"/>
      <c r="DB62" s="37"/>
      <c r="DC62" s="37"/>
      <c r="DD62" s="37"/>
      <c r="DE62" s="37"/>
      <c r="DF62" s="37"/>
      <c r="DG62" s="50"/>
      <c r="DH62" s="49"/>
      <c r="DI62" s="37"/>
      <c r="DJ62" s="37"/>
      <c r="DK62" s="37"/>
      <c r="DL62" s="37"/>
      <c r="DM62" s="37"/>
      <c r="DN62" s="37"/>
      <c r="DO62" s="50"/>
      <c r="DP62" s="49"/>
      <c r="DQ62" s="37"/>
      <c r="DR62" s="37"/>
      <c r="DS62" s="37"/>
      <c r="DT62" s="37"/>
      <c r="DU62" s="37"/>
      <c r="DV62" s="37"/>
      <c r="DW62" s="50"/>
      <c r="DX62" s="49"/>
      <c r="DY62" s="37"/>
      <c r="DZ62" s="37"/>
      <c r="EA62" s="37"/>
      <c r="EB62" s="37"/>
      <c r="EC62" s="37"/>
      <c r="ED62" s="37"/>
      <c r="EE62" s="50"/>
      <c r="EF62" s="49"/>
      <c r="EG62" s="37"/>
      <c r="EH62" s="37"/>
      <c r="EI62" s="37"/>
      <c r="EJ62" s="37"/>
      <c r="EK62" s="37"/>
      <c r="EL62" s="37"/>
      <c r="EM62" s="50"/>
      <c r="EN62" s="22"/>
      <c r="EO62" s="12"/>
      <c r="EP62" s="12"/>
      <c r="EQ62" s="12"/>
      <c r="ER62" s="12"/>
      <c r="ES62" s="12"/>
      <c r="ET62" s="12"/>
      <c r="EU62" s="23"/>
      <c r="EV62" s="49"/>
      <c r="EW62" s="37"/>
      <c r="EX62" s="37"/>
      <c r="EY62" s="37"/>
      <c r="EZ62" s="37"/>
      <c r="FA62" s="37"/>
      <c r="FB62" s="37"/>
      <c r="FC62" s="50"/>
      <c r="FD62" s="49"/>
      <c r="FE62" s="37"/>
      <c r="FF62" s="37"/>
      <c r="FG62" s="37"/>
      <c r="FH62" s="37"/>
      <c r="FI62" s="37"/>
      <c r="FJ62" s="37"/>
      <c r="FK62" s="50"/>
      <c r="FL62" s="37" t="s">
        <v>944</v>
      </c>
      <c r="FM62" s="37"/>
      <c r="FN62" s="37"/>
    </row>
    <row r="63" spans="1:170" x14ac:dyDescent="0.25">
      <c r="A63" s="38">
        <f t="shared" si="1"/>
        <v>62</v>
      </c>
      <c r="B63" s="37" t="s">
        <v>945</v>
      </c>
      <c r="C63" s="37" t="s">
        <v>946</v>
      </c>
      <c r="D63" s="48">
        <v>44818.581423611111</v>
      </c>
      <c r="E63" s="37" t="s">
        <v>947</v>
      </c>
      <c r="F63" s="37" t="s">
        <v>882</v>
      </c>
      <c r="G63" s="37" t="s">
        <v>882</v>
      </c>
      <c r="H63" s="49" t="s">
        <v>424</v>
      </c>
      <c r="I63" s="37" t="s">
        <v>948</v>
      </c>
      <c r="J63" s="37" t="s">
        <v>235</v>
      </c>
      <c r="K63" s="37">
        <v>2</v>
      </c>
      <c r="L63" s="37"/>
      <c r="M63" s="37"/>
      <c r="N63" s="37" t="s">
        <v>223</v>
      </c>
      <c r="O63" s="50"/>
      <c r="P63" s="49" t="s">
        <v>466</v>
      </c>
      <c r="Q63" s="37" t="s">
        <v>465</v>
      </c>
      <c r="R63" s="37" t="s">
        <v>235</v>
      </c>
      <c r="S63" s="37">
        <v>1</v>
      </c>
      <c r="T63" s="37"/>
      <c r="U63" s="37"/>
      <c r="V63" s="37" t="s">
        <v>223</v>
      </c>
      <c r="W63" s="50"/>
      <c r="X63" s="49" t="s">
        <v>635</v>
      </c>
      <c r="Y63" s="37" t="s">
        <v>634</v>
      </c>
      <c r="Z63" s="37" t="s">
        <v>638</v>
      </c>
      <c r="AA63" s="37">
        <v>1</v>
      </c>
      <c r="AB63" s="37"/>
      <c r="AC63" s="37"/>
      <c r="AD63" s="37" t="s">
        <v>639</v>
      </c>
      <c r="AE63" s="50"/>
      <c r="AF63" s="49" t="s">
        <v>609</v>
      </c>
      <c r="AG63" s="37" t="s">
        <v>608</v>
      </c>
      <c r="AH63" s="37" t="s">
        <v>612</v>
      </c>
      <c r="AI63" s="37">
        <v>2</v>
      </c>
      <c r="AJ63" s="37"/>
      <c r="AK63" s="37"/>
      <c r="AL63" s="37" t="s">
        <v>613</v>
      </c>
      <c r="AM63" s="50"/>
      <c r="AN63" s="49"/>
      <c r="AO63" s="37"/>
      <c r="AP63" s="37"/>
      <c r="AQ63" s="37"/>
      <c r="AR63" s="37"/>
      <c r="AS63" s="37"/>
      <c r="AT63" s="37"/>
      <c r="AU63" s="50"/>
      <c r="AV63" s="49"/>
      <c r="AW63" s="37"/>
      <c r="AX63" s="37"/>
      <c r="AY63" s="37"/>
      <c r="AZ63" s="37"/>
      <c r="BA63" s="37"/>
      <c r="BB63" s="37"/>
      <c r="BC63" s="50"/>
      <c r="BD63" s="49"/>
      <c r="BE63" s="37"/>
      <c r="BF63" s="37"/>
      <c r="BG63" s="37"/>
      <c r="BH63" s="37"/>
      <c r="BI63" s="37"/>
      <c r="BJ63" s="37"/>
      <c r="BK63" s="50"/>
      <c r="BL63" s="49"/>
      <c r="BM63" s="37"/>
      <c r="BN63" s="37"/>
      <c r="BO63" s="37"/>
      <c r="BP63" s="37"/>
      <c r="BQ63" s="37"/>
      <c r="BR63" s="37"/>
      <c r="BS63" s="50"/>
      <c r="BT63" s="49"/>
      <c r="BU63" s="37"/>
      <c r="BV63" s="37"/>
      <c r="BW63" s="37"/>
      <c r="BX63" s="37"/>
      <c r="BY63" s="37"/>
      <c r="BZ63" s="37"/>
      <c r="CA63" s="50"/>
      <c r="CB63" s="49"/>
      <c r="CC63" s="37"/>
      <c r="CD63" s="37"/>
      <c r="CE63" s="37"/>
      <c r="CF63" s="37"/>
      <c r="CG63" s="37"/>
      <c r="CH63" s="37"/>
      <c r="CI63" s="50"/>
      <c r="CJ63" s="49"/>
      <c r="CK63" s="37"/>
      <c r="CL63" s="37"/>
      <c r="CM63" s="37"/>
      <c r="CN63" s="37"/>
      <c r="CO63" s="37"/>
      <c r="CP63" s="37"/>
      <c r="CQ63" s="50"/>
      <c r="CR63" s="49"/>
      <c r="CS63" s="37"/>
      <c r="CT63" s="37"/>
      <c r="CU63" s="37"/>
      <c r="CV63" s="37"/>
      <c r="CW63" s="37"/>
      <c r="CX63" s="37"/>
      <c r="CY63" s="50"/>
      <c r="CZ63" s="49"/>
      <c r="DA63" s="37"/>
      <c r="DB63" s="37"/>
      <c r="DC63" s="37"/>
      <c r="DD63" s="37"/>
      <c r="DE63" s="37"/>
      <c r="DF63" s="37"/>
      <c r="DG63" s="50"/>
      <c r="DH63" s="49"/>
      <c r="DI63" s="37"/>
      <c r="DJ63" s="37"/>
      <c r="DK63" s="37"/>
      <c r="DL63" s="37"/>
      <c r="DM63" s="37"/>
      <c r="DN63" s="37"/>
      <c r="DO63" s="50"/>
      <c r="DP63" s="49"/>
      <c r="DQ63" s="37"/>
      <c r="DR63" s="37"/>
      <c r="DS63" s="37"/>
      <c r="DT63" s="37"/>
      <c r="DU63" s="37"/>
      <c r="DV63" s="37"/>
      <c r="DW63" s="50"/>
      <c r="DX63" s="49"/>
      <c r="DY63" s="37"/>
      <c r="DZ63" s="37"/>
      <c r="EA63" s="37"/>
      <c r="EB63" s="37"/>
      <c r="EC63" s="37"/>
      <c r="ED63" s="37"/>
      <c r="EE63" s="50"/>
      <c r="EF63" s="49"/>
      <c r="EG63" s="37"/>
      <c r="EH63" s="37"/>
      <c r="EI63" s="37"/>
      <c r="EJ63" s="37"/>
      <c r="EK63" s="37"/>
      <c r="EL63" s="37"/>
      <c r="EM63" s="50"/>
      <c r="EN63" s="22"/>
      <c r="EO63" s="12"/>
      <c r="EP63" s="12"/>
      <c r="EQ63" s="12"/>
      <c r="ER63" s="12"/>
      <c r="ES63" s="12"/>
      <c r="ET63" s="12"/>
      <c r="EU63" s="23"/>
      <c r="EV63" s="49"/>
      <c r="EW63" s="37"/>
      <c r="EX63" s="37"/>
      <c r="EY63" s="37"/>
      <c r="EZ63" s="37"/>
      <c r="FA63" s="37"/>
      <c r="FB63" s="37"/>
      <c r="FC63" s="50"/>
      <c r="FD63" s="49"/>
      <c r="FE63" s="37"/>
      <c r="FF63" s="37"/>
      <c r="FG63" s="37"/>
      <c r="FH63" s="37"/>
      <c r="FI63" s="37"/>
      <c r="FJ63" s="37"/>
      <c r="FK63" s="50"/>
      <c r="FL63" s="37"/>
      <c r="FM63" s="37"/>
      <c r="FN63" s="37"/>
    </row>
    <row r="64" spans="1:170" x14ac:dyDescent="0.25">
      <c r="A64" s="38">
        <f t="shared" si="1"/>
        <v>63</v>
      </c>
      <c r="B64" s="37" t="s">
        <v>949</v>
      </c>
      <c r="C64" s="37" t="s">
        <v>880</v>
      </c>
      <c r="D64" s="48">
        <v>44818.505462962959</v>
      </c>
      <c r="E64" s="37" t="s">
        <v>881</v>
      </c>
      <c r="F64" s="37" t="s">
        <v>881</v>
      </c>
      <c r="G64" s="37" t="s">
        <v>882</v>
      </c>
      <c r="H64" s="49" t="s">
        <v>228</v>
      </c>
      <c r="I64" s="37" t="s">
        <v>883</v>
      </c>
      <c r="J64" s="37" t="s">
        <v>874</v>
      </c>
      <c r="K64" s="37">
        <v>1</v>
      </c>
      <c r="L64" s="37">
        <v>44624</v>
      </c>
      <c r="M64" s="37" t="s">
        <v>885</v>
      </c>
      <c r="N64" s="37" t="s">
        <v>520</v>
      </c>
      <c r="O64" s="50"/>
      <c r="P64" s="49" t="s">
        <v>635</v>
      </c>
      <c r="Q64" s="37" t="s">
        <v>634</v>
      </c>
      <c r="R64" s="37" t="s">
        <v>638</v>
      </c>
      <c r="S64" s="37">
        <v>1</v>
      </c>
      <c r="T64" s="37"/>
      <c r="U64" s="37"/>
      <c r="V64" s="37" t="s">
        <v>639</v>
      </c>
      <c r="W64" s="50"/>
      <c r="X64" s="49"/>
      <c r="Y64" s="37"/>
      <c r="Z64" s="37"/>
      <c r="AA64" s="37"/>
      <c r="AB64" s="37"/>
      <c r="AC64" s="37"/>
      <c r="AD64" s="37"/>
      <c r="AE64" s="50"/>
      <c r="AF64" s="49"/>
      <c r="AG64" s="37"/>
      <c r="AH64" s="37"/>
      <c r="AI64" s="37"/>
      <c r="AJ64" s="37"/>
      <c r="AK64" s="37"/>
      <c r="AL64" s="37"/>
      <c r="AM64" s="50"/>
      <c r="AN64" s="49"/>
      <c r="AO64" s="37"/>
      <c r="AP64" s="37"/>
      <c r="AQ64" s="37"/>
      <c r="AR64" s="37"/>
      <c r="AS64" s="37"/>
      <c r="AT64" s="37"/>
      <c r="AU64" s="50"/>
      <c r="AV64" s="49"/>
      <c r="AW64" s="37"/>
      <c r="AX64" s="37"/>
      <c r="AY64" s="37"/>
      <c r="AZ64" s="37"/>
      <c r="BA64" s="37"/>
      <c r="BB64" s="37"/>
      <c r="BC64" s="50"/>
      <c r="BD64" s="49"/>
      <c r="BE64" s="37"/>
      <c r="BF64" s="37"/>
      <c r="BG64" s="37"/>
      <c r="BH64" s="37"/>
      <c r="BI64" s="37"/>
      <c r="BJ64" s="37"/>
      <c r="BK64" s="50"/>
      <c r="BL64" s="49"/>
      <c r="BM64" s="37"/>
      <c r="BN64" s="37"/>
      <c r="BO64" s="37"/>
      <c r="BP64" s="37"/>
      <c r="BQ64" s="37"/>
      <c r="BR64" s="37"/>
      <c r="BS64" s="50"/>
      <c r="BT64" s="49"/>
      <c r="BU64" s="37"/>
      <c r="BV64" s="37"/>
      <c r="BW64" s="37"/>
      <c r="BX64" s="37"/>
      <c r="BY64" s="37"/>
      <c r="BZ64" s="37"/>
      <c r="CA64" s="50"/>
      <c r="CB64" s="49"/>
      <c r="CC64" s="37"/>
      <c r="CD64" s="37"/>
      <c r="CE64" s="37"/>
      <c r="CF64" s="37"/>
      <c r="CG64" s="37"/>
      <c r="CH64" s="37"/>
      <c r="CI64" s="50"/>
      <c r="CJ64" s="49"/>
      <c r="CK64" s="37"/>
      <c r="CL64" s="37"/>
      <c r="CM64" s="37"/>
      <c r="CN64" s="37"/>
      <c r="CO64" s="37"/>
      <c r="CP64" s="37"/>
      <c r="CQ64" s="50"/>
      <c r="CR64" s="49"/>
      <c r="CS64" s="37"/>
      <c r="CT64" s="37"/>
      <c r="CU64" s="37"/>
      <c r="CV64" s="37"/>
      <c r="CW64" s="37"/>
      <c r="CX64" s="37"/>
      <c r="CY64" s="50"/>
      <c r="CZ64" s="49"/>
      <c r="DA64" s="37"/>
      <c r="DB64" s="37"/>
      <c r="DC64" s="37"/>
      <c r="DD64" s="37"/>
      <c r="DE64" s="37"/>
      <c r="DF64" s="37"/>
      <c r="DG64" s="50"/>
      <c r="DH64" s="49"/>
      <c r="DI64" s="37"/>
      <c r="DJ64" s="37"/>
      <c r="DK64" s="37"/>
      <c r="DL64" s="37"/>
      <c r="DM64" s="37"/>
      <c r="DN64" s="37"/>
      <c r="DO64" s="50"/>
      <c r="DP64" s="49"/>
      <c r="DQ64" s="37"/>
      <c r="DR64" s="37"/>
      <c r="DS64" s="37"/>
      <c r="DT64" s="37"/>
      <c r="DU64" s="37"/>
      <c r="DV64" s="37"/>
      <c r="DW64" s="50"/>
      <c r="DX64" s="49"/>
      <c r="DY64" s="37"/>
      <c r="DZ64" s="37"/>
      <c r="EA64" s="37"/>
      <c r="EB64" s="37"/>
      <c r="EC64" s="37"/>
      <c r="ED64" s="37"/>
      <c r="EE64" s="50"/>
      <c r="EF64" s="49"/>
      <c r="EG64" s="37"/>
      <c r="EH64" s="37"/>
      <c r="EI64" s="37"/>
      <c r="EJ64" s="37"/>
      <c r="EK64" s="37"/>
      <c r="EL64" s="37"/>
      <c r="EM64" s="50"/>
      <c r="EN64" s="22"/>
      <c r="EO64" s="12"/>
      <c r="EP64" s="12"/>
      <c r="EQ64" s="12"/>
      <c r="ER64" s="12"/>
      <c r="ES64" s="12"/>
      <c r="ET64" s="12"/>
      <c r="EU64" s="23"/>
      <c r="EV64" s="49"/>
      <c r="EW64" s="37"/>
      <c r="EX64" s="37"/>
      <c r="EY64" s="37"/>
      <c r="EZ64" s="37"/>
      <c r="FA64" s="37"/>
      <c r="FB64" s="37"/>
      <c r="FC64" s="50"/>
      <c r="FD64" s="49"/>
      <c r="FE64" s="37"/>
      <c r="FF64" s="37"/>
      <c r="FG64" s="37"/>
      <c r="FH64" s="37"/>
      <c r="FI64" s="37"/>
      <c r="FJ64" s="37"/>
      <c r="FK64" s="50"/>
      <c r="FL64" s="37"/>
      <c r="FM64" s="37"/>
      <c r="FN64" s="37"/>
    </row>
    <row r="65" spans="1:170" x14ac:dyDescent="0.25">
      <c r="A65" s="38">
        <f t="shared" si="1"/>
        <v>64</v>
      </c>
      <c r="B65" s="37" t="s">
        <v>950</v>
      </c>
      <c r="C65" s="37" t="s">
        <v>795</v>
      </c>
      <c r="D65" s="48">
        <v>44817.748090277775</v>
      </c>
      <c r="E65" s="37" t="s">
        <v>951</v>
      </c>
      <c r="F65" s="37" t="s">
        <v>931</v>
      </c>
      <c r="G65" s="37" t="s">
        <v>906</v>
      </c>
      <c r="H65" s="49" t="s">
        <v>422</v>
      </c>
      <c r="I65" s="37" t="s">
        <v>889</v>
      </c>
      <c r="J65" s="37"/>
      <c r="K65" s="37">
        <v>13</v>
      </c>
      <c r="L65" s="37"/>
      <c r="M65" s="37"/>
      <c r="N65" s="37" t="s">
        <v>645</v>
      </c>
      <c r="O65" s="50" t="s">
        <v>888</v>
      </c>
      <c r="P65" s="49" t="s">
        <v>644</v>
      </c>
      <c r="Q65" s="37" t="s">
        <v>642</v>
      </c>
      <c r="R65" s="37"/>
      <c r="S65" s="37">
        <v>38</v>
      </c>
      <c r="T65" s="37"/>
      <c r="U65" s="37"/>
      <c r="V65" s="37" t="s">
        <v>645</v>
      </c>
      <c r="W65" s="50" t="s">
        <v>888</v>
      </c>
      <c r="X65" s="49"/>
      <c r="Y65" s="37"/>
      <c r="Z65" s="37"/>
      <c r="AA65" s="37"/>
      <c r="AB65" s="37"/>
      <c r="AC65" s="37"/>
      <c r="AD65" s="37"/>
      <c r="AE65" s="50"/>
      <c r="AF65" s="49"/>
      <c r="AG65" s="37"/>
      <c r="AH65" s="37"/>
      <c r="AI65" s="37"/>
      <c r="AJ65" s="37"/>
      <c r="AK65" s="37"/>
      <c r="AL65" s="37"/>
      <c r="AM65" s="50"/>
      <c r="AN65" s="49"/>
      <c r="AO65" s="37"/>
      <c r="AP65" s="37"/>
      <c r="AQ65" s="37"/>
      <c r="AR65" s="37"/>
      <c r="AS65" s="37"/>
      <c r="AT65" s="37"/>
      <c r="AU65" s="50"/>
      <c r="AV65" s="49"/>
      <c r="AW65" s="37"/>
      <c r="AX65" s="37"/>
      <c r="AY65" s="37"/>
      <c r="AZ65" s="37"/>
      <c r="BA65" s="37"/>
      <c r="BB65" s="37"/>
      <c r="BC65" s="50"/>
      <c r="BD65" s="49"/>
      <c r="BE65" s="37"/>
      <c r="BF65" s="37"/>
      <c r="BG65" s="37"/>
      <c r="BH65" s="37"/>
      <c r="BI65" s="37"/>
      <c r="BJ65" s="37"/>
      <c r="BK65" s="50"/>
      <c r="BL65" s="49"/>
      <c r="BM65" s="37"/>
      <c r="BN65" s="37"/>
      <c r="BO65" s="37"/>
      <c r="BP65" s="37"/>
      <c r="BQ65" s="37"/>
      <c r="BR65" s="37"/>
      <c r="BS65" s="50"/>
      <c r="BT65" s="49"/>
      <c r="BU65" s="37"/>
      <c r="BV65" s="37"/>
      <c r="BW65" s="37"/>
      <c r="BX65" s="37"/>
      <c r="BY65" s="37"/>
      <c r="BZ65" s="37"/>
      <c r="CA65" s="50"/>
      <c r="CB65" s="49"/>
      <c r="CC65" s="37"/>
      <c r="CD65" s="37"/>
      <c r="CE65" s="37"/>
      <c r="CF65" s="37"/>
      <c r="CG65" s="37"/>
      <c r="CH65" s="37"/>
      <c r="CI65" s="50"/>
      <c r="CJ65" s="49"/>
      <c r="CK65" s="37"/>
      <c r="CL65" s="37"/>
      <c r="CM65" s="37"/>
      <c r="CN65" s="37"/>
      <c r="CO65" s="37"/>
      <c r="CP65" s="37"/>
      <c r="CQ65" s="50"/>
      <c r="CR65" s="49"/>
      <c r="CS65" s="37"/>
      <c r="CT65" s="37"/>
      <c r="CU65" s="37"/>
      <c r="CV65" s="37"/>
      <c r="CW65" s="37"/>
      <c r="CX65" s="37"/>
      <c r="CY65" s="50"/>
      <c r="CZ65" s="49"/>
      <c r="DA65" s="37"/>
      <c r="DB65" s="37"/>
      <c r="DC65" s="37"/>
      <c r="DD65" s="37"/>
      <c r="DE65" s="37"/>
      <c r="DF65" s="37"/>
      <c r="DG65" s="50"/>
      <c r="DH65" s="49"/>
      <c r="DI65" s="37"/>
      <c r="DJ65" s="37"/>
      <c r="DK65" s="37"/>
      <c r="DL65" s="37"/>
      <c r="DM65" s="37"/>
      <c r="DN65" s="37"/>
      <c r="DO65" s="50"/>
      <c r="DP65" s="49"/>
      <c r="DQ65" s="37"/>
      <c r="DR65" s="37"/>
      <c r="DS65" s="37"/>
      <c r="DT65" s="37"/>
      <c r="DU65" s="37"/>
      <c r="DV65" s="37"/>
      <c r="DW65" s="50"/>
      <c r="DX65" s="49"/>
      <c r="DY65" s="37"/>
      <c r="DZ65" s="37"/>
      <c r="EA65" s="37"/>
      <c r="EB65" s="37"/>
      <c r="EC65" s="37"/>
      <c r="ED65" s="37"/>
      <c r="EE65" s="50"/>
      <c r="EF65" s="49"/>
      <c r="EG65" s="37"/>
      <c r="EH65" s="37"/>
      <c r="EI65" s="37"/>
      <c r="EJ65" s="37"/>
      <c r="EK65" s="37"/>
      <c r="EL65" s="37"/>
      <c r="EM65" s="50"/>
      <c r="EN65" s="22"/>
      <c r="EO65" s="12"/>
      <c r="EP65" s="12"/>
      <c r="EQ65" s="12"/>
      <c r="ER65" s="12"/>
      <c r="ES65" s="12"/>
      <c r="ET65" s="12"/>
      <c r="EU65" s="23"/>
      <c r="EV65" s="49"/>
      <c r="EW65" s="37"/>
      <c r="EX65" s="37"/>
      <c r="EY65" s="37"/>
      <c r="EZ65" s="37"/>
      <c r="FA65" s="37"/>
      <c r="FB65" s="37"/>
      <c r="FC65" s="50"/>
      <c r="FD65" s="49"/>
      <c r="FE65" s="37"/>
      <c r="FF65" s="37"/>
      <c r="FG65" s="37"/>
      <c r="FH65" s="37"/>
      <c r="FI65" s="37"/>
      <c r="FJ65" s="37"/>
      <c r="FK65" s="50"/>
      <c r="FL65" s="37" t="s">
        <v>888</v>
      </c>
      <c r="FM65" s="37"/>
      <c r="FN65" s="37"/>
    </row>
    <row r="66" spans="1:170" x14ac:dyDescent="0.25">
      <c r="A66" s="38">
        <f t="shared" si="1"/>
        <v>65</v>
      </c>
      <c r="B66" s="37"/>
      <c r="C66" s="37"/>
      <c r="D66" s="48"/>
      <c r="E66" s="37"/>
      <c r="F66" s="37"/>
      <c r="G66" s="37"/>
      <c r="H66" s="49"/>
      <c r="I66" s="37"/>
      <c r="J66" s="37"/>
      <c r="K66" s="37"/>
      <c r="L66" s="37"/>
      <c r="M66" s="37"/>
      <c r="N66" s="37"/>
      <c r="O66" s="50"/>
      <c r="P66" s="49"/>
      <c r="Q66" s="37"/>
      <c r="R66" s="37"/>
      <c r="S66" s="37"/>
      <c r="T66" s="37"/>
      <c r="U66" s="37"/>
      <c r="V66" s="37"/>
      <c r="W66" s="50"/>
      <c r="X66" s="49"/>
      <c r="Y66" s="37"/>
      <c r="Z66" s="37"/>
      <c r="AA66" s="37"/>
      <c r="AB66" s="37"/>
      <c r="AC66" s="37"/>
      <c r="AD66" s="37"/>
      <c r="AE66" s="50"/>
      <c r="AF66" s="49"/>
      <c r="AG66" s="37"/>
      <c r="AH66" s="37"/>
      <c r="AI66" s="37"/>
      <c r="AJ66" s="37"/>
      <c r="AK66" s="37"/>
      <c r="AL66" s="37"/>
      <c r="AM66" s="50"/>
      <c r="AN66" s="49"/>
      <c r="AO66" s="37"/>
      <c r="AP66" s="37"/>
      <c r="AQ66" s="37"/>
      <c r="AR66" s="37"/>
      <c r="AS66" s="37"/>
      <c r="AT66" s="37"/>
      <c r="AU66" s="50"/>
      <c r="AV66" s="49"/>
      <c r="AW66" s="37"/>
      <c r="AX66" s="37"/>
      <c r="AY66" s="37"/>
      <c r="AZ66" s="37"/>
      <c r="BA66" s="37"/>
      <c r="BB66" s="37"/>
      <c r="BC66" s="50"/>
      <c r="BD66" s="49"/>
      <c r="BE66" s="37"/>
      <c r="BF66" s="37"/>
      <c r="BG66" s="37"/>
      <c r="BH66" s="37"/>
      <c r="BI66" s="37"/>
      <c r="BJ66" s="37"/>
      <c r="BK66" s="50"/>
      <c r="BL66" s="49"/>
      <c r="BM66" s="37"/>
      <c r="BN66" s="37"/>
      <c r="BO66" s="37"/>
      <c r="BP66" s="37"/>
      <c r="BQ66" s="37"/>
      <c r="BR66" s="37"/>
      <c r="BS66" s="50"/>
      <c r="BT66" s="49"/>
      <c r="BU66" s="37"/>
      <c r="BV66" s="37"/>
      <c r="BW66" s="37"/>
      <c r="BX66" s="37"/>
      <c r="BY66" s="37"/>
      <c r="BZ66" s="37"/>
      <c r="CA66" s="50"/>
      <c r="CB66" s="49"/>
      <c r="CC66" s="37"/>
      <c r="CD66" s="37"/>
      <c r="CE66" s="37"/>
      <c r="CF66" s="37"/>
      <c r="CG66" s="37"/>
      <c r="CH66" s="37"/>
      <c r="CI66" s="50"/>
      <c r="CJ66" s="49"/>
      <c r="CK66" s="37"/>
      <c r="CL66" s="37"/>
      <c r="CM66" s="37"/>
      <c r="CN66" s="37"/>
      <c r="CO66" s="37"/>
      <c r="CP66" s="37"/>
      <c r="CQ66" s="50"/>
      <c r="CR66" s="49"/>
      <c r="CS66" s="37"/>
      <c r="CT66" s="37"/>
      <c r="CU66" s="37"/>
      <c r="CV66" s="37"/>
      <c r="CW66" s="37"/>
      <c r="CX66" s="37"/>
      <c r="CY66" s="50"/>
      <c r="CZ66" s="49"/>
      <c r="DA66" s="37"/>
      <c r="DB66" s="37"/>
      <c r="DC66" s="37"/>
      <c r="DD66" s="37"/>
      <c r="DE66" s="37"/>
      <c r="DF66" s="37"/>
      <c r="DG66" s="50"/>
      <c r="DH66" s="49"/>
      <c r="DI66" s="37"/>
      <c r="DJ66" s="37"/>
      <c r="DK66" s="37"/>
      <c r="DL66" s="37"/>
      <c r="DM66" s="37"/>
      <c r="DN66" s="37"/>
      <c r="DO66" s="50"/>
      <c r="DP66" s="49"/>
      <c r="DQ66" s="37"/>
      <c r="DR66" s="37"/>
      <c r="DS66" s="37"/>
      <c r="DT66" s="37"/>
      <c r="DU66" s="37"/>
      <c r="DV66" s="37"/>
      <c r="DW66" s="50"/>
      <c r="DX66" s="49"/>
      <c r="DY66" s="37"/>
      <c r="DZ66" s="37"/>
      <c r="EA66" s="37"/>
      <c r="EB66" s="37"/>
      <c r="EC66" s="37"/>
      <c r="ED66" s="37"/>
      <c r="EE66" s="50"/>
      <c r="EF66" s="49"/>
      <c r="EG66" s="37"/>
      <c r="EH66" s="37"/>
      <c r="EI66" s="37"/>
      <c r="EJ66" s="37"/>
      <c r="EK66" s="37"/>
      <c r="EL66" s="37"/>
      <c r="EM66" s="50"/>
      <c r="EN66" s="22"/>
      <c r="EO66" s="12"/>
      <c r="EP66" s="12"/>
      <c r="EQ66" s="12"/>
      <c r="ER66" s="12"/>
      <c r="ES66" s="12"/>
      <c r="ET66" s="12"/>
      <c r="EU66" s="23"/>
      <c r="EV66" s="49"/>
      <c r="EW66" s="37"/>
      <c r="EX66" s="37"/>
      <c r="EY66" s="37"/>
      <c r="EZ66" s="37"/>
      <c r="FA66" s="37"/>
      <c r="FB66" s="37"/>
      <c r="FC66" s="50"/>
      <c r="FD66" s="49"/>
      <c r="FE66" s="37"/>
      <c r="FF66" s="37"/>
      <c r="FG66" s="37"/>
      <c r="FH66" s="37"/>
      <c r="FI66" s="37"/>
      <c r="FJ66" s="37"/>
      <c r="FK66" s="50"/>
      <c r="FL66" s="37"/>
      <c r="FM66" s="37"/>
      <c r="FN66" s="37"/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0070C0"/>
  </sheetPr>
  <dimension ref="A1:FN4"/>
  <sheetViews>
    <sheetView workbookViewId="0">
      <selection activeCell="D19" sqref="D19"/>
    </sheetView>
  </sheetViews>
  <sheetFormatPr baseColWidth="10" defaultRowHeight="15" x14ac:dyDescent="0.25"/>
  <cols>
    <col min="3" max="3" width="34.140625" customWidth="1"/>
    <col min="4" max="4" width="23" customWidth="1"/>
    <col min="5" max="7" width="22.85546875" customWidth="1"/>
    <col min="8" max="9" width="11.42578125" customWidth="1"/>
    <col min="170" max="170" width="15.85546875" bestFit="1" customWidth="1"/>
  </cols>
  <sheetData>
    <row r="1" spans="1:170" ht="30.75" thickBot="1" x14ac:dyDescent="0.3">
      <c r="A1" s="2" t="s">
        <v>0</v>
      </c>
      <c r="B1" s="51" t="s">
        <v>28</v>
      </c>
      <c r="C1" s="3" t="s">
        <v>29</v>
      </c>
      <c r="D1" s="27" t="s">
        <v>24</v>
      </c>
      <c r="E1" s="3" t="s">
        <v>30</v>
      </c>
      <c r="F1" s="3" t="s">
        <v>31</v>
      </c>
      <c r="G1" s="4" t="s">
        <v>32</v>
      </c>
      <c r="H1" s="20" t="s">
        <v>33</v>
      </c>
      <c r="I1" s="3" t="s">
        <v>34</v>
      </c>
      <c r="J1" s="3" t="s">
        <v>4</v>
      </c>
      <c r="K1" s="3" t="s">
        <v>23</v>
      </c>
      <c r="L1" s="3" t="s">
        <v>35</v>
      </c>
      <c r="M1" s="3" t="s">
        <v>36</v>
      </c>
      <c r="N1" s="3" t="s">
        <v>7</v>
      </c>
      <c r="O1" s="21" t="s">
        <v>37</v>
      </c>
      <c r="P1" s="20" t="s">
        <v>38</v>
      </c>
      <c r="Q1" s="3" t="s">
        <v>46</v>
      </c>
      <c r="R1" s="3" t="s">
        <v>47</v>
      </c>
      <c r="S1" s="3" t="s">
        <v>48</v>
      </c>
      <c r="T1" s="3" t="s">
        <v>49</v>
      </c>
      <c r="U1" s="3" t="s">
        <v>50</v>
      </c>
      <c r="V1" s="3" t="s">
        <v>51</v>
      </c>
      <c r="W1" s="21" t="s">
        <v>52</v>
      </c>
      <c r="X1" s="20" t="s">
        <v>53</v>
      </c>
      <c r="Y1" s="3" t="s">
        <v>39</v>
      </c>
      <c r="Z1" s="3" t="s">
        <v>54</v>
      </c>
      <c r="AA1" s="3" t="s">
        <v>55</v>
      </c>
      <c r="AB1" s="3" t="s">
        <v>56</v>
      </c>
      <c r="AC1" s="3" t="s">
        <v>57</v>
      </c>
      <c r="AD1" s="3" t="s">
        <v>58</v>
      </c>
      <c r="AE1" s="21" t="s">
        <v>59</v>
      </c>
      <c r="AF1" s="20" t="s">
        <v>60</v>
      </c>
      <c r="AG1" s="3" t="s">
        <v>61</v>
      </c>
      <c r="AH1" s="3" t="s">
        <v>40</v>
      </c>
      <c r="AI1" s="3" t="s">
        <v>62</v>
      </c>
      <c r="AJ1" s="3" t="s">
        <v>63</v>
      </c>
      <c r="AK1" s="3" t="s">
        <v>64</v>
      </c>
      <c r="AL1" s="3" t="s">
        <v>65</v>
      </c>
      <c r="AM1" s="21" t="s">
        <v>66</v>
      </c>
      <c r="AN1" s="20" t="s">
        <v>67</v>
      </c>
      <c r="AO1" s="3" t="s">
        <v>68</v>
      </c>
      <c r="AP1" s="3" t="s">
        <v>69</v>
      </c>
      <c r="AQ1" s="3" t="s">
        <v>41</v>
      </c>
      <c r="AR1" s="3" t="s">
        <v>70</v>
      </c>
      <c r="AS1" s="3" t="s">
        <v>71</v>
      </c>
      <c r="AT1" s="3" t="s">
        <v>72</v>
      </c>
      <c r="AU1" s="21" t="s">
        <v>73</v>
      </c>
      <c r="AV1" s="20" t="s">
        <v>74</v>
      </c>
      <c r="AW1" s="3" t="s">
        <v>75</v>
      </c>
      <c r="AX1" s="3" t="s">
        <v>76</v>
      </c>
      <c r="AY1" s="3" t="s">
        <v>83</v>
      </c>
      <c r="AZ1" s="3" t="s">
        <v>42</v>
      </c>
      <c r="BA1" s="3" t="s">
        <v>77</v>
      </c>
      <c r="BB1" s="3" t="s">
        <v>78</v>
      </c>
      <c r="BC1" s="21" t="s">
        <v>79</v>
      </c>
      <c r="BD1" s="20" t="s">
        <v>80</v>
      </c>
      <c r="BE1" s="3" t="s">
        <v>81</v>
      </c>
      <c r="BF1" s="3" t="s">
        <v>82</v>
      </c>
      <c r="BG1" s="3" t="s">
        <v>90</v>
      </c>
      <c r="BH1" s="3" t="s">
        <v>84</v>
      </c>
      <c r="BI1" s="3" t="s">
        <v>43</v>
      </c>
      <c r="BJ1" s="3" t="s">
        <v>85</v>
      </c>
      <c r="BK1" s="21" t="s">
        <v>86</v>
      </c>
      <c r="BL1" s="20" t="s">
        <v>87</v>
      </c>
      <c r="BM1" s="3" t="s">
        <v>88</v>
      </c>
      <c r="BN1" s="3" t="s">
        <v>89</v>
      </c>
      <c r="BO1" s="3" t="s">
        <v>97</v>
      </c>
      <c r="BP1" s="3" t="s">
        <v>91</v>
      </c>
      <c r="BQ1" s="3" t="s">
        <v>92</v>
      </c>
      <c r="BR1" s="3" t="s">
        <v>44</v>
      </c>
      <c r="BS1" s="21" t="s">
        <v>93</v>
      </c>
      <c r="BT1" s="20" t="s">
        <v>94</v>
      </c>
      <c r="BU1" s="3" t="s">
        <v>95</v>
      </c>
      <c r="BV1" s="3" t="s">
        <v>96</v>
      </c>
      <c r="BW1" s="3" t="s">
        <v>104</v>
      </c>
      <c r="BX1" s="3" t="s">
        <v>98</v>
      </c>
      <c r="BY1" s="3" t="s">
        <v>99</v>
      </c>
      <c r="BZ1" s="3" t="s">
        <v>100</v>
      </c>
      <c r="CA1" s="21" t="s">
        <v>45</v>
      </c>
      <c r="CB1" s="20" t="s">
        <v>101</v>
      </c>
      <c r="CC1" s="3" t="s">
        <v>102</v>
      </c>
      <c r="CD1" s="3" t="s">
        <v>103</v>
      </c>
      <c r="CE1" s="3" t="s">
        <v>112</v>
      </c>
      <c r="CF1" s="3" t="s">
        <v>105</v>
      </c>
      <c r="CG1" s="3" t="s">
        <v>106</v>
      </c>
      <c r="CH1" s="3" t="s">
        <v>107</v>
      </c>
      <c r="CI1" s="21" t="s">
        <v>108</v>
      </c>
      <c r="CJ1" s="20" t="s">
        <v>109</v>
      </c>
      <c r="CK1" s="3" t="s">
        <v>110</v>
      </c>
      <c r="CL1" s="3" t="s">
        <v>111</v>
      </c>
      <c r="CM1" s="3" t="s">
        <v>120</v>
      </c>
      <c r="CN1" s="3" t="s">
        <v>113</v>
      </c>
      <c r="CO1" s="3" t="s">
        <v>114</v>
      </c>
      <c r="CP1" s="3" t="s">
        <v>115</v>
      </c>
      <c r="CQ1" s="21" t="s">
        <v>116</v>
      </c>
      <c r="CR1" s="20" t="s">
        <v>117</v>
      </c>
      <c r="CS1" s="3" t="s">
        <v>118</v>
      </c>
      <c r="CT1" s="3" t="s">
        <v>119</v>
      </c>
      <c r="CU1" s="3" t="s">
        <v>168</v>
      </c>
      <c r="CV1" s="3" t="s">
        <v>121</v>
      </c>
      <c r="CW1" s="3" t="s">
        <v>122</v>
      </c>
      <c r="CX1" s="3" t="s">
        <v>123</v>
      </c>
      <c r="CY1" s="21" t="s">
        <v>124</v>
      </c>
      <c r="CZ1" s="20" t="s">
        <v>133</v>
      </c>
      <c r="DA1" s="3" t="s">
        <v>169</v>
      </c>
      <c r="DB1" s="3" t="s">
        <v>170</v>
      </c>
      <c r="DC1" s="3" t="s">
        <v>171</v>
      </c>
      <c r="DD1" s="3" t="s">
        <v>172</v>
      </c>
      <c r="DE1" s="3" t="s">
        <v>173</v>
      </c>
      <c r="DF1" s="3" t="s">
        <v>174</v>
      </c>
      <c r="DG1" s="21" t="s">
        <v>125</v>
      </c>
      <c r="DH1" s="20" t="s">
        <v>140</v>
      </c>
      <c r="DI1" s="3" t="s">
        <v>134</v>
      </c>
      <c r="DJ1" s="3" t="s">
        <v>175</v>
      </c>
      <c r="DK1" s="3" t="s">
        <v>176</v>
      </c>
      <c r="DL1" s="3" t="s">
        <v>177</v>
      </c>
      <c r="DM1" s="3" t="s">
        <v>178</v>
      </c>
      <c r="DN1" s="3" t="s">
        <v>179</v>
      </c>
      <c r="DO1" s="21" t="s">
        <v>126</v>
      </c>
      <c r="DP1" s="20" t="s">
        <v>147</v>
      </c>
      <c r="DQ1" s="3" t="s">
        <v>141</v>
      </c>
      <c r="DR1" s="3" t="s">
        <v>135</v>
      </c>
      <c r="DS1" s="3" t="s">
        <v>183</v>
      </c>
      <c r="DT1" s="3" t="s">
        <v>180</v>
      </c>
      <c r="DU1" s="3" t="s">
        <v>181</v>
      </c>
      <c r="DV1" s="3" t="s">
        <v>182</v>
      </c>
      <c r="DW1" s="21" t="s">
        <v>127</v>
      </c>
      <c r="DX1" s="20" t="s">
        <v>153</v>
      </c>
      <c r="DY1" s="3" t="s">
        <v>148</v>
      </c>
      <c r="DZ1" s="3" t="s">
        <v>142</v>
      </c>
      <c r="EA1" s="3" t="s">
        <v>136</v>
      </c>
      <c r="EB1" s="3" t="s">
        <v>184</v>
      </c>
      <c r="EC1" s="3" t="s">
        <v>185</v>
      </c>
      <c r="ED1" s="3" t="s">
        <v>186</v>
      </c>
      <c r="EE1" s="21" t="s">
        <v>128</v>
      </c>
      <c r="EF1" s="20" t="s">
        <v>158</v>
      </c>
      <c r="EG1" s="3" t="s">
        <v>154</v>
      </c>
      <c r="EH1" s="3" t="s">
        <v>149</v>
      </c>
      <c r="EI1" s="3" t="s">
        <v>143</v>
      </c>
      <c r="EJ1" s="3" t="s">
        <v>137</v>
      </c>
      <c r="EK1" s="3" t="s">
        <v>187</v>
      </c>
      <c r="EL1" s="3" t="s">
        <v>188</v>
      </c>
      <c r="EM1" s="21" t="s">
        <v>129</v>
      </c>
      <c r="EN1" s="17" t="s">
        <v>162</v>
      </c>
      <c r="EO1" s="18" t="s">
        <v>159</v>
      </c>
      <c r="EP1" s="18" t="s">
        <v>155</v>
      </c>
      <c r="EQ1" s="18" t="s">
        <v>150</v>
      </c>
      <c r="ER1" s="18" t="s">
        <v>144</v>
      </c>
      <c r="ES1" s="18" t="s">
        <v>138</v>
      </c>
      <c r="ET1" s="18" t="s">
        <v>189</v>
      </c>
      <c r="EU1" s="19" t="s">
        <v>130</v>
      </c>
      <c r="EV1" s="20" t="s">
        <v>165</v>
      </c>
      <c r="EW1" s="3" t="s">
        <v>163</v>
      </c>
      <c r="EX1" s="3" t="s">
        <v>160</v>
      </c>
      <c r="EY1" s="3" t="s">
        <v>156</v>
      </c>
      <c r="EZ1" s="3" t="s">
        <v>151</v>
      </c>
      <c r="FA1" s="3" t="s">
        <v>145</v>
      </c>
      <c r="FB1" s="3" t="s">
        <v>139</v>
      </c>
      <c r="FC1" s="21" t="s">
        <v>131</v>
      </c>
      <c r="FD1" s="20" t="s">
        <v>167</v>
      </c>
      <c r="FE1" s="3" t="s">
        <v>166</v>
      </c>
      <c r="FF1" s="3" t="s">
        <v>164</v>
      </c>
      <c r="FG1" s="3" t="s">
        <v>161</v>
      </c>
      <c r="FH1" s="3" t="s">
        <v>157</v>
      </c>
      <c r="FI1" s="3" t="s">
        <v>152</v>
      </c>
      <c r="FJ1" s="3" t="s">
        <v>146</v>
      </c>
      <c r="FK1" s="21" t="s">
        <v>132</v>
      </c>
      <c r="FL1" s="3" t="s">
        <v>200</v>
      </c>
      <c r="FM1" s="3" t="s">
        <v>201</v>
      </c>
      <c r="FN1" s="3" t="s">
        <v>214</v>
      </c>
    </row>
    <row r="2" spans="1:170" x14ac:dyDescent="0.25">
      <c r="A2" s="7">
        <f t="shared" ref="A2" si="0">ROW(A1)</f>
        <v>1</v>
      </c>
      <c r="B2" s="39"/>
      <c r="C2" s="9"/>
      <c r="D2" s="28"/>
      <c r="E2" s="12"/>
      <c r="F2" s="12"/>
      <c r="G2" s="16"/>
      <c r="H2" s="22"/>
      <c r="I2" s="12"/>
      <c r="J2" s="12"/>
      <c r="K2" s="12"/>
      <c r="L2" s="12"/>
      <c r="M2" s="12"/>
      <c r="N2" s="12"/>
      <c r="O2" s="23"/>
      <c r="P2" s="22"/>
      <c r="Q2" s="12"/>
      <c r="R2" s="12"/>
      <c r="S2" s="12"/>
      <c r="T2" s="12"/>
      <c r="U2" s="12"/>
      <c r="V2" s="12"/>
      <c r="W2" s="23"/>
      <c r="X2" s="22"/>
      <c r="Y2" s="12"/>
      <c r="Z2" s="12"/>
      <c r="AA2" s="12"/>
      <c r="AB2" s="12"/>
      <c r="AC2" s="12"/>
      <c r="AD2" s="12"/>
      <c r="AE2" s="23"/>
      <c r="AF2" s="22"/>
      <c r="AG2" s="12"/>
      <c r="AH2" s="12"/>
      <c r="AI2" s="12"/>
      <c r="AJ2" s="12"/>
      <c r="AK2" s="12"/>
      <c r="AL2" s="12"/>
      <c r="AM2" s="23"/>
      <c r="AN2" s="22"/>
      <c r="AO2" s="12"/>
      <c r="AP2" s="12"/>
      <c r="AQ2" s="12"/>
      <c r="AR2" s="12"/>
      <c r="AS2" s="12"/>
      <c r="AT2" s="12"/>
      <c r="AU2" s="23"/>
      <c r="AV2" s="22"/>
      <c r="AW2" s="12"/>
      <c r="AX2" s="12"/>
      <c r="AY2" s="12"/>
      <c r="AZ2" s="12"/>
      <c r="BA2" s="12"/>
      <c r="BB2" s="12"/>
      <c r="BC2" s="23"/>
      <c r="BD2" s="22"/>
      <c r="BE2" s="12"/>
      <c r="BF2" s="12"/>
      <c r="BG2" s="12"/>
      <c r="BH2" s="12"/>
      <c r="BI2" s="12"/>
      <c r="BJ2" s="12"/>
      <c r="BK2" s="23"/>
      <c r="BL2" s="22"/>
      <c r="BM2" s="12"/>
      <c r="BN2" s="12"/>
      <c r="BO2" s="12"/>
      <c r="BP2" s="12"/>
      <c r="BQ2" s="12"/>
      <c r="BR2" s="12"/>
      <c r="BS2" s="23"/>
      <c r="BT2" s="22"/>
      <c r="BU2" s="12"/>
      <c r="BV2" s="12"/>
      <c r="BW2" s="12"/>
      <c r="BX2" s="12"/>
      <c r="BY2" s="12"/>
      <c r="BZ2" s="12"/>
      <c r="CA2" s="23"/>
      <c r="CB2" s="22"/>
      <c r="CC2" s="12"/>
      <c r="CD2" s="12"/>
      <c r="CE2" s="12"/>
      <c r="CF2" s="12"/>
      <c r="CG2" s="12"/>
      <c r="CH2" s="12"/>
      <c r="CI2" s="23"/>
      <c r="CJ2" s="22"/>
      <c r="CK2" s="12"/>
      <c r="CL2" s="12"/>
      <c r="CM2" s="12"/>
      <c r="CN2" s="12"/>
      <c r="CO2" s="12"/>
      <c r="CP2" s="12"/>
      <c r="CQ2" s="23"/>
      <c r="CR2" s="22"/>
      <c r="CS2" s="12"/>
      <c r="CT2" s="12"/>
      <c r="CU2" s="12"/>
      <c r="CV2" s="12"/>
      <c r="CW2" s="12"/>
      <c r="CX2" s="12"/>
      <c r="CY2" s="23"/>
      <c r="CZ2" s="22"/>
      <c r="DA2" s="12"/>
      <c r="DB2" s="12"/>
      <c r="DC2" s="12"/>
      <c r="DD2" s="12"/>
      <c r="DE2" s="12"/>
      <c r="DF2" s="12"/>
      <c r="DG2" s="23"/>
      <c r="DH2" s="22"/>
      <c r="DI2" s="12"/>
      <c r="DJ2" s="12"/>
      <c r="DK2" s="12"/>
      <c r="DL2" s="12"/>
      <c r="DM2" s="12"/>
      <c r="DN2" s="12"/>
      <c r="DO2" s="23"/>
      <c r="DP2" s="22"/>
      <c r="DQ2" s="12"/>
      <c r="DR2" s="12"/>
      <c r="DS2" s="12"/>
      <c r="DT2" s="12"/>
      <c r="DU2" s="12"/>
      <c r="DV2" s="12"/>
      <c r="DW2" s="23"/>
      <c r="DX2" s="22"/>
      <c r="DY2" s="12"/>
      <c r="DZ2" s="12"/>
      <c r="EA2" s="12"/>
      <c r="EB2" s="12"/>
      <c r="EC2" s="12"/>
      <c r="ED2" s="12"/>
      <c r="EE2" s="23"/>
      <c r="EF2" s="22"/>
      <c r="EG2" s="12"/>
      <c r="EH2" s="12"/>
      <c r="EI2" s="12"/>
      <c r="EJ2" s="12"/>
      <c r="EK2" s="12"/>
      <c r="EL2" s="12"/>
      <c r="EM2" s="23"/>
      <c r="EN2" s="24"/>
      <c r="EO2" s="25"/>
      <c r="EP2" s="25"/>
      <c r="EQ2" s="25"/>
      <c r="ER2" s="25"/>
      <c r="ES2" s="25"/>
      <c r="ET2" s="25"/>
      <c r="EU2" s="26"/>
      <c r="EV2" s="22"/>
      <c r="EW2" s="12"/>
      <c r="EX2" s="12"/>
      <c r="EY2" s="12"/>
      <c r="EZ2" s="12"/>
      <c r="FA2" s="12"/>
      <c r="FB2" s="12"/>
      <c r="FC2" s="23"/>
      <c r="FD2" s="22"/>
      <c r="FE2" s="12"/>
      <c r="FF2" s="12"/>
      <c r="FG2" s="12"/>
      <c r="FH2" s="12"/>
      <c r="FI2" s="12"/>
      <c r="FJ2" s="12"/>
      <c r="FK2" s="23"/>
      <c r="FL2" s="36"/>
      <c r="FM2" s="36"/>
      <c r="FN2" s="36"/>
    </row>
    <row r="3" spans="1:170" x14ac:dyDescent="0.25">
      <c r="A3" s="38">
        <f>ROW(A2)</f>
        <v>2</v>
      </c>
      <c r="B3" s="52" t="s">
        <v>1158</v>
      </c>
      <c r="C3" s="37" t="s">
        <v>1188</v>
      </c>
      <c r="D3" s="48">
        <v>44845.44327546296</v>
      </c>
      <c r="E3" s="37" t="s">
        <v>784</v>
      </c>
      <c r="F3" s="37" t="s">
        <v>784</v>
      </c>
      <c r="G3" s="37" t="s">
        <v>785</v>
      </c>
      <c r="H3" s="49" t="s">
        <v>1170</v>
      </c>
      <c r="I3" s="37" t="s">
        <v>1169</v>
      </c>
      <c r="J3" s="37" t="s">
        <v>221</v>
      </c>
      <c r="K3" s="37">
        <v>24</v>
      </c>
      <c r="L3" s="37">
        <v>750</v>
      </c>
      <c r="M3" s="37">
        <v>2150</v>
      </c>
      <c r="N3" s="37" t="s">
        <v>32</v>
      </c>
      <c r="O3" s="50"/>
      <c r="P3" s="49" t="s">
        <v>422</v>
      </c>
      <c r="Q3" s="37" t="s">
        <v>421</v>
      </c>
      <c r="R3" s="37" t="s">
        <v>221</v>
      </c>
      <c r="S3" s="37">
        <v>2</v>
      </c>
      <c r="T3" s="37"/>
      <c r="U3" s="37"/>
      <c r="V3" s="37" t="s">
        <v>1190</v>
      </c>
      <c r="W3" s="50"/>
      <c r="X3" s="49" t="s">
        <v>460</v>
      </c>
      <c r="Y3" s="37" t="s">
        <v>459</v>
      </c>
      <c r="Z3" s="37" t="s">
        <v>243</v>
      </c>
      <c r="AA3" s="37">
        <v>288</v>
      </c>
      <c r="AB3" s="37"/>
      <c r="AC3" s="37"/>
      <c r="AD3" s="37" t="s">
        <v>223</v>
      </c>
      <c r="AE3" s="50" t="s">
        <v>223</v>
      </c>
      <c r="AF3" s="49" t="s">
        <v>1186</v>
      </c>
      <c r="AG3" s="37" t="s">
        <v>1185</v>
      </c>
      <c r="AH3" s="37" t="s">
        <v>221</v>
      </c>
      <c r="AI3" s="37">
        <v>5</v>
      </c>
      <c r="AJ3" s="37"/>
      <c r="AK3" s="37"/>
      <c r="AL3" s="37" t="s">
        <v>1191</v>
      </c>
      <c r="AM3" s="50"/>
      <c r="AN3" s="49" t="s">
        <v>1184</v>
      </c>
      <c r="AO3" s="37" t="s">
        <v>1183</v>
      </c>
      <c r="AP3" s="37" t="s">
        <v>221</v>
      </c>
      <c r="AQ3" s="37">
        <v>1</v>
      </c>
      <c r="AR3" s="37"/>
      <c r="AS3" s="37"/>
      <c r="AT3" s="37" t="s">
        <v>1192</v>
      </c>
      <c r="AU3" s="50"/>
      <c r="AV3" s="49" t="s">
        <v>1182</v>
      </c>
      <c r="AW3" s="37" t="s">
        <v>1181</v>
      </c>
      <c r="AX3" s="37" t="s">
        <v>570</v>
      </c>
      <c r="AY3" s="37">
        <v>5</v>
      </c>
      <c r="AZ3" s="37"/>
      <c r="BA3" s="37" t="s">
        <v>1193</v>
      </c>
      <c r="BB3" s="37" t="s">
        <v>32</v>
      </c>
      <c r="BC3" s="50"/>
      <c r="BD3" s="49" t="s">
        <v>767</v>
      </c>
      <c r="BE3" s="37" t="s">
        <v>766</v>
      </c>
      <c r="BF3" s="37" t="s">
        <v>221</v>
      </c>
      <c r="BG3" s="37">
        <v>96</v>
      </c>
      <c r="BH3" s="37"/>
      <c r="BI3" s="37"/>
      <c r="BJ3" s="37" t="s">
        <v>223</v>
      </c>
      <c r="BK3" s="50" t="s">
        <v>1194</v>
      </c>
      <c r="BL3" s="49"/>
      <c r="BM3" s="37"/>
      <c r="BN3" s="37"/>
      <c r="BO3" s="37"/>
      <c r="BP3" s="37"/>
      <c r="BQ3" s="37"/>
      <c r="BR3" s="37"/>
      <c r="BS3" s="50"/>
      <c r="BT3" s="49"/>
      <c r="BU3" s="37"/>
      <c r="BV3" s="37"/>
      <c r="BW3" s="37"/>
      <c r="BX3" s="37"/>
      <c r="BY3" s="37"/>
      <c r="BZ3" s="37"/>
      <c r="CA3" s="50"/>
      <c r="CB3" s="49"/>
      <c r="CC3" s="37"/>
      <c r="CD3" s="37"/>
      <c r="CE3" s="37"/>
      <c r="CF3" s="37"/>
      <c r="CG3" s="37"/>
      <c r="CH3" s="37"/>
      <c r="CI3" s="50"/>
      <c r="CJ3" s="49"/>
      <c r="CK3" s="37"/>
      <c r="CL3" s="37"/>
      <c r="CM3" s="37"/>
      <c r="CN3" s="37"/>
      <c r="CO3" s="37"/>
      <c r="CP3" s="37"/>
      <c r="CQ3" s="50"/>
      <c r="CR3" s="49"/>
      <c r="CS3" s="37"/>
      <c r="CT3" s="37"/>
      <c r="CU3" s="37"/>
      <c r="CV3" s="37"/>
      <c r="CW3" s="37"/>
      <c r="CX3" s="37"/>
      <c r="CY3" s="50"/>
      <c r="CZ3" s="49"/>
      <c r="DA3" s="37"/>
      <c r="DB3" s="37"/>
      <c r="DC3" s="37"/>
      <c r="DD3" s="37"/>
      <c r="DE3" s="37"/>
      <c r="DF3" s="37"/>
      <c r="DG3" s="50"/>
      <c r="DH3" s="49"/>
      <c r="DI3" s="37"/>
      <c r="DJ3" s="37"/>
      <c r="DK3" s="37"/>
      <c r="DL3" s="37"/>
      <c r="DM3" s="37"/>
      <c r="DN3" s="37"/>
      <c r="DO3" s="50"/>
      <c r="DP3" s="49"/>
      <c r="DQ3" s="37"/>
      <c r="DR3" s="37"/>
      <c r="DS3" s="37"/>
      <c r="DT3" s="37"/>
      <c r="DU3" s="37"/>
      <c r="DV3" s="37"/>
      <c r="DW3" s="50"/>
      <c r="DX3" s="49"/>
      <c r="DY3" s="37"/>
      <c r="DZ3" s="37"/>
      <c r="EA3" s="37"/>
      <c r="EB3" s="37"/>
      <c r="EC3" s="37"/>
      <c r="ED3" s="37"/>
      <c r="EE3" s="50"/>
      <c r="EF3" s="49"/>
      <c r="EG3" s="37"/>
      <c r="EH3" s="37"/>
      <c r="EI3" s="37"/>
      <c r="EJ3" s="37"/>
      <c r="EK3" s="37"/>
      <c r="EL3" s="37"/>
      <c r="EM3" s="50"/>
      <c r="EN3" s="22"/>
      <c r="EO3" s="12"/>
      <c r="EP3" s="12"/>
      <c r="EQ3" s="12"/>
      <c r="ER3" s="12"/>
      <c r="ES3" s="12"/>
      <c r="ET3" s="12"/>
      <c r="EU3" s="23"/>
      <c r="EV3" s="49"/>
      <c r="EW3" s="37"/>
      <c r="EX3" s="37"/>
      <c r="EY3" s="37"/>
      <c r="EZ3" s="37"/>
      <c r="FA3" s="37"/>
      <c r="FB3" s="37"/>
      <c r="FC3" s="50"/>
      <c r="FD3" s="49"/>
      <c r="FE3" s="37"/>
      <c r="FF3" s="37"/>
      <c r="FG3" s="37"/>
      <c r="FH3" s="37"/>
      <c r="FI3" s="37"/>
      <c r="FJ3" s="37"/>
      <c r="FK3" s="50"/>
      <c r="FL3" s="37" t="s">
        <v>223</v>
      </c>
      <c r="FM3" s="37" t="s">
        <v>223</v>
      </c>
      <c r="FN3" s="37"/>
    </row>
    <row r="4" spans="1:170" x14ac:dyDescent="0.25">
      <c r="A4" s="38">
        <f>ROW(A2)</f>
        <v>2</v>
      </c>
      <c r="B4" s="52"/>
      <c r="C4" s="37"/>
      <c r="D4" s="48"/>
      <c r="E4" s="37"/>
      <c r="F4" s="37"/>
      <c r="G4" s="37"/>
      <c r="H4" s="49"/>
      <c r="I4" s="37"/>
      <c r="J4" s="37"/>
      <c r="K4" s="37"/>
      <c r="L4" s="37"/>
      <c r="M4" s="37"/>
      <c r="N4" s="37"/>
      <c r="O4" s="50"/>
      <c r="P4" s="49"/>
      <c r="Q4" s="37"/>
      <c r="R4" s="37"/>
      <c r="S4" s="37"/>
      <c r="T4" s="37"/>
      <c r="U4" s="37"/>
      <c r="V4" s="37"/>
      <c r="W4" s="50"/>
      <c r="X4" s="49"/>
      <c r="Y4" s="37"/>
      <c r="Z4" s="37"/>
      <c r="AA4" s="37"/>
      <c r="AB4" s="37"/>
      <c r="AC4" s="37"/>
      <c r="AD4" s="37"/>
      <c r="AE4" s="50"/>
      <c r="AF4" s="49"/>
      <c r="AG4" s="37"/>
      <c r="AH4" s="37"/>
      <c r="AI4" s="37"/>
      <c r="AJ4" s="37"/>
      <c r="AK4" s="37"/>
      <c r="AL4" s="37"/>
      <c r="AM4" s="50"/>
      <c r="AN4" s="49"/>
      <c r="AO4" s="37"/>
      <c r="AP4" s="37"/>
      <c r="AQ4" s="37"/>
      <c r="AR4" s="37"/>
      <c r="AS4" s="37"/>
      <c r="AT4" s="37"/>
      <c r="AU4" s="50"/>
      <c r="AV4" s="49"/>
      <c r="AW4" s="37"/>
      <c r="AX4" s="37"/>
      <c r="AY4" s="37"/>
      <c r="AZ4" s="37"/>
      <c r="BA4" s="37"/>
      <c r="BB4" s="37"/>
      <c r="BC4" s="50"/>
      <c r="BD4" s="49"/>
      <c r="BE4" s="37"/>
      <c r="BF4" s="37"/>
      <c r="BG4" s="37"/>
      <c r="BH4" s="37"/>
      <c r="BI4" s="37"/>
      <c r="BJ4" s="37"/>
      <c r="BK4" s="50"/>
      <c r="BL4" s="49"/>
      <c r="BM4" s="37"/>
      <c r="BN4" s="37"/>
      <c r="BO4" s="37"/>
      <c r="BP4" s="37"/>
      <c r="BQ4" s="37"/>
      <c r="BR4" s="37"/>
      <c r="BS4" s="50"/>
      <c r="BT4" s="49"/>
      <c r="BU4" s="37"/>
      <c r="BV4" s="37"/>
      <c r="BW4" s="37"/>
      <c r="BX4" s="37"/>
      <c r="BY4" s="37"/>
      <c r="BZ4" s="37"/>
      <c r="CA4" s="50"/>
      <c r="CB4" s="49"/>
      <c r="CC4" s="37"/>
      <c r="CD4" s="37"/>
      <c r="CE4" s="37"/>
      <c r="CF4" s="37"/>
      <c r="CG4" s="37"/>
      <c r="CH4" s="37"/>
      <c r="CI4" s="50"/>
      <c r="CJ4" s="49"/>
      <c r="CK4" s="37"/>
      <c r="CL4" s="37"/>
      <c r="CM4" s="37"/>
      <c r="CN4" s="37"/>
      <c r="CO4" s="37"/>
      <c r="CP4" s="37"/>
      <c r="CQ4" s="50"/>
      <c r="CR4" s="49"/>
      <c r="CS4" s="37"/>
      <c r="CT4" s="37"/>
      <c r="CU4" s="37"/>
      <c r="CV4" s="37"/>
      <c r="CW4" s="37"/>
      <c r="CX4" s="37"/>
      <c r="CY4" s="50"/>
      <c r="CZ4" s="49"/>
      <c r="DA4" s="37"/>
      <c r="DB4" s="37"/>
      <c r="DC4" s="37"/>
      <c r="DD4" s="37"/>
      <c r="DE4" s="37"/>
      <c r="DF4" s="37"/>
      <c r="DG4" s="50"/>
      <c r="DH4" s="49"/>
      <c r="DI4" s="37"/>
      <c r="DJ4" s="37"/>
      <c r="DK4" s="37"/>
      <c r="DL4" s="37"/>
      <c r="DM4" s="37"/>
      <c r="DN4" s="37"/>
      <c r="DO4" s="50"/>
      <c r="DP4" s="49"/>
      <c r="DQ4" s="37"/>
      <c r="DR4" s="37"/>
      <c r="DS4" s="37"/>
      <c r="DT4" s="37"/>
      <c r="DU4" s="37"/>
      <c r="DV4" s="37"/>
      <c r="DW4" s="50"/>
      <c r="DX4" s="49"/>
      <c r="DY4" s="37"/>
      <c r="DZ4" s="37"/>
      <c r="EA4" s="37"/>
      <c r="EB4" s="37"/>
      <c r="EC4" s="37"/>
      <c r="ED4" s="37"/>
      <c r="EE4" s="50"/>
      <c r="EF4" s="49"/>
      <c r="EG4" s="37"/>
      <c r="EH4" s="37"/>
      <c r="EI4" s="37"/>
      <c r="EJ4" s="37"/>
      <c r="EK4" s="37"/>
      <c r="EL4" s="37"/>
      <c r="EM4" s="50"/>
      <c r="EN4" s="22"/>
      <c r="EO4" s="12"/>
      <c r="EP4" s="12"/>
      <c r="EQ4" s="12"/>
      <c r="ER4" s="12"/>
      <c r="ES4" s="12"/>
      <c r="ET4" s="12"/>
      <c r="EU4" s="23"/>
      <c r="EV4" s="49"/>
      <c r="EW4" s="37"/>
      <c r="EX4" s="37"/>
      <c r="EY4" s="37"/>
      <c r="EZ4" s="37"/>
      <c r="FA4" s="37"/>
      <c r="FB4" s="37"/>
      <c r="FC4" s="50"/>
      <c r="FD4" s="49"/>
      <c r="FE4" s="37"/>
      <c r="FF4" s="37"/>
      <c r="FG4" s="37"/>
      <c r="FH4" s="37"/>
      <c r="FI4" s="37"/>
      <c r="FJ4" s="37"/>
      <c r="FK4" s="50"/>
      <c r="FL4" s="37"/>
      <c r="FM4" s="37"/>
      <c r="FN4" s="9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002060"/>
  </sheetPr>
  <dimension ref="A1:U21"/>
  <sheetViews>
    <sheetView tabSelected="1" zoomScaleNormal="100" workbookViewId="0">
      <pane xSplit="15" ySplit="21" topLeftCell="P91" activePane="bottomRight" state="frozen"/>
      <selection pane="topRight" activeCell="P1" sqref="P1"/>
      <selection pane="bottomLeft" activeCell="A22" sqref="A22"/>
      <selection pane="bottomRight" activeCell="L18" sqref="L18"/>
    </sheetView>
  </sheetViews>
  <sheetFormatPr baseColWidth="10" defaultRowHeight="15" x14ac:dyDescent="0.25"/>
  <cols>
    <col min="9" max="9" width="22.7109375" customWidth="1"/>
    <col min="10" max="10" width="2.85546875" customWidth="1"/>
    <col min="11" max="11" width="5.5703125" customWidth="1"/>
    <col min="13" max="13" width="18.85546875" customWidth="1"/>
    <col min="15" max="15" width="28.28515625" customWidth="1"/>
    <col min="20" max="20" width="12.7109375" customWidth="1"/>
  </cols>
  <sheetData>
    <row r="1" spans="1:2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21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</row>
    <row r="3" spans="1:2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T3" s="97"/>
    </row>
    <row r="4" spans="1:21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S4" s="96"/>
      <c r="T4" s="99" t="str">
        <f>IFERROR(VLOOKUP($I$7,BD[],13,FALSE),"Sin registro")</f>
        <v>Sin registro</v>
      </c>
      <c r="U4" s="98"/>
    </row>
    <row r="5" spans="1:21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T5" s="95"/>
    </row>
    <row r="6" spans="1:2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</row>
    <row r="7" spans="1:21" x14ac:dyDescent="0.25">
      <c r="A7" s="1"/>
      <c r="B7" s="1"/>
      <c r="C7" s="1"/>
      <c r="D7" s="1"/>
      <c r="E7" s="1"/>
      <c r="F7" s="1"/>
      <c r="G7" s="108" t="s">
        <v>10</v>
      </c>
      <c r="H7" s="108"/>
      <c r="I7" s="31"/>
      <c r="J7" s="10"/>
      <c r="K7" s="1"/>
      <c r="L7" s="6" t="s">
        <v>17</v>
      </c>
      <c r="M7" s="64" t="str">
        <f>IFERROR(VLOOKUP($I$7,BD[],7,FALSE),"Sin registro")</f>
        <v>Sin registro</v>
      </c>
      <c r="N7" s="1"/>
      <c r="O7" s="1"/>
      <c r="P7" s="1"/>
      <c r="Q7" s="1"/>
    </row>
    <row r="8" spans="1:2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41"/>
      <c r="L8" s="1"/>
      <c r="M8" s="1"/>
      <c r="N8" s="1"/>
      <c r="O8" s="1"/>
      <c r="P8" s="1"/>
      <c r="Q8" s="1"/>
    </row>
    <row r="9" spans="1:21" x14ac:dyDescent="0.25">
      <c r="A9" s="1"/>
      <c r="B9" s="1"/>
      <c r="C9" s="1"/>
      <c r="D9" s="1"/>
      <c r="E9" s="1"/>
      <c r="F9" s="1"/>
      <c r="G9" s="108" t="s">
        <v>13</v>
      </c>
      <c r="H9" s="108"/>
      <c r="I9" s="63" t="str">
        <f>IFERROR(VLOOKUP($I$7,BD[],11,FALSE),"Sin registro")</f>
        <v>Sin registro</v>
      </c>
      <c r="J9" s="11"/>
      <c r="K9" s="1"/>
      <c r="L9" s="6" t="s">
        <v>18</v>
      </c>
      <c r="M9" s="5" t="str">
        <f>IFERROR(VLOOKUP($I$7,BD[],8,FALSE),"Sin registro")</f>
        <v>Sin registro</v>
      </c>
      <c r="N9" s="1"/>
      <c r="O9" s="1"/>
      <c r="P9" s="1"/>
      <c r="Q9" s="1"/>
    </row>
    <row r="10" spans="1:2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</row>
    <row r="11" spans="1:21" x14ac:dyDescent="0.25">
      <c r="A11" s="1"/>
      <c r="B11" s="1"/>
      <c r="C11" s="1"/>
      <c r="D11" s="1"/>
      <c r="E11" s="1"/>
      <c r="F11" s="1"/>
      <c r="G11" s="108" t="s">
        <v>11</v>
      </c>
      <c r="H11" s="108"/>
      <c r="I11" s="63" t="str">
        <f>IFERROR(VLOOKUP($I$7,BD[],12,FALSE),"Sin registro")</f>
        <v>Sin registro</v>
      </c>
      <c r="J11" s="6"/>
      <c r="K11" s="1"/>
      <c r="L11" s="6" t="s">
        <v>19</v>
      </c>
      <c r="M11" s="64" t="str">
        <f>IFERROR(VLOOKUP($I$7,BD[],9,FALSE),"Sin registro")</f>
        <v>Sin registro</v>
      </c>
      <c r="N11" s="1"/>
      <c r="O11" s="1"/>
      <c r="P11" s="1"/>
      <c r="Q11" s="1"/>
    </row>
    <row r="12" spans="1:2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</row>
    <row r="13" spans="1:21" x14ac:dyDescent="0.25">
      <c r="A13" s="1"/>
      <c r="B13" s="1"/>
      <c r="C13" s="1"/>
      <c r="D13" s="1"/>
      <c r="E13" s="1"/>
      <c r="F13" s="1"/>
      <c r="G13" s="108" t="s">
        <v>12</v>
      </c>
      <c r="H13" s="108"/>
      <c r="I13" s="64" t="str">
        <f>IFERROR(VLOOKUP($I$7,BD[],3,FALSE),"Sin registro")</f>
        <v>Sin registro</v>
      </c>
      <c r="J13" s="6"/>
      <c r="K13" s="1"/>
      <c r="L13" s="6" t="s">
        <v>20</v>
      </c>
      <c r="M13" s="64" t="str">
        <f>IFERROR(VLOOKUP($I$7,BD[],10,FALSE),"Sin registro")</f>
        <v>Sin registro</v>
      </c>
      <c r="N13" s="1"/>
      <c r="O13" s="1"/>
      <c r="P13" s="1"/>
      <c r="Q13" s="1"/>
    </row>
    <row r="14" spans="1:2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</row>
    <row r="15" spans="1:21" x14ac:dyDescent="0.25">
      <c r="A15" s="1"/>
      <c r="B15" s="1"/>
      <c r="C15" s="1"/>
      <c r="D15" s="1"/>
      <c r="E15" s="1"/>
      <c r="F15" s="1"/>
      <c r="G15" s="108" t="s">
        <v>14</v>
      </c>
      <c r="H15" s="108"/>
      <c r="I15" s="64" t="str">
        <f>IFERROR(VLOOKUP($I$7,BD[],4,FALSE),"Sin registro")</f>
        <v>Sin registro</v>
      </c>
      <c r="J15" s="6"/>
      <c r="K15" s="1"/>
      <c r="L15" s="1"/>
      <c r="M15" s="1"/>
      <c r="N15" s="1"/>
      <c r="O15" s="1"/>
      <c r="P15" s="1"/>
      <c r="Q15" s="1"/>
    </row>
    <row r="16" spans="1:2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</row>
    <row r="17" spans="1:17" x14ac:dyDescent="0.25">
      <c r="A17" s="1"/>
      <c r="B17" s="1"/>
      <c r="C17" s="1"/>
      <c r="D17" s="1"/>
      <c r="E17" s="1"/>
      <c r="F17" s="1"/>
      <c r="G17" s="108" t="s">
        <v>15</v>
      </c>
      <c r="H17" s="108"/>
      <c r="I17" s="64" t="str">
        <f>IFERROR(VLOOKUP($I$7,BD[],5,FALSE),"Sin registro")</f>
        <v>Sin registro</v>
      </c>
      <c r="J17" s="6"/>
      <c r="K17" s="1"/>
      <c r="L17" s="1"/>
      <c r="M17" s="1"/>
      <c r="N17" s="1"/>
      <c r="O17" s="1"/>
      <c r="P17" s="1"/>
      <c r="Q17" s="1"/>
    </row>
    <row r="18" spans="1:17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</row>
    <row r="19" spans="1:17" x14ac:dyDescent="0.25">
      <c r="A19" s="1"/>
      <c r="B19" s="1"/>
      <c r="C19" s="1"/>
      <c r="D19" s="1"/>
      <c r="E19" s="1"/>
      <c r="F19" s="1"/>
      <c r="G19" s="108" t="s">
        <v>16</v>
      </c>
      <c r="H19" s="108"/>
      <c r="I19" s="64" t="str">
        <f>IFERROR(VLOOKUP($I$7,BD[],6,FALSE),"Sin registro")</f>
        <v>Sin registro</v>
      </c>
      <c r="J19" s="6"/>
      <c r="K19" s="1"/>
      <c r="L19" s="1"/>
      <c r="M19" s="1"/>
      <c r="N19" s="1"/>
      <c r="O19" s="1"/>
      <c r="P19" s="1"/>
      <c r="Q19" s="1"/>
    </row>
    <row r="20" spans="1:17" ht="16.5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</row>
    <row r="21" spans="1:17" ht="39.75" customHeight="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41"/>
      <c r="N21" s="1"/>
      <c r="O21" s="1"/>
      <c r="P21" s="1"/>
      <c r="Q21" s="1"/>
    </row>
  </sheetData>
  <sheetProtection algorithmName="SHA-512" hashValue="KGWY3RhCKAuoZ/QSrjQosL8/ACyvGyrQllkUeY1gW+zs9S4ZVKt13UmheaKWSc/uPNluzVvtQjcJf/pDu0u2Aw==" saltValue="da+/N4nrP11tfepKDuLxOA==" spinCount="100000" sheet="1" objects="1" scenarios="1"/>
  <mergeCells count="7">
    <mergeCell ref="G15:H15"/>
    <mergeCell ref="G17:H17"/>
    <mergeCell ref="G19:H19"/>
    <mergeCell ref="G7:H7"/>
    <mergeCell ref="G9:H9"/>
    <mergeCell ref="G11:H11"/>
    <mergeCell ref="G13:H13"/>
  </mergeCells>
  <conditionalFormatting sqref="M9">
    <cfRule type="colorScale" priority="1">
      <colorScale>
        <cfvo type="num" val="0"/>
        <cfvo type="num" val="6"/>
        <cfvo type="num" val="12"/>
        <color rgb="FFF8696B"/>
        <color rgb="FFFFEB84"/>
        <color rgb="FF63BE7B"/>
      </colorScale>
    </cfRule>
    <cfRule type="colorScale" priority="2">
      <colorScale>
        <cfvo type="num" val="0"/>
        <cfvo type="percent" val="50"/>
        <cfvo type="percent" val="100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num" val="0"/>
        <cfvo type="num" val="10"/>
        <color rgb="FFFF0000"/>
        <color theme="9"/>
      </colorScale>
    </cfRule>
    <cfRule type="colorScale" priority="5">
      <colorScale>
        <cfvo type="min"/>
        <cfvo type="max"/>
        <color rgb="FFFF7128"/>
        <color rgb="FFFFEF9C"/>
      </colorScale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Inventario!$A$2:$A$1048576</xm:f>
          </x14:formula1>
          <xm:sqref>I7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6" tint="-0.249977111117893"/>
  </sheetPr>
  <dimension ref="A1:H3"/>
  <sheetViews>
    <sheetView workbookViewId="0">
      <selection activeCell="G11" sqref="G11"/>
    </sheetView>
  </sheetViews>
  <sheetFormatPr baseColWidth="10" defaultRowHeight="15" x14ac:dyDescent="0.25"/>
  <cols>
    <col min="1" max="1" width="22.7109375" customWidth="1"/>
    <col min="2" max="2" width="20.28515625" customWidth="1"/>
    <col min="3" max="3" width="20.7109375" customWidth="1"/>
    <col min="4" max="4" width="20.5703125" customWidth="1"/>
    <col min="5" max="5" width="21.28515625" customWidth="1"/>
    <col min="6" max="6" width="20.42578125" customWidth="1"/>
    <col min="7" max="7" width="21" customWidth="1"/>
    <col min="8" max="8" width="15.5703125" bestFit="1" customWidth="1"/>
  </cols>
  <sheetData>
    <row r="1" spans="1:8" ht="30" customHeight="1" x14ac:dyDescent="0.25">
      <c r="A1" s="67" t="s">
        <v>28</v>
      </c>
      <c r="B1" s="68" t="s">
        <v>29</v>
      </c>
      <c r="C1" s="68" t="s">
        <v>30</v>
      </c>
      <c r="D1" s="68" t="s">
        <v>31</v>
      </c>
      <c r="E1" s="68" t="s">
        <v>32</v>
      </c>
      <c r="F1" s="68" t="s">
        <v>205</v>
      </c>
      <c r="G1" s="69" t="s">
        <v>201</v>
      </c>
      <c r="H1" s="68" t="s">
        <v>209</v>
      </c>
    </row>
    <row r="2" spans="1:8" x14ac:dyDescent="0.25">
      <c r="A2" s="72"/>
      <c r="B2" s="73"/>
      <c r="C2" s="73"/>
      <c r="D2" s="73"/>
      <c r="E2" s="73"/>
      <c r="F2" s="55"/>
      <c r="G2" s="56"/>
      <c r="H2" s="73"/>
    </row>
    <row r="3" spans="1:8" x14ac:dyDescent="0.25">
      <c r="A3" s="74"/>
      <c r="B3" s="75"/>
      <c r="C3" s="75"/>
      <c r="D3" s="75"/>
      <c r="E3" s="75"/>
      <c r="F3" s="70"/>
      <c r="G3" s="71"/>
      <c r="H3" s="75"/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LI">
    <tabColor theme="0" tint="-0.499984740745262"/>
  </sheetPr>
  <dimension ref="A1:N4"/>
  <sheetViews>
    <sheetView zoomScaleNormal="100" workbookViewId="0">
      <selection activeCell="G7" sqref="G7"/>
    </sheetView>
  </sheetViews>
  <sheetFormatPr baseColWidth="10" defaultRowHeight="15" x14ac:dyDescent="0.25"/>
  <cols>
    <col min="1" max="1" width="20.42578125" customWidth="1"/>
    <col min="2" max="2" width="36.140625" customWidth="1"/>
    <col min="3" max="3" width="17.28515625" customWidth="1"/>
    <col min="4" max="4" width="14.42578125" customWidth="1"/>
    <col min="5" max="5" width="13.7109375" customWidth="1"/>
    <col min="6" max="6" width="14" customWidth="1"/>
    <col min="7" max="7" width="14.42578125" customWidth="1"/>
    <col min="8" max="8" width="22.5703125" customWidth="1"/>
    <col min="9" max="11" width="18.7109375" customWidth="1"/>
    <col min="12" max="14" width="16.140625" customWidth="1"/>
  </cols>
  <sheetData>
    <row r="1" spans="1:14" ht="30" customHeight="1" thickBot="1" x14ac:dyDescent="0.3">
      <c r="A1" s="45" t="s">
        <v>33</v>
      </c>
      <c r="B1" s="46" t="s">
        <v>34</v>
      </c>
      <c r="C1" s="46" t="s">
        <v>4</v>
      </c>
      <c r="D1" s="46" t="s">
        <v>23</v>
      </c>
      <c r="E1" s="46" t="s">
        <v>35</v>
      </c>
      <c r="F1" s="46" t="s">
        <v>36</v>
      </c>
      <c r="G1" s="46" t="s">
        <v>7</v>
      </c>
      <c r="H1" s="46" t="s">
        <v>37</v>
      </c>
      <c r="I1" s="46" t="s">
        <v>1</v>
      </c>
      <c r="J1" s="46" t="s">
        <v>2</v>
      </c>
      <c r="K1" s="46" t="s">
        <v>3</v>
      </c>
      <c r="L1" s="46" t="s">
        <v>25</v>
      </c>
      <c r="M1" s="46" t="s">
        <v>5</v>
      </c>
      <c r="N1" s="47" t="s">
        <v>191</v>
      </c>
    </row>
    <row r="2" spans="1:14" x14ac:dyDescent="0.25">
      <c r="A2" s="78"/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80"/>
    </row>
    <row r="3" spans="1:14" x14ac:dyDescent="0.25">
      <c r="A3" s="78"/>
      <c r="B3" s="79"/>
      <c r="C3" s="79"/>
      <c r="D3" s="79"/>
      <c r="E3" s="79"/>
      <c r="F3" s="79"/>
      <c r="G3" s="79"/>
      <c r="H3" s="79"/>
      <c r="I3" s="79"/>
      <c r="J3" s="79"/>
      <c r="K3" s="79"/>
      <c r="L3" s="79"/>
      <c r="M3" s="79"/>
      <c r="N3" s="80"/>
    </row>
    <row r="4" spans="1:14" x14ac:dyDescent="0.25">
      <c r="A4" s="77"/>
      <c r="B4" s="77"/>
      <c r="C4" s="77"/>
      <c r="D4" s="77"/>
      <c r="E4" s="77"/>
      <c r="F4" s="77"/>
      <c r="G4" s="77"/>
      <c r="H4" s="77"/>
      <c r="I4" s="77"/>
      <c r="J4" s="77"/>
      <c r="K4" s="77"/>
      <c r="L4" s="77"/>
      <c r="M4" s="77"/>
      <c r="N4" s="77"/>
    </row>
  </sheetData>
  <phoneticPr fontId="3" type="noConversion"/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4" tint="-0.249977111117893"/>
  </sheetPr>
  <dimension ref="A1:H41"/>
  <sheetViews>
    <sheetView view="pageLayout" topLeftCell="A22" zoomScaleNormal="100" workbookViewId="0">
      <selection activeCell="D34" sqref="D34"/>
    </sheetView>
  </sheetViews>
  <sheetFormatPr baseColWidth="10" defaultRowHeight="15" x14ac:dyDescent="0.25"/>
  <cols>
    <col min="1" max="1" width="10.5703125" customWidth="1"/>
    <col min="2" max="2" width="22.5703125" customWidth="1"/>
    <col min="3" max="3" width="10.5703125" customWidth="1"/>
    <col min="4" max="4" width="10.7109375" customWidth="1"/>
    <col min="5" max="5" width="11.42578125" customWidth="1"/>
    <col min="6" max="6" width="11" customWidth="1"/>
    <col min="7" max="7" width="10.140625" customWidth="1"/>
    <col min="8" max="8" width="11" customWidth="1"/>
  </cols>
  <sheetData>
    <row r="1" spans="1:8" x14ac:dyDescent="0.25">
      <c r="B1" s="62" t="s">
        <v>1364</v>
      </c>
    </row>
    <row r="7" spans="1:8" ht="17.25" customHeight="1" x14ac:dyDescent="0.25">
      <c r="A7" s="57"/>
      <c r="B7" s="121" t="s">
        <v>192</v>
      </c>
      <c r="C7" s="121"/>
      <c r="D7" s="122" t="str">
        <f>B1</f>
        <v>LS 2022 0614</v>
      </c>
      <c r="E7" s="122"/>
      <c r="F7" s="61"/>
      <c r="G7" s="58"/>
      <c r="H7" s="59"/>
    </row>
    <row r="8" spans="1:8" ht="16.5" customHeight="1" x14ac:dyDescent="0.25">
      <c r="A8" s="118" t="s">
        <v>193</v>
      </c>
      <c r="B8" s="118"/>
      <c r="C8" s="119" t="str">
        <f>IFERROR(VLOOKUP(B1,RegistrodeSalidas!B2:FK1048576,2,0),"")</f>
        <v xml:space="preserve">OSCAR GOMEZ </v>
      </c>
      <c r="D8" s="119"/>
      <c r="E8" s="119"/>
      <c r="F8" s="119"/>
      <c r="G8" s="119"/>
      <c r="H8" s="119"/>
    </row>
    <row r="9" spans="1:8" x14ac:dyDescent="0.25">
      <c r="A9" s="118" t="s">
        <v>194</v>
      </c>
      <c r="B9" s="118"/>
      <c r="C9" s="120">
        <f>IFERROR(VLOOKUP(B1,RegistrodeSalidas!B2:FK1048576,3,0),"")</f>
        <v>44865.379953703705</v>
      </c>
      <c r="D9" s="120"/>
      <c r="E9" s="120"/>
      <c r="F9" s="120"/>
      <c r="G9" s="120"/>
      <c r="H9" s="120"/>
    </row>
    <row r="10" spans="1:8" x14ac:dyDescent="0.25">
      <c r="A10" s="118" t="s">
        <v>195</v>
      </c>
      <c r="B10" s="118"/>
      <c r="C10" s="119" t="str">
        <f>IFERROR(VLOOKUP(B1,RegistrodeSalidas!B2:FK1048576,4,0),"")</f>
        <v>ALFREDO AGUILAR</v>
      </c>
      <c r="D10" s="119"/>
      <c r="E10" s="119"/>
      <c r="F10" s="119"/>
      <c r="G10" s="119"/>
      <c r="H10" s="119"/>
    </row>
    <row r="11" spans="1:8" x14ac:dyDescent="0.25">
      <c r="A11" s="118" t="s">
        <v>196</v>
      </c>
      <c r="B11" s="118"/>
      <c r="C11" s="119" t="str">
        <f>IFERROR(VLOOKUP(B1,RegistrodeSalidas!B2:FK1048576,5,0),"")</f>
        <v xml:space="preserve">VICTOR BARBA </v>
      </c>
      <c r="D11" s="119"/>
      <c r="E11" s="119"/>
      <c r="F11" s="119"/>
      <c r="G11" s="119"/>
      <c r="H11" s="119"/>
    </row>
    <row r="12" spans="1:8" x14ac:dyDescent="0.25">
      <c r="A12" s="118" t="s">
        <v>197</v>
      </c>
      <c r="B12" s="118"/>
      <c r="C12" s="119" t="str">
        <f>IFERROR(VLOOKUP(B1,RegistrodeSalidas!B2:FK1048576,6,0),"")</f>
        <v xml:space="preserve">ROCIO HERNANDEZ </v>
      </c>
      <c r="D12" s="119"/>
      <c r="E12" s="119"/>
      <c r="F12" s="119"/>
      <c r="G12" s="119"/>
      <c r="H12" s="119"/>
    </row>
    <row r="13" spans="1:8" x14ac:dyDescent="0.25">
      <c r="A13" s="60" t="s">
        <v>198</v>
      </c>
      <c r="B13" s="60" t="s">
        <v>34</v>
      </c>
      <c r="C13" s="60" t="s">
        <v>4</v>
      </c>
      <c r="D13" s="60" t="s">
        <v>23</v>
      </c>
      <c r="E13" s="60" t="s">
        <v>35</v>
      </c>
      <c r="F13" s="60" t="s">
        <v>36</v>
      </c>
      <c r="G13" s="60" t="s">
        <v>212</v>
      </c>
      <c r="H13" s="60" t="s">
        <v>37</v>
      </c>
    </row>
    <row r="14" spans="1:8" x14ac:dyDescent="0.25">
      <c r="A14" s="100" t="str">
        <f>IFERROR(VLOOKUP(B1,RegistrodeSalidas!B2:FK1048576,7,0),"")</f>
        <v>YEPI</v>
      </c>
      <c r="B14" s="100" t="str">
        <f>IFERROR(VLOOKUP(B1,RegistrodeSalidas!B2:FK1048576,8,0),"")</f>
        <v xml:space="preserve">YESO PIEDRA </v>
      </c>
      <c r="C14" s="100" t="str">
        <f>IFERROR(VLOOKUP(B1,RegistrodeSalidas!B2:FK1048576,9,0),"")</f>
        <v>KG</v>
      </c>
      <c r="D14" s="100">
        <f>IFERROR(VLOOKUP(B1,RegistrodeSalidas!B2:FK1048576,10,0),"")</f>
        <v>8</v>
      </c>
      <c r="E14" s="100">
        <f>IFERROR(VLOOKUP(B1,RegistrodeSalidas!B2:FK1048576,11,0),"")</f>
        <v>0</v>
      </c>
      <c r="F14" s="100">
        <f>IFERROR(VLOOKUP(B1,RegistrodeSalidas!B2:FK1048576,12,0),"")</f>
        <v>0</v>
      </c>
      <c r="G14" s="100" t="str">
        <f>IFERROR(VLOOKUP(B1,RegistrodeSalidas!B2:FK1048576,13,0),"")</f>
        <v xml:space="preserve">ALMACEN </v>
      </c>
      <c r="H14" s="100" t="str">
        <f>IFERROR(VLOOKUP(B1,RegistrodeSalidas!B2:FK1048576,14,0),"")</f>
        <v>ALMACEN</v>
      </c>
    </row>
    <row r="15" spans="1:8" x14ac:dyDescent="0.25">
      <c r="A15" s="100" t="str">
        <f>IFERROR(VLOOKUP(B1,RegistrodeSalidas!B2:FK1048576,15,0),"")</f>
        <v>DURNE</v>
      </c>
      <c r="B15" s="100" t="str">
        <f>IFERROR(VLOOKUP(B1,RegistrodeSalidas!B2:FK1048576,16,0),"")</f>
        <v>DURETAN NEGRO</v>
      </c>
      <c r="C15" s="100" t="str">
        <f>IFERROR(VLOOKUP(B1,RegistrodeSalidas!B2:FK1048576,17,0),"")</f>
        <v>PIEZA</v>
      </c>
      <c r="D15" s="100">
        <f>IFERROR(VLOOKUP(B1,RegistrodeSalidas!B2:FK1048576,18,0),"")</f>
        <v>6</v>
      </c>
      <c r="E15" s="100">
        <f>IFERROR(VLOOKUP(B1,RegistrodeSalidas!B2:FK1048576,19,0),"")</f>
        <v>0</v>
      </c>
      <c r="F15" s="100">
        <f>IFERROR(VLOOKUP(B1,RegistrodeSalidas!B2:FK1048576,20,0),"")</f>
        <v>0</v>
      </c>
      <c r="G15" s="100" t="str">
        <f>IFERROR(VLOOKUP(B1,RegistrodeSalidas!B2:FK1048576,21,0),"")</f>
        <v xml:space="preserve">ALMACEN </v>
      </c>
      <c r="H15" s="100" t="str">
        <f>IFERROR(VLOOKUP(B1,RegistrodeSalidas!B2:FK1048576,22,0),"")</f>
        <v>ALMACEN</v>
      </c>
    </row>
    <row r="16" spans="1:8" x14ac:dyDescent="0.25">
      <c r="A16" s="100" t="str">
        <f>IFERROR(VLOOKUP(B1,RegistrodeSalidas!B2:FK1048576,23,0),"")</f>
        <v>SATR</v>
      </c>
      <c r="B16" s="100" t="str">
        <f>IFERROR(VLOOKUP(B1,RegistrodeSalidas!B2:FK1048576,24,0),"")</f>
        <v xml:space="preserve">SILICON ARQUITECTONICO </v>
      </c>
      <c r="C16" s="100" t="str">
        <f>IFERROR(VLOOKUP(B1,RegistrodeSalidas!B2:FK1048576,25,0),"")</f>
        <v>PZA</v>
      </c>
      <c r="D16" s="100">
        <f>IFERROR(VLOOKUP(B1,RegistrodeSalidas!B2:FK1048576,26,0),"")</f>
        <v>1</v>
      </c>
      <c r="E16" s="100">
        <f>IFERROR(VLOOKUP(B1,RegistrodeSalidas!B2:FK1048576,27,0),"")</f>
        <v>0</v>
      </c>
      <c r="F16" s="100">
        <f>IFERROR(VLOOKUP(B1,RegistrodeSalidas!B2:FK1048576,28,0),"")</f>
        <v>0</v>
      </c>
      <c r="G16" s="100" t="str">
        <f>IFERROR(VLOOKUP(B1,RegistrodeSalidas!B2:FK1048576,29,0),"")</f>
        <v xml:space="preserve">ALMACEN </v>
      </c>
      <c r="H16" s="100" t="str">
        <f>IFERROR(VLOOKUP(B1,RegistrodeSalidas!B2:FK1048576,30,0),"")</f>
        <v>ALMACEN</v>
      </c>
    </row>
    <row r="17" spans="1:8" x14ac:dyDescent="0.25">
      <c r="A17" s="100">
        <f>IFERROR(VLOOKUP(B1,RegistrodeSalidas!B2:FK1048576,31,0),"")</f>
        <v>0</v>
      </c>
      <c r="B17" s="100">
        <f>IFERROR(VLOOKUP(B1,RegistrodeSalidas!B2:FK1048576,32,0),"")</f>
        <v>0</v>
      </c>
      <c r="C17" s="100">
        <f>IFERROR(VLOOKUP(B1,RegistrodeSalidas!B2:FK1048576,33,0),"")</f>
        <v>0</v>
      </c>
      <c r="D17" s="100">
        <f>IFERROR(VLOOKUP(B1,RegistrodeSalidas!B2:FK1048576,34,0),"")</f>
        <v>0</v>
      </c>
      <c r="E17" s="100">
        <f>IFERROR(VLOOKUP(B1,RegistrodeSalidas!B2:FK1048576,35,0),"")</f>
        <v>0</v>
      </c>
      <c r="F17" s="100">
        <f>IFERROR(VLOOKUP(B1,RegistrodeSalidas!B2:FK1048576,36,0),"")</f>
        <v>0</v>
      </c>
      <c r="G17" s="100">
        <f>IFERROR(VLOOKUP(B1,RegistrodeSalidas!B2:FK1048576,37,0),"")</f>
        <v>0</v>
      </c>
      <c r="H17" s="100">
        <f>IFERROR(VLOOKUP(B1,RegistrodeSalidas!B2:FK1048576,38,0),"")</f>
        <v>0</v>
      </c>
    </row>
    <row r="18" spans="1:8" x14ac:dyDescent="0.25">
      <c r="A18" s="100">
        <f>IFERROR(VLOOKUP(B1,RegistrodeSalidas!B2:FK1048576,39,0),"")</f>
        <v>0</v>
      </c>
      <c r="B18" s="100">
        <f>IFERROR(VLOOKUP(B1,RegistrodeSalidas!B2:FK1048576,40,0),"")</f>
        <v>0</v>
      </c>
      <c r="C18" s="100">
        <f>IFERROR(VLOOKUP(B1,RegistrodeSalidas!B2:FK1048576,41,0),"")</f>
        <v>0</v>
      </c>
      <c r="D18" s="100">
        <f>IFERROR(VLOOKUP(B1,RegistrodeSalidas!B2:FK1048576,42,0),"")</f>
        <v>0</v>
      </c>
      <c r="E18" s="100">
        <f>IFERROR(VLOOKUP(B1,RegistrodeSalidas!B2:FK1048576,43,0),"")</f>
        <v>0</v>
      </c>
      <c r="F18" s="100">
        <f>IFERROR(VLOOKUP(B1,RegistrodeSalidas!B2:FK1048576,44,0),"")</f>
        <v>0</v>
      </c>
      <c r="G18" s="100">
        <f>IFERROR(VLOOKUP(B1,RegistrodeSalidas!B2:FK1048576,45,0),"")</f>
        <v>0</v>
      </c>
      <c r="H18" s="100">
        <f>IFERROR(VLOOKUP(B1,RegistrodeSalidas!B2:FK1048576,46,0),"")</f>
        <v>0</v>
      </c>
    </row>
    <row r="19" spans="1:8" x14ac:dyDescent="0.25">
      <c r="A19" s="100">
        <f>IFERROR(VLOOKUP(B1,RegistrodeSalidas!B2:FK1048576,47,0),"")</f>
        <v>0</v>
      </c>
      <c r="B19" s="100">
        <f>IFERROR(VLOOKUP(B1,RegistrodeSalidas!B2:FK1048576,48,0),"")</f>
        <v>0</v>
      </c>
      <c r="C19" s="100">
        <f>IFERROR(VLOOKUP(B1,RegistrodeSalidas!B2:FK1048576,49,0),"")</f>
        <v>0</v>
      </c>
      <c r="D19" s="100">
        <f>IFERROR(VLOOKUP(B1,RegistrodeSalidas!B2:FK1048576,50,0),"")</f>
        <v>0</v>
      </c>
      <c r="E19" s="100">
        <f>IFERROR(VLOOKUP(B1,RegistrodeSalidas!B2:FK1048576,51,0),"")</f>
        <v>0</v>
      </c>
      <c r="F19" s="100">
        <f>IFERROR(VLOOKUP(B1,RegistrodeSalidas!B2:FK1048576,52,0),"")</f>
        <v>0</v>
      </c>
      <c r="G19" s="100">
        <f>IFERROR(VLOOKUP(B1,RegistrodeSalidas!B2:FK1048576,53,0),"")</f>
        <v>0</v>
      </c>
      <c r="H19" s="100">
        <f>IFERROR(VLOOKUP(B1,RegistrodeSalidas!B2:FK1048576,54,0),"")</f>
        <v>0</v>
      </c>
    </row>
    <row r="20" spans="1:8" x14ac:dyDescent="0.25">
      <c r="A20" s="100">
        <f>IFERROR(VLOOKUP(B1,RegistrodeSalidas!B2:FK1048576,55,0),"")</f>
        <v>0</v>
      </c>
      <c r="B20" s="100">
        <f>IFERROR(VLOOKUP(B1,RegistrodeSalidas!B2:FK1048576,56,0),"")</f>
        <v>0</v>
      </c>
      <c r="C20" s="100">
        <f>IFERROR(VLOOKUP(B1,RegistrodeSalidas!B2:FK1048576,57,0),"")</f>
        <v>0</v>
      </c>
      <c r="D20" s="100">
        <f>IFERROR(VLOOKUP(B1,RegistrodeSalidas!B2:FK1048576,58,0),"")</f>
        <v>0</v>
      </c>
      <c r="E20" s="100">
        <f>IFERROR(VLOOKUP(B1,RegistrodeSalidas!B2:FK1048576,59,0),"")</f>
        <v>0</v>
      </c>
      <c r="F20" s="100">
        <f>IFERROR(VLOOKUP(B1,RegistrodeSalidas!B2:FK1048576,60,0),"")</f>
        <v>0</v>
      </c>
      <c r="G20" s="100">
        <f>IFERROR(VLOOKUP(B1,RegistrodeSalidas!B2:FK1048576,61,0),"")</f>
        <v>0</v>
      </c>
      <c r="H20" s="100">
        <f>IFERROR(VLOOKUP(B1,RegistrodeSalidas!B2:FK1048576,62,0),"")</f>
        <v>0</v>
      </c>
    </row>
    <row r="21" spans="1:8" x14ac:dyDescent="0.25">
      <c r="A21" s="100">
        <f>IFERROR(VLOOKUP(B1,RegistrodeSalidas!B2:FK1048576,63,0),"")</f>
        <v>0</v>
      </c>
      <c r="B21" s="100">
        <f>IFERROR(VLOOKUP(B1,RegistrodeSalidas!B2:FK1048576,64,0),"")</f>
        <v>0</v>
      </c>
      <c r="C21" s="100">
        <f>IFERROR(VLOOKUP(B1,RegistrodeSalidas!B2:FK1048576,65,0),"")</f>
        <v>0</v>
      </c>
      <c r="D21" s="100">
        <f>IFERROR(VLOOKUP(B1,RegistrodeSalidas!B2:FK1048576,66,0),"")</f>
        <v>0</v>
      </c>
      <c r="E21" s="100">
        <f>IFERROR(VLOOKUP(B1,RegistrodeSalidas!B2:FK1048576,67,0),"")</f>
        <v>0</v>
      </c>
      <c r="F21" s="100">
        <f>IFERROR(VLOOKUP(B1,RegistrodeSalidas!B2:FK1048576,68,0),"")</f>
        <v>0</v>
      </c>
      <c r="G21" s="100">
        <f>IFERROR(VLOOKUP(B1,RegistrodeSalidas!B2:FK1048576,69,0),"")</f>
        <v>0</v>
      </c>
      <c r="H21" s="100">
        <f>IFERROR(VLOOKUP(B1,RegistrodeSalidas!B2:FK1048576,70,0),"")</f>
        <v>0</v>
      </c>
    </row>
    <row r="22" spans="1:8" x14ac:dyDescent="0.25">
      <c r="A22" s="100">
        <f>IFERROR(VLOOKUP(B1,RegistrodeSalidas!B2:FK1048576,71,0),"")</f>
        <v>0</v>
      </c>
      <c r="B22" s="100">
        <f>IFERROR(VLOOKUP(B1,RegistrodeSalidas!B2:FK1048576,72,0),"")</f>
        <v>0</v>
      </c>
      <c r="C22" s="100">
        <f>IFERROR(VLOOKUP(B1,RegistrodeSalidas!B2:FK1048576,73,0),"")</f>
        <v>0</v>
      </c>
      <c r="D22" s="100">
        <f>IFERROR(VLOOKUP(B1,RegistrodeSalidas!B2:FK1048576,74,0),"")</f>
        <v>0</v>
      </c>
      <c r="E22" s="100">
        <f>IFERROR(VLOOKUP(B1,RegistrodeSalidas!B2:FK1048576,75,0),"")</f>
        <v>0</v>
      </c>
      <c r="F22" s="100">
        <f>IFERROR(VLOOKUP(B1,RegistrodeSalidas!B2:FK1048576,76,0),"")</f>
        <v>0</v>
      </c>
      <c r="G22" s="100">
        <f>IFERROR(VLOOKUP(B1,RegistrodeSalidas!B2:FK1048576,77,0),"")</f>
        <v>0</v>
      </c>
      <c r="H22" s="100">
        <f>IFERROR(VLOOKUP(B1,RegistrodeSalidas!B2:FK1048576,78,0),"")</f>
        <v>0</v>
      </c>
    </row>
    <row r="23" spans="1:8" x14ac:dyDescent="0.25">
      <c r="A23" s="100">
        <f>IFERROR(VLOOKUP(B1,RegistrodeSalidas!B2:FK1048576,79,0),"")</f>
        <v>0</v>
      </c>
      <c r="B23" s="100">
        <f>IFERROR(VLOOKUP(B1,RegistrodeSalidas!B2:FK1048576,80,0),"")</f>
        <v>0</v>
      </c>
      <c r="C23" s="100">
        <f>IFERROR(VLOOKUP(B1,RegistrodeSalidas!B2:FK1048576,81,0),"")</f>
        <v>0</v>
      </c>
      <c r="D23" s="100">
        <f>IFERROR(VLOOKUP(B1,RegistrodeSalidas!B2:FK1048576,82,0),"")</f>
        <v>0</v>
      </c>
      <c r="E23" s="100">
        <f>IFERROR(VLOOKUP(B1,RegistrodeSalidas!B2:FK1048576,83,0),"")</f>
        <v>0</v>
      </c>
      <c r="F23" s="100">
        <f>IFERROR(VLOOKUP(B1,RegistrodeSalidas!B2:FK1048576,84,0),"")</f>
        <v>0</v>
      </c>
      <c r="G23" s="100">
        <f>IFERROR(VLOOKUP(B1,RegistrodeSalidas!B2:FK1048576,85,0),"")</f>
        <v>0</v>
      </c>
      <c r="H23" s="100">
        <f>IFERROR(VLOOKUP(B1,RegistrodeSalidas!B2:FK1048576,86,0),"")</f>
        <v>0</v>
      </c>
    </row>
    <row r="24" spans="1:8" x14ac:dyDescent="0.25">
      <c r="A24" s="100">
        <f>IFERROR(VLOOKUP(B1,RegistrodeSalidas!B2:FK1048576,87,0),"")</f>
        <v>0</v>
      </c>
      <c r="B24" s="100">
        <f>IFERROR(VLOOKUP(B1,RegistrodeSalidas!B2:FK1048576,88,0),"")</f>
        <v>0</v>
      </c>
      <c r="C24" s="100">
        <f>IFERROR(VLOOKUP(B1,RegistrodeSalidas!B2:FK1048576,89,0),"")</f>
        <v>0</v>
      </c>
      <c r="D24" s="100">
        <f>IFERROR(VLOOKUP(B1,RegistrodeSalidas!B2:FK1048576,90,0),"")</f>
        <v>0</v>
      </c>
      <c r="E24" s="100">
        <f>IFERROR(VLOOKUP(B1,RegistrodeSalidas!B2:FK1048576,91,0),"")</f>
        <v>0</v>
      </c>
      <c r="F24" s="100">
        <f>IFERROR(VLOOKUP(B1,RegistrodeSalidas!B2:FK1048576,92,0),"")</f>
        <v>0</v>
      </c>
      <c r="G24" s="100">
        <f>IFERROR(VLOOKUP(B1,RegistrodeSalidas!B2:FK1048576,93,0),"")</f>
        <v>0</v>
      </c>
      <c r="H24" s="100">
        <f>IFERROR(VLOOKUP(B1,RegistrodeSalidas!B2:FK1048576,94,0),"")</f>
        <v>0</v>
      </c>
    </row>
    <row r="25" spans="1:8" x14ac:dyDescent="0.25">
      <c r="A25" s="100">
        <f>IFERROR(VLOOKUP(B1,RegistrodeSalidas!B2:FK1048576,95,0),"")</f>
        <v>0</v>
      </c>
      <c r="B25" s="100">
        <f>IFERROR(VLOOKUP(B1,RegistrodeSalidas!B2:FK1048576,96,0),"")</f>
        <v>0</v>
      </c>
      <c r="C25" s="100">
        <f>IFERROR(VLOOKUP(B1,RegistrodeSalidas!B2:FK1048576,97,0),"")</f>
        <v>0</v>
      </c>
      <c r="D25" s="100">
        <f>IFERROR(VLOOKUP(B1,RegistrodeSalidas!B2:FK1048576,98,0),"")</f>
        <v>0</v>
      </c>
      <c r="E25" s="100">
        <f>IFERROR(VLOOKUP(B1,RegistrodeSalidas!B2:FK1048576,99,0),"")</f>
        <v>0</v>
      </c>
      <c r="F25" s="100">
        <f>IFERROR(VLOOKUP(B1,RegistrodeSalidas!B2:FK1048576,100,0),"")</f>
        <v>0</v>
      </c>
      <c r="G25" s="100">
        <f>IFERROR(VLOOKUP(B1,RegistrodeSalidas!B2:FK1048576,101,0),"")</f>
        <v>0</v>
      </c>
      <c r="H25" s="100">
        <f>IFERROR(VLOOKUP(B1,RegistrodeSalidas!B2:FK1048576,102,0),"")</f>
        <v>0</v>
      </c>
    </row>
    <row r="26" spans="1:8" x14ac:dyDescent="0.25">
      <c r="A26" s="100">
        <f>IFERROR(VLOOKUP(B1,RegistrodeSalidas!B2:FK1048576,103,0),"")</f>
        <v>0</v>
      </c>
      <c r="B26" s="100">
        <f>IFERROR(VLOOKUP(B1,RegistrodeSalidas!B2:FK1048576,104,0),"")</f>
        <v>0</v>
      </c>
      <c r="C26" s="100">
        <f>IFERROR(VLOOKUP(B1,RegistrodeSalidas!B2:FK1048576,105,0),"")</f>
        <v>0</v>
      </c>
      <c r="D26" s="100">
        <f>IFERROR(VLOOKUP(B1,RegistrodeSalidas!B2:FK1048576,106,0),"")</f>
        <v>0</v>
      </c>
      <c r="E26" s="100">
        <f>IFERROR(VLOOKUP(B1,RegistrodeSalidas!B2:FK1048576,107,0),"")</f>
        <v>0</v>
      </c>
      <c r="F26" s="100">
        <f>IFERROR(VLOOKUP(B1,RegistrodeSalidas!B2:FK1048576,108,0),"")</f>
        <v>0</v>
      </c>
      <c r="G26" s="100">
        <f>IFERROR(VLOOKUP(B1,RegistrodeSalidas!B2:FK1048576,109,0),"")</f>
        <v>0</v>
      </c>
      <c r="H26" s="100">
        <f>IFERROR(VLOOKUP(B1,RegistrodeSalidas!B2:FK1048576,110,0),"")</f>
        <v>0</v>
      </c>
    </row>
    <row r="27" spans="1:8" x14ac:dyDescent="0.25">
      <c r="A27" s="100">
        <f>IFERROR(VLOOKUP(B1,RegistrodeSalidas!B2:FK1048576,111,0),"")</f>
        <v>0</v>
      </c>
      <c r="B27" s="100">
        <f>IFERROR(VLOOKUP(B1,RegistrodeSalidas!B2:FK1048576,112,0),"")</f>
        <v>0</v>
      </c>
      <c r="C27" s="100">
        <f>IFERROR(VLOOKUP(B1,RegistrodeSalidas!B2:FK1048576,113,0),"")</f>
        <v>0</v>
      </c>
      <c r="D27" s="100">
        <f>IFERROR(VLOOKUP(B1,RegistrodeSalidas!B2:FK1048576,114,0),"")</f>
        <v>0</v>
      </c>
      <c r="E27" s="100">
        <f>IFERROR(VLOOKUP(B1,RegistrodeSalidas!B2:FK1048576,115,0),"")</f>
        <v>0</v>
      </c>
      <c r="F27" s="100">
        <f>IFERROR(VLOOKUP(B1,RegistrodeSalidas!B2:FK1048576,116,0),"")</f>
        <v>0</v>
      </c>
      <c r="G27" s="100">
        <f>IFERROR(VLOOKUP(B1,RegistrodeSalidas!B2:FK1048576,117,0),"")</f>
        <v>0</v>
      </c>
      <c r="H27" s="100">
        <f>IFERROR(VLOOKUP(B1,RegistrodeSalidas!B2:FK1048576,118,0),"")</f>
        <v>0</v>
      </c>
    </row>
    <row r="28" spans="1:8" x14ac:dyDescent="0.25">
      <c r="A28" s="100">
        <f>IFERROR(VLOOKUP(B1,RegistrodeSalidas!B2:FK1048576,119,0),"")</f>
        <v>0</v>
      </c>
      <c r="B28" s="100">
        <f>IFERROR(VLOOKUP(B1,RegistrodeSalidas!B2:FK1048576,120,0),"")</f>
        <v>0</v>
      </c>
      <c r="C28" s="100">
        <f>IFERROR(VLOOKUP(B1,RegistrodeSalidas!B2:FK1048576,121,0),"")</f>
        <v>0</v>
      </c>
      <c r="D28" s="100">
        <f>IFERROR(VLOOKUP(B1,RegistrodeSalidas!B2:FK1048576,122,0),"")</f>
        <v>0</v>
      </c>
      <c r="E28" s="100">
        <f>IFERROR(VLOOKUP(B1,RegistrodeSalidas!B2:FK1048576,123,0),"")</f>
        <v>0</v>
      </c>
      <c r="F28" s="100">
        <f>IFERROR(VLOOKUP(B1,RegistrodeSalidas!B2:FK1048576,124,0),"")</f>
        <v>0</v>
      </c>
      <c r="G28" s="100">
        <f>IFERROR(VLOOKUP(B1,RegistrodeSalidas!B2:FK1048576,125,0),"")</f>
        <v>0</v>
      </c>
      <c r="H28" s="100">
        <f>IFERROR(VLOOKUP(B1,RegistrodeSalidas!B2:FK1048576,126,0),"")</f>
        <v>0</v>
      </c>
    </row>
    <row r="29" spans="1:8" x14ac:dyDescent="0.25">
      <c r="A29" s="100">
        <f>IFERROR(VLOOKUP(B1,RegistrodeSalidas!B2:FK1048576,127,0),"")</f>
        <v>0</v>
      </c>
      <c r="B29" s="100">
        <f>IFERROR(VLOOKUP(B1,RegistrodeSalidas!B2:FK1048576,128,0),"")</f>
        <v>0</v>
      </c>
      <c r="C29" s="100">
        <f>IFERROR(VLOOKUP(B1,RegistrodeSalidas!B2:FK1048576,129,0),"")</f>
        <v>0</v>
      </c>
      <c r="D29" s="100">
        <f>IFERROR(VLOOKUP(B1,RegistrodeSalidas!B2:FK1048576,130,0),"")</f>
        <v>0</v>
      </c>
      <c r="E29" s="100">
        <f>IFERROR(VLOOKUP(B1,RegistrodeSalidas!B2:FK1048576,131,0),"")</f>
        <v>0</v>
      </c>
      <c r="F29" s="100">
        <f>IFERROR(VLOOKUP(B1,RegistrodeSalidas!B2:FK1048576,132,0),"")</f>
        <v>0</v>
      </c>
      <c r="G29" s="100">
        <f>IFERROR(VLOOKUP(B1,RegistrodeSalidas!B2:FK1048576,133,0),"")</f>
        <v>0</v>
      </c>
      <c r="H29" s="100">
        <f>IFERROR(VLOOKUP(B1,RegistrodeSalidas!B2:FK1048576,134,0),"")</f>
        <v>0</v>
      </c>
    </row>
    <row r="30" spans="1:8" x14ac:dyDescent="0.25">
      <c r="A30" s="100">
        <f>IFERROR(VLOOKUP(B1,RegistrodeSalidas!B2:FK1048576,135,0),"")</f>
        <v>0</v>
      </c>
      <c r="B30" s="100">
        <f>IFERROR(VLOOKUP(B1,RegistrodeSalidas!B2:FK1048576,136,0),"")</f>
        <v>0</v>
      </c>
      <c r="C30" s="100">
        <f>IFERROR(VLOOKUP(B1,RegistrodeSalidas!B2:FK1048576,137,0),"")</f>
        <v>0</v>
      </c>
      <c r="D30" s="100">
        <f>IFERROR(VLOOKUP(B1,RegistrodeSalidas!B2:FK1048576,138,0),"")</f>
        <v>0</v>
      </c>
      <c r="E30" s="100">
        <f>IFERROR(VLOOKUP(B1,RegistrodeSalidas!B2:FK1048576,139,0),"")</f>
        <v>0</v>
      </c>
      <c r="F30" s="100">
        <f>IFERROR(VLOOKUP(B1,RegistrodeSalidas!B2:FK1048576,140,0),"")</f>
        <v>0</v>
      </c>
      <c r="G30" s="100">
        <f>IFERROR(VLOOKUP(B1,RegistrodeSalidas!B2:FK1048576,141,0),"")</f>
        <v>0</v>
      </c>
      <c r="H30" s="100">
        <f>IFERROR(VLOOKUP(B1,RegistrodeSalidas!B2:FK1048576,142,0),"")</f>
        <v>0</v>
      </c>
    </row>
    <row r="31" spans="1:8" x14ac:dyDescent="0.25">
      <c r="A31" s="100">
        <f>IFERROR(VLOOKUP(B1,RegistrodeSalidas!B2:FK1048576,143,0),"")</f>
        <v>0</v>
      </c>
      <c r="B31" s="100">
        <f>IFERROR(VLOOKUP(B1,RegistrodeSalidas!B2:FK1048576,144,0),"")</f>
        <v>0</v>
      </c>
      <c r="C31" s="100">
        <f>IFERROR(VLOOKUP(B1,RegistrodeSalidas!B2:FK1048576,145,0),"")</f>
        <v>0</v>
      </c>
      <c r="D31" s="100">
        <f>IFERROR(VLOOKUP(B1,RegistrodeSalidas!B2:FK1048576,146,0),"")</f>
        <v>0</v>
      </c>
      <c r="E31" s="100">
        <f>IFERROR(VLOOKUP(B1,RegistrodeSalidas!B2:FK1048576,147,0),"")</f>
        <v>0</v>
      </c>
      <c r="F31" s="100">
        <f>IFERROR(VLOOKUP(B1,RegistrodeSalidas!B2:FK1048576,148,0),"")</f>
        <v>0</v>
      </c>
      <c r="G31" s="100">
        <f>IFERROR(VLOOKUP(B1,RegistrodeSalidas!B2:FK1048576,149,0),"")</f>
        <v>0</v>
      </c>
      <c r="H31" s="100">
        <f>IFERROR(VLOOKUP(B1,RegistrodeSalidas!B2:FK1048576,150,0),"")</f>
        <v>0</v>
      </c>
    </row>
    <row r="32" spans="1:8" x14ac:dyDescent="0.25">
      <c r="A32" s="100">
        <f>IFERROR(VLOOKUP(B1,RegistrodeSalidas!B2:FK1048576,151,0),"")</f>
        <v>0</v>
      </c>
      <c r="B32" s="100">
        <f>IFERROR(VLOOKUP(B1,RegistrodeSalidas!B2:FK1048576,152,0),"")</f>
        <v>0</v>
      </c>
      <c r="C32" s="100">
        <f>IFERROR(VLOOKUP(B1,RegistrodeSalidas!B2:FK1048576,153,0),"")</f>
        <v>0</v>
      </c>
      <c r="D32" s="100">
        <f>IFERROR(VLOOKUP(B1,RegistrodeSalidas!B2:FK1048576,154,0),"")</f>
        <v>0</v>
      </c>
      <c r="E32" s="100">
        <f>IFERROR(VLOOKUP(B1,RegistrodeSalidas!B2:FK1048576,155,0),"")</f>
        <v>0</v>
      </c>
      <c r="F32" s="100">
        <f>IFERROR(VLOOKUP(B1,RegistrodeSalidas!B2:FK1048576,156,0),"")</f>
        <v>0</v>
      </c>
      <c r="G32" s="100">
        <f>IFERROR(VLOOKUP(B1,RegistrodeSalidas!B2:FK1048576,157,0),"")</f>
        <v>0</v>
      </c>
      <c r="H32" s="100">
        <f>IFERROR(VLOOKUP(B1,RegistrodeSalidas!B2:FK1048576,158,0),"")</f>
        <v>0</v>
      </c>
    </row>
    <row r="33" spans="1:8" x14ac:dyDescent="0.25">
      <c r="A33" s="100">
        <f>IFERROR(VLOOKUP(B1,RegistrodeSalidas!B2:FK1048576,159,0),"")</f>
        <v>0</v>
      </c>
      <c r="B33" s="100">
        <f>IFERROR(VLOOKUP(B1,RegistrodeSalidas!B2:FK1048576,160,0),"")</f>
        <v>0</v>
      </c>
      <c r="C33" s="100">
        <f>IFERROR(VLOOKUP(B1,RegistrodeSalidas!B2:FK1048576,161,0),"")</f>
        <v>0</v>
      </c>
      <c r="D33" s="100">
        <f>IFERROR(VLOOKUP(B1,RegistrodeSalidas!B2:FK1048576,162,0),"")</f>
        <v>0</v>
      </c>
      <c r="E33" s="100">
        <f>IFERROR(VLOOKUP(B1,RegistrodeSalidas!B2:FK1048576,163,0),"")</f>
        <v>0</v>
      </c>
      <c r="F33" s="100">
        <f>IFERROR(VLOOKUP(B1,RegistrodeSalidas!B2:FK1048576,164,0),"")</f>
        <v>0</v>
      </c>
      <c r="G33" s="100">
        <f>IFERROR(VLOOKUP(B1,RegistrodeSalidas!B2:FK1048576,165,0),"")</f>
        <v>0</v>
      </c>
      <c r="H33" s="100">
        <f>IFERROR(VLOOKUP(B1,RegistrodeSalidas!B2:FK1048576,166,0),"")</f>
        <v>0</v>
      </c>
    </row>
    <row r="36" spans="1:8" x14ac:dyDescent="0.25">
      <c r="A36" s="109" t="s">
        <v>216</v>
      </c>
      <c r="B36" s="110"/>
      <c r="C36" s="110"/>
      <c r="D36" s="110"/>
      <c r="E36" s="110"/>
      <c r="F36" s="110"/>
      <c r="G36" s="110"/>
      <c r="H36" s="111"/>
    </row>
    <row r="37" spans="1:8" x14ac:dyDescent="0.25">
      <c r="A37" s="112">
        <f>IFERROR(VLOOKUP(B1,RegistrodeSalidas!B2:FN1048576,169,0),"")</f>
        <v>0</v>
      </c>
      <c r="B37" s="113"/>
      <c r="C37" s="113"/>
      <c r="D37" s="113"/>
      <c r="E37" s="113"/>
      <c r="F37" s="113"/>
      <c r="G37" s="113"/>
      <c r="H37" s="114"/>
    </row>
    <row r="38" spans="1:8" x14ac:dyDescent="0.25">
      <c r="A38" s="112"/>
      <c r="B38" s="113"/>
      <c r="C38" s="113"/>
      <c r="D38" s="113"/>
      <c r="E38" s="113"/>
      <c r="F38" s="113"/>
      <c r="G38" s="113"/>
      <c r="H38" s="114"/>
    </row>
    <row r="39" spans="1:8" x14ac:dyDescent="0.25">
      <c r="A39" s="112"/>
      <c r="B39" s="113"/>
      <c r="C39" s="113"/>
      <c r="D39" s="113"/>
      <c r="E39" s="113"/>
      <c r="F39" s="113"/>
      <c r="G39" s="113"/>
      <c r="H39" s="114"/>
    </row>
    <row r="40" spans="1:8" x14ac:dyDescent="0.25">
      <c r="A40" s="112"/>
      <c r="B40" s="113"/>
      <c r="C40" s="113"/>
      <c r="D40" s="113"/>
      <c r="E40" s="113"/>
      <c r="F40" s="113"/>
      <c r="G40" s="113"/>
      <c r="H40" s="114"/>
    </row>
    <row r="41" spans="1:8" x14ac:dyDescent="0.25">
      <c r="A41" s="115"/>
      <c r="B41" s="116"/>
      <c r="C41" s="116"/>
      <c r="D41" s="116"/>
      <c r="E41" s="116"/>
      <c r="F41" s="116"/>
      <c r="G41" s="116"/>
      <c r="H41" s="117"/>
    </row>
  </sheetData>
  <sheetProtection algorithmName="SHA-512" hashValue="vNsPygaUT0HQOQfZn9JcoxxdShDJln6RNisK71tSfZbXuKENib10K90jDVrfJoG1fPiWtZwHxNBiPwkIRvy8eQ==" saltValue="pkcrYc9FDEr2dK81ge0wmQ==" spinCount="100000" sheet="1" objects="1" scenarios="1"/>
  <mergeCells count="14">
    <mergeCell ref="B7:C7"/>
    <mergeCell ref="D7:E7"/>
    <mergeCell ref="A10:B10"/>
    <mergeCell ref="C10:H10"/>
    <mergeCell ref="A11:B11"/>
    <mergeCell ref="C11:H11"/>
    <mergeCell ref="A36:H36"/>
    <mergeCell ref="A37:H41"/>
    <mergeCell ref="A8:B8"/>
    <mergeCell ref="C8:H8"/>
    <mergeCell ref="A9:B9"/>
    <mergeCell ref="C9:H9"/>
    <mergeCell ref="A12:B12"/>
    <mergeCell ref="C12:H12"/>
  </mergeCells>
  <pageMargins left="0.39370078740157483" right="0.39370078740157483" top="0.39370078740157483" bottom="0.39370078740157483" header="0.51181102362204722" footer="0.51181102362204722"/>
  <pageSetup orientation="portrait" horizontalDpi="360" verticalDpi="360" r:id="rId1"/>
  <headerFooter>
    <oddHeader>&amp;C
&amp;G</oddHeader>
  </headerFooter>
  <drawing r:id="rId2"/>
  <legacyDrawingHF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4" tint="-0.249977111117893"/>
  </sheetPr>
  <dimension ref="A1:H90"/>
  <sheetViews>
    <sheetView view="pageLayout" zoomScaleNormal="100" workbookViewId="0">
      <selection activeCell="F51" sqref="F51"/>
    </sheetView>
  </sheetViews>
  <sheetFormatPr baseColWidth="10" defaultRowHeight="15" x14ac:dyDescent="0.25"/>
  <cols>
    <col min="1" max="1" width="10.5703125" customWidth="1"/>
    <col min="2" max="2" width="22.5703125" customWidth="1"/>
    <col min="3" max="3" width="10.5703125" customWidth="1"/>
    <col min="4" max="4" width="10.7109375" customWidth="1"/>
    <col min="5" max="5" width="11.42578125" customWidth="1"/>
    <col min="6" max="6" width="11" customWidth="1"/>
    <col min="7" max="7" width="10.140625" customWidth="1"/>
    <col min="8" max="8" width="11" customWidth="1"/>
  </cols>
  <sheetData>
    <row r="1" spans="1:8" x14ac:dyDescent="0.25">
      <c r="B1" s="62" t="s">
        <v>1158</v>
      </c>
    </row>
    <row r="7" spans="1:8" ht="17.25" customHeight="1" x14ac:dyDescent="0.25">
      <c r="A7" s="57"/>
      <c r="B7" s="121" t="s">
        <v>215</v>
      </c>
      <c r="C7" s="121"/>
      <c r="D7" s="122" t="str">
        <f>B1</f>
        <v>LS 2022 0590</v>
      </c>
      <c r="E7" s="122"/>
      <c r="F7" s="61"/>
      <c r="G7" s="58"/>
      <c r="H7" s="59"/>
    </row>
    <row r="8" spans="1:8" ht="16.5" customHeight="1" x14ac:dyDescent="0.25">
      <c r="A8" s="118" t="s">
        <v>193</v>
      </c>
      <c r="B8" s="118"/>
      <c r="C8" s="119" t="str">
        <f>IFERROR(VLOOKUP(B1,LISTASDESALIDA!B2:FK1048576,2,0),"")</f>
        <v>HERMOSILLO 2</v>
      </c>
      <c r="D8" s="119"/>
      <c r="E8" s="119"/>
      <c r="F8" s="119"/>
      <c r="G8" s="119"/>
      <c r="H8" s="119"/>
    </row>
    <row r="9" spans="1:8" x14ac:dyDescent="0.25">
      <c r="A9" s="118" t="s">
        <v>194</v>
      </c>
      <c r="B9" s="118"/>
      <c r="C9" s="120">
        <f>IFERROR(VLOOKUP(B1,LISTASDESALIDA!B2:FK1048576,3,0),"")</f>
        <v>44845.44327546296</v>
      </c>
      <c r="D9" s="120"/>
      <c r="E9" s="120"/>
      <c r="F9" s="120"/>
      <c r="G9" s="120"/>
      <c r="H9" s="120"/>
    </row>
    <row r="10" spans="1:8" x14ac:dyDescent="0.25">
      <c r="A10" s="118" t="s">
        <v>195</v>
      </c>
      <c r="B10" s="118"/>
      <c r="C10" s="119" t="str">
        <f>IFERROR(VLOOKUP(B1,LISTASDESALIDA!B2:FK1048576,4,0),"")</f>
        <v xml:space="preserve">VICTOR BARBA </v>
      </c>
      <c r="D10" s="119"/>
      <c r="E10" s="119"/>
      <c r="F10" s="119"/>
      <c r="G10" s="119"/>
      <c r="H10" s="119"/>
    </row>
    <row r="11" spans="1:8" x14ac:dyDescent="0.25">
      <c r="A11" s="118" t="s">
        <v>196</v>
      </c>
      <c r="B11" s="118"/>
      <c r="C11" s="119" t="str">
        <f>IFERROR(VLOOKUP(B1,LISTASDESALIDA!B2:FK1048576,5,0),"")</f>
        <v xml:space="preserve">VICTOR BARBA </v>
      </c>
      <c r="D11" s="119"/>
      <c r="E11" s="119"/>
      <c r="F11" s="119"/>
      <c r="G11" s="119"/>
      <c r="H11" s="119"/>
    </row>
    <row r="12" spans="1:8" x14ac:dyDescent="0.25">
      <c r="A12" s="118" t="s">
        <v>197</v>
      </c>
      <c r="B12" s="118"/>
      <c r="C12" s="119" t="str">
        <f>IFERROR(VLOOKUP(B1,LISTASDESALIDA!B2:FK1048576,6,0),"")</f>
        <v xml:space="preserve">ROCIO HERNANDEZ </v>
      </c>
      <c r="D12" s="119"/>
      <c r="E12" s="119"/>
      <c r="F12" s="119"/>
      <c r="G12" s="119"/>
      <c r="H12" s="119"/>
    </row>
    <row r="13" spans="1:8" x14ac:dyDescent="0.25">
      <c r="A13" s="101" t="s">
        <v>198</v>
      </c>
      <c r="B13" s="101" t="s">
        <v>34</v>
      </c>
      <c r="C13" s="101" t="s">
        <v>4</v>
      </c>
      <c r="D13" s="101" t="s">
        <v>23</v>
      </c>
      <c r="E13" s="101" t="s">
        <v>35</v>
      </c>
      <c r="F13" s="101" t="s">
        <v>36</v>
      </c>
      <c r="G13" s="101" t="s">
        <v>212</v>
      </c>
      <c r="H13" s="101" t="s">
        <v>37</v>
      </c>
    </row>
    <row r="14" spans="1:8" x14ac:dyDescent="0.25">
      <c r="A14" s="100" t="str">
        <f>IFERROR(VLOOKUP(B1,LISTASDESALIDA!B2:FK1048576,7,0),"")</f>
        <v>VD-CCT10</v>
      </c>
      <c r="B14" s="100" t="str">
        <f>IFERROR(VLOOKUP(B1,LISTASDESALIDA!B2:FK1048576,8,0),"")</f>
        <v>CRISTAL CLARO TEMPLADO DE 10mm</v>
      </c>
      <c r="C14" s="100" t="str">
        <f>IFERROR(VLOOKUP(B1,LISTASDESALIDA!B2:FK1048576,9,0),"")</f>
        <v>PIEZA</v>
      </c>
      <c r="D14" s="100">
        <f>IFERROR(VLOOKUP(B1,LISTASDESALIDA!B2:FK1048576,10,0),"")</f>
        <v>24</v>
      </c>
      <c r="E14" s="100">
        <f>IFERROR(VLOOKUP(B1,LISTASDESALIDA!B2:FK1048576,11,0),"")</f>
        <v>750</v>
      </c>
      <c r="F14" s="100">
        <f>IFERROR(VLOOKUP(B1,LISTASDESALIDA!B2:FK1048576,12,0),"")</f>
        <v>2150</v>
      </c>
      <c r="G14" s="100" t="str">
        <f>IFERROR(VLOOKUP(B1,LISTASDESALIDA!B2:FK1048576,13,0),"")</f>
        <v>ALMACEN</v>
      </c>
      <c r="H14" s="100">
        <f>IFERROR(VLOOKUP(B1,LISTASDESALIDA!B2:FK1048576,14,0),"")</f>
        <v>0</v>
      </c>
    </row>
    <row r="15" spans="1:8" x14ac:dyDescent="0.25">
      <c r="A15" s="100" t="str">
        <f>IFERROR(VLOOKUP(B1,LISTASDESALIDA!B2:FK1048576,15,0),"")</f>
        <v>DRGR1</v>
      </c>
      <c r="B15" s="100" t="str">
        <f>IFERROR(VLOOKUP(B1,LISTASDESALIDA!B2:FK1048576,16,0),"")</f>
        <v>DURETAN GRIS</v>
      </c>
      <c r="C15" s="100" t="str">
        <f>IFERROR(VLOOKUP(B1,LISTASDESALIDA!B2:FK1048576,17,0),"")</f>
        <v>PIEZA</v>
      </c>
      <c r="D15" s="100">
        <f>IFERROR(VLOOKUP(B1,LISTASDESALIDA!B2:FK1048576,18,0),"")</f>
        <v>2</v>
      </c>
      <c r="E15" s="100">
        <f>IFERROR(VLOOKUP(B1,LISTASDESALIDA!B2:FK1048576,19,0),"")</f>
        <v>0</v>
      </c>
      <c r="F15" s="100">
        <f>IFERROR(VLOOKUP(B1,LISTASDESALIDA!B2:FK1048576,20,0),"")</f>
        <v>0</v>
      </c>
      <c r="G15" s="100" t="str">
        <f>IFERROR(VLOOKUP(B1,LISTASDESALIDA!B2:FK1048576,21,0),"")</f>
        <v>FALTA 1</v>
      </c>
      <c r="H15" s="100">
        <f>IFERROR(VLOOKUP(B1,LISTASDESALIDA!B2:FK1048576,22,0),"")</f>
        <v>0</v>
      </c>
    </row>
    <row r="16" spans="1:8" x14ac:dyDescent="0.25">
      <c r="A16" s="100" t="str">
        <f>IFERROR(VLOOKUP(B1,LISTASDESALIDA!B2:FK1048576,23,0),"")</f>
        <v>FELNAGR</v>
      </c>
      <c r="B16" s="100" t="str">
        <f>IFERROR(VLOOKUP(B1,LISTASDESALIDA!B2:FK1048576,24,0),"")</f>
        <v xml:space="preserve">FELPA NACIONAL GRIS </v>
      </c>
      <c r="C16" s="100" t="str">
        <f>IFERROR(VLOOKUP(B1,LISTASDESALIDA!B2:FK1048576,25,0),"")</f>
        <v>MTS</v>
      </c>
      <c r="D16" s="100">
        <f>IFERROR(VLOOKUP(B1,LISTASDESALIDA!B2:FK1048576,26,0),"")</f>
        <v>288</v>
      </c>
      <c r="E16" s="100">
        <f>IFERROR(VLOOKUP(B1,LISTASDESALIDA!B2:FK1048576,27,0),"")</f>
        <v>0</v>
      </c>
      <c r="F16" s="100">
        <f>IFERROR(VLOOKUP(B1,LISTASDESALIDA!B2:FK1048576,28,0),"")</f>
        <v>0</v>
      </c>
      <c r="G16" s="100" t="str">
        <f>IFERROR(VLOOKUP(B1,LISTASDESALIDA!B2:FK1048576,29,0),"")</f>
        <v xml:space="preserve">ALMACEN </v>
      </c>
      <c r="H16" s="100" t="str">
        <f>IFERROR(VLOOKUP(B1,LISTASDESALIDA!B2:FK1048576,30,0),"")</f>
        <v xml:space="preserve">ALMACEN </v>
      </c>
    </row>
    <row r="17" spans="1:8" x14ac:dyDescent="0.25">
      <c r="A17" s="100" t="str">
        <f>IFERROR(VLOOKUP(B1,LISTASDESALIDA!B2:FK1048576,31,0),"")</f>
        <v>LB3X21</v>
      </c>
      <c r="B17" s="100" t="str">
        <f>IFERROR(VLOOKUP(B1,LISTASDESALIDA!B2:FK1048576,32,0),"")</f>
        <v>LIJA DE BANDA DE 3X21" DE GRANO 400</v>
      </c>
      <c r="C17" s="100" t="str">
        <f>IFERROR(VLOOKUP(B1,LISTASDESALIDA!B2:FK1048576,33,0),"")</f>
        <v>PIEZA</v>
      </c>
      <c r="D17" s="100">
        <f>IFERROR(VLOOKUP(B1,LISTASDESALIDA!B2:FK1048576,34,0),"")</f>
        <v>5</v>
      </c>
      <c r="E17" s="100">
        <f>IFERROR(VLOOKUP(B1,LISTASDESALIDA!B2:FK1048576,35,0),"")</f>
        <v>0</v>
      </c>
      <c r="F17" s="100">
        <f>IFERROR(VLOOKUP(B1,LISTASDESALIDA!B2:FK1048576,36,0),"")</f>
        <v>0</v>
      </c>
      <c r="G17" s="100" t="str">
        <f>IFERROR(VLOOKUP(B1,LISTASDESALIDA!B2:FK1048576,37,0),"")</f>
        <v xml:space="preserve">PASAR A COMPRAR </v>
      </c>
      <c r="H17" s="100">
        <f>IFERROR(VLOOKUP(B1,LISTASDESALIDA!B2:FK1048576,38,0),"")</f>
        <v>0</v>
      </c>
    </row>
    <row r="18" spans="1:8" x14ac:dyDescent="0.25">
      <c r="A18" s="100" t="str">
        <f>IFERROR(VLOOKUP(B1,LISTASDESALIDA!B2:FK1048576,39,0),"")</f>
        <v>PIRO/CA</v>
      </c>
      <c r="B18" s="100" t="str">
        <f>IFERROR(VLOOKUP(B1,LISTASDESALIDA!B2:FK1048576,40,0),"")</f>
        <v xml:space="preserve">PIEDRA ROSA/CAFE PARA PULIR ALUMINIO </v>
      </c>
      <c r="C18" s="100" t="str">
        <f>IFERROR(VLOOKUP(B1,LISTASDESALIDA!B2:FK1048576,41,0),"")</f>
        <v>PIEZA</v>
      </c>
      <c r="D18" s="100">
        <f>IFERROR(VLOOKUP(B1,LISTASDESALIDA!B2:FK1048576,42,0),"")</f>
        <v>1</v>
      </c>
      <c r="E18" s="100">
        <f>IFERROR(VLOOKUP(B1,LISTASDESALIDA!B2:FK1048576,43,0),"")</f>
        <v>0</v>
      </c>
      <c r="F18" s="100">
        <f>IFERROR(VLOOKUP(B1,LISTASDESALIDA!B2:FK1048576,44,0),"")</f>
        <v>0</v>
      </c>
      <c r="G18" s="100" t="str">
        <f>IFERROR(VLOOKUP(B1,LISTASDESALIDA!B2:FK1048576,45,0),"")</f>
        <v xml:space="preserve">COMPRAR </v>
      </c>
      <c r="H18" s="100">
        <f>IFERROR(VLOOKUP(B1,LISTASDESALIDA!B2:FK1048576,46,0),"")</f>
        <v>0</v>
      </c>
    </row>
    <row r="19" spans="1:8" x14ac:dyDescent="0.25">
      <c r="A19" s="100" t="str">
        <f>IFERROR(VLOOKUP(B1,LISTASDESALIDA!B2:FK1048576,47,0),"")</f>
        <v>DS</v>
      </c>
      <c r="B19" s="100" t="str">
        <f>IFERROR(VLOOKUP(B1,LISTASDESALIDA!B2:FK1048576,48,0),"")</f>
        <v>DIESEL</v>
      </c>
      <c r="C19" s="100" t="str">
        <f>IFERROR(VLOOKUP(B1,LISTASDESALIDA!B2:FK1048576,49,0),"")</f>
        <v>LTS</v>
      </c>
      <c r="D19" s="100">
        <f>IFERROR(VLOOKUP(B1,LISTASDESALIDA!B2:FK1048576,50,0),"")</f>
        <v>5</v>
      </c>
      <c r="E19" s="100">
        <f>IFERROR(VLOOKUP(B1,LISTASDESALIDA!B2:FK1048576,51,0),"")</f>
        <v>0</v>
      </c>
      <c r="F19" s="100" t="str">
        <f>IFERROR(VLOOKUP(B1,LISTASDESALIDA!B2:FK1048576,52,0),"")</f>
        <v>COMPRAR</v>
      </c>
      <c r="G19" s="100" t="str">
        <f>IFERROR(VLOOKUP(B1,LISTASDESALIDA!B2:FK1048576,53,0),"")</f>
        <v>ALMACEN</v>
      </c>
      <c r="H19" s="100">
        <f>IFERROR(VLOOKUP(B1,LISTASDESALIDA!B2:FK1048576,54,0),"")</f>
        <v>0</v>
      </c>
    </row>
    <row r="20" spans="1:8" x14ac:dyDescent="0.25">
      <c r="A20" s="100" t="str">
        <f>IFERROR(VLOOKUP(B1,LISTASDESALIDA!B2:FK1048576,55,0),"")</f>
        <v>1480SA</v>
      </c>
      <c r="B20" s="100" t="str">
        <f>IFERROR(VLOOKUP(B1,LISTASDESALIDA!B2:FK1048576,56,0),"")</f>
        <v>CONECTOR MURO-CRISTAL SATIN</v>
      </c>
      <c r="C20" s="100" t="str">
        <f>IFERROR(VLOOKUP(B1,LISTASDESALIDA!B2:FK1048576,57,0),"")</f>
        <v>PIEZA</v>
      </c>
      <c r="D20" s="100">
        <f>IFERROR(VLOOKUP(B1,LISTASDESALIDA!B2:FK1048576,58,0),"")</f>
        <v>96</v>
      </c>
      <c r="E20" s="100">
        <f>IFERROR(VLOOKUP(B1,LISTASDESALIDA!B2:FK1048576,59,0),"")</f>
        <v>0</v>
      </c>
      <c r="F20" s="100">
        <f>IFERROR(VLOOKUP(B1,LISTASDESALIDA!B2:FK1048576,60,0),"")</f>
        <v>0</v>
      </c>
      <c r="G20" s="100" t="str">
        <f>IFERROR(VLOOKUP(B1,LISTASDESALIDA!B2:FK1048576,61,0),"")</f>
        <v xml:space="preserve">ALMACEN </v>
      </c>
      <c r="H20" s="100" t="str">
        <f>IFERROR(VLOOKUP(B1,LISTASDESALIDA!B2:FK1048576,62,0),"")</f>
        <v>RECOGER EN HERRAJES AZTECA</v>
      </c>
    </row>
    <row r="21" spans="1:8" x14ac:dyDescent="0.25">
      <c r="A21" s="100">
        <f>IFERROR(VLOOKUP(B1,LISTASDESALIDA!B2:FK1048576,63,0),"")</f>
        <v>0</v>
      </c>
      <c r="B21" s="100">
        <f>IFERROR(VLOOKUP(B1,LISTASDESALIDA!B2:FK1048576,64,0),"")</f>
        <v>0</v>
      </c>
      <c r="C21" s="100">
        <f>IFERROR(VLOOKUP(B1,LISTASDESALIDA!B2:FK1048576,65,0),"")</f>
        <v>0</v>
      </c>
      <c r="D21" s="100">
        <f>IFERROR(VLOOKUP(B1,LISTASDESALIDA!B2:FK1048576,66,0),"")</f>
        <v>0</v>
      </c>
      <c r="E21" s="100">
        <f>IFERROR(VLOOKUP(B1,LISTASDESALIDA!B2:FK1048576,67,0),"")</f>
        <v>0</v>
      </c>
      <c r="F21" s="100">
        <f>IFERROR(VLOOKUP(B1,LISTASDESALIDA!B2:FK1048576,68,0),"")</f>
        <v>0</v>
      </c>
      <c r="G21" s="100">
        <f>IFERROR(VLOOKUP(B1,LISTASDESALIDA!B2:FK1048576,69,0),"")</f>
        <v>0</v>
      </c>
      <c r="H21" s="100">
        <f>IFERROR(VLOOKUP(B1,LISTASDESALIDA!B2:FK1048576,70,0),"")</f>
        <v>0</v>
      </c>
    </row>
    <row r="22" spans="1:8" x14ac:dyDescent="0.25">
      <c r="A22" s="100">
        <f>IFERROR(VLOOKUP(B1,LISTASDESALIDA!B2:FK1048576,71,0),"")</f>
        <v>0</v>
      </c>
      <c r="B22" s="100">
        <f>IFERROR(VLOOKUP(B1,LISTASDESALIDA!B2:FK1048576,72,0),"")</f>
        <v>0</v>
      </c>
      <c r="C22" s="100">
        <f>IFERROR(VLOOKUP(B1,LISTASDESALIDA!B2:FK1048576,73,0),"")</f>
        <v>0</v>
      </c>
      <c r="D22" s="100">
        <f>IFERROR(VLOOKUP(B1,LISTASDESALIDA!B2:FK1048576,74,0),"")</f>
        <v>0</v>
      </c>
      <c r="E22" s="100">
        <f>IFERROR(VLOOKUP(B1,LISTASDESALIDA!B2:FK1048576,75,0),"")</f>
        <v>0</v>
      </c>
      <c r="F22" s="100">
        <f>IFERROR(VLOOKUP(B1,LISTASDESALIDA!B2:FK1048576,76,0),"")</f>
        <v>0</v>
      </c>
      <c r="G22" s="100">
        <f>IFERROR(VLOOKUP(B1,LISTASDESALIDA!B2:FK1048576,77,0),"")</f>
        <v>0</v>
      </c>
      <c r="H22" s="100">
        <f>IFERROR(VLOOKUP(B1,LISTASDESALIDA!B2:FK1048576,78,0),"")</f>
        <v>0</v>
      </c>
    </row>
    <row r="23" spans="1:8" x14ac:dyDescent="0.25">
      <c r="A23" s="100">
        <f>IFERROR(VLOOKUP(B1,LISTASDESALIDA!B2:FK1048576,79,0),"")</f>
        <v>0</v>
      </c>
      <c r="B23" s="100">
        <f>IFERROR(VLOOKUP(B1,LISTASDESALIDA!B2:FK1048576,80,0),"")</f>
        <v>0</v>
      </c>
      <c r="C23" s="100">
        <f>IFERROR(VLOOKUP(B1,LISTASDESALIDA!B2:FK1048576,81,0),"")</f>
        <v>0</v>
      </c>
      <c r="D23" s="100">
        <f>IFERROR(VLOOKUP(B1,LISTASDESALIDA!B2:FK1048576,82,0),"")</f>
        <v>0</v>
      </c>
      <c r="E23" s="100">
        <f>IFERROR(VLOOKUP(B1,LISTASDESALIDA!B2:FK1048576,83,0),"")</f>
        <v>0</v>
      </c>
      <c r="F23" s="100">
        <f>IFERROR(VLOOKUP(B1,LISTASDESALIDA!B2:FK1048576,84,0),"")</f>
        <v>0</v>
      </c>
      <c r="G23" s="100">
        <f>IFERROR(VLOOKUP(B1,LISTASDESALIDA!B2:FK1048576,85,0),"")</f>
        <v>0</v>
      </c>
      <c r="H23" s="100">
        <f>IFERROR(VLOOKUP(B1,LISTASDESALIDA!B2:FK1048576,86,0),"")</f>
        <v>0</v>
      </c>
    </row>
    <row r="24" spans="1:8" x14ac:dyDescent="0.25">
      <c r="A24" s="100">
        <f>IFERROR(VLOOKUP(B1,LISTASDESALIDA!B2:FK1048576,87,0),"")</f>
        <v>0</v>
      </c>
      <c r="B24" s="100">
        <f>IFERROR(VLOOKUP(B1,LISTASDESALIDA!B2:FK1048576,88,0),"")</f>
        <v>0</v>
      </c>
      <c r="C24" s="100">
        <f>IFERROR(VLOOKUP(B1,LISTASDESALIDA!B2:FK1048576,89,0),"")</f>
        <v>0</v>
      </c>
      <c r="D24" s="100">
        <f>IFERROR(VLOOKUP(B1,LISTASDESALIDA!B2:FK1048576,90,0),"")</f>
        <v>0</v>
      </c>
      <c r="E24" s="100">
        <f>IFERROR(VLOOKUP(B1,LISTASDESALIDA!B2:FK1048576,91,0),"")</f>
        <v>0</v>
      </c>
      <c r="F24" s="100">
        <f>IFERROR(VLOOKUP(B1,LISTASDESALIDA!B2:FK1048576,92,0),"")</f>
        <v>0</v>
      </c>
      <c r="G24" s="100">
        <f>IFERROR(VLOOKUP(B1,LISTASDESALIDA!B2:FK1048576,93,0),"")</f>
        <v>0</v>
      </c>
      <c r="H24" s="100">
        <f>IFERROR(VLOOKUP(B1,LISTASDESALIDA!B2:FK1048576,94,0),"")</f>
        <v>0</v>
      </c>
    </row>
    <row r="25" spans="1:8" x14ac:dyDescent="0.25">
      <c r="A25" s="100">
        <f>IFERROR(VLOOKUP(B1,LISTASDESALIDA!B2:FK1048576,95,0),"")</f>
        <v>0</v>
      </c>
      <c r="B25" s="100">
        <f>IFERROR(VLOOKUP(B1,LISTASDESALIDA!B2:FK1048576,96,0),"")</f>
        <v>0</v>
      </c>
      <c r="C25" s="100">
        <f>IFERROR(VLOOKUP(B1,LISTASDESALIDA!B2:FK1048576,97,0),"")</f>
        <v>0</v>
      </c>
      <c r="D25" s="100">
        <f>IFERROR(VLOOKUP(B1,LISTASDESALIDA!B2:FK1048576,98,0),"")</f>
        <v>0</v>
      </c>
      <c r="E25" s="100">
        <f>IFERROR(VLOOKUP(B1,LISTASDESALIDA!B2:FK1048576,99,0),"")</f>
        <v>0</v>
      </c>
      <c r="F25" s="100">
        <f>IFERROR(VLOOKUP(B1,LISTASDESALIDA!B2:FK1048576,100,0),"")</f>
        <v>0</v>
      </c>
      <c r="G25" s="100">
        <f>IFERROR(VLOOKUP(B1,LISTASDESALIDA!B2:FK1048576,101,0),"")</f>
        <v>0</v>
      </c>
      <c r="H25" s="100">
        <f>IFERROR(VLOOKUP(B1,LISTASDESALIDA!B2:FK1048576,102,0),"")</f>
        <v>0</v>
      </c>
    </row>
    <row r="26" spans="1:8" x14ac:dyDescent="0.25">
      <c r="A26" s="100">
        <f>IFERROR(VLOOKUP(B1,LISTASDESALIDA!B2:FK1048576,103,0),"")</f>
        <v>0</v>
      </c>
      <c r="B26" s="100">
        <f>IFERROR(VLOOKUP(B1,LISTASDESALIDA!B2:FK1048576,104,0),"")</f>
        <v>0</v>
      </c>
      <c r="C26" s="100">
        <f>IFERROR(VLOOKUP(B1,LISTASDESALIDA!B2:FK1048576,105,0),"")</f>
        <v>0</v>
      </c>
      <c r="D26" s="100">
        <f>IFERROR(VLOOKUP(B1,LISTASDESALIDA!B2:FK1048576,106,0),"")</f>
        <v>0</v>
      </c>
      <c r="E26" s="100">
        <f>IFERROR(VLOOKUP(B1,LISTASDESALIDA!B2:FK1048576,107,0),"")</f>
        <v>0</v>
      </c>
      <c r="F26" s="100">
        <f>IFERROR(VLOOKUP(B1,LISTASDESALIDA!B2:FK1048576,108,0),"")</f>
        <v>0</v>
      </c>
      <c r="G26" s="100">
        <f>IFERROR(VLOOKUP(B1,LISTASDESALIDA!B2:FK1048576,109,0),"")</f>
        <v>0</v>
      </c>
      <c r="H26" s="100">
        <f>IFERROR(VLOOKUP(B1,LISTASDESALIDA!B2:FK1048576,110,0),"")</f>
        <v>0</v>
      </c>
    </row>
    <row r="27" spans="1:8" x14ac:dyDescent="0.25">
      <c r="A27" s="100">
        <f>IFERROR(VLOOKUP(B1,LISTASDESALIDA!B2:FK1048576,111,0),"")</f>
        <v>0</v>
      </c>
      <c r="B27" s="100">
        <f>IFERROR(VLOOKUP(B1,LISTASDESALIDA!B2:FK1048576,112,0),"")</f>
        <v>0</v>
      </c>
      <c r="C27" s="100">
        <f>IFERROR(VLOOKUP(B1,LISTASDESALIDA!B2:FK1048576,113,0),"")</f>
        <v>0</v>
      </c>
      <c r="D27" s="100">
        <f>IFERROR(VLOOKUP(B1,LISTASDESALIDA!B2:FK1048576,114,0),"")</f>
        <v>0</v>
      </c>
      <c r="E27" s="100">
        <f>IFERROR(VLOOKUP(B1,LISTASDESALIDA!B2:FK1048576,115,0),"")</f>
        <v>0</v>
      </c>
      <c r="F27" s="100">
        <f>IFERROR(VLOOKUP(B1,LISTASDESALIDA!B2:FK1048576,116,0),"")</f>
        <v>0</v>
      </c>
      <c r="G27" s="100">
        <f>IFERROR(VLOOKUP(B1,LISTASDESALIDA!B2:FK1048576,117,0),"")</f>
        <v>0</v>
      </c>
      <c r="H27" s="100">
        <f>IFERROR(VLOOKUP(B1,LISTASDESALIDA!B2:FK1048576,118,0),"")</f>
        <v>0</v>
      </c>
    </row>
    <row r="28" spans="1:8" x14ac:dyDescent="0.25">
      <c r="A28" s="100">
        <f>IFERROR(VLOOKUP(B1,LISTASDESALIDA!B2:FK1048576,119,0),"")</f>
        <v>0</v>
      </c>
      <c r="B28" s="100">
        <f>IFERROR(VLOOKUP(B1,LISTASDESALIDA!B2:FK1048576,120,0),"")</f>
        <v>0</v>
      </c>
      <c r="C28" s="100">
        <f>IFERROR(VLOOKUP(B1,LISTASDESALIDA!B2:FK1048576,121,0),"")</f>
        <v>0</v>
      </c>
      <c r="D28" s="100">
        <f>IFERROR(VLOOKUP(B1,LISTASDESALIDA!B2:FK1048576,122,0),"")</f>
        <v>0</v>
      </c>
      <c r="E28" s="100">
        <f>IFERROR(VLOOKUP(B1,LISTASDESALIDA!B2:FK1048576,123,0),"")</f>
        <v>0</v>
      </c>
      <c r="F28" s="100">
        <f>IFERROR(VLOOKUP(B1,LISTASDESALIDA!B2:FK1048576,124,0),"")</f>
        <v>0</v>
      </c>
      <c r="G28" s="100">
        <f>IFERROR(VLOOKUP(B1,LISTASDESALIDA!B2:FK1048576,125,0),"")</f>
        <v>0</v>
      </c>
      <c r="H28" s="100">
        <f>IFERROR(VLOOKUP(B1,LISTASDESALIDA!B2:FK1048576,126,0),"")</f>
        <v>0</v>
      </c>
    </row>
    <row r="29" spans="1:8" x14ac:dyDescent="0.25">
      <c r="A29" s="100">
        <f>IFERROR(VLOOKUP(B1,LISTASDESALIDA!B2:FK1048576,127,0),"")</f>
        <v>0</v>
      </c>
      <c r="B29" s="100">
        <f>IFERROR(VLOOKUP(B1,LISTASDESALIDA!B2:FK1048576,128,0),"")</f>
        <v>0</v>
      </c>
      <c r="C29" s="100">
        <f>IFERROR(VLOOKUP(B1,LISTASDESALIDA!B2:FK1048576,129,0),"")</f>
        <v>0</v>
      </c>
      <c r="D29" s="100">
        <f>IFERROR(VLOOKUP(B1,LISTASDESALIDA!B2:FK1048576,130,0),"")</f>
        <v>0</v>
      </c>
      <c r="E29" s="100">
        <f>IFERROR(VLOOKUP(B1,LISTASDESALIDA!B2:FK1048576,131,0),"")</f>
        <v>0</v>
      </c>
      <c r="F29" s="100">
        <f>IFERROR(VLOOKUP(B1,LISTASDESALIDA!B2:FK1048576,132,0),"")</f>
        <v>0</v>
      </c>
      <c r="G29" s="100">
        <f>IFERROR(VLOOKUP(B1,LISTASDESALIDA!B2:FK1048576,133,0),"")</f>
        <v>0</v>
      </c>
      <c r="H29" s="100">
        <f>IFERROR(VLOOKUP(B1,LISTASDESALIDA!B2:FK1048576,134,0),"")</f>
        <v>0</v>
      </c>
    </row>
    <row r="30" spans="1:8" x14ac:dyDescent="0.25">
      <c r="A30" s="100">
        <f>IFERROR(VLOOKUP(B1,LISTASDESALIDA!B2:FK1048576,135,0),"")</f>
        <v>0</v>
      </c>
      <c r="B30" s="100">
        <f>IFERROR(VLOOKUP(B1,LISTASDESALIDA!B2:FK1048576,136,0),"")</f>
        <v>0</v>
      </c>
      <c r="C30" s="100">
        <f>IFERROR(VLOOKUP(B1,LISTASDESALIDA!B2:FK1048576,137,0),"")</f>
        <v>0</v>
      </c>
      <c r="D30" s="100">
        <f>IFERROR(VLOOKUP(B1,LISTASDESALIDA!B2:FK1048576,138,0),"")</f>
        <v>0</v>
      </c>
      <c r="E30" s="100">
        <f>IFERROR(VLOOKUP(B1,LISTASDESALIDA!B2:FK1048576,139,0),"")</f>
        <v>0</v>
      </c>
      <c r="F30" s="100">
        <f>IFERROR(VLOOKUP(B1,LISTASDESALIDA!B2:FK1048576,140,0),"")</f>
        <v>0</v>
      </c>
      <c r="G30" s="100">
        <f>IFERROR(VLOOKUP(B1,LISTASDESALIDA!B2:FK1048576,141,0),"")</f>
        <v>0</v>
      </c>
      <c r="H30" s="100">
        <f>IFERROR(VLOOKUP(B1,LISTASDESALIDA!B2:FK1048576,142,0),"")</f>
        <v>0</v>
      </c>
    </row>
    <row r="31" spans="1:8" x14ac:dyDescent="0.25">
      <c r="A31" s="100">
        <f>IFERROR(VLOOKUP(B1,LISTASDESALIDA!B2:FK1048576,143,0),"")</f>
        <v>0</v>
      </c>
      <c r="B31" s="100">
        <f>IFERROR(VLOOKUP(B1,LISTASDESALIDA!B2:FK1048576,144,0),"")</f>
        <v>0</v>
      </c>
      <c r="C31" s="100">
        <f>IFERROR(VLOOKUP(B1,LISTASDESALIDA!B2:FK1048576,145,0),"")</f>
        <v>0</v>
      </c>
      <c r="D31" s="100">
        <f>IFERROR(VLOOKUP(B1,LISTASDESALIDA!B2:FK1048576,146,0),"")</f>
        <v>0</v>
      </c>
      <c r="E31" s="100">
        <f>IFERROR(VLOOKUP(B1,LISTASDESALIDA!B2:FK1048576,147,0),"")</f>
        <v>0</v>
      </c>
      <c r="F31" s="100">
        <f>IFERROR(VLOOKUP(B1,LISTASDESALIDA!B2:FK1048576,148,0),"")</f>
        <v>0</v>
      </c>
      <c r="G31" s="100">
        <f>IFERROR(VLOOKUP(B1,LISTASDESALIDA!B2:FK1048576,149,0),"")</f>
        <v>0</v>
      </c>
      <c r="H31" s="100">
        <f>IFERROR(VLOOKUP(B1,LISTASDESALIDA!B2:FK1048576,150,0),"")</f>
        <v>0</v>
      </c>
    </row>
    <row r="32" spans="1:8" x14ac:dyDescent="0.25">
      <c r="A32" s="100">
        <f>IFERROR(VLOOKUP(B1,LISTASDESALIDA!B2:FK1048576,151,0),"")</f>
        <v>0</v>
      </c>
      <c r="B32" s="100">
        <f>IFERROR(VLOOKUP(B1,LISTASDESALIDA!B2:FK1048576,152,0),"")</f>
        <v>0</v>
      </c>
      <c r="C32" s="100">
        <f>IFERROR(VLOOKUP(B1,LISTASDESALIDA!B2:FK1048576,153,0),"")</f>
        <v>0</v>
      </c>
      <c r="D32" s="100">
        <f>IFERROR(VLOOKUP(B1,LISTASDESALIDA!B2:FK1048576,154,0),"")</f>
        <v>0</v>
      </c>
      <c r="E32" s="100">
        <f>IFERROR(VLOOKUP(B1,LISTASDESALIDA!B2:FK1048576,155,0),"")</f>
        <v>0</v>
      </c>
      <c r="F32" s="100">
        <f>IFERROR(VLOOKUP(B1,LISTASDESALIDA!B2:FK1048576,156,0),"")</f>
        <v>0</v>
      </c>
      <c r="G32" s="100">
        <f>IFERROR(VLOOKUP(B1,LISTASDESALIDA!B2:FK1048576,157,0),"")</f>
        <v>0</v>
      </c>
      <c r="H32" s="100">
        <f>IFERROR(VLOOKUP(B1,LISTASDESALIDA!B2:FK1048576,158,0),"")</f>
        <v>0</v>
      </c>
    </row>
    <row r="33" spans="1:8" x14ac:dyDescent="0.25">
      <c r="A33" s="100">
        <f>IFERROR(VLOOKUP(B1,LISTASDESALIDA!B2:FK1048576,159,0),"")</f>
        <v>0</v>
      </c>
      <c r="B33" s="100">
        <f>IFERROR(VLOOKUP(B1,LISTASDESALIDA!B2:FK1048576,160,0),"")</f>
        <v>0</v>
      </c>
      <c r="C33" s="100">
        <f>IFERROR(VLOOKUP(B1,LISTASDESALIDA!B2:FK1048576,161,0),"")</f>
        <v>0</v>
      </c>
      <c r="D33" s="100">
        <f>IFERROR(VLOOKUP(B1,LISTASDESALIDA!B2:FK1048576,162,0),"")</f>
        <v>0</v>
      </c>
      <c r="E33" s="100">
        <f>IFERROR(VLOOKUP(B1,LISTASDESALIDA!B2:FK1048576,163,0),"")</f>
        <v>0</v>
      </c>
      <c r="F33" s="100">
        <f>IFERROR(VLOOKUP(B1,LISTASDESALIDA!B2:FK1048576,164,0),"")</f>
        <v>0</v>
      </c>
      <c r="G33" s="100">
        <f>IFERROR(VLOOKUP(B1,LISTASDESALIDA!B2:FK1048576,165,0),"")</f>
        <v>0</v>
      </c>
      <c r="H33" s="100">
        <f>IFERROR(VLOOKUP(B1,LISTASDESALIDA!B2:FK1048576,166,0),"")</f>
        <v>0</v>
      </c>
    </row>
    <row r="36" spans="1:8" x14ac:dyDescent="0.25">
      <c r="A36" s="123" t="s">
        <v>216</v>
      </c>
      <c r="B36" s="124"/>
      <c r="C36" s="124"/>
      <c r="D36" s="124"/>
      <c r="E36" s="124"/>
      <c r="F36" s="124"/>
      <c r="G36" s="124"/>
      <c r="H36" s="125"/>
    </row>
    <row r="37" spans="1:8" x14ac:dyDescent="0.25">
      <c r="A37" s="126" t="str">
        <f>IFERROR(VLOOKUP(B1,LISTASDESALIDA!B2:FN1048576,168,0),"")</f>
        <v xml:space="preserve">ALMACEN </v>
      </c>
      <c r="B37" s="127"/>
      <c r="C37" s="127"/>
      <c r="D37" s="127"/>
      <c r="E37" s="127"/>
      <c r="F37" s="127"/>
      <c r="G37" s="127"/>
      <c r="H37" s="128"/>
    </row>
    <row r="38" spans="1:8" x14ac:dyDescent="0.25">
      <c r="A38" s="126"/>
      <c r="B38" s="127"/>
      <c r="C38" s="127"/>
      <c r="D38" s="127"/>
      <c r="E38" s="127"/>
      <c r="F38" s="127"/>
      <c r="G38" s="127"/>
      <c r="H38" s="128"/>
    </row>
    <row r="39" spans="1:8" x14ac:dyDescent="0.25">
      <c r="A39" s="126"/>
      <c r="B39" s="127"/>
      <c r="C39" s="127"/>
      <c r="D39" s="127"/>
      <c r="E39" s="127"/>
      <c r="F39" s="127"/>
      <c r="G39" s="127"/>
      <c r="H39" s="128"/>
    </row>
    <row r="40" spans="1:8" x14ac:dyDescent="0.25">
      <c r="A40" s="129"/>
      <c r="B40" s="130"/>
      <c r="C40" s="130"/>
      <c r="D40" s="130"/>
      <c r="E40" s="130"/>
      <c r="F40" s="130"/>
      <c r="G40" s="130"/>
      <c r="H40" s="131"/>
    </row>
    <row r="51" spans="1:8" x14ac:dyDescent="0.25">
      <c r="B51" s="62"/>
    </row>
    <row r="57" spans="1:8" x14ac:dyDescent="0.25">
      <c r="A57" s="57"/>
      <c r="B57" s="121" t="s">
        <v>215</v>
      </c>
      <c r="C57" s="121"/>
      <c r="D57" s="122" t="str">
        <f>D7</f>
        <v>LS 2022 0590</v>
      </c>
      <c r="E57" s="122"/>
      <c r="F57" s="61"/>
      <c r="G57" s="58"/>
      <c r="H57" s="59"/>
    </row>
    <row r="58" spans="1:8" x14ac:dyDescent="0.25">
      <c r="A58" s="118" t="s">
        <v>193</v>
      </c>
      <c r="B58" s="118"/>
      <c r="C58" s="119" t="str">
        <f>IFERROR(VLOOKUP(B1,LISTASDESALIDA!B2:FK1048576,2,0),"")</f>
        <v>HERMOSILLO 2</v>
      </c>
      <c r="D58" s="119"/>
      <c r="E58" s="119"/>
      <c r="F58" s="119"/>
      <c r="G58" s="119"/>
      <c r="H58" s="119"/>
    </row>
    <row r="59" spans="1:8" x14ac:dyDescent="0.25">
      <c r="A59" s="118" t="s">
        <v>194</v>
      </c>
      <c r="B59" s="118"/>
      <c r="C59" s="120">
        <f>IFERROR(VLOOKUP(B1,LISTASDESALIDA!B2:FK1048576,3,0),"")</f>
        <v>44845.44327546296</v>
      </c>
      <c r="D59" s="120"/>
      <c r="E59" s="120"/>
      <c r="F59" s="120"/>
      <c r="G59" s="120"/>
      <c r="H59" s="120"/>
    </row>
    <row r="60" spans="1:8" x14ac:dyDescent="0.25">
      <c r="A60" s="118" t="s">
        <v>195</v>
      </c>
      <c r="B60" s="118"/>
      <c r="C60" s="119" t="str">
        <f>IFERROR(VLOOKUP(B1,LISTASDESALIDA!B2:FK1048576,4,0),"")</f>
        <v xml:space="preserve">VICTOR BARBA </v>
      </c>
      <c r="D60" s="119"/>
      <c r="E60" s="119"/>
      <c r="F60" s="119"/>
      <c r="G60" s="119"/>
      <c r="H60" s="119"/>
    </row>
    <row r="61" spans="1:8" x14ac:dyDescent="0.25">
      <c r="A61" s="118" t="s">
        <v>196</v>
      </c>
      <c r="B61" s="118"/>
      <c r="C61" s="119" t="str">
        <f>IFERROR(VLOOKUP(B1,LISTASDESALIDA!B2:FK1048576,5,0),"")</f>
        <v xml:space="preserve">VICTOR BARBA </v>
      </c>
      <c r="D61" s="119"/>
      <c r="E61" s="119"/>
      <c r="F61" s="119"/>
      <c r="G61" s="119"/>
      <c r="H61" s="119"/>
    </row>
    <row r="62" spans="1:8" x14ac:dyDescent="0.25">
      <c r="A62" s="118" t="s">
        <v>197</v>
      </c>
      <c r="B62" s="118"/>
      <c r="C62" s="119" t="str">
        <f>IFERROR(VLOOKUP(B1,LISTASDESALIDA!B2:FK1048576,6,0),"")</f>
        <v xml:space="preserve">ROCIO HERNANDEZ </v>
      </c>
      <c r="D62" s="119"/>
      <c r="E62" s="119"/>
      <c r="F62" s="119"/>
      <c r="G62" s="119"/>
      <c r="H62" s="119"/>
    </row>
    <row r="63" spans="1:8" x14ac:dyDescent="0.25">
      <c r="A63" s="101" t="s">
        <v>198</v>
      </c>
      <c r="B63" s="101" t="s">
        <v>34</v>
      </c>
      <c r="C63" s="101" t="s">
        <v>4</v>
      </c>
      <c r="D63" s="101" t="s">
        <v>23</v>
      </c>
      <c r="E63" s="101" t="s">
        <v>35</v>
      </c>
      <c r="F63" s="101" t="s">
        <v>36</v>
      </c>
      <c r="G63" s="101" t="s">
        <v>37</v>
      </c>
      <c r="H63" s="101" t="s">
        <v>212</v>
      </c>
    </row>
    <row r="64" spans="1:8" ht="22.5" x14ac:dyDescent="0.25">
      <c r="A64" s="100" t="str">
        <f>IFERROR(VLOOKUP(B1,LISTASDESALIDA!B2:FK1048576,7,0),"")</f>
        <v>VD-CCT10</v>
      </c>
      <c r="B64" s="100" t="str">
        <f>IFERROR(VLOOKUP(B1,LISTASDESALIDA!B2:FK1048576,8,0),"")</f>
        <v>CRISTAL CLARO TEMPLADO DE 10mm</v>
      </c>
      <c r="C64" s="100" t="str">
        <f>IFERROR(VLOOKUP(B1,LISTASDESALIDA!B2:FK1048576,9,0),"")</f>
        <v>PIEZA</v>
      </c>
      <c r="D64" s="100">
        <f>IFERROR(VLOOKUP(B1,LISTASDESALIDA!B2:FK1048576,10,0),"")</f>
        <v>24</v>
      </c>
      <c r="E64" s="100">
        <f>IFERROR(VLOOKUP(B1,LISTASDESALIDA!B2:FK1048576,11,0),"")</f>
        <v>750</v>
      </c>
      <c r="F64" s="100">
        <f>IFERROR(VLOOKUP(B1,LISTASDESALIDA!B2:FK1048576,12,0),"")</f>
        <v>2150</v>
      </c>
      <c r="G64" s="100" t="str">
        <f>IFERROR(VLOOKUP(B1,LISTASDESALIDA!B2:FK1048576,13,0),"")</f>
        <v>ALMACEN</v>
      </c>
      <c r="H64" s="79"/>
    </row>
    <row r="65" spans="1:8" x14ac:dyDescent="0.25">
      <c r="A65" s="100" t="str">
        <f>IFERROR(VLOOKUP(B1,LISTASDESALIDA!B2:FK1048576,15,0),"")</f>
        <v>DRGR1</v>
      </c>
      <c r="B65" s="100" t="str">
        <f>IFERROR(VLOOKUP(B1,LISTASDESALIDA!B2:FK1048576,16,0),"")</f>
        <v>DURETAN GRIS</v>
      </c>
      <c r="C65" s="100" t="str">
        <f>IFERROR(VLOOKUP(B1,LISTASDESALIDA!B2:FK1048576,17,0),"")</f>
        <v>PIEZA</v>
      </c>
      <c r="D65" s="100">
        <f>IFERROR(VLOOKUP(B1,LISTASDESALIDA!B2:FK1048576,18,0),"")</f>
        <v>2</v>
      </c>
      <c r="E65" s="100">
        <f>IFERROR(VLOOKUP(B1,LISTASDESALIDA!B2:FK1048576,19,0),"")</f>
        <v>0</v>
      </c>
      <c r="F65" s="100">
        <f>IFERROR(VLOOKUP(B1,LISTASDESALIDA!B2:FK1048576,20,0),"")</f>
        <v>0</v>
      </c>
      <c r="G65" s="100" t="str">
        <f>IFERROR(VLOOKUP(B1,LISTASDESALIDA!B2:FK1048576,21,0),"")</f>
        <v>FALTA 1</v>
      </c>
      <c r="H65" s="79"/>
    </row>
    <row r="66" spans="1:8" x14ac:dyDescent="0.25">
      <c r="A66" s="100" t="str">
        <f>IFERROR(VLOOKUP(B1,LISTASDESALIDA!B2:FK1048576,23,0),"")</f>
        <v>FELNAGR</v>
      </c>
      <c r="B66" s="100" t="str">
        <f>IFERROR(VLOOKUP(B1,LISTASDESALIDA!B2:FK1048576,24,0),"")</f>
        <v xml:space="preserve">FELPA NACIONAL GRIS </v>
      </c>
      <c r="C66" s="100" t="str">
        <f>IFERROR(VLOOKUP(B1,LISTASDESALIDA!B2:FK1048576,25,0),"")</f>
        <v>MTS</v>
      </c>
      <c r="D66" s="100">
        <f>IFERROR(VLOOKUP(B1,LISTASDESALIDA!B2:FK1048576,26,0),"")</f>
        <v>288</v>
      </c>
      <c r="E66" s="100">
        <f>IFERROR(VLOOKUP(B1,LISTASDESALIDA!B2:FK1048576,27,0),"")</f>
        <v>0</v>
      </c>
      <c r="F66" s="100">
        <f>IFERROR(VLOOKUP(B1,LISTASDESALIDA!B2:FK1048576,28,0),"")</f>
        <v>0</v>
      </c>
      <c r="G66" s="100" t="str">
        <f>IFERROR(VLOOKUP(B1,LISTASDESALIDA!B2:FK1048576,29,0),"")</f>
        <v xml:space="preserve">ALMACEN </v>
      </c>
      <c r="H66" s="79"/>
    </row>
    <row r="67" spans="1:8" ht="22.5" x14ac:dyDescent="0.25">
      <c r="A67" s="100" t="str">
        <f>IFERROR(VLOOKUP(B1,LISTASDESALIDA!B2:FK1048576,31,0),"")</f>
        <v>LB3X21</v>
      </c>
      <c r="B67" s="100" t="str">
        <f>IFERROR(VLOOKUP(B1,LISTASDESALIDA!B2:FK1048576,32,0),"")</f>
        <v>LIJA DE BANDA DE 3X21" DE GRANO 400</v>
      </c>
      <c r="C67" s="100" t="str">
        <f>IFERROR(VLOOKUP(B1,LISTASDESALIDA!B2:FK1048576,33,0),"")</f>
        <v>PIEZA</v>
      </c>
      <c r="D67" s="100">
        <f>IFERROR(VLOOKUP(B1,LISTASDESALIDA!B2:FK1048576,34,0),"")</f>
        <v>5</v>
      </c>
      <c r="E67" s="100">
        <f>IFERROR(VLOOKUP(B1,LISTASDESALIDA!B2:FK1048576,35,0),"")</f>
        <v>0</v>
      </c>
      <c r="F67" s="100">
        <f>IFERROR(VLOOKUP(B1,LISTASDESALIDA!B2:FK1048576,36,0),"")</f>
        <v>0</v>
      </c>
      <c r="G67" s="100" t="str">
        <f>IFERROR(VLOOKUP(B1,LISTASDESALIDA!B2:FK1048576,37,0),"")</f>
        <v xml:space="preserve">PASAR A COMPRAR </v>
      </c>
      <c r="H67" s="79"/>
    </row>
    <row r="68" spans="1:8" ht="22.5" x14ac:dyDescent="0.25">
      <c r="A68" s="100" t="str">
        <f>IFERROR(VLOOKUP(B1,LISTASDESALIDA!B2:FK1048576,39,0),"")</f>
        <v>PIRO/CA</v>
      </c>
      <c r="B68" s="100" t="str">
        <f>IFERROR(VLOOKUP(B1,LISTASDESALIDA!B2:FK1048576,40,0),"")</f>
        <v xml:space="preserve">PIEDRA ROSA/CAFE PARA PULIR ALUMINIO </v>
      </c>
      <c r="C68" s="100" t="str">
        <f>IFERROR(VLOOKUP(B1,LISTASDESALIDA!B2:FK1048576,41,0),"")</f>
        <v>PIEZA</v>
      </c>
      <c r="D68" s="100">
        <f>IFERROR(VLOOKUP(B1,LISTASDESALIDA!B2:FK1048576,42,0),"")</f>
        <v>1</v>
      </c>
      <c r="E68" s="100">
        <f>IFERROR(VLOOKUP(B1,LISTASDESALIDA!B2:FK1048576,43,0),"")</f>
        <v>0</v>
      </c>
      <c r="F68" s="100">
        <f>IFERROR(VLOOKUP(B1,LISTASDESALIDA!B2:FK1048576,44,0),"")</f>
        <v>0</v>
      </c>
      <c r="G68" s="100" t="str">
        <f>IFERROR(VLOOKUP(B1,LISTASDESALIDA!B2:FK1048576,45,0),"")</f>
        <v xml:space="preserve">COMPRAR </v>
      </c>
      <c r="H68" s="79"/>
    </row>
    <row r="69" spans="1:8" x14ac:dyDescent="0.25">
      <c r="A69" s="100" t="str">
        <f>IFERROR(VLOOKUP(B1,LISTASDESALIDA!B2:FK1048576,47,0),"")</f>
        <v>DS</v>
      </c>
      <c r="B69" s="100" t="str">
        <f>IFERROR(VLOOKUP(B1,LISTASDESALIDA!B2:FK1048576,48,0),"")</f>
        <v>DIESEL</v>
      </c>
      <c r="C69" s="100" t="str">
        <f>IFERROR(VLOOKUP(B1,LISTASDESALIDA!B2:FK1048576,49,0),"")</f>
        <v>LTS</v>
      </c>
      <c r="D69" s="100">
        <f>IFERROR(VLOOKUP(B1,LISTASDESALIDA!B2:FK1048576,50,0),"")</f>
        <v>5</v>
      </c>
      <c r="E69" s="100">
        <f>IFERROR(VLOOKUP(B1,LISTASDESALIDA!B2:FK1048576,51,0),"")</f>
        <v>0</v>
      </c>
      <c r="F69" s="100" t="str">
        <f>IFERROR(VLOOKUP(B1,LISTASDESALIDA!B2:FK1048576,52,0),"")</f>
        <v>COMPRAR</v>
      </c>
      <c r="G69" s="100" t="str">
        <f>IFERROR(VLOOKUP(B1,LISTASDESALIDA!B2:FK1048576,53,0),"")</f>
        <v>ALMACEN</v>
      </c>
      <c r="H69" s="79"/>
    </row>
    <row r="70" spans="1:8" x14ac:dyDescent="0.25">
      <c r="A70" s="100" t="str">
        <f>IFERROR(VLOOKUP(B1,LISTASDESALIDA!B2:FK1048576,55,0),"")</f>
        <v>1480SA</v>
      </c>
      <c r="B70" s="100" t="str">
        <f>IFERROR(VLOOKUP(B1,LISTASDESALIDA!B2:FK1048576,56,0),"")</f>
        <v>CONECTOR MURO-CRISTAL SATIN</v>
      </c>
      <c r="C70" s="100" t="str">
        <f>IFERROR(VLOOKUP(B1,LISTASDESALIDA!B2:FK1048576,57,0),"")</f>
        <v>PIEZA</v>
      </c>
      <c r="D70" s="100">
        <f>IFERROR(VLOOKUP(B1,LISTASDESALIDA!B2:FK1048576,58,0),"")</f>
        <v>96</v>
      </c>
      <c r="E70" s="100">
        <f>IFERROR(VLOOKUP(B1,LISTASDESALIDA!B2:FK1048576,59,0),"")</f>
        <v>0</v>
      </c>
      <c r="F70" s="100">
        <f>IFERROR(VLOOKUP(B1,LISTASDESALIDA!B2:FK1048576,60,0),"")</f>
        <v>0</v>
      </c>
      <c r="G70" s="100" t="str">
        <f>IFERROR(VLOOKUP(B1,LISTASDESALIDA!B2:FK1048576,61,0),"")</f>
        <v xml:space="preserve">ALMACEN </v>
      </c>
      <c r="H70" s="79"/>
    </row>
    <row r="71" spans="1:8" x14ac:dyDescent="0.25">
      <c r="A71" s="100">
        <f>IFERROR(VLOOKUP(B1,LISTASDESALIDA!B2:FK1048576,63,0),"")</f>
        <v>0</v>
      </c>
      <c r="B71" s="100">
        <f>IFERROR(VLOOKUP(B1,LISTASDESALIDA!B2:FK1048576,64,0),"")</f>
        <v>0</v>
      </c>
      <c r="C71" s="100">
        <f>IFERROR(VLOOKUP(B1,LISTASDESALIDA!B2:FK1048576,65,0),"")</f>
        <v>0</v>
      </c>
      <c r="D71" s="100">
        <f>IFERROR(VLOOKUP(B1,LISTASDESALIDA!B2:FK1048576,66,0),"")</f>
        <v>0</v>
      </c>
      <c r="E71" s="100">
        <f>IFERROR(VLOOKUP(B1,LISTASDESALIDA!B2:FK1048576,67,0),"")</f>
        <v>0</v>
      </c>
      <c r="F71" s="100">
        <f>IFERROR(VLOOKUP(B1,LISTASDESALIDA!B2:FK1048576,68,0),"")</f>
        <v>0</v>
      </c>
      <c r="G71" s="100">
        <f>IFERROR(VLOOKUP(B1,LISTASDESALIDA!B2:FK1048576,69,0),"")</f>
        <v>0</v>
      </c>
      <c r="H71" s="79"/>
    </row>
    <row r="72" spans="1:8" x14ac:dyDescent="0.25">
      <c r="A72" s="100">
        <f>IFERROR(VLOOKUP(B1,LISTASDESALIDA!B2:FK1048576,71,0),"")</f>
        <v>0</v>
      </c>
      <c r="B72" s="100">
        <f>IFERROR(VLOOKUP(B1,LISTASDESALIDA!B2:FK1048576,72,0),"")</f>
        <v>0</v>
      </c>
      <c r="C72" s="100">
        <f>IFERROR(VLOOKUP(B1,LISTASDESALIDA!B2:FK1048576,73,0),"")</f>
        <v>0</v>
      </c>
      <c r="D72" s="100">
        <f>IFERROR(VLOOKUP(B1,LISTASDESALIDA!B2:FK1048576,74,0),"")</f>
        <v>0</v>
      </c>
      <c r="E72" s="100">
        <f>IFERROR(VLOOKUP(B1,LISTASDESALIDA!B2:FK1048576,75,0),"")</f>
        <v>0</v>
      </c>
      <c r="F72" s="100">
        <f>IFERROR(VLOOKUP(B1,LISTASDESALIDA!B2:FK1048576,76,0),"")</f>
        <v>0</v>
      </c>
      <c r="G72" s="100">
        <f>IFERROR(VLOOKUP(B1,LISTASDESALIDA!B2:FK1048576,77,0),"")</f>
        <v>0</v>
      </c>
      <c r="H72" s="79"/>
    </row>
    <row r="73" spans="1:8" x14ac:dyDescent="0.25">
      <c r="A73" s="100">
        <f>IFERROR(VLOOKUP(B1,LISTASDESALIDA!B2:FK1048576,79,0),"")</f>
        <v>0</v>
      </c>
      <c r="B73" s="100">
        <f>IFERROR(VLOOKUP(B1,LISTASDESALIDA!B2:FK1048576,80,0),"")</f>
        <v>0</v>
      </c>
      <c r="C73" s="100">
        <f>IFERROR(VLOOKUP(B1,LISTASDESALIDA!B2:FK1048576,81,0),"")</f>
        <v>0</v>
      </c>
      <c r="D73" s="100">
        <f>IFERROR(VLOOKUP(B1,LISTASDESALIDA!B2:FK1048576,82,0),"")</f>
        <v>0</v>
      </c>
      <c r="E73" s="100">
        <f>IFERROR(VLOOKUP(B1,LISTASDESALIDA!B2:FK1048576,83,0),"")</f>
        <v>0</v>
      </c>
      <c r="F73" s="100">
        <f>IFERROR(VLOOKUP(B1,LISTASDESALIDA!B2:FK1048576,84,0),"")</f>
        <v>0</v>
      </c>
      <c r="G73" s="100">
        <f>IFERROR(VLOOKUP(B1,LISTASDESALIDA!B2:FK1048576,85,0),"")</f>
        <v>0</v>
      </c>
      <c r="H73" s="79"/>
    </row>
    <row r="74" spans="1:8" x14ac:dyDescent="0.25">
      <c r="A74" s="100">
        <f>IFERROR(VLOOKUP(B1,LISTASDESALIDA!B2:FK1048576,87,0),"")</f>
        <v>0</v>
      </c>
      <c r="B74" s="100">
        <f>IFERROR(VLOOKUP(B1,LISTASDESALIDA!B2:FK1048576,88,0),"")</f>
        <v>0</v>
      </c>
      <c r="C74" s="100">
        <f>IFERROR(VLOOKUP(B1,LISTASDESALIDA!B2:FK1048576,89,0),"")</f>
        <v>0</v>
      </c>
      <c r="D74" s="100">
        <f>IFERROR(VLOOKUP(B1,LISTASDESALIDA!B2:FK1048576,90,0),"")</f>
        <v>0</v>
      </c>
      <c r="E74" s="100">
        <f>IFERROR(VLOOKUP(B1,LISTASDESALIDA!B2:FK1048576,91,0),"")</f>
        <v>0</v>
      </c>
      <c r="F74" s="100">
        <f>IFERROR(VLOOKUP(B1,LISTASDESALIDA!B2:FK1048576,92,0),"")</f>
        <v>0</v>
      </c>
      <c r="G74" s="100">
        <f>IFERROR(VLOOKUP(B1,LISTASDESALIDA!B2:FK1048576,93,0),"")</f>
        <v>0</v>
      </c>
      <c r="H74" s="79"/>
    </row>
    <row r="75" spans="1:8" x14ac:dyDescent="0.25">
      <c r="A75" s="100">
        <f>IFERROR(VLOOKUP(B1,LISTASDESALIDA!B2:FK1048576,95,0),"")</f>
        <v>0</v>
      </c>
      <c r="B75" s="100">
        <f>IFERROR(VLOOKUP(B1,LISTASDESALIDA!B2:FK1048576,96,0),"")</f>
        <v>0</v>
      </c>
      <c r="C75" s="100">
        <f>IFERROR(VLOOKUP(B1,LISTASDESALIDA!B2:FK1048576,97,0),"")</f>
        <v>0</v>
      </c>
      <c r="D75" s="100">
        <f>IFERROR(VLOOKUP(B1,LISTASDESALIDA!B2:FK1048576,98,0),"")</f>
        <v>0</v>
      </c>
      <c r="E75" s="100">
        <f>IFERROR(VLOOKUP(B1,LISTASDESALIDA!B2:FK1048576,99,0),"")</f>
        <v>0</v>
      </c>
      <c r="F75" s="100">
        <f>IFERROR(VLOOKUP(B1,LISTASDESALIDA!B2:FK1048576,100,0),"")</f>
        <v>0</v>
      </c>
      <c r="G75" s="100">
        <f>IFERROR(VLOOKUP(B1,LISTASDESALIDA!B2:FK1048576,101,0),"")</f>
        <v>0</v>
      </c>
      <c r="H75" s="79"/>
    </row>
    <row r="76" spans="1:8" x14ac:dyDescent="0.25">
      <c r="A76" s="100">
        <f>IFERROR(VLOOKUP(B1,LISTASDESALIDA!B2:FK1048576,103,0),"")</f>
        <v>0</v>
      </c>
      <c r="B76" s="100">
        <f>IFERROR(VLOOKUP(B1,LISTASDESALIDA!B2:FK1048576,104,0),"")</f>
        <v>0</v>
      </c>
      <c r="C76" s="100">
        <f>IFERROR(VLOOKUP(B1,LISTASDESALIDA!B2:FK1048576,105,0),"")</f>
        <v>0</v>
      </c>
      <c r="D76" s="100">
        <f>IFERROR(VLOOKUP(B1,LISTASDESALIDA!B2:FK1048576,106,0),"")</f>
        <v>0</v>
      </c>
      <c r="E76" s="100">
        <f>IFERROR(VLOOKUP(B1,LISTASDESALIDA!B2:FK1048576,107,0),"")</f>
        <v>0</v>
      </c>
      <c r="F76" s="100">
        <f>IFERROR(VLOOKUP(B1,LISTASDESALIDA!B2:FK1048576,108,0),"")</f>
        <v>0</v>
      </c>
      <c r="G76" s="100">
        <f>IFERROR(VLOOKUP(B1,LISTASDESALIDA!B2:FK1048576,109,0),"")</f>
        <v>0</v>
      </c>
      <c r="H76" s="79"/>
    </row>
    <row r="77" spans="1:8" x14ac:dyDescent="0.25">
      <c r="A77" s="100">
        <f>IFERROR(VLOOKUP(B1,LISTASDESALIDA!B2:FK1048576,111,0),"")</f>
        <v>0</v>
      </c>
      <c r="B77" s="100">
        <f>IFERROR(VLOOKUP(B1,LISTASDESALIDA!B2:FK1048576,112,0),"")</f>
        <v>0</v>
      </c>
      <c r="C77" s="100">
        <f>IFERROR(VLOOKUP(B1,LISTASDESALIDA!B2:FK1048576,113,0),"")</f>
        <v>0</v>
      </c>
      <c r="D77" s="100">
        <f>IFERROR(VLOOKUP(B1,LISTASDESALIDA!B2:FK1048576,114,0),"")</f>
        <v>0</v>
      </c>
      <c r="E77" s="100">
        <f>IFERROR(VLOOKUP(B1,LISTASDESALIDA!B2:FK1048576,115,0),"")</f>
        <v>0</v>
      </c>
      <c r="F77" s="100">
        <f>IFERROR(VLOOKUP(B1,LISTASDESALIDA!B2:FK1048576,116,0),"")</f>
        <v>0</v>
      </c>
      <c r="G77" s="100">
        <f>IFERROR(VLOOKUP(B1,LISTASDESALIDA!B2:FK1048576,117,0),"")</f>
        <v>0</v>
      </c>
      <c r="H77" s="79"/>
    </row>
    <row r="78" spans="1:8" x14ac:dyDescent="0.25">
      <c r="A78" s="100">
        <f>IFERROR(VLOOKUP(B1,LISTASDESALIDA!B2:FK1048576,119,0),"")</f>
        <v>0</v>
      </c>
      <c r="B78" s="100">
        <f>IFERROR(VLOOKUP(B1,LISTASDESALIDA!B2:FK1048576,120,0),"")</f>
        <v>0</v>
      </c>
      <c r="C78" s="100">
        <f>IFERROR(VLOOKUP(B1,LISTASDESALIDA!B2:FK1048576,121,0),"")</f>
        <v>0</v>
      </c>
      <c r="D78" s="100">
        <f>IFERROR(VLOOKUP(B1,LISTASDESALIDA!B2:FK1048576,122,0),"")</f>
        <v>0</v>
      </c>
      <c r="E78" s="100">
        <f>IFERROR(VLOOKUP(B1,LISTASDESALIDA!B2:FK1048576,123,0),"")</f>
        <v>0</v>
      </c>
      <c r="F78" s="100">
        <f>IFERROR(VLOOKUP(B1,LISTASDESALIDA!B2:FK1048576,124,0),"")</f>
        <v>0</v>
      </c>
      <c r="G78" s="100">
        <f>IFERROR(VLOOKUP(B1,LISTASDESALIDA!B2:FK1048576,125,0),"")</f>
        <v>0</v>
      </c>
      <c r="H78" s="79"/>
    </row>
    <row r="79" spans="1:8" x14ac:dyDescent="0.25">
      <c r="A79" s="100">
        <f>IFERROR(VLOOKUP(B1,LISTASDESALIDA!B2:FK1048576,127,0),"")</f>
        <v>0</v>
      </c>
      <c r="B79" s="100">
        <f>IFERROR(VLOOKUP(B1,LISTASDESALIDA!B2:FK1048576,128,0),"")</f>
        <v>0</v>
      </c>
      <c r="C79" s="100">
        <f>IFERROR(VLOOKUP(B1,LISTASDESALIDA!B2:FK1048576,129,0),"")</f>
        <v>0</v>
      </c>
      <c r="D79" s="100">
        <f>IFERROR(VLOOKUP(B1,LISTASDESALIDA!B2:FK1048576,130,0),"")</f>
        <v>0</v>
      </c>
      <c r="E79" s="100">
        <f>IFERROR(VLOOKUP(B1,LISTASDESALIDA!B2:FK1048576,131,0),"")</f>
        <v>0</v>
      </c>
      <c r="F79" s="100">
        <f>IFERROR(VLOOKUP(B1,LISTASDESALIDA!B2:FK1048576,132,0),"")</f>
        <v>0</v>
      </c>
      <c r="G79" s="100">
        <f>IFERROR(VLOOKUP(B1,LISTASDESALIDA!B2:FK1048576,133,0),"")</f>
        <v>0</v>
      </c>
      <c r="H79" s="79"/>
    </row>
    <row r="80" spans="1:8" x14ac:dyDescent="0.25">
      <c r="A80" s="100">
        <f>IFERROR(VLOOKUP(B1,LISTASDESALIDA!B2:FK1048576,135,0),"")</f>
        <v>0</v>
      </c>
      <c r="B80" s="100">
        <f>IFERROR(VLOOKUP(B1,LISTASDESALIDA!B2:FK1048576,136,0),"")</f>
        <v>0</v>
      </c>
      <c r="C80" s="100">
        <f>IFERROR(VLOOKUP(B1,LISTASDESALIDA!B2:FK1048576,137,0),"")</f>
        <v>0</v>
      </c>
      <c r="D80" s="100">
        <f>IFERROR(VLOOKUP(B1,LISTASDESALIDA!B2:FK1048576,138,0),"")</f>
        <v>0</v>
      </c>
      <c r="E80" s="100">
        <f>IFERROR(VLOOKUP(B1,LISTASDESALIDA!B2:FK1048576,139,0),"")</f>
        <v>0</v>
      </c>
      <c r="F80" s="100">
        <f>IFERROR(VLOOKUP(B1,LISTASDESALIDA!B2:FK1048576,140,0),"")</f>
        <v>0</v>
      </c>
      <c r="G80" s="100">
        <f>IFERROR(VLOOKUP(B1,LISTASDESALIDA!B2:FK1048576,141,0),"")</f>
        <v>0</v>
      </c>
      <c r="H80" s="79"/>
    </row>
    <row r="81" spans="1:8" x14ac:dyDescent="0.25">
      <c r="A81" s="100">
        <f>IFERROR(VLOOKUP(B1,LISTASDESALIDA!B2:FK1048576,143,0),"")</f>
        <v>0</v>
      </c>
      <c r="B81" s="100">
        <f>IFERROR(VLOOKUP(B1,LISTASDESALIDA!B2:FK1048576,144,0),"")</f>
        <v>0</v>
      </c>
      <c r="C81" s="100">
        <f>IFERROR(VLOOKUP(B1,LISTASDESALIDA!B2:FK1048576,145,0),"")</f>
        <v>0</v>
      </c>
      <c r="D81" s="100">
        <f>IFERROR(VLOOKUP(B1,LISTASDESALIDA!B2:FK1048576,146,0),"")</f>
        <v>0</v>
      </c>
      <c r="E81" s="100">
        <f>IFERROR(VLOOKUP(B1,LISTASDESALIDA!B2:FK1048576,147,0),"")</f>
        <v>0</v>
      </c>
      <c r="F81" s="100">
        <f>IFERROR(VLOOKUP(B1,LISTASDESALIDA!B2:FK1048576,148,0),"")</f>
        <v>0</v>
      </c>
      <c r="G81" s="100">
        <f>IFERROR(VLOOKUP(B1,LISTASDESALIDA!B2:FK1048576,149,0),"")</f>
        <v>0</v>
      </c>
      <c r="H81" s="79"/>
    </row>
    <row r="82" spans="1:8" x14ac:dyDescent="0.25">
      <c r="A82" s="100">
        <f>IFERROR(VLOOKUP(B1,LISTASDESALIDA!B2:FK1048576,151,0),"")</f>
        <v>0</v>
      </c>
      <c r="B82" s="100">
        <f>IFERROR(VLOOKUP(B1,LISTASDESALIDA!B2:FK1048576,152,0),"")</f>
        <v>0</v>
      </c>
      <c r="C82" s="100">
        <f>IFERROR(VLOOKUP(B1,LISTASDESALIDA!B2:FK1048576,153,0),"")</f>
        <v>0</v>
      </c>
      <c r="D82" s="100">
        <f>IFERROR(VLOOKUP(B1,LISTASDESALIDA!B2:FK1048576,154,0),"")</f>
        <v>0</v>
      </c>
      <c r="E82" s="100">
        <f>IFERROR(VLOOKUP(B1,LISTASDESALIDA!B2:FK1048576,155,0),"")</f>
        <v>0</v>
      </c>
      <c r="F82" s="100">
        <f>IFERROR(VLOOKUP(B1,LISTASDESALIDA!B2:FK1048576,156,0),"")</f>
        <v>0</v>
      </c>
      <c r="G82" s="100">
        <f>IFERROR(VLOOKUP(B1,LISTASDESALIDA!B2:FK1048576,157,0),"")</f>
        <v>0</v>
      </c>
      <c r="H82" s="79"/>
    </row>
    <row r="83" spans="1:8" x14ac:dyDescent="0.25">
      <c r="A83" s="100">
        <f>IFERROR(VLOOKUP(B1,LISTASDESALIDA!B2:FK1048576,159,0),"")</f>
        <v>0</v>
      </c>
      <c r="B83" s="100">
        <f>IFERROR(VLOOKUP(B1,LISTASDESALIDA!B2:FK1048576,160,0),"")</f>
        <v>0</v>
      </c>
      <c r="C83" s="100">
        <f>IFERROR(VLOOKUP(B1,LISTASDESALIDA!B2:FK1048576,161,0),"")</f>
        <v>0</v>
      </c>
      <c r="D83" s="100">
        <f>IFERROR(VLOOKUP(B1,LISTASDESALIDA!B2:FK1048576,162,0),"")</f>
        <v>0</v>
      </c>
      <c r="E83" s="100">
        <f>IFERROR(VLOOKUP(B1,LISTASDESALIDA!B2:FK1048576,163,0),"")</f>
        <v>0</v>
      </c>
      <c r="F83" s="100">
        <f>IFERROR(VLOOKUP(B1,LISTASDESALIDA!B2:FK1048576,164,0),"")</f>
        <v>0</v>
      </c>
      <c r="G83" s="100">
        <f>IFERROR(VLOOKUP(B1,LISTASDESALIDA!B2:FK1048576,165,0),"")</f>
        <v>0</v>
      </c>
      <c r="H83" s="79"/>
    </row>
    <row r="86" spans="1:8" x14ac:dyDescent="0.25">
      <c r="A86" s="123" t="s">
        <v>216</v>
      </c>
      <c r="B86" s="124"/>
      <c r="C86" s="124"/>
      <c r="D86" s="124"/>
      <c r="E86" s="124"/>
      <c r="F86" s="124"/>
      <c r="G86" s="124"/>
      <c r="H86" s="125"/>
    </row>
    <row r="87" spans="1:8" x14ac:dyDescent="0.25">
      <c r="A87" s="126" t="str">
        <f>IFERROR(VLOOKUP(B1,LISTASDESALIDA!B2:FN1048576,168,0),"")</f>
        <v xml:space="preserve">ALMACEN </v>
      </c>
      <c r="B87" s="127"/>
      <c r="C87" s="127"/>
      <c r="D87" s="127"/>
      <c r="E87" s="127"/>
      <c r="F87" s="127"/>
      <c r="G87" s="127"/>
      <c r="H87" s="128"/>
    </row>
    <row r="88" spans="1:8" x14ac:dyDescent="0.25">
      <c r="A88" s="126"/>
      <c r="B88" s="127"/>
      <c r="C88" s="127"/>
      <c r="D88" s="127"/>
      <c r="E88" s="127"/>
      <c r="F88" s="127"/>
      <c r="G88" s="127"/>
      <c r="H88" s="128"/>
    </row>
    <row r="89" spans="1:8" x14ac:dyDescent="0.25">
      <c r="A89" s="126"/>
      <c r="B89" s="127"/>
      <c r="C89" s="127"/>
      <c r="D89" s="127"/>
      <c r="E89" s="127"/>
      <c r="F89" s="127"/>
      <c r="G89" s="127"/>
      <c r="H89" s="128"/>
    </row>
    <row r="90" spans="1:8" x14ac:dyDescent="0.25">
      <c r="A90" s="129"/>
      <c r="B90" s="130"/>
      <c r="C90" s="130"/>
      <c r="D90" s="130"/>
      <c r="E90" s="130"/>
      <c r="F90" s="130"/>
      <c r="G90" s="130"/>
      <c r="H90" s="131"/>
    </row>
  </sheetData>
  <sheetProtection algorithmName="SHA-512" hashValue="cC0xWrMlcr0UL2is5QYqj9S0hcbfCVwUc0tsuZftbec5w0QI1aE0jiX2S2oeEMQ02VD+ZwOHNtRZEJOgkCZkKw==" saltValue="1jnoBAPWKnpYGqTBNLk2EA==" spinCount="100000" sheet="1" objects="1" scenarios="1"/>
  <mergeCells count="28">
    <mergeCell ref="B7:C7"/>
    <mergeCell ref="D7:E7"/>
    <mergeCell ref="A8:B8"/>
    <mergeCell ref="C8:H8"/>
    <mergeCell ref="A9:B9"/>
    <mergeCell ref="C9:H9"/>
    <mergeCell ref="A10:B10"/>
    <mergeCell ref="C10:H10"/>
    <mergeCell ref="A11:B11"/>
    <mergeCell ref="C11:H11"/>
    <mergeCell ref="A12:B12"/>
    <mergeCell ref="C12:H12"/>
    <mergeCell ref="A36:H36"/>
    <mergeCell ref="A37:H40"/>
    <mergeCell ref="A86:H86"/>
    <mergeCell ref="A87:H90"/>
    <mergeCell ref="A60:B60"/>
    <mergeCell ref="C60:H60"/>
    <mergeCell ref="A61:B61"/>
    <mergeCell ref="C61:H61"/>
    <mergeCell ref="A62:B62"/>
    <mergeCell ref="C62:H62"/>
    <mergeCell ref="B57:C57"/>
    <mergeCell ref="D57:E57"/>
    <mergeCell ref="A58:B58"/>
    <mergeCell ref="C58:H58"/>
    <mergeCell ref="A59:B59"/>
    <mergeCell ref="C59:H59"/>
  </mergeCells>
  <pageMargins left="0.39370078740157483" right="0.39370078740157483" top="0.39370078740157483" bottom="0.39370078740157483" header="0.51181102362204722" footer="0.51181102362204722"/>
  <pageSetup orientation="portrait" horizontalDpi="360" verticalDpi="360" r:id="rId1"/>
  <headerFooter>
    <oddHeader>&amp;C
&amp;G</oddHeader>
  </headerFooter>
  <drawing r:id="rId2"/>
  <legacyDrawingHF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4" tint="-0.249977111117893"/>
  </sheetPr>
  <dimension ref="A1:H40"/>
  <sheetViews>
    <sheetView view="pageLayout" topLeftCell="A13" zoomScaleNormal="100" workbookViewId="0">
      <selection activeCell="F2" sqref="F2"/>
    </sheetView>
  </sheetViews>
  <sheetFormatPr baseColWidth="10" defaultRowHeight="15" x14ac:dyDescent="0.25"/>
  <cols>
    <col min="1" max="1" width="10.5703125" customWidth="1"/>
    <col min="2" max="2" width="22.5703125" customWidth="1"/>
    <col min="3" max="3" width="10.5703125" customWidth="1"/>
    <col min="4" max="4" width="10.7109375" customWidth="1"/>
    <col min="5" max="5" width="11.42578125" customWidth="1"/>
    <col min="6" max="6" width="11" customWidth="1"/>
    <col min="7" max="7" width="10.140625" customWidth="1"/>
    <col min="8" max="8" width="11" customWidth="1"/>
  </cols>
  <sheetData>
    <row r="1" spans="1:8" x14ac:dyDescent="0.25">
      <c r="B1" s="62" t="s">
        <v>1362</v>
      </c>
    </row>
    <row r="7" spans="1:8" ht="17.25" customHeight="1" x14ac:dyDescent="0.25">
      <c r="A7" s="57"/>
      <c r="B7" s="121" t="s">
        <v>199</v>
      </c>
      <c r="C7" s="121"/>
      <c r="D7" s="122" t="str">
        <f>B1</f>
        <v>LE 2022 0060</v>
      </c>
      <c r="E7" s="122"/>
      <c r="F7" s="61"/>
      <c r="G7" s="58"/>
      <c r="H7" s="59"/>
    </row>
    <row r="8" spans="1:8" ht="16.5" customHeight="1" x14ac:dyDescent="0.25">
      <c r="A8" s="118" t="s">
        <v>193</v>
      </c>
      <c r="B8" s="118"/>
      <c r="C8" s="119" t="str">
        <f>IFERROR(VLOOKUP(B1,RegistrodeEntradas!B2:FK1048576,2,0),"")</f>
        <v>OSCAR GOMEZ</v>
      </c>
      <c r="D8" s="119"/>
      <c r="E8" s="119"/>
      <c r="F8" s="119"/>
      <c r="G8" s="119"/>
      <c r="H8" s="119"/>
    </row>
    <row r="9" spans="1:8" x14ac:dyDescent="0.25">
      <c r="A9" s="118" t="s">
        <v>194</v>
      </c>
      <c r="B9" s="118"/>
      <c r="C9" s="120">
        <f>IFERROR(VLOOKUP(B1,RegistrodeEntradas!B2:FK1048576,3,0),"")</f>
        <v>44865.379212962966</v>
      </c>
      <c r="D9" s="120"/>
      <c r="E9" s="120"/>
      <c r="F9" s="120"/>
      <c r="G9" s="120"/>
      <c r="H9" s="120"/>
    </row>
    <row r="10" spans="1:8" x14ac:dyDescent="0.25">
      <c r="A10" s="118" t="s">
        <v>195</v>
      </c>
      <c r="B10" s="118"/>
      <c r="C10" s="119" t="str">
        <f>IFERROR(VLOOKUP(B1,RegistrodeEntradas!B2:FK1048576,4,0),"")</f>
        <v xml:space="preserve">ALFREDO AGUILAR </v>
      </c>
      <c r="D10" s="119"/>
      <c r="E10" s="119"/>
      <c r="F10" s="119"/>
      <c r="G10" s="119"/>
      <c r="H10" s="119"/>
    </row>
    <row r="11" spans="1:8" x14ac:dyDescent="0.25">
      <c r="A11" s="118" t="s">
        <v>196</v>
      </c>
      <c r="B11" s="118"/>
      <c r="C11" s="119" t="str">
        <f>IFERROR(VLOOKUP(B1,RegistrodeEntradas!B2:FK1048576,5,0),"")</f>
        <v>VICTOR BARBA</v>
      </c>
      <c r="D11" s="119"/>
      <c r="E11" s="119"/>
      <c r="F11" s="119"/>
      <c r="G11" s="119"/>
      <c r="H11" s="119"/>
    </row>
    <row r="12" spans="1:8" x14ac:dyDescent="0.25">
      <c r="A12" s="118" t="s">
        <v>197</v>
      </c>
      <c r="B12" s="118"/>
      <c r="C12" s="119" t="str">
        <f>IFERROR(VLOOKUP(B1,RegistrodeEntradas!B2:FK1048576,6,0),"")</f>
        <v xml:space="preserve">ROCIO HERNANDEZ </v>
      </c>
      <c r="D12" s="119"/>
      <c r="E12" s="119"/>
      <c r="F12" s="119"/>
      <c r="G12" s="119"/>
      <c r="H12" s="119"/>
    </row>
    <row r="13" spans="1:8" x14ac:dyDescent="0.25">
      <c r="A13" s="60" t="s">
        <v>198</v>
      </c>
      <c r="B13" s="60" t="s">
        <v>34</v>
      </c>
      <c r="C13" s="60" t="s">
        <v>4</v>
      </c>
      <c r="D13" s="60" t="s">
        <v>23</v>
      </c>
      <c r="E13" s="60" t="s">
        <v>35</v>
      </c>
      <c r="F13" s="60" t="s">
        <v>36</v>
      </c>
      <c r="G13" s="60" t="s">
        <v>212</v>
      </c>
      <c r="H13" s="60" t="s">
        <v>37</v>
      </c>
    </row>
    <row r="14" spans="1:8" x14ac:dyDescent="0.25">
      <c r="A14" s="100" t="str">
        <f>IFERROR(VLOOKUP(B1,RegistrodeEntradas!B2:FK1048576,7,0),"")</f>
        <v>YEPI</v>
      </c>
      <c r="B14" s="100" t="str">
        <f>IFERROR(VLOOKUP(B1,RegistrodeEntradas!B2:FK1048576,8,0),"")</f>
        <v xml:space="preserve">YESO PIEDRA </v>
      </c>
      <c r="C14" s="100" t="str">
        <f>IFERROR(VLOOKUP(B1,RegistrodeEntradas!B2:FK1048576,9,0),"")</f>
        <v>KG</v>
      </c>
      <c r="D14" s="100">
        <f>IFERROR(VLOOKUP(B1,RegistrodeEntradas!B2:FK1048576,10,0),"")</f>
        <v>8</v>
      </c>
      <c r="E14" s="100">
        <f>IFERROR(VLOOKUP(B1,RegistrodeEntradas!B2:FK1048576,11,0),"")</f>
        <v>0</v>
      </c>
      <c r="F14" s="100">
        <f>IFERROR(VLOOKUP(B1,RegistrodeEntradas!B2:FK1048576,12,0),"")</f>
        <v>0</v>
      </c>
      <c r="G14" s="100" t="str">
        <f>IFERROR(VLOOKUP(B1,RegistrodeEntradas!B2:FK1048576,13,0),"")</f>
        <v xml:space="preserve">ALMACEN </v>
      </c>
      <c r="H14" s="100" t="str">
        <f>IFERROR(VLOOKUP(B1,RegistrodeEntradas!B2:FK1048576,14,0),"")</f>
        <v xml:space="preserve">ALMACEN </v>
      </c>
    </row>
    <row r="15" spans="1:8" x14ac:dyDescent="0.25">
      <c r="A15" s="100" t="str">
        <f>IFERROR(VLOOKUP(B1,RegistrodeEntradas!B2:FK1048576,15,0),"")</f>
        <v>DURNE</v>
      </c>
      <c r="B15" s="100" t="str">
        <f>IFERROR(VLOOKUP(B1,RegistrodeEntradas!B2:FK1048576,16,0),"")</f>
        <v>DURETAN NEGRO</v>
      </c>
      <c r="C15" s="100" t="str">
        <f>IFERROR(VLOOKUP(B1,RegistrodeEntradas!B2:FK1048576,17,0),"")</f>
        <v>PIEZA</v>
      </c>
      <c r="D15" s="100">
        <f>IFERROR(VLOOKUP(B1,RegistrodeEntradas!B2:FK1048576,18,0),"")</f>
        <v>6</v>
      </c>
      <c r="E15" s="100">
        <f>IFERROR(VLOOKUP(B1,RegistrodeEntradas!B2:FK1048576,19,0),"")</f>
        <v>0</v>
      </c>
      <c r="F15" s="100">
        <f>IFERROR(VLOOKUP(B1,RegistrodeEntradas!B2:FK1048576,20,0),"")</f>
        <v>0</v>
      </c>
      <c r="G15" s="100" t="str">
        <f>IFERROR(VLOOKUP(B1,RegistrodeEntradas!B2:FK1048576,21,0),"")</f>
        <v xml:space="preserve">ALMACEN </v>
      </c>
      <c r="H15" s="100" t="str">
        <f>IFERROR(VLOOKUP(B1,RegistrodeEntradas!B2:FK1048576,22,0),"")</f>
        <v>ALMACEN</v>
      </c>
    </row>
    <row r="16" spans="1:8" x14ac:dyDescent="0.25">
      <c r="A16" s="100" t="str">
        <f>IFERROR(VLOOKUP(B1,RegistrodeEntradas!B2:FK1048576,23,0),"")</f>
        <v>SATR</v>
      </c>
      <c r="B16" s="100" t="str">
        <f>IFERROR(VLOOKUP(B1,RegistrodeEntradas!B2:FK1048576,24,0),"")</f>
        <v xml:space="preserve">SILICON ARQUITECTONICO </v>
      </c>
      <c r="C16" s="100" t="str">
        <f>IFERROR(VLOOKUP(B1,RegistrodeEntradas!B2:FK1048576,25,0),"")</f>
        <v>PZA</v>
      </c>
      <c r="D16" s="100">
        <f>IFERROR(VLOOKUP(B1,RegistrodeEntradas!B2:FK1048576,26,0),"")</f>
        <v>1</v>
      </c>
      <c r="E16" s="100">
        <f>IFERROR(VLOOKUP(B1,RegistrodeEntradas!B2:FK1048576,27,0),"")</f>
        <v>0</v>
      </c>
      <c r="F16" s="100">
        <f>IFERROR(VLOOKUP(B1,RegistrodeEntradas!B2:FK1048576,28,0),"")</f>
        <v>0</v>
      </c>
      <c r="G16" s="100" t="str">
        <f>IFERROR(VLOOKUP(B1,RegistrodeEntradas!B2:FK1048576,29,0),"")</f>
        <v xml:space="preserve">ALMACEN </v>
      </c>
      <c r="H16" s="100" t="str">
        <f>IFERROR(VLOOKUP(B1,RegistrodeEntradas!B2:FK1048576,30,0),"")</f>
        <v>ALMACEN</v>
      </c>
    </row>
    <row r="17" spans="1:8" x14ac:dyDescent="0.25">
      <c r="A17" s="100">
        <f>IFERROR(VLOOKUP(B1,RegistrodeEntradas!B2:FK1048576,31,0),"")</f>
        <v>0</v>
      </c>
      <c r="B17" s="100">
        <f>IFERROR(VLOOKUP(B1,RegistrodeEntradas!B2:FK1048576,32,0),"")</f>
        <v>0</v>
      </c>
      <c r="C17" s="100">
        <f>IFERROR(VLOOKUP(B1,RegistrodeEntradas!B2:FK1048576,33,0),"")</f>
        <v>0</v>
      </c>
      <c r="D17" s="100">
        <f>IFERROR(VLOOKUP(B1,RegistrodeEntradas!B2:FK1048576,34,0),"")</f>
        <v>0</v>
      </c>
      <c r="E17" s="100">
        <f>IFERROR(VLOOKUP(B1,RegistrodeEntradas!B2:FK1048576,35,0),"")</f>
        <v>0</v>
      </c>
      <c r="F17" s="100">
        <f>IFERROR(VLOOKUP(B1,RegistrodeEntradas!B2:FK1048576,36,0),"")</f>
        <v>0</v>
      </c>
      <c r="G17" s="100">
        <f>IFERROR(VLOOKUP(B1,RegistrodeEntradas!B2:FK1048576,37,0),"")</f>
        <v>0</v>
      </c>
      <c r="H17" s="100">
        <f>IFERROR(VLOOKUP(B1,RegistrodeEntradas!B2:FK1048576,38,0),"")</f>
        <v>0</v>
      </c>
    </row>
    <row r="18" spans="1:8" x14ac:dyDescent="0.25">
      <c r="A18" s="100">
        <f>IFERROR(VLOOKUP(B1,RegistrodeEntradas!B2:FK1048576,39,0),"")</f>
        <v>0</v>
      </c>
      <c r="B18" s="100">
        <f>IFERROR(VLOOKUP(B1,RegistrodeEntradas!B2:FK1048576,40,0),"")</f>
        <v>0</v>
      </c>
      <c r="C18" s="100">
        <f>IFERROR(VLOOKUP(B1,RegistrodeEntradas!B2:FK1048576,41,0),"")</f>
        <v>0</v>
      </c>
      <c r="D18" s="100">
        <f>IFERROR(VLOOKUP(B1,RegistrodeEntradas!B2:FK1048576,42,0),"")</f>
        <v>0</v>
      </c>
      <c r="E18" s="100">
        <f>IFERROR(VLOOKUP(B1,RegistrodeEntradas!B2:FK1048576,43,0),"")</f>
        <v>0</v>
      </c>
      <c r="F18" s="100">
        <f>IFERROR(VLOOKUP(B1,RegistrodeEntradas!B2:FK1048576,44,0),"")</f>
        <v>0</v>
      </c>
      <c r="G18" s="100">
        <f>IFERROR(VLOOKUP(B1,RegistrodeEntradas!B2:FK1048576,45,0),"")</f>
        <v>0</v>
      </c>
      <c r="H18" s="100">
        <f>IFERROR(VLOOKUP(B1,RegistrodeEntradas!B2:FK1048576,46,0),"")</f>
        <v>0</v>
      </c>
    </row>
    <row r="19" spans="1:8" x14ac:dyDescent="0.25">
      <c r="A19" s="100">
        <f>IFERROR(VLOOKUP(B1,RegistrodeEntradas!B2:FK1048576,47,0),"")</f>
        <v>0</v>
      </c>
      <c r="B19" s="100">
        <f>IFERROR(VLOOKUP(B1,RegistrodeEntradas!B2:FK1048576,48,0),"")</f>
        <v>0</v>
      </c>
      <c r="C19" s="100">
        <f>IFERROR(VLOOKUP(B1,RegistrodeEntradas!B2:FK1048576,49,0),"")</f>
        <v>0</v>
      </c>
      <c r="D19" s="100">
        <f>IFERROR(VLOOKUP(B1,RegistrodeEntradas!B2:FK1048576,50,0),"")</f>
        <v>0</v>
      </c>
      <c r="E19" s="100">
        <f>IFERROR(VLOOKUP(B1,RegistrodeEntradas!B2:FK1048576,51,0),"")</f>
        <v>0</v>
      </c>
      <c r="F19" s="100">
        <f>IFERROR(VLOOKUP(B1,RegistrodeEntradas!B2:FK1048576,52,0),"")</f>
        <v>0</v>
      </c>
      <c r="G19" s="100">
        <f>IFERROR(VLOOKUP(B1,RegistrodeEntradas!B2:FK1048576,53,0),"")</f>
        <v>0</v>
      </c>
      <c r="H19" s="100">
        <f>IFERROR(VLOOKUP(B1,RegistrodeEntradas!B2:FK1048576,54,0),"")</f>
        <v>0</v>
      </c>
    </row>
    <row r="20" spans="1:8" x14ac:dyDescent="0.25">
      <c r="A20" s="100">
        <f>IFERROR(VLOOKUP(B1,RegistrodeEntradas!B2:FK1048576,55,0),"")</f>
        <v>0</v>
      </c>
      <c r="B20" s="100">
        <f>IFERROR(VLOOKUP(B1,RegistrodeEntradas!B2:FK1048576,56,0),"")</f>
        <v>0</v>
      </c>
      <c r="C20" s="100">
        <f>IFERROR(VLOOKUP(B1,RegistrodeEntradas!B2:FK1048576,57,0),"")</f>
        <v>0</v>
      </c>
      <c r="D20" s="100">
        <f>IFERROR(VLOOKUP(B1,RegistrodeEntradas!B2:FK1048576,58,0),"")</f>
        <v>0</v>
      </c>
      <c r="E20" s="100">
        <f>IFERROR(VLOOKUP(B1,RegistrodeEntradas!B2:FK1048576,59,0),"")</f>
        <v>0</v>
      </c>
      <c r="F20" s="100">
        <f>IFERROR(VLOOKUP(B1,RegistrodeEntradas!B2:FK1048576,60,0),"")</f>
        <v>0</v>
      </c>
      <c r="G20" s="100">
        <f>IFERROR(VLOOKUP(B1,RegistrodeEntradas!B2:FK1048576,61,0),"")</f>
        <v>0</v>
      </c>
      <c r="H20" s="100">
        <f>IFERROR(VLOOKUP(B1,RegistrodeEntradas!B2:FK1048576,62,0),"")</f>
        <v>0</v>
      </c>
    </row>
    <row r="21" spans="1:8" x14ac:dyDescent="0.25">
      <c r="A21" s="100">
        <f>IFERROR(VLOOKUP(B1,RegistrodeEntradas!B2:FK1048576,63,0),"")</f>
        <v>0</v>
      </c>
      <c r="B21" s="100">
        <f>IFERROR(VLOOKUP(B1,RegistrodeEntradas!B2:FK1048576,64,0),"")</f>
        <v>0</v>
      </c>
      <c r="C21" s="100">
        <f>IFERROR(VLOOKUP(B1,RegistrodeEntradas!B2:FK1048576,65,0),"")</f>
        <v>0</v>
      </c>
      <c r="D21" s="100">
        <f>IFERROR(VLOOKUP(B1,RegistrodeEntradas!B2:FK1048576,66,0),"")</f>
        <v>0</v>
      </c>
      <c r="E21" s="100">
        <f>IFERROR(VLOOKUP(B1,RegistrodeEntradas!B2:FK1048576,67,0),"")</f>
        <v>0</v>
      </c>
      <c r="F21" s="100">
        <f>IFERROR(VLOOKUP(B1,RegistrodeEntradas!B2:FK1048576,68,0),"")</f>
        <v>0</v>
      </c>
      <c r="G21" s="100">
        <f>IFERROR(VLOOKUP(B1,RegistrodeEntradas!B2:FK1048576,69,0),"")</f>
        <v>0</v>
      </c>
      <c r="H21" s="100">
        <f>IFERROR(VLOOKUP(B1,RegistrodeEntradas!B2:FK1048576,70,0),"")</f>
        <v>0</v>
      </c>
    </row>
    <row r="22" spans="1:8" x14ac:dyDescent="0.25">
      <c r="A22" s="100">
        <f>IFERROR(VLOOKUP(B1,RegistrodeEntradas!B2:FK1048576,71,0),"")</f>
        <v>0</v>
      </c>
      <c r="B22" s="100">
        <f>IFERROR(VLOOKUP(B1,RegistrodeEntradas!B2:FK1048576,72,0),"")</f>
        <v>0</v>
      </c>
      <c r="C22" s="100">
        <f>IFERROR(VLOOKUP(B1,RegistrodeEntradas!B2:FK1048576,73,0),"")</f>
        <v>0</v>
      </c>
      <c r="D22" s="100">
        <f>IFERROR(VLOOKUP(B1,RegistrodeEntradas!B2:FK1048576,74,0),"")</f>
        <v>0</v>
      </c>
      <c r="E22" s="100">
        <f>IFERROR(VLOOKUP(B1,RegistrodeEntradas!B2:FK1048576,75,0),"")</f>
        <v>0</v>
      </c>
      <c r="F22" s="100">
        <f>IFERROR(VLOOKUP(B1,RegistrodeEntradas!B2:FK1048576,76,0),"")</f>
        <v>0</v>
      </c>
      <c r="G22" s="100">
        <f>IFERROR(VLOOKUP(B1,RegistrodeEntradas!B2:FK1048576,77,0),"")</f>
        <v>0</v>
      </c>
      <c r="H22" s="100">
        <f>IFERROR(VLOOKUP(B1,RegistrodeEntradas!B2:FK1048576,78,0),"")</f>
        <v>0</v>
      </c>
    </row>
    <row r="23" spans="1:8" x14ac:dyDescent="0.25">
      <c r="A23" s="100">
        <f>IFERROR(VLOOKUP(B1,RegistrodeEntradas!B2:FK1048576,79,0),"")</f>
        <v>0</v>
      </c>
      <c r="B23" s="100">
        <f>IFERROR(VLOOKUP(B1,RegistrodeEntradas!B2:FK1048576,80,0),"")</f>
        <v>0</v>
      </c>
      <c r="C23" s="100">
        <f>IFERROR(VLOOKUP(B1,RegistrodeEntradas!B2:FK1048576,81,0),"")</f>
        <v>0</v>
      </c>
      <c r="D23" s="100">
        <f>IFERROR(VLOOKUP(B1,RegistrodeEntradas!B2:FK1048576,82,0),"")</f>
        <v>0</v>
      </c>
      <c r="E23" s="100">
        <f>IFERROR(VLOOKUP(B1,RegistrodeEntradas!B2:FK1048576,83,0),"")</f>
        <v>0</v>
      </c>
      <c r="F23" s="100">
        <f>IFERROR(VLOOKUP(B1,RegistrodeEntradas!B2:FK1048576,84,0),"")</f>
        <v>0</v>
      </c>
      <c r="G23" s="100">
        <f>IFERROR(VLOOKUP(B1,RegistrodeEntradas!B2:FK1048576,85,0),"")</f>
        <v>0</v>
      </c>
      <c r="H23" s="100">
        <f>IFERROR(VLOOKUP(B1,RegistrodeEntradas!B2:FK1048576,86,0),"")</f>
        <v>0</v>
      </c>
    </row>
    <row r="24" spans="1:8" x14ac:dyDescent="0.25">
      <c r="A24" s="100">
        <f>IFERROR(VLOOKUP(B1,RegistrodeEntradas!B2:FK1048576,87,0),"")</f>
        <v>0</v>
      </c>
      <c r="B24" s="100">
        <f>IFERROR(VLOOKUP(B1,RegistrodeEntradas!B2:FK1048576,88,0),"")</f>
        <v>0</v>
      </c>
      <c r="C24" s="100">
        <f>IFERROR(VLOOKUP(B1,RegistrodeEntradas!B2:FK1048576,89,0),"")</f>
        <v>0</v>
      </c>
      <c r="D24" s="100">
        <f>IFERROR(VLOOKUP(B1,RegistrodeEntradas!B2:FK1048576,90,0),"")</f>
        <v>0</v>
      </c>
      <c r="E24" s="100">
        <f>IFERROR(VLOOKUP(B1,RegistrodeEntradas!B2:FK1048576,91,0),"")</f>
        <v>0</v>
      </c>
      <c r="F24" s="100">
        <f>IFERROR(VLOOKUP(B1,RegistrodeEntradas!B2:FK1048576,92,0),"")</f>
        <v>0</v>
      </c>
      <c r="G24" s="100">
        <f>IFERROR(VLOOKUP(B1,RegistrodeEntradas!B2:FK1048576,93,0),"")</f>
        <v>0</v>
      </c>
      <c r="H24" s="100">
        <f>IFERROR(VLOOKUP(B1,RegistrodeEntradas!B2:FK1048576,94,0),"")</f>
        <v>0</v>
      </c>
    </row>
    <row r="25" spans="1:8" x14ac:dyDescent="0.25">
      <c r="A25" s="100">
        <f>IFERROR(VLOOKUP(B1,RegistrodeEntradas!B2:FK1048576,95,0),"")</f>
        <v>0</v>
      </c>
      <c r="B25" s="100">
        <f>IFERROR(VLOOKUP(B1,RegistrodeEntradas!B2:FK1048576,96,0),"")</f>
        <v>0</v>
      </c>
      <c r="C25" s="100">
        <f>IFERROR(VLOOKUP(B1,RegistrodeEntradas!B2:FK1048576,97,0),"")</f>
        <v>0</v>
      </c>
      <c r="D25" s="100">
        <f>IFERROR(VLOOKUP(B1,RegistrodeEntradas!B2:FK1048576,98,0),"")</f>
        <v>0</v>
      </c>
      <c r="E25" s="100">
        <f>IFERROR(VLOOKUP(B1,RegistrodeEntradas!B2:FK1048576,99,0),"")</f>
        <v>0</v>
      </c>
      <c r="F25" s="100">
        <f>IFERROR(VLOOKUP(B1,RegistrodeEntradas!B2:FK1048576,100,0),"")</f>
        <v>0</v>
      </c>
      <c r="G25" s="100">
        <f>IFERROR(VLOOKUP(B1,RegistrodeEntradas!B2:FK1048576,101,0),"")</f>
        <v>0</v>
      </c>
      <c r="H25" s="100">
        <f>IFERROR(VLOOKUP(B1,RegistrodeEntradas!B2:FK1048576,102,0),"")</f>
        <v>0</v>
      </c>
    </row>
    <row r="26" spans="1:8" x14ac:dyDescent="0.25">
      <c r="A26" s="100">
        <f>IFERROR(VLOOKUP(B1,RegistrodeEntradas!B2:FK1048576,103,0),"")</f>
        <v>0</v>
      </c>
      <c r="B26" s="100">
        <f>IFERROR(VLOOKUP(B1,RegistrodeEntradas!B2:FK1048576,104,0),"")</f>
        <v>0</v>
      </c>
      <c r="C26" s="100">
        <f>IFERROR(VLOOKUP(B1,RegistrodeEntradas!B2:FK1048576,105,0),"")</f>
        <v>0</v>
      </c>
      <c r="D26" s="100">
        <f>IFERROR(VLOOKUP(B1,RegistrodeEntradas!B2:FK1048576,106,0),"")</f>
        <v>0</v>
      </c>
      <c r="E26" s="100">
        <f>IFERROR(VLOOKUP(B1,RegistrodeEntradas!B2:FK1048576,107,0),"")</f>
        <v>0</v>
      </c>
      <c r="F26" s="100">
        <f>IFERROR(VLOOKUP(B1,RegistrodeEntradas!B2:FK1048576,108,0),"")</f>
        <v>0</v>
      </c>
      <c r="G26" s="100">
        <f>IFERROR(VLOOKUP(B1,RegistrodeEntradas!B2:FK1048576,109,0),"")</f>
        <v>0</v>
      </c>
      <c r="H26" s="100">
        <f>IFERROR(VLOOKUP(B1,RegistrodeEntradas!B2:FK1048576,110,0),"")</f>
        <v>0</v>
      </c>
    </row>
    <row r="27" spans="1:8" x14ac:dyDescent="0.25">
      <c r="A27" s="100">
        <f>IFERROR(VLOOKUP(B1,RegistrodeEntradas!B2:FK1048576,111,0),"")</f>
        <v>0</v>
      </c>
      <c r="B27" s="100">
        <f>IFERROR(VLOOKUP(B1,RegistrodeEntradas!B2:FK1048576,112,0),"")</f>
        <v>0</v>
      </c>
      <c r="C27" s="100">
        <f>IFERROR(VLOOKUP(B1,RegistrodeEntradas!B2:FK1048576,113,0),"")</f>
        <v>0</v>
      </c>
      <c r="D27" s="100">
        <f>IFERROR(VLOOKUP(B1,RegistrodeEntradas!B2:FK1048576,114,0),"")</f>
        <v>0</v>
      </c>
      <c r="E27" s="100">
        <f>IFERROR(VLOOKUP(B1,RegistrodeEntradas!B2:FK1048576,115,0),"")</f>
        <v>0</v>
      </c>
      <c r="F27" s="100">
        <f>IFERROR(VLOOKUP(B1,RegistrodeEntradas!B2:FK1048576,116,0),"")</f>
        <v>0</v>
      </c>
      <c r="G27" s="100">
        <f>IFERROR(VLOOKUP(B1,RegistrodeEntradas!B2:FK1048576,117,0),"")</f>
        <v>0</v>
      </c>
      <c r="H27" s="100">
        <f>IFERROR(VLOOKUP(B1,RegistrodeEntradas!B2:FK1048576,118,0),"")</f>
        <v>0</v>
      </c>
    </row>
    <row r="28" spans="1:8" x14ac:dyDescent="0.25">
      <c r="A28" s="100">
        <f>IFERROR(VLOOKUP(B1,RegistrodeEntradas!B2:FK1048576,119,0),"")</f>
        <v>0</v>
      </c>
      <c r="B28" s="100">
        <f>IFERROR(VLOOKUP(B1,RegistrodeEntradas!B2:FK1048576,120,0),"")</f>
        <v>0</v>
      </c>
      <c r="C28" s="100">
        <f>IFERROR(VLOOKUP(B1,RegistrodeEntradas!B2:FK1048576,121,0),"")</f>
        <v>0</v>
      </c>
      <c r="D28" s="100">
        <f>IFERROR(VLOOKUP(B1,RegistrodeEntradas!B2:FK1048576,122,0),"")</f>
        <v>0</v>
      </c>
      <c r="E28" s="100">
        <f>IFERROR(VLOOKUP(B1,RegistrodeEntradas!B2:FK1048576,123,0),"")</f>
        <v>0</v>
      </c>
      <c r="F28" s="100">
        <f>IFERROR(VLOOKUP(B1,RegistrodeEntradas!B2:FK1048576,124,0),"")</f>
        <v>0</v>
      </c>
      <c r="G28" s="100">
        <f>IFERROR(VLOOKUP(B1,RegistrodeEntradas!B2:FK1048576,125,0),"")</f>
        <v>0</v>
      </c>
      <c r="H28" s="100">
        <f>IFERROR(VLOOKUP(B1,RegistrodeEntradas!B2:FK1048576,126,0),"")</f>
        <v>0</v>
      </c>
    </row>
    <row r="29" spans="1:8" x14ac:dyDescent="0.25">
      <c r="A29" s="100">
        <f>IFERROR(VLOOKUP(B1,RegistrodeEntradas!B2:FK1048576,127,0),"")</f>
        <v>0</v>
      </c>
      <c r="B29" s="100">
        <f>IFERROR(VLOOKUP(B1,RegistrodeEntradas!B2:FK1048576,128,0),"")</f>
        <v>0</v>
      </c>
      <c r="C29" s="100">
        <f>IFERROR(VLOOKUP(B1,RegistrodeEntradas!B2:FK1048576,129,0),"")</f>
        <v>0</v>
      </c>
      <c r="D29" s="100">
        <f>IFERROR(VLOOKUP(B1,RegistrodeEntradas!B2:FK1048576,130,0),"")</f>
        <v>0</v>
      </c>
      <c r="E29" s="100">
        <f>IFERROR(VLOOKUP(B1,RegistrodeEntradas!B2:FK1048576,131,0),"")</f>
        <v>0</v>
      </c>
      <c r="F29" s="100">
        <f>IFERROR(VLOOKUP(B1,RegistrodeEntradas!B2:FK1048576,132,0),"")</f>
        <v>0</v>
      </c>
      <c r="G29" s="100">
        <f>IFERROR(VLOOKUP(B1,RegistrodeEntradas!B2:FK1048576,133,0),"")</f>
        <v>0</v>
      </c>
      <c r="H29" s="100">
        <f>IFERROR(VLOOKUP(B1,RegistrodeEntradas!B2:FK1048576,134,0),"")</f>
        <v>0</v>
      </c>
    </row>
    <row r="30" spans="1:8" x14ac:dyDescent="0.25">
      <c r="A30" s="100">
        <f>IFERROR(VLOOKUP(B1,RegistrodeEntradas!B2:FK1048576,135,0),"")</f>
        <v>0</v>
      </c>
      <c r="B30" s="100">
        <f>IFERROR(VLOOKUP(B1,RegistrodeEntradas!B2:FK1048576,136,0),"")</f>
        <v>0</v>
      </c>
      <c r="C30" s="100">
        <f>IFERROR(VLOOKUP(B1,RegistrodeEntradas!B2:FK1048576,137,0),"")</f>
        <v>0</v>
      </c>
      <c r="D30" s="100">
        <f>IFERROR(VLOOKUP(B1,RegistrodeEntradas!B2:FK1048576,138,0),"")</f>
        <v>0</v>
      </c>
      <c r="E30" s="100">
        <f>IFERROR(VLOOKUP(B1,RegistrodeEntradas!B2:FK1048576,139,0),"")</f>
        <v>0</v>
      </c>
      <c r="F30" s="100">
        <f>IFERROR(VLOOKUP(B1,RegistrodeEntradas!B2:FK1048576,140,0),"")</f>
        <v>0</v>
      </c>
      <c r="G30" s="100">
        <f>IFERROR(VLOOKUP(B1,RegistrodeEntradas!B2:FK1048576,141,0),"")</f>
        <v>0</v>
      </c>
      <c r="H30" s="100">
        <f>IFERROR(VLOOKUP(B1,RegistrodeEntradas!B2:FK1048576,142,0),"")</f>
        <v>0</v>
      </c>
    </row>
    <row r="31" spans="1:8" x14ac:dyDescent="0.25">
      <c r="A31" s="100">
        <f>IFERROR(VLOOKUP(B1,RegistrodeEntradas!B2:FK1048576,143,0),"")</f>
        <v>0</v>
      </c>
      <c r="B31" s="100">
        <f>IFERROR(VLOOKUP(B1,RegistrodeEntradas!B2:FK1048576,144,0),"")</f>
        <v>0</v>
      </c>
      <c r="C31" s="100">
        <f>IFERROR(VLOOKUP(B1,RegistrodeEntradas!B2:FK1048576,145,0),"")</f>
        <v>0</v>
      </c>
      <c r="D31" s="100">
        <f>IFERROR(VLOOKUP(B1,RegistrodeEntradas!B2:FK1048576,146,0),"")</f>
        <v>0</v>
      </c>
      <c r="E31" s="100">
        <f>IFERROR(VLOOKUP(B1,RegistrodeEntradas!B2:FK1048576,147,0),"")</f>
        <v>0</v>
      </c>
      <c r="F31" s="100">
        <f>IFERROR(VLOOKUP(B1,RegistrodeEntradas!B2:FK1048576,148,0),"")</f>
        <v>0</v>
      </c>
      <c r="G31" s="100">
        <f>IFERROR(VLOOKUP(B1,RegistrodeEntradas!B2:FK1048576,149,0),"")</f>
        <v>0</v>
      </c>
      <c r="H31" s="100">
        <f>IFERROR(VLOOKUP(B1,RegistrodeEntradas!B2:FK1048576,150,0),"")</f>
        <v>0</v>
      </c>
    </row>
    <row r="32" spans="1:8" x14ac:dyDescent="0.25">
      <c r="A32" s="100">
        <f>IFERROR(VLOOKUP(B1,RegistrodeEntradas!B2:FK1048576,151,0),"")</f>
        <v>0</v>
      </c>
      <c r="B32" s="100">
        <f>IFERROR(VLOOKUP(B1,RegistrodeEntradas!B2:FK1048576,152,0),"")</f>
        <v>0</v>
      </c>
      <c r="C32" s="100">
        <f>IFERROR(VLOOKUP(B1,RegistrodeEntradas!B2:FK1048576,153,0),"")</f>
        <v>0</v>
      </c>
      <c r="D32" s="100">
        <f>IFERROR(VLOOKUP(B1,RegistrodeEntradas!B2:FK1048576,154,0),"")</f>
        <v>0</v>
      </c>
      <c r="E32" s="100">
        <f>IFERROR(VLOOKUP(B1,RegistrodeEntradas!B2:FK1048576,155,0),"")</f>
        <v>0</v>
      </c>
      <c r="F32" s="100">
        <f>IFERROR(VLOOKUP(B1,RegistrodeEntradas!B2:FK1048576,156,0),"")</f>
        <v>0</v>
      </c>
      <c r="G32" s="100">
        <f>IFERROR(VLOOKUP(B1,RegistrodeEntradas!B2:FK1048576,157,0),"")</f>
        <v>0</v>
      </c>
      <c r="H32" s="100">
        <f>IFERROR(VLOOKUP(B1,RegistrodeEntradas!B2:FK1048576,158,0),"")</f>
        <v>0</v>
      </c>
    </row>
    <row r="33" spans="1:8" x14ac:dyDescent="0.25">
      <c r="A33" s="100">
        <f>IFERROR(VLOOKUP(B1,RegistrodeEntradas!B2:FK1048576,159,0),"")</f>
        <v>0</v>
      </c>
      <c r="B33" s="100">
        <f>IFERROR(VLOOKUP(B1,RegistrodeEntradas!B2:FK1048576,160,0),"")</f>
        <v>0</v>
      </c>
      <c r="C33" s="100">
        <f>IFERROR(VLOOKUP(B1,RegistrodeEntradas!B2:FK1048576,161,0),"")</f>
        <v>0</v>
      </c>
      <c r="D33" s="100">
        <f>IFERROR(VLOOKUP(B1,RegistrodeEntradas!B2:FK1048576,162,0),"")</f>
        <v>0</v>
      </c>
      <c r="E33" s="100">
        <f>IFERROR(VLOOKUP(B1,RegistrodeEntradas!B2:FK1048576,163,0),"")</f>
        <v>0</v>
      </c>
      <c r="F33" s="100">
        <f>IFERROR(VLOOKUP(B1,RegistrodeEntradas!B2:FK1048576,164,0),"")</f>
        <v>0</v>
      </c>
      <c r="G33" s="100">
        <f>IFERROR(VLOOKUP(B1,RegistrodeEntradas!B2:FK1048576,165,0),"")</f>
        <v>0</v>
      </c>
      <c r="H33" s="100">
        <f>IFERROR(VLOOKUP(B1,RegistrodeEntradas!B2:FK1048576,166,0),"")</f>
        <v>0</v>
      </c>
    </row>
    <row r="36" spans="1:8" x14ac:dyDescent="0.25">
      <c r="A36" s="123" t="s">
        <v>217</v>
      </c>
      <c r="B36" s="124"/>
      <c r="C36" s="124"/>
      <c r="D36" s="124"/>
      <c r="E36" s="124"/>
      <c r="F36" s="124"/>
      <c r="G36" s="124"/>
      <c r="H36" s="125"/>
    </row>
    <row r="37" spans="1:8" x14ac:dyDescent="0.25">
      <c r="A37" s="126" t="str">
        <f>IFERROR(VLOOKUP(B1,RegistrodeEntradas!B2:FN1048576,168,0),"")</f>
        <v xml:space="preserve">ALMACEN </v>
      </c>
      <c r="B37" s="127"/>
      <c r="C37" s="127"/>
      <c r="D37" s="127"/>
      <c r="E37" s="127"/>
      <c r="F37" s="127"/>
      <c r="G37" s="127"/>
      <c r="H37" s="128"/>
    </row>
    <row r="38" spans="1:8" x14ac:dyDescent="0.25">
      <c r="A38" s="126"/>
      <c r="B38" s="127"/>
      <c r="C38" s="127"/>
      <c r="D38" s="127"/>
      <c r="E38" s="127"/>
      <c r="F38" s="127"/>
      <c r="G38" s="127"/>
      <c r="H38" s="128"/>
    </row>
    <row r="39" spans="1:8" x14ac:dyDescent="0.25">
      <c r="A39" s="126"/>
      <c r="B39" s="127"/>
      <c r="C39" s="127"/>
      <c r="D39" s="127"/>
      <c r="E39" s="127"/>
      <c r="F39" s="127"/>
      <c r="G39" s="127"/>
      <c r="H39" s="128"/>
    </row>
    <row r="40" spans="1:8" x14ac:dyDescent="0.25">
      <c r="A40" s="129"/>
      <c r="B40" s="130"/>
      <c r="C40" s="130"/>
      <c r="D40" s="130"/>
      <c r="E40" s="130"/>
      <c r="F40" s="130"/>
      <c r="G40" s="130"/>
      <c r="H40" s="131"/>
    </row>
  </sheetData>
  <sheetProtection algorithmName="SHA-512" hashValue="nZqdj1of93AZLDwqFCuIuxRCo+AhKxBfNjwjqLEE+gxuGJuaXrL7EYcYhQam8tPaWzsWuOm2qlcRpFsjOe2H8A==" saltValue="P/AxpsdVcKtkNtNKamUJ2w==" spinCount="100000" sheet="1" objects="1" scenarios="1"/>
  <mergeCells count="14">
    <mergeCell ref="A36:H36"/>
    <mergeCell ref="A37:H40"/>
    <mergeCell ref="B7:C7"/>
    <mergeCell ref="D7:E7"/>
    <mergeCell ref="A8:B8"/>
    <mergeCell ref="C8:H8"/>
    <mergeCell ref="A9:B9"/>
    <mergeCell ref="C9:H9"/>
    <mergeCell ref="A10:B10"/>
    <mergeCell ref="C10:H10"/>
    <mergeCell ref="A11:B11"/>
    <mergeCell ref="C11:H11"/>
    <mergeCell ref="A12:B12"/>
    <mergeCell ref="C12:H12"/>
  </mergeCells>
  <pageMargins left="0.39370078740157499" right="0.39370078740157499" top="0.39370078740157499" bottom="0.39370078740157499" header="0.511811023622047" footer="0.511811023622047"/>
  <pageSetup orientation="portrait" horizontalDpi="360" verticalDpi="360" r:id="rId1"/>
  <headerFooter>
    <oddHeader>&amp;C
&amp;G</oddHeader>
  </headerFooter>
  <drawing r:id="rId2"/>
  <legacyDrawingHF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rgb="FF0070C0"/>
  </sheetPr>
  <dimension ref="A1:D395"/>
  <sheetViews>
    <sheetView view="pageLayout" zoomScaleNormal="100" workbookViewId="0">
      <selection activeCell="A3" sqref="A3"/>
    </sheetView>
  </sheetViews>
  <sheetFormatPr baseColWidth="10" defaultRowHeight="15" x14ac:dyDescent="0.25"/>
  <cols>
    <col min="1" max="1" width="40.140625" style="14" customWidth="1"/>
    <col min="2" max="2" width="7.7109375" style="14" customWidth="1"/>
    <col min="3" max="3" width="9" customWidth="1"/>
    <col min="4" max="4" width="35.85546875" customWidth="1"/>
  </cols>
  <sheetData>
    <row r="1" spans="1:4" x14ac:dyDescent="0.25">
      <c r="A1" s="85" t="s">
        <v>206</v>
      </c>
      <c r="B1" s="86" t="s">
        <v>207</v>
      </c>
      <c r="C1" s="86" t="s">
        <v>208</v>
      </c>
      <c r="D1" s="87" t="s">
        <v>209</v>
      </c>
    </row>
    <row r="2" spans="1:4" x14ac:dyDescent="0.25">
      <c r="A2" s="15"/>
      <c r="B2" s="33">
        <v>0</v>
      </c>
      <c r="C2" s="32"/>
      <c r="D2" s="33"/>
    </row>
    <row r="3" spans="1:4" x14ac:dyDescent="0.25">
      <c r="A3" s="84" t="s">
        <v>218</v>
      </c>
      <c r="B3" s="82">
        <v>0</v>
      </c>
      <c r="C3" s="81"/>
      <c r="D3" s="82"/>
    </row>
    <row r="4" spans="1:4" x14ac:dyDescent="0.25">
      <c r="A4" s="15" t="s">
        <v>224</v>
      </c>
      <c r="B4" s="33">
        <v>0</v>
      </c>
      <c r="C4" s="32"/>
      <c r="D4" s="33"/>
    </row>
    <row r="5" spans="1:4" x14ac:dyDescent="0.25">
      <c r="A5" s="102" t="s">
        <v>227</v>
      </c>
      <c r="B5" s="33">
        <v>0</v>
      </c>
      <c r="C5" s="32"/>
      <c r="D5" s="33"/>
    </row>
    <row r="6" spans="1:4" x14ac:dyDescent="0.25">
      <c r="A6" s="102" t="s">
        <v>232</v>
      </c>
      <c r="B6" s="33">
        <v>3</v>
      </c>
      <c r="C6" s="32"/>
      <c r="D6" s="33"/>
    </row>
    <row r="7" spans="1:4" x14ac:dyDescent="0.25">
      <c r="A7" s="102" t="s">
        <v>232</v>
      </c>
      <c r="B7" s="33">
        <v>1</v>
      </c>
      <c r="C7" s="32"/>
      <c r="D7" s="33"/>
    </row>
    <row r="8" spans="1:4" x14ac:dyDescent="0.25">
      <c r="A8" s="102" t="s">
        <v>236</v>
      </c>
      <c r="B8" s="33">
        <v>2</v>
      </c>
      <c r="C8" s="32"/>
      <c r="D8" s="33"/>
    </row>
    <row r="9" spans="1:4" x14ac:dyDescent="0.25">
      <c r="A9" s="102" t="s">
        <v>237</v>
      </c>
      <c r="B9" s="33">
        <v>0</v>
      </c>
      <c r="C9" s="32"/>
      <c r="D9" s="33"/>
    </row>
    <row r="10" spans="1:4" x14ac:dyDescent="0.25">
      <c r="A10" s="102" t="s">
        <v>241</v>
      </c>
      <c r="B10" s="33">
        <v>280</v>
      </c>
      <c r="C10" s="32"/>
      <c r="D10" s="33"/>
    </row>
    <row r="11" spans="1:4" x14ac:dyDescent="0.25">
      <c r="A11" s="102" t="s">
        <v>244</v>
      </c>
      <c r="B11" s="33">
        <v>400</v>
      </c>
      <c r="C11" s="32"/>
      <c r="D11" s="33"/>
    </row>
    <row r="12" spans="1:4" x14ac:dyDescent="0.25">
      <c r="A12" s="102" t="s">
        <v>246</v>
      </c>
      <c r="B12" s="33">
        <v>2</v>
      </c>
      <c r="C12" s="32"/>
      <c r="D12" s="33"/>
    </row>
    <row r="13" spans="1:4" x14ac:dyDescent="0.25">
      <c r="A13" s="102" t="s">
        <v>248</v>
      </c>
      <c r="B13" s="33">
        <v>1</v>
      </c>
      <c r="C13" s="32"/>
      <c r="D13" s="33"/>
    </row>
    <row r="14" spans="1:4" x14ac:dyDescent="0.25">
      <c r="A14" s="102" t="s">
        <v>250</v>
      </c>
      <c r="B14" s="33">
        <v>7</v>
      </c>
      <c r="C14" s="32"/>
      <c r="D14" s="33"/>
    </row>
    <row r="15" spans="1:4" x14ac:dyDescent="0.25">
      <c r="A15" s="102" t="s">
        <v>253</v>
      </c>
      <c r="B15" s="33">
        <v>5</v>
      </c>
      <c r="C15" s="32"/>
      <c r="D15" s="33"/>
    </row>
    <row r="16" spans="1:4" x14ac:dyDescent="0.25">
      <c r="A16" s="102" t="s">
        <v>253</v>
      </c>
      <c r="B16" s="33">
        <v>10</v>
      </c>
      <c r="C16" s="32"/>
      <c r="D16" s="33"/>
    </row>
    <row r="17" spans="1:4" x14ac:dyDescent="0.25">
      <c r="A17" s="102" t="s">
        <v>253</v>
      </c>
      <c r="B17" s="33">
        <v>10</v>
      </c>
      <c r="C17" s="32"/>
      <c r="D17" s="33"/>
    </row>
    <row r="18" spans="1:4" x14ac:dyDescent="0.25">
      <c r="A18" s="102" t="s">
        <v>259</v>
      </c>
      <c r="B18" s="33">
        <v>13</v>
      </c>
      <c r="C18" s="32"/>
      <c r="D18" s="33"/>
    </row>
    <row r="19" spans="1:4" x14ac:dyDescent="0.25">
      <c r="A19" s="102" t="s">
        <v>259</v>
      </c>
      <c r="B19" s="33">
        <v>4</v>
      </c>
      <c r="C19" s="32"/>
      <c r="D19" s="33"/>
    </row>
    <row r="20" spans="1:4" x14ac:dyDescent="0.25">
      <c r="A20" s="102" t="s">
        <v>264</v>
      </c>
      <c r="B20" s="33">
        <v>4</v>
      </c>
      <c r="C20" s="32"/>
      <c r="D20" s="33"/>
    </row>
    <row r="21" spans="1:4" x14ac:dyDescent="0.25">
      <c r="A21" s="102" t="s">
        <v>264</v>
      </c>
      <c r="B21" s="33">
        <v>1</v>
      </c>
      <c r="C21" s="32"/>
      <c r="D21" s="33"/>
    </row>
    <row r="22" spans="1:4" x14ac:dyDescent="0.25">
      <c r="A22" s="102" t="s">
        <v>267</v>
      </c>
      <c r="B22" s="33">
        <v>0</v>
      </c>
      <c r="C22" s="32"/>
      <c r="D22" s="33"/>
    </row>
    <row r="23" spans="1:4" x14ac:dyDescent="0.25">
      <c r="A23" s="102" t="s">
        <v>270</v>
      </c>
      <c r="B23" s="33">
        <v>1</v>
      </c>
      <c r="C23" s="32"/>
      <c r="D23" s="33"/>
    </row>
    <row r="24" spans="1:4" ht="30" x14ac:dyDescent="0.25">
      <c r="A24" s="102" t="s">
        <v>271</v>
      </c>
      <c r="B24" s="33">
        <v>0</v>
      </c>
      <c r="C24" s="32"/>
      <c r="D24" s="33"/>
    </row>
    <row r="25" spans="1:4" x14ac:dyDescent="0.25">
      <c r="A25" s="102" t="s">
        <v>274</v>
      </c>
      <c r="B25" s="33">
        <v>9</v>
      </c>
      <c r="C25" s="32"/>
      <c r="D25" s="33"/>
    </row>
    <row r="26" spans="1:4" ht="30" x14ac:dyDescent="0.25">
      <c r="A26" s="102" t="s">
        <v>276</v>
      </c>
      <c r="B26" s="33">
        <v>8</v>
      </c>
      <c r="C26" s="32"/>
      <c r="D26" s="33"/>
    </row>
    <row r="27" spans="1:4" x14ac:dyDescent="0.25">
      <c r="A27" s="102" t="s">
        <v>278</v>
      </c>
      <c r="B27" s="33">
        <v>2</v>
      </c>
      <c r="C27" s="32"/>
      <c r="D27" s="33"/>
    </row>
    <row r="28" spans="1:4" x14ac:dyDescent="0.25">
      <c r="A28" s="102" t="s">
        <v>282</v>
      </c>
      <c r="B28" s="33">
        <v>6</v>
      </c>
      <c r="C28" s="32"/>
      <c r="D28" s="33"/>
    </row>
    <row r="29" spans="1:4" x14ac:dyDescent="0.25">
      <c r="A29" s="102" t="s">
        <v>282</v>
      </c>
      <c r="B29" s="33">
        <v>2</v>
      </c>
      <c r="C29" s="32"/>
      <c r="D29" s="33"/>
    </row>
    <row r="30" spans="1:4" x14ac:dyDescent="0.25">
      <c r="A30" s="102" t="s">
        <v>285</v>
      </c>
      <c r="B30" s="33">
        <v>8</v>
      </c>
      <c r="C30" s="32"/>
      <c r="D30" s="33"/>
    </row>
    <row r="31" spans="1:4" x14ac:dyDescent="0.25">
      <c r="A31" s="102" t="s">
        <v>285</v>
      </c>
      <c r="B31" s="33">
        <v>1</v>
      </c>
      <c r="C31" s="32"/>
      <c r="D31" s="33"/>
    </row>
    <row r="32" spans="1:4" ht="30" x14ac:dyDescent="0.25">
      <c r="A32" s="102" t="s">
        <v>287</v>
      </c>
      <c r="B32" s="33">
        <v>1</v>
      </c>
      <c r="C32" s="32"/>
      <c r="D32" s="33"/>
    </row>
    <row r="33" spans="1:4" x14ac:dyDescent="0.25">
      <c r="A33" s="102" t="s">
        <v>289</v>
      </c>
      <c r="B33" s="33">
        <v>1</v>
      </c>
      <c r="C33" s="32"/>
      <c r="D33" s="33"/>
    </row>
    <row r="34" spans="1:4" x14ac:dyDescent="0.25">
      <c r="A34" s="102" t="s">
        <v>290</v>
      </c>
      <c r="B34" s="33">
        <v>1</v>
      </c>
      <c r="C34" s="32"/>
      <c r="D34" s="33"/>
    </row>
    <row r="35" spans="1:4" ht="30" x14ac:dyDescent="0.25">
      <c r="A35" s="102" t="s">
        <v>291</v>
      </c>
      <c r="B35" s="33">
        <v>1</v>
      </c>
      <c r="C35" s="32"/>
      <c r="D35" s="33"/>
    </row>
    <row r="36" spans="1:4" x14ac:dyDescent="0.25">
      <c r="A36" s="102" t="s">
        <v>292</v>
      </c>
      <c r="B36" s="33">
        <v>14</v>
      </c>
      <c r="C36" s="32"/>
      <c r="D36" s="33"/>
    </row>
    <row r="37" spans="1:4" x14ac:dyDescent="0.25">
      <c r="A37" s="102" t="s">
        <v>293</v>
      </c>
      <c r="B37" s="33">
        <v>24</v>
      </c>
      <c r="C37" s="32"/>
      <c r="D37" s="33"/>
    </row>
    <row r="38" spans="1:4" x14ac:dyDescent="0.25">
      <c r="A38" s="102" t="s">
        <v>295</v>
      </c>
      <c r="B38" s="33">
        <v>2</v>
      </c>
      <c r="C38" s="32"/>
      <c r="D38" s="33"/>
    </row>
    <row r="39" spans="1:4" x14ac:dyDescent="0.25">
      <c r="A39" s="102" t="s">
        <v>297</v>
      </c>
      <c r="B39" s="33">
        <v>1</v>
      </c>
      <c r="C39" s="32"/>
      <c r="D39" s="33"/>
    </row>
    <row r="40" spans="1:4" x14ac:dyDescent="0.25">
      <c r="A40" s="102" t="s">
        <v>299</v>
      </c>
      <c r="B40" s="33">
        <v>2</v>
      </c>
      <c r="C40" s="32"/>
      <c r="D40" s="33"/>
    </row>
    <row r="41" spans="1:4" x14ac:dyDescent="0.25">
      <c r="A41" s="102" t="s">
        <v>300</v>
      </c>
      <c r="B41" s="33">
        <v>4</v>
      </c>
      <c r="C41" s="32"/>
      <c r="D41" s="33"/>
    </row>
    <row r="42" spans="1:4" x14ac:dyDescent="0.25">
      <c r="A42" s="102" t="s">
        <v>301</v>
      </c>
      <c r="B42" s="33">
        <v>4</v>
      </c>
      <c r="C42" s="32"/>
      <c r="D42" s="33"/>
    </row>
    <row r="43" spans="1:4" x14ac:dyDescent="0.25">
      <c r="A43" s="102" t="s">
        <v>303</v>
      </c>
      <c r="B43" s="33">
        <v>6</v>
      </c>
      <c r="C43" s="32"/>
      <c r="D43" s="33"/>
    </row>
    <row r="44" spans="1:4" x14ac:dyDescent="0.25">
      <c r="A44" s="102" t="s">
        <v>304</v>
      </c>
      <c r="B44" s="33">
        <v>2</v>
      </c>
      <c r="C44" s="32"/>
      <c r="D44" s="33"/>
    </row>
    <row r="45" spans="1:4" x14ac:dyDescent="0.25">
      <c r="A45" s="102" t="s">
        <v>306</v>
      </c>
      <c r="B45" s="33">
        <v>26</v>
      </c>
      <c r="C45" s="32"/>
      <c r="D45" s="33"/>
    </row>
    <row r="46" spans="1:4" ht="30" x14ac:dyDescent="0.25">
      <c r="A46" s="102" t="s">
        <v>308</v>
      </c>
      <c r="B46" s="33">
        <v>3</v>
      </c>
      <c r="C46" s="32"/>
      <c r="D46" s="33"/>
    </row>
    <row r="47" spans="1:4" x14ac:dyDescent="0.25">
      <c r="A47" s="102" t="s">
        <v>310</v>
      </c>
      <c r="B47" s="33">
        <v>16</v>
      </c>
      <c r="C47" s="32"/>
      <c r="D47" s="33"/>
    </row>
    <row r="48" spans="1:4" x14ac:dyDescent="0.25">
      <c r="A48" s="102" t="s">
        <v>312</v>
      </c>
      <c r="B48" s="33">
        <v>8</v>
      </c>
      <c r="C48" s="32"/>
      <c r="D48" s="33"/>
    </row>
    <row r="49" spans="1:4" x14ac:dyDescent="0.25">
      <c r="A49" s="102" t="s">
        <v>314</v>
      </c>
      <c r="B49" s="33">
        <v>8</v>
      </c>
      <c r="C49" s="32"/>
      <c r="D49" s="33"/>
    </row>
    <row r="50" spans="1:4" x14ac:dyDescent="0.25">
      <c r="A50" s="102" t="s">
        <v>316</v>
      </c>
      <c r="B50" s="33">
        <v>0</v>
      </c>
      <c r="C50" s="32"/>
      <c r="D50" s="33"/>
    </row>
    <row r="51" spans="1:4" x14ac:dyDescent="0.25">
      <c r="A51" s="102" t="s">
        <v>317</v>
      </c>
      <c r="B51" s="33">
        <v>12</v>
      </c>
      <c r="C51" s="32"/>
      <c r="D51" s="33"/>
    </row>
    <row r="52" spans="1:4" x14ac:dyDescent="0.25">
      <c r="A52" s="102" t="s">
        <v>318</v>
      </c>
      <c r="B52" s="33">
        <v>67</v>
      </c>
      <c r="C52" s="32"/>
      <c r="D52" s="33"/>
    </row>
    <row r="53" spans="1:4" x14ac:dyDescent="0.25">
      <c r="A53" s="102" t="s">
        <v>320</v>
      </c>
      <c r="B53" s="33">
        <v>13</v>
      </c>
      <c r="C53" s="32"/>
      <c r="D53" s="33"/>
    </row>
    <row r="54" spans="1:4" x14ac:dyDescent="0.25">
      <c r="A54" s="102" t="s">
        <v>322</v>
      </c>
      <c r="B54" s="33">
        <v>5</v>
      </c>
      <c r="C54" s="32"/>
      <c r="D54" s="33"/>
    </row>
    <row r="55" spans="1:4" x14ac:dyDescent="0.25">
      <c r="A55" s="102" t="s">
        <v>324</v>
      </c>
      <c r="B55" s="33">
        <v>1</v>
      </c>
      <c r="C55" s="32"/>
      <c r="D55" s="33"/>
    </row>
    <row r="56" spans="1:4" x14ac:dyDescent="0.25">
      <c r="A56" s="102" t="s">
        <v>326</v>
      </c>
      <c r="B56" s="33">
        <v>2</v>
      </c>
      <c r="C56" s="32"/>
      <c r="D56" s="33"/>
    </row>
    <row r="57" spans="1:4" x14ac:dyDescent="0.25">
      <c r="A57" s="102" t="s">
        <v>328</v>
      </c>
      <c r="B57" s="33">
        <v>8</v>
      </c>
      <c r="C57" s="32"/>
      <c r="D57" s="33"/>
    </row>
    <row r="58" spans="1:4" x14ac:dyDescent="0.25">
      <c r="A58" s="102" t="s">
        <v>329</v>
      </c>
      <c r="B58" s="33">
        <v>28</v>
      </c>
      <c r="C58" s="32"/>
      <c r="D58" s="33"/>
    </row>
    <row r="59" spans="1:4" x14ac:dyDescent="0.25">
      <c r="A59" s="102" t="s">
        <v>330</v>
      </c>
      <c r="B59" s="33">
        <v>1</v>
      </c>
      <c r="C59" s="32"/>
      <c r="D59" s="33"/>
    </row>
    <row r="60" spans="1:4" x14ac:dyDescent="0.25">
      <c r="A60" s="102" t="s">
        <v>332</v>
      </c>
      <c r="B60" s="33">
        <v>1</v>
      </c>
      <c r="C60" s="32"/>
      <c r="D60" s="33"/>
    </row>
    <row r="61" spans="1:4" x14ac:dyDescent="0.25">
      <c r="A61" s="102" t="s">
        <v>334</v>
      </c>
      <c r="B61" s="33">
        <v>0</v>
      </c>
      <c r="C61" s="32"/>
      <c r="D61" s="33"/>
    </row>
    <row r="62" spans="1:4" x14ac:dyDescent="0.25">
      <c r="A62" s="102" t="s">
        <v>336</v>
      </c>
      <c r="B62" s="33">
        <v>1</v>
      </c>
      <c r="C62" s="32"/>
      <c r="D62" s="33"/>
    </row>
    <row r="63" spans="1:4" x14ac:dyDescent="0.25">
      <c r="A63" s="102" t="s">
        <v>338</v>
      </c>
      <c r="B63" s="33">
        <v>1</v>
      </c>
      <c r="C63" s="32"/>
      <c r="D63" s="33"/>
    </row>
    <row r="64" spans="1:4" x14ac:dyDescent="0.25">
      <c r="A64" s="102" t="s">
        <v>340</v>
      </c>
      <c r="B64" s="33">
        <v>4</v>
      </c>
      <c r="C64" s="32"/>
      <c r="D64" s="33"/>
    </row>
    <row r="65" spans="1:4" x14ac:dyDescent="0.25">
      <c r="A65" s="102" t="s">
        <v>341</v>
      </c>
      <c r="B65" s="33">
        <v>2</v>
      </c>
      <c r="C65" s="32"/>
      <c r="D65" s="33"/>
    </row>
    <row r="66" spans="1:4" x14ac:dyDescent="0.25">
      <c r="A66" s="102" t="s">
        <v>342</v>
      </c>
      <c r="B66" s="33">
        <v>3</v>
      </c>
      <c r="C66" s="32"/>
      <c r="D66" s="33"/>
    </row>
    <row r="67" spans="1:4" x14ac:dyDescent="0.25">
      <c r="A67" s="102" t="s">
        <v>343</v>
      </c>
      <c r="B67" s="33">
        <v>3</v>
      </c>
      <c r="C67" s="32"/>
      <c r="D67" s="33"/>
    </row>
    <row r="68" spans="1:4" x14ac:dyDescent="0.25">
      <c r="A68" s="102" t="s">
        <v>343</v>
      </c>
      <c r="B68" s="33">
        <v>2</v>
      </c>
      <c r="C68" s="32"/>
      <c r="D68" s="33"/>
    </row>
    <row r="69" spans="1:4" x14ac:dyDescent="0.25">
      <c r="A69" s="102" t="s">
        <v>347</v>
      </c>
      <c r="B69" s="33">
        <v>11</v>
      </c>
      <c r="C69" s="32"/>
      <c r="D69" s="33"/>
    </row>
    <row r="70" spans="1:4" x14ac:dyDescent="0.25">
      <c r="A70" s="102" t="s">
        <v>349</v>
      </c>
      <c r="B70" s="33">
        <v>6</v>
      </c>
      <c r="C70" s="32"/>
      <c r="D70" s="33"/>
    </row>
    <row r="71" spans="1:4" x14ac:dyDescent="0.25">
      <c r="A71" s="102" t="s">
        <v>351</v>
      </c>
      <c r="B71" s="33">
        <v>29</v>
      </c>
      <c r="C71" s="32"/>
      <c r="D71" s="33"/>
    </row>
    <row r="72" spans="1:4" x14ac:dyDescent="0.25">
      <c r="A72" s="102" t="s">
        <v>353</v>
      </c>
      <c r="B72" s="33">
        <v>17</v>
      </c>
      <c r="C72" s="32"/>
      <c r="D72" s="33"/>
    </row>
    <row r="73" spans="1:4" x14ac:dyDescent="0.25">
      <c r="A73" s="102" t="s">
        <v>355</v>
      </c>
      <c r="B73" s="33">
        <v>3</v>
      </c>
      <c r="C73" s="32"/>
      <c r="D73" s="33"/>
    </row>
    <row r="74" spans="1:4" x14ac:dyDescent="0.25">
      <c r="A74" s="102" t="s">
        <v>355</v>
      </c>
      <c r="B74" s="33">
        <v>4</v>
      </c>
      <c r="C74" s="32"/>
      <c r="D74" s="33"/>
    </row>
    <row r="75" spans="1:4" x14ac:dyDescent="0.25">
      <c r="A75" s="102" t="s">
        <v>358</v>
      </c>
      <c r="B75" s="33">
        <v>38</v>
      </c>
      <c r="C75" s="32"/>
      <c r="D75" s="33"/>
    </row>
    <row r="76" spans="1:4" x14ac:dyDescent="0.25">
      <c r="A76" s="102" t="s">
        <v>360</v>
      </c>
      <c r="B76" s="33">
        <v>7</v>
      </c>
      <c r="C76" s="32"/>
      <c r="D76" s="33"/>
    </row>
    <row r="77" spans="1:4" x14ac:dyDescent="0.25">
      <c r="A77" s="102" t="s">
        <v>362</v>
      </c>
      <c r="B77" s="33">
        <v>29</v>
      </c>
      <c r="C77" s="32"/>
      <c r="D77" s="33"/>
    </row>
    <row r="78" spans="1:4" x14ac:dyDescent="0.25">
      <c r="A78" s="102" t="s">
        <v>362</v>
      </c>
      <c r="B78" s="33">
        <v>27</v>
      </c>
      <c r="C78" s="32"/>
      <c r="D78" s="33"/>
    </row>
    <row r="79" spans="1:4" x14ac:dyDescent="0.25">
      <c r="A79" s="102" t="s">
        <v>364</v>
      </c>
      <c r="B79" s="33">
        <v>1</v>
      </c>
      <c r="C79" s="32"/>
      <c r="D79" s="33"/>
    </row>
    <row r="80" spans="1:4" x14ac:dyDescent="0.25">
      <c r="A80" s="102" t="s">
        <v>366</v>
      </c>
      <c r="B80" s="33">
        <v>62</v>
      </c>
      <c r="C80" s="32"/>
      <c r="D80" s="33"/>
    </row>
    <row r="81" spans="1:4" x14ac:dyDescent="0.25">
      <c r="A81" s="102" t="s">
        <v>368</v>
      </c>
      <c r="B81" s="33">
        <v>3</v>
      </c>
      <c r="C81" s="32"/>
      <c r="D81" s="33"/>
    </row>
    <row r="82" spans="1:4" x14ac:dyDescent="0.25">
      <c r="A82" s="102" t="s">
        <v>369</v>
      </c>
      <c r="B82" s="33">
        <v>3</v>
      </c>
      <c r="C82" s="32"/>
      <c r="D82" s="33"/>
    </row>
    <row r="83" spans="1:4" x14ac:dyDescent="0.25">
      <c r="A83" s="102" t="s">
        <v>370</v>
      </c>
      <c r="B83" s="33">
        <v>4</v>
      </c>
      <c r="C83" s="32"/>
      <c r="D83" s="33"/>
    </row>
    <row r="84" spans="1:4" x14ac:dyDescent="0.25">
      <c r="A84" s="102" t="s">
        <v>372</v>
      </c>
      <c r="B84" s="33">
        <v>16</v>
      </c>
      <c r="C84" s="32"/>
      <c r="D84" s="33"/>
    </row>
    <row r="85" spans="1:4" x14ac:dyDescent="0.25">
      <c r="A85" s="102" t="s">
        <v>373</v>
      </c>
      <c r="B85" s="33">
        <v>3</v>
      </c>
      <c r="C85" s="32"/>
      <c r="D85" s="33"/>
    </row>
    <row r="86" spans="1:4" x14ac:dyDescent="0.25">
      <c r="A86" s="102" t="s">
        <v>375</v>
      </c>
      <c r="B86" s="33">
        <v>6</v>
      </c>
      <c r="C86" s="32"/>
      <c r="D86" s="33"/>
    </row>
    <row r="87" spans="1:4" x14ac:dyDescent="0.25">
      <c r="A87" s="102" t="s">
        <v>377</v>
      </c>
      <c r="B87" s="33">
        <v>1</v>
      </c>
      <c r="C87" s="32"/>
      <c r="D87" s="33"/>
    </row>
    <row r="88" spans="1:4" x14ac:dyDescent="0.25">
      <c r="A88" s="102" t="s">
        <v>378</v>
      </c>
      <c r="B88" s="33">
        <v>0</v>
      </c>
      <c r="C88" s="32"/>
      <c r="D88" s="33"/>
    </row>
    <row r="89" spans="1:4" x14ac:dyDescent="0.25">
      <c r="A89" s="102" t="s">
        <v>380</v>
      </c>
      <c r="B89" s="33">
        <v>6</v>
      </c>
      <c r="C89" s="32"/>
      <c r="D89" s="33"/>
    </row>
    <row r="90" spans="1:4" x14ac:dyDescent="0.25">
      <c r="A90" s="102" t="s">
        <v>380</v>
      </c>
      <c r="B90" s="33">
        <v>31</v>
      </c>
      <c r="C90" s="32"/>
      <c r="D90" s="33"/>
    </row>
    <row r="91" spans="1:4" x14ac:dyDescent="0.25">
      <c r="A91" s="102" t="s">
        <v>384</v>
      </c>
      <c r="B91" s="33">
        <v>2</v>
      </c>
      <c r="C91" s="32"/>
      <c r="D91" s="33"/>
    </row>
    <row r="92" spans="1:4" x14ac:dyDescent="0.25">
      <c r="A92" s="102" t="s">
        <v>385</v>
      </c>
      <c r="B92" s="33">
        <v>6</v>
      </c>
      <c r="C92" s="32"/>
      <c r="D92" s="33"/>
    </row>
    <row r="93" spans="1:4" ht="30" x14ac:dyDescent="0.25">
      <c r="A93" s="102" t="s">
        <v>386</v>
      </c>
      <c r="B93" s="33">
        <v>1</v>
      </c>
      <c r="C93" s="32"/>
      <c r="D93" s="33"/>
    </row>
    <row r="94" spans="1:4" x14ac:dyDescent="0.25">
      <c r="A94" s="102" t="s">
        <v>388</v>
      </c>
      <c r="B94" s="33">
        <v>2</v>
      </c>
      <c r="C94" s="32"/>
      <c r="D94" s="33"/>
    </row>
    <row r="95" spans="1:4" x14ac:dyDescent="0.25">
      <c r="A95" s="102" t="s">
        <v>389</v>
      </c>
      <c r="B95" s="33">
        <v>3</v>
      </c>
      <c r="C95" s="32"/>
      <c r="D95" s="33"/>
    </row>
    <row r="96" spans="1:4" x14ac:dyDescent="0.25">
      <c r="A96" s="102" t="s">
        <v>390</v>
      </c>
      <c r="B96" s="33">
        <v>5</v>
      </c>
      <c r="C96" s="32"/>
      <c r="D96" s="33"/>
    </row>
    <row r="97" spans="1:4" x14ac:dyDescent="0.25">
      <c r="A97" s="102" t="s">
        <v>391</v>
      </c>
      <c r="B97" s="33">
        <v>2</v>
      </c>
      <c r="C97" s="32"/>
      <c r="D97" s="33"/>
    </row>
    <row r="98" spans="1:4" x14ac:dyDescent="0.25">
      <c r="A98" s="102" t="s">
        <v>392</v>
      </c>
      <c r="B98" s="33">
        <v>1</v>
      </c>
      <c r="C98" s="32"/>
      <c r="D98" s="33"/>
    </row>
    <row r="99" spans="1:4" x14ac:dyDescent="0.25">
      <c r="A99" s="102" t="s">
        <v>393</v>
      </c>
      <c r="B99" s="33">
        <v>2</v>
      </c>
      <c r="C99" s="32"/>
      <c r="D99" s="33"/>
    </row>
    <row r="100" spans="1:4" x14ac:dyDescent="0.25">
      <c r="A100" s="102" t="s">
        <v>394</v>
      </c>
      <c r="B100" s="33">
        <v>2</v>
      </c>
      <c r="C100" s="32"/>
      <c r="D100" s="33"/>
    </row>
    <row r="101" spans="1:4" x14ac:dyDescent="0.25">
      <c r="A101" s="102" t="s">
        <v>396</v>
      </c>
      <c r="B101" s="33">
        <v>1</v>
      </c>
      <c r="C101" s="32"/>
      <c r="D101" s="33"/>
    </row>
    <row r="102" spans="1:4" x14ac:dyDescent="0.25">
      <c r="A102" s="102" t="s">
        <v>397</v>
      </c>
      <c r="B102" s="33">
        <v>5</v>
      </c>
      <c r="C102" s="32"/>
      <c r="D102" s="33"/>
    </row>
    <row r="103" spans="1:4" x14ac:dyDescent="0.25">
      <c r="A103" s="102" t="s">
        <v>398</v>
      </c>
      <c r="B103" s="33">
        <v>1</v>
      </c>
      <c r="C103" s="32"/>
      <c r="D103" s="33"/>
    </row>
    <row r="104" spans="1:4" x14ac:dyDescent="0.25">
      <c r="A104" s="102" t="s">
        <v>399</v>
      </c>
      <c r="B104" s="33">
        <v>0</v>
      </c>
      <c r="C104" s="32"/>
      <c r="D104" s="33"/>
    </row>
    <row r="105" spans="1:4" x14ac:dyDescent="0.25">
      <c r="A105" s="102" t="s">
        <v>401</v>
      </c>
      <c r="B105" s="33">
        <v>2</v>
      </c>
      <c r="C105" s="32"/>
      <c r="D105" s="33"/>
    </row>
    <row r="106" spans="1:4" x14ac:dyDescent="0.25">
      <c r="A106" s="102" t="s">
        <v>402</v>
      </c>
      <c r="B106" s="33">
        <v>16</v>
      </c>
      <c r="C106" s="32"/>
      <c r="D106" s="33"/>
    </row>
    <row r="107" spans="1:4" x14ac:dyDescent="0.25">
      <c r="A107" s="102" t="s">
        <v>404</v>
      </c>
      <c r="B107" s="33">
        <v>4</v>
      </c>
      <c r="C107" s="32"/>
      <c r="D107" s="33"/>
    </row>
    <row r="108" spans="1:4" x14ac:dyDescent="0.25">
      <c r="A108" s="102" t="s">
        <v>405</v>
      </c>
      <c r="B108" s="33">
        <v>11</v>
      </c>
      <c r="C108" s="32"/>
      <c r="D108" s="33"/>
    </row>
    <row r="109" spans="1:4" x14ac:dyDescent="0.25">
      <c r="A109" s="102" t="s">
        <v>406</v>
      </c>
      <c r="B109" s="33">
        <v>1</v>
      </c>
      <c r="C109" s="32"/>
      <c r="D109" s="33"/>
    </row>
    <row r="110" spans="1:4" x14ac:dyDescent="0.25">
      <c r="A110" s="102" t="s">
        <v>407</v>
      </c>
      <c r="B110" s="33">
        <v>13</v>
      </c>
      <c r="C110" s="32"/>
      <c r="D110" s="33"/>
    </row>
    <row r="111" spans="1:4" x14ac:dyDescent="0.25">
      <c r="A111" s="102" t="s">
        <v>408</v>
      </c>
      <c r="B111" s="33">
        <v>2</v>
      </c>
      <c r="C111" s="32"/>
      <c r="D111" s="33"/>
    </row>
    <row r="112" spans="1:4" x14ac:dyDescent="0.25">
      <c r="A112" s="102" t="s">
        <v>409</v>
      </c>
      <c r="B112" s="33">
        <v>1</v>
      </c>
      <c r="C112" s="32"/>
      <c r="D112" s="33"/>
    </row>
    <row r="113" spans="1:4" x14ac:dyDescent="0.25">
      <c r="A113" s="102" t="s">
        <v>410</v>
      </c>
      <c r="B113" s="33">
        <v>4</v>
      </c>
      <c r="C113" s="32"/>
      <c r="D113" s="33"/>
    </row>
    <row r="114" spans="1:4" x14ac:dyDescent="0.25">
      <c r="A114" s="102" t="s">
        <v>411</v>
      </c>
      <c r="B114" s="33">
        <v>3</v>
      </c>
      <c r="C114" s="32"/>
      <c r="D114" s="33"/>
    </row>
    <row r="115" spans="1:4" x14ac:dyDescent="0.25">
      <c r="A115" s="102" t="s">
        <v>412</v>
      </c>
      <c r="B115" s="33">
        <v>206</v>
      </c>
      <c r="C115" s="32"/>
      <c r="D115" s="33"/>
    </row>
    <row r="116" spans="1:4" x14ac:dyDescent="0.25">
      <c r="A116" s="102" t="s">
        <v>414</v>
      </c>
      <c r="B116" s="33">
        <v>19</v>
      </c>
      <c r="C116" s="32"/>
      <c r="D116" s="33"/>
    </row>
    <row r="117" spans="1:4" ht="30" x14ac:dyDescent="0.25">
      <c r="A117" s="102" t="s">
        <v>415</v>
      </c>
      <c r="B117" s="33">
        <v>0</v>
      </c>
      <c r="C117" s="32"/>
      <c r="D117" s="33"/>
    </row>
    <row r="118" spans="1:4" ht="30" x14ac:dyDescent="0.25">
      <c r="A118" s="102" t="s">
        <v>417</v>
      </c>
      <c r="B118" s="33">
        <v>20</v>
      </c>
      <c r="C118" s="32"/>
      <c r="D118" s="33"/>
    </row>
    <row r="119" spans="1:4" x14ac:dyDescent="0.25">
      <c r="A119" s="102" t="s">
        <v>421</v>
      </c>
      <c r="B119" s="33">
        <v>4</v>
      </c>
      <c r="C119" s="32"/>
      <c r="D119" s="33"/>
    </row>
    <row r="120" spans="1:4" x14ac:dyDescent="0.25">
      <c r="A120" s="102" t="s">
        <v>423</v>
      </c>
      <c r="B120" s="33">
        <v>3</v>
      </c>
      <c r="C120" s="32"/>
      <c r="D120" s="33"/>
    </row>
    <row r="121" spans="1:4" x14ac:dyDescent="0.25">
      <c r="A121" s="102" t="s">
        <v>425</v>
      </c>
      <c r="B121" s="33">
        <v>44</v>
      </c>
      <c r="C121" s="32"/>
      <c r="D121" s="33"/>
    </row>
    <row r="122" spans="1:4" x14ac:dyDescent="0.25">
      <c r="A122" s="102" t="s">
        <v>427</v>
      </c>
      <c r="B122" s="33">
        <v>3</v>
      </c>
      <c r="C122" s="32"/>
      <c r="D122" s="33"/>
    </row>
    <row r="123" spans="1:4" x14ac:dyDescent="0.25">
      <c r="A123" s="102" t="s">
        <v>429</v>
      </c>
      <c r="B123" s="33">
        <v>115</v>
      </c>
      <c r="C123" s="32"/>
      <c r="D123" s="33"/>
    </row>
    <row r="124" spans="1:4" x14ac:dyDescent="0.25">
      <c r="A124" s="102" t="s">
        <v>430</v>
      </c>
      <c r="B124" s="33">
        <v>48</v>
      </c>
      <c r="C124" s="32"/>
      <c r="D124" s="33"/>
    </row>
    <row r="125" spans="1:4" x14ac:dyDescent="0.25">
      <c r="A125" s="102" t="s">
        <v>431</v>
      </c>
      <c r="B125" s="33">
        <v>23</v>
      </c>
      <c r="C125" s="32"/>
      <c r="D125" s="33"/>
    </row>
    <row r="126" spans="1:4" x14ac:dyDescent="0.25">
      <c r="A126" s="102" t="s">
        <v>433</v>
      </c>
      <c r="B126" s="33">
        <v>74</v>
      </c>
      <c r="C126" s="32"/>
      <c r="D126" s="33"/>
    </row>
    <row r="127" spans="1:4" x14ac:dyDescent="0.25">
      <c r="A127" s="102" t="s">
        <v>435</v>
      </c>
      <c r="B127" s="33">
        <v>568</v>
      </c>
      <c r="C127" s="32"/>
      <c r="D127" s="33"/>
    </row>
    <row r="128" spans="1:4" x14ac:dyDescent="0.25">
      <c r="A128" s="102" t="s">
        <v>437</v>
      </c>
      <c r="B128" s="33">
        <v>68</v>
      </c>
      <c r="C128" s="32"/>
      <c r="D128" s="33"/>
    </row>
    <row r="129" spans="1:4" x14ac:dyDescent="0.25">
      <c r="A129" s="102" t="s">
        <v>439</v>
      </c>
      <c r="B129" s="33">
        <v>32</v>
      </c>
      <c r="C129" s="32"/>
      <c r="D129" s="33"/>
    </row>
    <row r="130" spans="1:4" x14ac:dyDescent="0.25">
      <c r="A130" s="102" t="s">
        <v>441</v>
      </c>
      <c r="B130" s="33">
        <v>16</v>
      </c>
      <c r="C130" s="32"/>
      <c r="D130" s="33"/>
    </row>
    <row r="131" spans="1:4" x14ac:dyDescent="0.25">
      <c r="A131" s="102" t="s">
        <v>443</v>
      </c>
      <c r="B131" s="33">
        <v>23</v>
      </c>
      <c r="C131" s="32"/>
      <c r="D131" s="33"/>
    </row>
    <row r="132" spans="1:4" x14ac:dyDescent="0.25">
      <c r="A132" s="102" t="s">
        <v>444</v>
      </c>
      <c r="B132" s="33">
        <v>3</v>
      </c>
      <c r="C132" s="32"/>
      <c r="D132" s="33"/>
    </row>
    <row r="133" spans="1:4" x14ac:dyDescent="0.25">
      <c r="A133" s="102" t="s">
        <v>446</v>
      </c>
      <c r="B133" s="33">
        <v>0</v>
      </c>
      <c r="C133" s="32"/>
      <c r="D133" s="33"/>
    </row>
    <row r="134" spans="1:4" x14ac:dyDescent="0.25">
      <c r="A134" s="102" t="s">
        <v>449</v>
      </c>
      <c r="B134" s="33">
        <v>213</v>
      </c>
      <c r="C134" s="32"/>
      <c r="D134" s="33"/>
    </row>
    <row r="135" spans="1:4" x14ac:dyDescent="0.25">
      <c r="A135" s="102" t="s">
        <v>449</v>
      </c>
      <c r="B135" s="33">
        <v>2000</v>
      </c>
      <c r="C135" s="32"/>
      <c r="D135" s="33"/>
    </row>
    <row r="136" spans="1:4" x14ac:dyDescent="0.25">
      <c r="A136" s="102" t="s">
        <v>449</v>
      </c>
      <c r="B136" s="33">
        <v>796</v>
      </c>
      <c r="C136" s="32"/>
      <c r="D136" s="33"/>
    </row>
    <row r="137" spans="1:4" x14ac:dyDescent="0.25">
      <c r="A137" s="102" t="s">
        <v>449</v>
      </c>
      <c r="B137" s="33">
        <v>1050</v>
      </c>
      <c r="C137" s="32"/>
      <c r="D137" s="33"/>
    </row>
    <row r="138" spans="1:4" x14ac:dyDescent="0.25">
      <c r="A138" s="102" t="s">
        <v>453</v>
      </c>
      <c r="B138" s="33">
        <v>660</v>
      </c>
      <c r="C138" s="32"/>
      <c r="D138" s="33"/>
    </row>
    <row r="139" spans="1:4" x14ac:dyDescent="0.25">
      <c r="A139" s="102" t="s">
        <v>456</v>
      </c>
      <c r="B139" s="33">
        <v>0.57699999999999996</v>
      </c>
      <c r="C139" s="32"/>
      <c r="D139" s="33"/>
    </row>
    <row r="140" spans="1:4" x14ac:dyDescent="0.25">
      <c r="A140" s="102" t="s">
        <v>456</v>
      </c>
      <c r="B140" s="33">
        <v>0.51900000000000002</v>
      </c>
      <c r="C140" s="32"/>
      <c r="D140" s="33"/>
    </row>
    <row r="141" spans="1:4" x14ac:dyDescent="0.25">
      <c r="A141" s="102" t="s">
        <v>456</v>
      </c>
      <c r="B141" s="33">
        <v>200</v>
      </c>
      <c r="C141" s="32"/>
      <c r="D141" s="33"/>
    </row>
    <row r="142" spans="1:4" x14ac:dyDescent="0.25">
      <c r="A142" s="102" t="s">
        <v>459</v>
      </c>
      <c r="B142" s="33">
        <v>5</v>
      </c>
      <c r="C142" s="32"/>
      <c r="D142" s="33"/>
    </row>
    <row r="143" spans="1:4" x14ac:dyDescent="0.25">
      <c r="A143" s="102" t="s">
        <v>461</v>
      </c>
      <c r="B143" s="33">
        <v>11</v>
      </c>
      <c r="C143" s="32"/>
      <c r="D143" s="33"/>
    </row>
    <row r="144" spans="1:4" x14ac:dyDescent="0.25">
      <c r="A144" s="102" t="s">
        <v>463</v>
      </c>
      <c r="B144" s="33">
        <v>1.345</v>
      </c>
      <c r="C144" s="32"/>
      <c r="D144" s="33"/>
    </row>
    <row r="145" spans="1:4" x14ac:dyDescent="0.25">
      <c r="A145" s="102" t="s">
        <v>465</v>
      </c>
      <c r="B145" s="33">
        <v>1</v>
      </c>
      <c r="C145" s="32"/>
      <c r="D145" s="33"/>
    </row>
    <row r="146" spans="1:4" x14ac:dyDescent="0.25">
      <c r="A146" s="102" t="s">
        <v>467</v>
      </c>
      <c r="B146" s="33">
        <v>313.99099999999999</v>
      </c>
      <c r="C146" s="32"/>
      <c r="D146" s="33"/>
    </row>
    <row r="147" spans="1:4" x14ac:dyDescent="0.25">
      <c r="A147" s="102" t="s">
        <v>467</v>
      </c>
      <c r="B147" s="33">
        <v>0.377</v>
      </c>
      <c r="C147" s="32"/>
      <c r="D147" s="33"/>
    </row>
    <row r="148" spans="1:4" x14ac:dyDescent="0.25">
      <c r="A148" s="102" t="s">
        <v>469</v>
      </c>
      <c r="B148" s="33">
        <v>199</v>
      </c>
      <c r="C148" s="32"/>
      <c r="D148" s="33"/>
    </row>
    <row r="149" spans="1:4" x14ac:dyDescent="0.25">
      <c r="A149" s="102" t="s">
        <v>471</v>
      </c>
      <c r="B149" s="33">
        <v>2</v>
      </c>
      <c r="C149" s="32"/>
      <c r="D149" s="33"/>
    </row>
    <row r="150" spans="1:4" x14ac:dyDescent="0.25">
      <c r="A150" s="102" t="s">
        <v>473</v>
      </c>
      <c r="B150" s="33">
        <v>5</v>
      </c>
      <c r="C150" s="32"/>
      <c r="D150" s="33"/>
    </row>
    <row r="151" spans="1:4" ht="30" x14ac:dyDescent="0.25">
      <c r="A151" s="102" t="s">
        <v>474</v>
      </c>
      <c r="B151" s="33">
        <v>5</v>
      </c>
      <c r="C151" s="32"/>
      <c r="D151" s="33"/>
    </row>
    <row r="152" spans="1:4" x14ac:dyDescent="0.25">
      <c r="A152" s="102" t="s">
        <v>475</v>
      </c>
      <c r="B152" s="33">
        <v>9</v>
      </c>
      <c r="C152" s="32"/>
      <c r="D152" s="33"/>
    </row>
    <row r="153" spans="1:4" x14ac:dyDescent="0.25">
      <c r="A153" s="102" t="s">
        <v>476</v>
      </c>
      <c r="B153" s="33">
        <v>3</v>
      </c>
      <c r="C153" s="32"/>
      <c r="D153" s="33"/>
    </row>
    <row r="154" spans="1:4" x14ac:dyDescent="0.25">
      <c r="A154" s="102" t="s">
        <v>477</v>
      </c>
      <c r="B154" s="33">
        <v>3</v>
      </c>
      <c r="C154" s="32"/>
      <c r="D154" s="33"/>
    </row>
    <row r="155" spans="1:4" x14ac:dyDescent="0.25">
      <c r="A155" s="102" t="s">
        <v>478</v>
      </c>
      <c r="B155" s="33">
        <v>42</v>
      </c>
      <c r="C155" s="32"/>
      <c r="D155" s="33"/>
    </row>
    <row r="156" spans="1:4" x14ac:dyDescent="0.25">
      <c r="A156" s="102" t="s">
        <v>479</v>
      </c>
      <c r="B156" s="33">
        <v>1</v>
      </c>
      <c r="C156" s="32"/>
      <c r="D156" s="33"/>
    </row>
    <row r="157" spans="1:4" x14ac:dyDescent="0.25">
      <c r="A157" s="102" t="s">
        <v>481</v>
      </c>
      <c r="B157" s="33">
        <v>1</v>
      </c>
      <c r="C157" s="32"/>
      <c r="D157" s="33"/>
    </row>
    <row r="158" spans="1:4" x14ac:dyDescent="0.25">
      <c r="A158" s="102" t="s">
        <v>483</v>
      </c>
      <c r="B158" s="33">
        <v>46</v>
      </c>
      <c r="C158" s="32"/>
      <c r="D158" s="33"/>
    </row>
    <row r="159" spans="1:4" ht="30" x14ac:dyDescent="0.25">
      <c r="A159" s="102" t="s">
        <v>485</v>
      </c>
      <c r="B159" s="33">
        <v>1</v>
      </c>
      <c r="C159" s="32"/>
      <c r="D159" s="33"/>
    </row>
    <row r="160" spans="1:4" x14ac:dyDescent="0.25">
      <c r="A160" s="102" t="s">
        <v>488</v>
      </c>
      <c r="B160" s="33">
        <v>7</v>
      </c>
      <c r="C160" s="32"/>
      <c r="D160" s="33"/>
    </row>
    <row r="161" spans="1:4" x14ac:dyDescent="0.25">
      <c r="A161" s="102" t="s">
        <v>489</v>
      </c>
      <c r="B161" s="33">
        <v>0</v>
      </c>
      <c r="C161" s="32"/>
      <c r="D161" s="33"/>
    </row>
    <row r="162" spans="1:4" x14ac:dyDescent="0.25">
      <c r="A162" s="102" t="s">
        <v>491</v>
      </c>
      <c r="B162" s="33">
        <v>2</v>
      </c>
      <c r="C162" s="32"/>
      <c r="D162" s="33"/>
    </row>
    <row r="163" spans="1:4" x14ac:dyDescent="0.25">
      <c r="A163" s="102" t="s">
        <v>491</v>
      </c>
      <c r="B163" s="33">
        <v>2</v>
      </c>
      <c r="C163" s="32"/>
      <c r="D163" s="33"/>
    </row>
    <row r="164" spans="1:4" x14ac:dyDescent="0.25">
      <c r="A164" s="102" t="s">
        <v>491</v>
      </c>
      <c r="B164" s="33">
        <v>2</v>
      </c>
      <c r="C164" s="32"/>
      <c r="D164" s="33"/>
    </row>
    <row r="165" spans="1:4" x14ac:dyDescent="0.25">
      <c r="A165" s="102" t="s">
        <v>495</v>
      </c>
      <c r="B165" s="33">
        <v>1</v>
      </c>
      <c r="C165" s="32"/>
      <c r="D165" s="33"/>
    </row>
    <row r="166" spans="1:4" x14ac:dyDescent="0.25">
      <c r="A166" s="102" t="s">
        <v>496</v>
      </c>
      <c r="B166" s="33">
        <v>3</v>
      </c>
      <c r="C166" s="32"/>
      <c r="D166" s="33"/>
    </row>
    <row r="167" spans="1:4" x14ac:dyDescent="0.25">
      <c r="A167" s="102" t="s">
        <v>497</v>
      </c>
      <c r="B167" s="33">
        <v>2</v>
      </c>
      <c r="C167" s="32"/>
      <c r="D167" s="33"/>
    </row>
    <row r="168" spans="1:4" x14ac:dyDescent="0.25">
      <c r="A168" s="102" t="s">
        <v>498</v>
      </c>
      <c r="B168" s="33">
        <v>1</v>
      </c>
      <c r="C168" s="32"/>
      <c r="D168" s="33"/>
    </row>
    <row r="169" spans="1:4" x14ac:dyDescent="0.25">
      <c r="A169" s="102" t="s">
        <v>498</v>
      </c>
      <c r="B169" s="33">
        <v>1</v>
      </c>
      <c r="C169" s="32"/>
      <c r="D169" s="33"/>
    </row>
    <row r="170" spans="1:4" x14ac:dyDescent="0.25">
      <c r="A170" s="102" t="s">
        <v>500</v>
      </c>
      <c r="B170" s="33">
        <v>5</v>
      </c>
      <c r="C170" s="32"/>
      <c r="D170" s="33"/>
    </row>
    <row r="171" spans="1:4" x14ac:dyDescent="0.25">
      <c r="A171" s="102" t="s">
        <v>502</v>
      </c>
      <c r="B171" s="33">
        <v>2</v>
      </c>
      <c r="C171" s="32"/>
      <c r="D171" s="33"/>
    </row>
    <row r="172" spans="1:4" x14ac:dyDescent="0.25">
      <c r="A172" s="102" t="s">
        <v>504</v>
      </c>
      <c r="B172" s="33">
        <v>37</v>
      </c>
      <c r="C172" s="32"/>
      <c r="D172" s="33"/>
    </row>
    <row r="173" spans="1:4" x14ac:dyDescent="0.25">
      <c r="A173" s="102" t="s">
        <v>506</v>
      </c>
      <c r="B173" s="33">
        <v>45</v>
      </c>
      <c r="C173" s="32"/>
      <c r="D173" s="33"/>
    </row>
    <row r="174" spans="1:4" x14ac:dyDescent="0.25">
      <c r="A174" s="102" t="s">
        <v>507</v>
      </c>
      <c r="B174" s="33">
        <v>0</v>
      </c>
      <c r="C174" s="32"/>
      <c r="D174" s="33"/>
    </row>
    <row r="175" spans="1:4" x14ac:dyDescent="0.25">
      <c r="A175" s="102" t="s">
        <v>509</v>
      </c>
      <c r="B175" s="33">
        <v>3</v>
      </c>
      <c r="C175" s="32"/>
      <c r="D175" s="33"/>
    </row>
    <row r="176" spans="1:4" x14ac:dyDescent="0.25">
      <c r="A176" s="102" t="s">
        <v>510</v>
      </c>
      <c r="B176" s="33">
        <v>1</v>
      </c>
      <c r="C176" s="32"/>
      <c r="D176" s="33"/>
    </row>
    <row r="177" spans="1:4" x14ac:dyDescent="0.25">
      <c r="A177" s="102" t="s">
        <v>511</v>
      </c>
      <c r="B177" s="33">
        <v>10</v>
      </c>
      <c r="C177" s="32"/>
      <c r="D177" s="33"/>
    </row>
    <row r="178" spans="1:4" x14ac:dyDescent="0.25">
      <c r="A178" s="102" t="s">
        <v>512</v>
      </c>
      <c r="B178" s="33">
        <v>16</v>
      </c>
      <c r="C178" s="32"/>
      <c r="D178" s="33"/>
    </row>
    <row r="179" spans="1:4" x14ac:dyDescent="0.25">
      <c r="A179" s="102" t="s">
        <v>515</v>
      </c>
      <c r="B179" s="33">
        <v>0</v>
      </c>
      <c r="C179" s="32"/>
      <c r="D179" s="33"/>
    </row>
    <row r="180" spans="1:4" x14ac:dyDescent="0.25">
      <c r="A180" s="102" t="s">
        <v>521</v>
      </c>
      <c r="B180" s="33">
        <v>1</v>
      </c>
      <c r="C180" s="32"/>
      <c r="D180" s="33"/>
    </row>
    <row r="181" spans="1:4" x14ac:dyDescent="0.25">
      <c r="A181" s="102" t="s">
        <v>523</v>
      </c>
      <c r="B181" s="33">
        <v>5</v>
      </c>
      <c r="C181" s="32"/>
      <c r="D181" s="33"/>
    </row>
    <row r="182" spans="1:4" x14ac:dyDescent="0.25">
      <c r="A182" s="102" t="s">
        <v>525</v>
      </c>
      <c r="B182" s="33">
        <v>11</v>
      </c>
      <c r="C182" s="32"/>
      <c r="D182" s="33"/>
    </row>
    <row r="183" spans="1:4" x14ac:dyDescent="0.25">
      <c r="A183" s="102" t="s">
        <v>527</v>
      </c>
      <c r="B183" s="33">
        <v>13</v>
      </c>
      <c r="C183" s="32"/>
      <c r="D183" s="33"/>
    </row>
    <row r="184" spans="1:4" x14ac:dyDescent="0.25">
      <c r="A184" s="102" t="s">
        <v>529</v>
      </c>
      <c r="B184" s="33">
        <v>0</v>
      </c>
      <c r="C184" s="32"/>
      <c r="D184" s="33"/>
    </row>
    <row r="185" spans="1:4" x14ac:dyDescent="0.25">
      <c r="A185" s="102" t="s">
        <v>533</v>
      </c>
      <c r="B185" s="33">
        <v>0</v>
      </c>
      <c r="C185" s="32"/>
      <c r="D185" s="33"/>
    </row>
    <row r="186" spans="1:4" x14ac:dyDescent="0.25">
      <c r="A186" s="102" t="s">
        <v>535</v>
      </c>
      <c r="B186" s="33">
        <v>2</v>
      </c>
      <c r="C186" s="32"/>
      <c r="D186" s="33"/>
    </row>
    <row r="187" spans="1:4" x14ac:dyDescent="0.25">
      <c r="A187" s="102" t="s">
        <v>536</v>
      </c>
      <c r="B187" s="33">
        <v>8</v>
      </c>
      <c r="C187" s="32"/>
      <c r="D187" s="33"/>
    </row>
    <row r="188" spans="1:4" x14ac:dyDescent="0.25">
      <c r="A188" s="102" t="s">
        <v>537</v>
      </c>
      <c r="B188" s="33">
        <v>0.5</v>
      </c>
      <c r="C188" s="32"/>
      <c r="D188" s="33"/>
    </row>
    <row r="189" spans="1:4" x14ac:dyDescent="0.25">
      <c r="A189" s="102" t="s">
        <v>539</v>
      </c>
      <c r="B189" s="33">
        <v>42</v>
      </c>
      <c r="C189" s="32"/>
      <c r="D189" s="33"/>
    </row>
    <row r="190" spans="1:4" x14ac:dyDescent="0.25">
      <c r="A190" s="102" t="s">
        <v>541</v>
      </c>
      <c r="B190" s="33">
        <v>8</v>
      </c>
      <c r="C190" s="32"/>
      <c r="D190" s="33"/>
    </row>
    <row r="191" spans="1:4" x14ac:dyDescent="0.25">
      <c r="A191" s="102" t="s">
        <v>543</v>
      </c>
      <c r="B191" s="33">
        <v>2</v>
      </c>
      <c r="C191" s="32"/>
      <c r="D191" s="33"/>
    </row>
    <row r="192" spans="1:4" x14ac:dyDescent="0.25">
      <c r="A192" s="102" t="s">
        <v>545</v>
      </c>
      <c r="B192" s="33">
        <v>1</v>
      </c>
      <c r="C192" s="32"/>
      <c r="D192" s="33"/>
    </row>
    <row r="193" spans="1:4" x14ac:dyDescent="0.25">
      <c r="A193" s="102" t="s">
        <v>547</v>
      </c>
      <c r="B193" s="33">
        <v>0</v>
      </c>
      <c r="C193" s="32"/>
      <c r="D193" s="33"/>
    </row>
    <row r="194" spans="1:4" x14ac:dyDescent="0.25">
      <c r="A194" s="102" t="s">
        <v>549</v>
      </c>
      <c r="B194" s="33">
        <v>1</v>
      </c>
      <c r="C194" s="32"/>
      <c r="D194" s="33"/>
    </row>
    <row r="195" spans="1:4" x14ac:dyDescent="0.25">
      <c r="A195" s="102" t="s">
        <v>551</v>
      </c>
      <c r="B195" s="33">
        <v>40</v>
      </c>
      <c r="C195" s="32"/>
      <c r="D195" s="33"/>
    </row>
    <row r="196" spans="1:4" x14ac:dyDescent="0.25">
      <c r="A196" s="102" t="s">
        <v>553</v>
      </c>
      <c r="B196" s="33">
        <v>0</v>
      </c>
      <c r="C196" s="32"/>
      <c r="D196" s="33"/>
    </row>
    <row r="197" spans="1:4" x14ac:dyDescent="0.25">
      <c r="A197" s="102" t="s">
        <v>555</v>
      </c>
      <c r="B197" s="33">
        <v>1</v>
      </c>
      <c r="C197" s="32"/>
      <c r="D197" s="33"/>
    </row>
    <row r="198" spans="1:4" x14ac:dyDescent="0.25">
      <c r="A198" s="102" t="s">
        <v>558</v>
      </c>
      <c r="B198" s="33">
        <v>2</v>
      </c>
      <c r="C198" s="32"/>
      <c r="D198" s="33"/>
    </row>
    <row r="199" spans="1:4" x14ac:dyDescent="0.25">
      <c r="A199" s="102" t="s">
        <v>562</v>
      </c>
      <c r="B199" s="33">
        <v>20</v>
      </c>
      <c r="C199" s="32"/>
      <c r="D199" s="33"/>
    </row>
    <row r="200" spans="1:4" x14ac:dyDescent="0.25">
      <c r="A200" s="102" t="s">
        <v>564</v>
      </c>
      <c r="B200" s="33">
        <v>25</v>
      </c>
      <c r="C200" s="32"/>
      <c r="D200" s="33"/>
    </row>
    <row r="201" spans="1:4" x14ac:dyDescent="0.25">
      <c r="A201" s="102" t="s">
        <v>566</v>
      </c>
      <c r="B201" s="33">
        <v>0</v>
      </c>
      <c r="C201" s="32"/>
      <c r="D201" s="33"/>
    </row>
    <row r="202" spans="1:4" x14ac:dyDescent="0.25">
      <c r="A202" s="102" t="s">
        <v>567</v>
      </c>
      <c r="B202" s="33">
        <v>0</v>
      </c>
      <c r="C202" s="32"/>
      <c r="D202" s="33"/>
    </row>
    <row r="203" spans="1:4" x14ac:dyDescent="0.25">
      <c r="A203" s="102" t="s">
        <v>571</v>
      </c>
      <c r="B203" s="33">
        <v>0</v>
      </c>
      <c r="C203" s="32"/>
      <c r="D203" s="33"/>
    </row>
    <row r="204" spans="1:4" x14ac:dyDescent="0.25">
      <c r="A204" s="102" t="s">
        <v>574</v>
      </c>
      <c r="B204" s="33">
        <v>4</v>
      </c>
      <c r="C204" s="32"/>
      <c r="D204" s="33"/>
    </row>
    <row r="205" spans="1:4" x14ac:dyDescent="0.25">
      <c r="A205" s="102" t="s">
        <v>576</v>
      </c>
      <c r="B205" s="33">
        <v>7</v>
      </c>
      <c r="C205" s="32"/>
      <c r="D205" s="33"/>
    </row>
    <row r="206" spans="1:4" x14ac:dyDescent="0.25">
      <c r="A206" s="102" t="s">
        <v>578</v>
      </c>
      <c r="B206" s="33">
        <v>8</v>
      </c>
      <c r="C206" s="32"/>
      <c r="D206" s="33"/>
    </row>
    <row r="207" spans="1:4" x14ac:dyDescent="0.25">
      <c r="A207" s="102" t="s">
        <v>579</v>
      </c>
      <c r="B207" s="33">
        <v>1</v>
      </c>
      <c r="C207" s="32"/>
      <c r="D207" s="33"/>
    </row>
    <row r="208" spans="1:4" x14ac:dyDescent="0.25">
      <c r="A208" s="102" t="s">
        <v>580</v>
      </c>
      <c r="B208" s="33">
        <v>0</v>
      </c>
      <c r="C208" s="32"/>
      <c r="D208" s="33"/>
    </row>
    <row r="209" spans="1:4" x14ac:dyDescent="0.25">
      <c r="A209" s="102" t="s">
        <v>582</v>
      </c>
      <c r="B209" s="33">
        <v>4</v>
      </c>
      <c r="C209" s="32"/>
      <c r="D209" s="33"/>
    </row>
    <row r="210" spans="1:4" x14ac:dyDescent="0.25">
      <c r="A210" s="102" t="s">
        <v>584</v>
      </c>
      <c r="B210" s="33">
        <v>1</v>
      </c>
      <c r="C210" s="32"/>
      <c r="D210" s="33"/>
    </row>
    <row r="211" spans="1:4" x14ac:dyDescent="0.25">
      <c r="A211" s="102" t="s">
        <v>585</v>
      </c>
      <c r="B211" s="33">
        <v>4</v>
      </c>
      <c r="C211" s="32"/>
      <c r="D211" s="33"/>
    </row>
    <row r="212" spans="1:4" x14ac:dyDescent="0.25">
      <c r="A212" s="102" t="s">
        <v>586</v>
      </c>
      <c r="B212" s="33">
        <v>0</v>
      </c>
      <c r="C212" s="32"/>
      <c r="D212" s="33"/>
    </row>
    <row r="213" spans="1:4" x14ac:dyDescent="0.25">
      <c r="A213" s="102" t="s">
        <v>589</v>
      </c>
      <c r="B213" s="33">
        <v>27</v>
      </c>
      <c r="C213" s="32"/>
      <c r="D213" s="33"/>
    </row>
    <row r="214" spans="1:4" x14ac:dyDescent="0.25">
      <c r="A214" s="102" t="s">
        <v>591</v>
      </c>
      <c r="B214" s="33">
        <v>1</v>
      </c>
      <c r="C214" s="32"/>
      <c r="D214" s="33"/>
    </row>
    <row r="215" spans="1:4" x14ac:dyDescent="0.25">
      <c r="A215" s="102" t="s">
        <v>591</v>
      </c>
      <c r="B215" s="33">
        <v>30</v>
      </c>
      <c r="C215" s="32"/>
      <c r="D215" s="33"/>
    </row>
    <row r="216" spans="1:4" x14ac:dyDescent="0.25">
      <c r="A216" s="102" t="s">
        <v>594</v>
      </c>
      <c r="B216" s="33">
        <v>0</v>
      </c>
      <c r="C216" s="32"/>
      <c r="D216" s="33"/>
    </row>
    <row r="217" spans="1:4" x14ac:dyDescent="0.25">
      <c r="A217" s="102" t="s">
        <v>596</v>
      </c>
      <c r="B217" s="33">
        <v>87</v>
      </c>
      <c r="C217" s="32"/>
      <c r="D217" s="33"/>
    </row>
    <row r="218" spans="1:4" x14ac:dyDescent="0.25">
      <c r="A218" s="102" t="s">
        <v>598</v>
      </c>
      <c r="B218" s="33">
        <v>0</v>
      </c>
      <c r="C218" s="32"/>
      <c r="D218" s="33"/>
    </row>
    <row r="219" spans="1:4" x14ac:dyDescent="0.25">
      <c r="A219" s="102" t="s">
        <v>600</v>
      </c>
      <c r="B219" s="33">
        <v>40</v>
      </c>
      <c r="C219" s="32"/>
      <c r="D219" s="33"/>
    </row>
    <row r="220" spans="1:4" x14ac:dyDescent="0.25">
      <c r="A220" s="102" t="s">
        <v>602</v>
      </c>
      <c r="B220" s="33">
        <v>5</v>
      </c>
      <c r="C220" s="32"/>
      <c r="D220" s="33"/>
    </row>
    <row r="221" spans="1:4" x14ac:dyDescent="0.25">
      <c r="A221" s="102" t="s">
        <v>605</v>
      </c>
      <c r="B221" s="33">
        <v>16</v>
      </c>
      <c r="C221" s="32"/>
      <c r="D221" s="33"/>
    </row>
    <row r="222" spans="1:4" x14ac:dyDescent="0.25">
      <c r="A222" s="102" t="s">
        <v>607</v>
      </c>
      <c r="B222" s="33">
        <v>42</v>
      </c>
      <c r="C222" s="32"/>
      <c r="D222" s="33"/>
    </row>
    <row r="223" spans="1:4" x14ac:dyDescent="0.25">
      <c r="A223" s="102" t="s">
        <v>608</v>
      </c>
      <c r="B223" s="33">
        <v>2</v>
      </c>
      <c r="C223" s="32"/>
      <c r="D223" s="33"/>
    </row>
    <row r="224" spans="1:4" x14ac:dyDescent="0.25">
      <c r="A224" s="102" t="s">
        <v>614</v>
      </c>
      <c r="B224" s="33">
        <v>2</v>
      </c>
      <c r="C224" s="32"/>
      <c r="D224" s="33"/>
    </row>
    <row r="225" spans="1:4" x14ac:dyDescent="0.25">
      <c r="A225" s="102" t="s">
        <v>616</v>
      </c>
      <c r="B225" s="33">
        <v>1</v>
      </c>
      <c r="C225" s="32"/>
      <c r="D225" s="33"/>
    </row>
    <row r="226" spans="1:4" x14ac:dyDescent="0.25">
      <c r="A226" s="102" t="s">
        <v>618</v>
      </c>
      <c r="B226" s="33">
        <v>0</v>
      </c>
      <c r="C226" s="32"/>
      <c r="D226" s="33"/>
    </row>
    <row r="227" spans="1:4" x14ac:dyDescent="0.25">
      <c r="A227" s="102" t="s">
        <v>621</v>
      </c>
      <c r="B227" s="33">
        <v>14</v>
      </c>
      <c r="C227" s="32"/>
      <c r="D227" s="33"/>
    </row>
    <row r="228" spans="1:4" x14ac:dyDescent="0.25">
      <c r="A228" s="102" t="s">
        <v>623</v>
      </c>
      <c r="B228" s="33">
        <v>1</v>
      </c>
      <c r="C228" s="32"/>
      <c r="D228" s="33"/>
    </row>
    <row r="229" spans="1:4" x14ac:dyDescent="0.25">
      <c r="A229" s="102" t="s">
        <v>627</v>
      </c>
      <c r="B229" s="33">
        <v>0</v>
      </c>
      <c r="C229" s="32"/>
      <c r="D229" s="33"/>
    </row>
    <row r="230" spans="1:4" x14ac:dyDescent="0.25">
      <c r="A230" s="102" t="s">
        <v>630</v>
      </c>
      <c r="B230" s="33">
        <v>5</v>
      </c>
      <c r="C230" s="32"/>
      <c r="D230" s="33"/>
    </row>
    <row r="231" spans="1:4" x14ac:dyDescent="0.25">
      <c r="A231" s="102" t="s">
        <v>632</v>
      </c>
      <c r="B231" s="33">
        <v>2</v>
      </c>
      <c r="C231" s="32"/>
      <c r="D231" s="33"/>
    </row>
    <row r="232" spans="1:4" x14ac:dyDescent="0.25">
      <c r="A232" s="102" t="s">
        <v>634</v>
      </c>
      <c r="B232" s="33">
        <v>1</v>
      </c>
      <c r="C232" s="32"/>
      <c r="D232" s="33"/>
    </row>
    <row r="233" spans="1:4" x14ac:dyDescent="0.25">
      <c r="A233" s="102" t="s">
        <v>640</v>
      </c>
      <c r="B233" s="33">
        <v>85</v>
      </c>
      <c r="C233" s="32"/>
      <c r="D233" s="33"/>
    </row>
    <row r="234" spans="1:4" x14ac:dyDescent="0.25">
      <c r="A234" s="102" t="s">
        <v>642</v>
      </c>
      <c r="B234" s="33">
        <v>1</v>
      </c>
      <c r="C234" s="32"/>
      <c r="D234" s="33"/>
    </row>
    <row r="235" spans="1:4" x14ac:dyDescent="0.25">
      <c r="A235" s="102" t="s">
        <v>642</v>
      </c>
      <c r="B235" s="33">
        <v>0</v>
      </c>
      <c r="C235" s="32"/>
      <c r="D235" s="33"/>
    </row>
    <row r="236" spans="1:4" x14ac:dyDescent="0.25">
      <c r="A236" s="102" t="s">
        <v>646</v>
      </c>
      <c r="B236" s="33">
        <v>44</v>
      </c>
      <c r="C236" s="32"/>
      <c r="D236" s="33"/>
    </row>
    <row r="237" spans="1:4" x14ac:dyDescent="0.25">
      <c r="A237" s="102" t="s">
        <v>647</v>
      </c>
      <c r="B237" s="33">
        <v>1</v>
      </c>
      <c r="C237" s="32"/>
      <c r="D237" s="33"/>
    </row>
    <row r="238" spans="1:4" x14ac:dyDescent="0.25">
      <c r="A238" s="102" t="s">
        <v>649</v>
      </c>
      <c r="B238" s="33">
        <v>4</v>
      </c>
      <c r="C238" s="32"/>
      <c r="D238" s="33"/>
    </row>
    <row r="239" spans="1:4" x14ac:dyDescent="0.25">
      <c r="A239" s="102" t="s">
        <v>651</v>
      </c>
      <c r="B239" s="33">
        <v>8</v>
      </c>
      <c r="C239" s="32"/>
      <c r="D239" s="33"/>
    </row>
    <row r="240" spans="1:4" x14ac:dyDescent="0.25">
      <c r="A240" s="102" t="s">
        <v>652</v>
      </c>
      <c r="B240" s="33">
        <v>5</v>
      </c>
      <c r="C240" s="32"/>
      <c r="D240" s="33"/>
    </row>
    <row r="241" spans="1:4" x14ac:dyDescent="0.25">
      <c r="A241" s="102" t="s">
        <v>654</v>
      </c>
      <c r="B241" s="33">
        <v>8</v>
      </c>
      <c r="C241" s="32"/>
      <c r="D241" s="33"/>
    </row>
    <row r="242" spans="1:4" x14ac:dyDescent="0.25">
      <c r="A242" s="102" t="s">
        <v>655</v>
      </c>
      <c r="B242" s="33">
        <v>14</v>
      </c>
      <c r="C242" s="32"/>
      <c r="D242" s="33"/>
    </row>
    <row r="243" spans="1:4" x14ac:dyDescent="0.25">
      <c r="A243" s="102" t="s">
        <v>656</v>
      </c>
      <c r="B243" s="33">
        <v>10</v>
      </c>
      <c r="C243" s="32"/>
      <c r="D243" s="33"/>
    </row>
    <row r="244" spans="1:4" x14ac:dyDescent="0.25">
      <c r="A244" s="102" t="s">
        <v>658</v>
      </c>
      <c r="B244" s="33">
        <v>100</v>
      </c>
      <c r="C244" s="32"/>
      <c r="D244" s="33"/>
    </row>
    <row r="245" spans="1:4" x14ac:dyDescent="0.25">
      <c r="A245" s="102" t="s">
        <v>660</v>
      </c>
      <c r="B245" s="33">
        <v>2</v>
      </c>
      <c r="C245" s="32"/>
      <c r="D245" s="33"/>
    </row>
    <row r="246" spans="1:4" x14ac:dyDescent="0.25">
      <c r="A246" s="102" t="s">
        <v>662</v>
      </c>
      <c r="B246" s="33">
        <v>0</v>
      </c>
      <c r="C246" s="32"/>
      <c r="D246" s="33"/>
    </row>
    <row r="247" spans="1:4" x14ac:dyDescent="0.25">
      <c r="A247" s="102" t="s">
        <v>664</v>
      </c>
      <c r="B247" s="33">
        <v>0</v>
      </c>
      <c r="C247" s="32"/>
      <c r="D247" s="33"/>
    </row>
    <row r="248" spans="1:4" x14ac:dyDescent="0.25">
      <c r="A248" s="102" t="s">
        <v>666</v>
      </c>
      <c r="B248" s="33">
        <v>3</v>
      </c>
      <c r="C248" s="32"/>
      <c r="D248" s="33"/>
    </row>
    <row r="249" spans="1:4" x14ac:dyDescent="0.25">
      <c r="A249" s="102" t="s">
        <v>668</v>
      </c>
      <c r="B249" s="33">
        <v>10</v>
      </c>
      <c r="C249" s="32"/>
      <c r="D249" s="33"/>
    </row>
    <row r="250" spans="1:4" x14ac:dyDescent="0.25">
      <c r="A250" s="102" t="s">
        <v>669</v>
      </c>
      <c r="B250" s="33">
        <v>3</v>
      </c>
      <c r="C250" s="32"/>
      <c r="D250" s="33"/>
    </row>
    <row r="251" spans="1:4" x14ac:dyDescent="0.25">
      <c r="A251" s="102" t="s">
        <v>670</v>
      </c>
      <c r="B251" s="33">
        <v>3</v>
      </c>
      <c r="C251" s="32"/>
      <c r="D251" s="33"/>
    </row>
    <row r="252" spans="1:4" x14ac:dyDescent="0.25">
      <c r="A252" s="102" t="s">
        <v>671</v>
      </c>
      <c r="B252" s="33">
        <v>20</v>
      </c>
      <c r="C252" s="32"/>
      <c r="D252" s="33"/>
    </row>
    <row r="253" spans="1:4" x14ac:dyDescent="0.25">
      <c r="A253" s="102" t="s">
        <v>672</v>
      </c>
      <c r="B253" s="33">
        <v>32</v>
      </c>
      <c r="C253" s="32"/>
      <c r="D253" s="33"/>
    </row>
    <row r="254" spans="1:4" x14ac:dyDescent="0.25">
      <c r="A254" s="102" t="s">
        <v>673</v>
      </c>
      <c r="B254" s="33">
        <v>377</v>
      </c>
      <c r="C254" s="32"/>
      <c r="D254" s="33"/>
    </row>
    <row r="255" spans="1:4" x14ac:dyDescent="0.25">
      <c r="A255" s="102" t="s">
        <v>675</v>
      </c>
      <c r="B255" s="33">
        <v>25</v>
      </c>
      <c r="C255" s="32"/>
      <c r="D255" s="33"/>
    </row>
    <row r="256" spans="1:4" ht="30" x14ac:dyDescent="0.25">
      <c r="A256" s="102" t="s">
        <v>677</v>
      </c>
      <c r="B256" s="33">
        <v>100</v>
      </c>
      <c r="C256" s="32"/>
      <c r="D256" s="33"/>
    </row>
    <row r="257" spans="1:4" x14ac:dyDescent="0.25">
      <c r="A257" s="102" t="s">
        <v>680</v>
      </c>
      <c r="B257" s="33">
        <v>10</v>
      </c>
      <c r="C257" s="32"/>
      <c r="D257" s="33"/>
    </row>
    <row r="258" spans="1:4" x14ac:dyDescent="0.25">
      <c r="A258" s="102" t="s">
        <v>682</v>
      </c>
      <c r="B258" s="33">
        <v>0</v>
      </c>
      <c r="C258" s="32"/>
      <c r="D258" s="33"/>
    </row>
    <row r="259" spans="1:4" x14ac:dyDescent="0.25">
      <c r="A259" s="102" t="s">
        <v>684</v>
      </c>
      <c r="B259" s="33">
        <v>0</v>
      </c>
      <c r="C259" s="32"/>
      <c r="D259" s="33"/>
    </row>
    <row r="260" spans="1:4" x14ac:dyDescent="0.25">
      <c r="A260" s="102" t="s">
        <v>686</v>
      </c>
      <c r="B260" s="33">
        <v>2</v>
      </c>
      <c r="C260" s="32"/>
      <c r="D260" s="33"/>
    </row>
    <row r="261" spans="1:4" x14ac:dyDescent="0.25">
      <c r="A261" s="102" t="s">
        <v>688</v>
      </c>
      <c r="B261" s="33">
        <v>2</v>
      </c>
      <c r="C261" s="32"/>
      <c r="D261" s="33"/>
    </row>
    <row r="262" spans="1:4" x14ac:dyDescent="0.25">
      <c r="A262" s="102" t="s">
        <v>690</v>
      </c>
      <c r="B262" s="33">
        <v>1</v>
      </c>
      <c r="C262" s="32"/>
      <c r="D262" s="33"/>
    </row>
    <row r="263" spans="1:4" x14ac:dyDescent="0.25">
      <c r="A263" s="102" t="s">
        <v>692</v>
      </c>
      <c r="B263" s="33">
        <v>0</v>
      </c>
      <c r="C263" s="32"/>
      <c r="D263" s="33"/>
    </row>
    <row r="264" spans="1:4" x14ac:dyDescent="0.25">
      <c r="A264" s="102" t="s">
        <v>695</v>
      </c>
      <c r="B264" s="33">
        <v>3</v>
      </c>
      <c r="C264" s="32"/>
      <c r="D264" s="33"/>
    </row>
    <row r="265" spans="1:4" x14ac:dyDescent="0.25">
      <c r="A265" s="102" t="s">
        <v>697</v>
      </c>
      <c r="B265" s="33">
        <v>1</v>
      </c>
      <c r="C265" s="32"/>
      <c r="D265" s="33"/>
    </row>
    <row r="266" spans="1:4" x14ac:dyDescent="0.25">
      <c r="A266" s="102" t="s">
        <v>699</v>
      </c>
      <c r="B266" s="33">
        <v>6</v>
      </c>
      <c r="C266" s="32"/>
      <c r="D266" s="33"/>
    </row>
    <row r="267" spans="1:4" x14ac:dyDescent="0.25">
      <c r="A267" s="102" t="s">
        <v>701</v>
      </c>
      <c r="B267" s="33">
        <v>10</v>
      </c>
      <c r="C267" s="32"/>
      <c r="D267" s="33"/>
    </row>
    <row r="268" spans="1:4" x14ac:dyDescent="0.25">
      <c r="A268" s="102" t="s">
        <v>703</v>
      </c>
      <c r="B268" s="33">
        <v>10</v>
      </c>
      <c r="C268" s="32"/>
      <c r="D268" s="33"/>
    </row>
    <row r="269" spans="1:4" x14ac:dyDescent="0.25">
      <c r="A269" s="102" t="s">
        <v>703</v>
      </c>
      <c r="B269" s="33">
        <v>7</v>
      </c>
      <c r="C269" s="32"/>
      <c r="D269" s="33"/>
    </row>
    <row r="270" spans="1:4" x14ac:dyDescent="0.25">
      <c r="A270" s="102" t="s">
        <v>706</v>
      </c>
      <c r="B270" s="33">
        <v>7</v>
      </c>
      <c r="C270" s="32"/>
      <c r="D270" s="33"/>
    </row>
    <row r="271" spans="1:4" x14ac:dyDescent="0.25">
      <c r="A271" s="102" t="s">
        <v>708</v>
      </c>
      <c r="B271" s="33">
        <v>3.29</v>
      </c>
      <c r="C271" s="32"/>
      <c r="D271" s="33"/>
    </row>
    <row r="272" spans="1:4" x14ac:dyDescent="0.25">
      <c r="A272" s="102" t="s">
        <v>708</v>
      </c>
      <c r="B272" s="33">
        <v>20.5</v>
      </c>
      <c r="C272" s="32"/>
      <c r="D272" s="33"/>
    </row>
    <row r="273" spans="1:4" x14ac:dyDescent="0.25">
      <c r="A273" s="102" t="s">
        <v>710</v>
      </c>
      <c r="B273" s="33">
        <v>2.44</v>
      </c>
      <c r="C273" s="32"/>
      <c r="D273" s="33"/>
    </row>
    <row r="274" spans="1:4" x14ac:dyDescent="0.25">
      <c r="A274" s="102" t="s">
        <v>712</v>
      </c>
      <c r="B274" s="33">
        <v>0.7</v>
      </c>
      <c r="C274" s="32"/>
      <c r="D274" s="33"/>
    </row>
    <row r="275" spans="1:4" x14ac:dyDescent="0.25">
      <c r="A275" s="102" t="s">
        <v>714</v>
      </c>
      <c r="B275" s="33">
        <v>2</v>
      </c>
      <c r="C275" s="32"/>
      <c r="D275" s="33"/>
    </row>
    <row r="276" spans="1:4" x14ac:dyDescent="0.25">
      <c r="A276" s="102" t="s">
        <v>716</v>
      </c>
      <c r="B276" s="33">
        <v>4.4000000000000004</v>
      </c>
      <c r="C276" s="32"/>
      <c r="D276" s="33"/>
    </row>
    <row r="277" spans="1:4" x14ac:dyDescent="0.25">
      <c r="A277" s="102" t="s">
        <v>716</v>
      </c>
      <c r="B277" s="33">
        <v>10</v>
      </c>
      <c r="C277" s="32"/>
      <c r="D277" s="33"/>
    </row>
    <row r="278" spans="1:4" x14ac:dyDescent="0.25">
      <c r="A278" s="102" t="s">
        <v>718</v>
      </c>
      <c r="B278" s="33">
        <v>0.82</v>
      </c>
      <c r="C278" s="32"/>
      <c r="D278" s="33"/>
    </row>
    <row r="279" spans="1:4" x14ac:dyDescent="0.25">
      <c r="A279" s="102" t="s">
        <v>718</v>
      </c>
      <c r="B279" s="33">
        <v>1.9530000000000001</v>
      </c>
      <c r="C279" s="32"/>
      <c r="D279" s="33"/>
    </row>
    <row r="280" spans="1:4" x14ac:dyDescent="0.25">
      <c r="A280" s="102" t="s">
        <v>718</v>
      </c>
      <c r="B280" s="33">
        <v>2.2000000000000002</v>
      </c>
      <c r="C280" s="32"/>
      <c r="D280" s="33"/>
    </row>
    <row r="281" spans="1:4" x14ac:dyDescent="0.25">
      <c r="A281" s="102" t="s">
        <v>718</v>
      </c>
      <c r="B281" s="33">
        <v>9</v>
      </c>
      <c r="C281" s="32"/>
      <c r="D281" s="33"/>
    </row>
    <row r="282" spans="1:4" x14ac:dyDescent="0.25">
      <c r="A282" s="102" t="s">
        <v>723</v>
      </c>
      <c r="B282" s="33">
        <v>8</v>
      </c>
      <c r="C282" s="32"/>
      <c r="D282" s="33"/>
    </row>
    <row r="283" spans="1:4" x14ac:dyDescent="0.25">
      <c r="A283" s="102" t="s">
        <v>724</v>
      </c>
      <c r="B283" s="33">
        <v>3.06</v>
      </c>
      <c r="C283" s="32"/>
      <c r="D283" s="33"/>
    </row>
    <row r="284" spans="1:4" x14ac:dyDescent="0.25">
      <c r="A284" s="102" t="s">
        <v>724</v>
      </c>
      <c r="B284" s="33">
        <v>4.673</v>
      </c>
      <c r="C284" s="32"/>
      <c r="D284" s="33"/>
    </row>
    <row r="285" spans="1:4" x14ac:dyDescent="0.25">
      <c r="A285" s="102" t="s">
        <v>724</v>
      </c>
      <c r="B285" s="33">
        <v>10</v>
      </c>
      <c r="C285" s="32"/>
      <c r="D285" s="33"/>
    </row>
    <row r="286" spans="1:4" x14ac:dyDescent="0.25">
      <c r="A286" s="102" t="s">
        <v>724</v>
      </c>
      <c r="B286" s="33">
        <v>7</v>
      </c>
      <c r="C286" s="32"/>
      <c r="D286" s="33"/>
    </row>
    <row r="287" spans="1:4" x14ac:dyDescent="0.25">
      <c r="A287" s="102" t="s">
        <v>724</v>
      </c>
      <c r="B287" s="33">
        <v>7</v>
      </c>
      <c r="C287" s="32"/>
      <c r="D287" s="33"/>
    </row>
    <row r="288" spans="1:4" x14ac:dyDescent="0.25">
      <c r="A288" s="102" t="s">
        <v>724</v>
      </c>
      <c r="B288" s="33">
        <v>10</v>
      </c>
      <c r="C288" s="32"/>
      <c r="D288" s="33"/>
    </row>
    <row r="289" spans="1:4" x14ac:dyDescent="0.25">
      <c r="A289" s="102" t="s">
        <v>728</v>
      </c>
      <c r="B289" s="33">
        <v>10</v>
      </c>
      <c r="C289" s="32"/>
      <c r="D289" s="33"/>
    </row>
    <row r="290" spans="1:4" x14ac:dyDescent="0.25">
      <c r="A290" s="102" t="s">
        <v>728</v>
      </c>
      <c r="B290" s="33">
        <v>10000</v>
      </c>
      <c r="C290" s="32"/>
      <c r="D290" s="33"/>
    </row>
    <row r="291" spans="1:4" x14ac:dyDescent="0.25">
      <c r="A291" s="102" t="s">
        <v>728</v>
      </c>
      <c r="B291" s="33">
        <v>10</v>
      </c>
      <c r="C291" s="32"/>
      <c r="D291" s="33"/>
    </row>
    <row r="292" spans="1:4" x14ac:dyDescent="0.25">
      <c r="A292" s="102" t="s">
        <v>728</v>
      </c>
      <c r="B292" s="33">
        <v>1.6</v>
      </c>
      <c r="C292" s="32"/>
      <c r="D292" s="33"/>
    </row>
    <row r="293" spans="1:4" x14ac:dyDescent="0.25">
      <c r="A293" s="102" t="s">
        <v>731</v>
      </c>
      <c r="B293" s="33">
        <v>4.8579999999999997</v>
      </c>
      <c r="C293" s="32"/>
      <c r="D293" s="33"/>
    </row>
    <row r="294" spans="1:4" x14ac:dyDescent="0.25">
      <c r="A294" s="102" t="s">
        <v>733</v>
      </c>
      <c r="B294" s="33">
        <v>10</v>
      </c>
      <c r="C294" s="32"/>
      <c r="D294" s="33"/>
    </row>
    <row r="295" spans="1:4" x14ac:dyDescent="0.25">
      <c r="A295" s="102" t="s">
        <v>734</v>
      </c>
      <c r="B295" s="33">
        <v>6.7</v>
      </c>
      <c r="C295" s="32"/>
      <c r="D295" s="33"/>
    </row>
    <row r="296" spans="1:4" x14ac:dyDescent="0.25">
      <c r="A296" s="102" t="s">
        <v>735</v>
      </c>
      <c r="B296" s="33">
        <v>3</v>
      </c>
      <c r="C296" s="32"/>
      <c r="D296" s="33"/>
    </row>
    <row r="297" spans="1:4" x14ac:dyDescent="0.25">
      <c r="A297" s="102" t="s">
        <v>736</v>
      </c>
      <c r="B297" s="33">
        <v>4</v>
      </c>
      <c r="C297" s="32"/>
      <c r="D297" s="33"/>
    </row>
    <row r="298" spans="1:4" x14ac:dyDescent="0.25">
      <c r="A298" s="102" t="s">
        <v>738</v>
      </c>
      <c r="B298" s="33">
        <v>0</v>
      </c>
      <c r="C298" s="32"/>
      <c r="D298" s="33"/>
    </row>
    <row r="299" spans="1:4" x14ac:dyDescent="0.25">
      <c r="A299" s="102" t="s">
        <v>740</v>
      </c>
      <c r="B299" s="33">
        <v>0</v>
      </c>
      <c r="C299" s="32"/>
      <c r="D299" s="33"/>
    </row>
    <row r="300" spans="1:4" x14ac:dyDescent="0.25">
      <c r="A300" s="102" t="s">
        <v>742</v>
      </c>
      <c r="B300" s="33">
        <v>2</v>
      </c>
      <c r="C300" s="32"/>
      <c r="D300" s="33"/>
    </row>
    <row r="301" spans="1:4" x14ac:dyDescent="0.25">
      <c r="A301" s="102" t="s">
        <v>744</v>
      </c>
      <c r="B301" s="33">
        <v>0</v>
      </c>
      <c r="C301" s="32"/>
      <c r="D301" s="33"/>
    </row>
    <row r="302" spans="1:4" x14ac:dyDescent="0.25">
      <c r="A302" s="102" t="s">
        <v>746</v>
      </c>
      <c r="B302" s="33">
        <v>0</v>
      </c>
      <c r="C302" s="32"/>
      <c r="D302" s="33"/>
    </row>
    <row r="303" spans="1:4" x14ac:dyDescent="0.25">
      <c r="A303" s="102" t="s">
        <v>748</v>
      </c>
      <c r="B303" s="33">
        <v>0</v>
      </c>
      <c r="C303" s="32"/>
      <c r="D303" s="33"/>
    </row>
    <row r="304" spans="1:4" x14ac:dyDescent="0.25">
      <c r="A304" s="102" t="s">
        <v>329</v>
      </c>
      <c r="B304" s="33">
        <v>0</v>
      </c>
      <c r="C304" s="32"/>
      <c r="D304" s="33"/>
    </row>
    <row r="305" spans="1:4" x14ac:dyDescent="0.25">
      <c r="A305" s="102" t="s">
        <v>751</v>
      </c>
      <c r="B305" s="33">
        <v>0</v>
      </c>
      <c r="C305" s="32"/>
      <c r="D305" s="33"/>
    </row>
    <row r="306" spans="1:4" x14ac:dyDescent="0.25">
      <c r="A306" s="102" t="s">
        <v>753</v>
      </c>
      <c r="B306" s="33">
        <v>0</v>
      </c>
      <c r="C306" s="32"/>
      <c r="D306" s="33"/>
    </row>
    <row r="307" spans="1:4" x14ac:dyDescent="0.25">
      <c r="A307" s="102" t="s">
        <v>755</v>
      </c>
      <c r="B307" s="33">
        <v>3</v>
      </c>
      <c r="C307" s="32"/>
      <c r="D307" s="33"/>
    </row>
    <row r="308" spans="1:4" x14ac:dyDescent="0.25">
      <c r="A308" s="102" t="s">
        <v>328</v>
      </c>
      <c r="B308" s="33">
        <v>0</v>
      </c>
      <c r="C308" s="32"/>
      <c r="D308" s="33"/>
    </row>
    <row r="309" spans="1:4" x14ac:dyDescent="0.25">
      <c r="A309" s="102" t="s">
        <v>758</v>
      </c>
      <c r="B309" s="33">
        <v>0</v>
      </c>
      <c r="C309" s="32"/>
      <c r="D309" s="33"/>
    </row>
    <row r="310" spans="1:4" x14ac:dyDescent="0.25">
      <c r="A310" s="102" t="s">
        <v>760</v>
      </c>
      <c r="B310" s="33">
        <v>0</v>
      </c>
      <c r="C310" s="32"/>
      <c r="D310" s="33"/>
    </row>
    <row r="311" spans="1:4" ht="30" x14ac:dyDescent="0.25">
      <c r="A311" s="102" t="s">
        <v>762</v>
      </c>
      <c r="B311" s="33">
        <v>1</v>
      </c>
      <c r="C311" s="32"/>
      <c r="D311" s="33"/>
    </row>
    <row r="312" spans="1:4" x14ac:dyDescent="0.25">
      <c r="A312" s="102" t="s">
        <v>764</v>
      </c>
      <c r="B312" s="33">
        <v>0</v>
      </c>
      <c r="C312" s="32"/>
      <c r="D312" s="33"/>
    </row>
    <row r="313" spans="1:4" x14ac:dyDescent="0.25">
      <c r="A313" s="102" t="s">
        <v>766</v>
      </c>
      <c r="B313" s="33">
        <v>6</v>
      </c>
      <c r="C313" s="32"/>
      <c r="D313" s="33"/>
    </row>
    <row r="314" spans="1:4" x14ac:dyDescent="0.25">
      <c r="A314" s="102" t="s">
        <v>769</v>
      </c>
      <c r="B314" s="33">
        <v>4</v>
      </c>
      <c r="C314" s="32"/>
      <c r="D314" s="33"/>
    </row>
    <row r="315" spans="1:4" x14ac:dyDescent="0.25">
      <c r="A315" s="102" t="s">
        <v>772</v>
      </c>
      <c r="B315" s="33">
        <v>3</v>
      </c>
      <c r="C315" s="32"/>
      <c r="D315" s="33"/>
    </row>
    <row r="316" spans="1:4" x14ac:dyDescent="0.25">
      <c r="A316" s="102" t="s">
        <v>774</v>
      </c>
      <c r="B316" s="33">
        <v>0</v>
      </c>
      <c r="C316" s="32"/>
      <c r="D316" s="33"/>
    </row>
    <row r="317" spans="1:4" x14ac:dyDescent="0.25">
      <c r="A317" s="102" t="s">
        <v>776</v>
      </c>
      <c r="B317" s="33">
        <v>0</v>
      </c>
      <c r="C317" s="32"/>
      <c r="D317" s="33"/>
    </row>
    <row r="318" spans="1:4" x14ac:dyDescent="0.25">
      <c r="A318" s="15" t="s">
        <v>1061</v>
      </c>
      <c r="B318" s="33">
        <v>5</v>
      </c>
      <c r="C318" s="32"/>
      <c r="D318" s="33"/>
    </row>
    <row r="319" spans="1:4" ht="30" x14ac:dyDescent="0.25">
      <c r="A319" s="15" t="s">
        <v>1064</v>
      </c>
      <c r="B319" s="33">
        <v>1</v>
      </c>
      <c r="C319" s="32"/>
      <c r="D319" s="33"/>
    </row>
    <row r="320" spans="1:4" x14ac:dyDescent="0.25">
      <c r="A320" s="15" t="s">
        <v>1066</v>
      </c>
      <c r="B320" s="33">
        <v>16</v>
      </c>
      <c r="C320" s="32"/>
      <c r="D320" s="33"/>
    </row>
    <row r="321" spans="1:4" x14ac:dyDescent="0.25">
      <c r="A321" s="15" t="s">
        <v>1068</v>
      </c>
      <c r="B321" s="33">
        <v>1</v>
      </c>
      <c r="C321" s="32"/>
      <c r="D321" s="33"/>
    </row>
    <row r="322" spans="1:4" x14ac:dyDescent="0.25">
      <c r="A322" s="15" t="s">
        <v>1070</v>
      </c>
      <c r="B322" s="33">
        <v>8</v>
      </c>
      <c r="C322" s="32"/>
      <c r="D322" s="33"/>
    </row>
    <row r="323" spans="1:4" x14ac:dyDescent="0.25">
      <c r="A323" s="15" t="s">
        <v>1072</v>
      </c>
      <c r="B323" s="33">
        <v>2</v>
      </c>
      <c r="C323" s="32"/>
      <c r="D323" s="33"/>
    </row>
    <row r="324" spans="1:4" x14ac:dyDescent="0.25">
      <c r="A324" s="15" t="s">
        <v>1074</v>
      </c>
      <c r="B324" s="33">
        <v>1</v>
      </c>
      <c r="C324" s="32"/>
      <c r="D324" s="33"/>
    </row>
    <row r="325" spans="1:4" x14ac:dyDescent="0.25">
      <c r="A325" s="15" t="s">
        <v>1076</v>
      </c>
      <c r="B325" s="33">
        <v>0</v>
      </c>
      <c r="C325" s="32"/>
      <c r="D325" s="33"/>
    </row>
    <row r="326" spans="1:4" x14ac:dyDescent="0.25">
      <c r="A326" s="15" t="s">
        <v>1079</v>
      </c>
      <c r="B326" s="33">
        <v>0</v>
      </c>
      <c r="C326" s="32"/>
      <c r="D326" s="33"/>
    </row>
    <row r="327" spans="1:4" x14ac:dyDescent="0.25">
      <c r="A327" s="15" t="s">
        <v>227</v>
      </c>
      <c r="B327" s="33">
        <v>0</v>
      </c>
      <c r="C327" s="32"/>
      <c r="D327" s="33"/>
    </row>
    <row r="328" spans="1:4" x14ac:dyDescent="0.25">
      <c r="A328" s="15" t="s">
        <v>1086</v>
      </c>
      <c r="B328" s="33">
        <v>0</v>
      </c>
      <c r="C328" s="32"/>
      <c r="D328" s="33"/>
    </row>
    <row r="329" spans="1:4" x14ac:dyDescent="0.25">
      <c r="A329" s="15" t="s">
        <v>1093</v>
      </c>
      <c r="B329" s="33">
        <v>1</v>
      </c>
      <c r="C329" s="32"/>
      <c r="D329" s="33"/>
    </row>
    <row r="330" spans="1:4" ht="30" x14ac:dyDescent="0.25">
      <c r="A330" s="15" t="s">
        <v>1095</v>
      </c>
      <c r="B330" s="33">
        <v>1</v>
      </c>
      <c r="C330" s="32"/>
      <c r="D330" s="33"/>
    </row>
    <row r="331" spans="1:4" x14ac:dyDescent="0.25">
      <c r="A331" s="15" t="s">
        <v>1098</v>
      </c>
      <c r="B331" s="33">
        <v>1</v>
      </c>
      <c r="C331" s="32"/>
      <c r="D331" s="33"/>
    </row>
    <row r="332" spans="1:4" x14ac:dyDescent="0.25">
      <c r="A332" s="15" t="s">
        <v>1100</v>
      </c>
      <c r="B332" s="33">
        <v>1</v>
      </c>
      <c r="C332" s="32"/>
      <c r="D332" s="33"/>
    </row>
    <row r="333" spans="1:4" x14ac:dyDescent="0.25">
      <c r="A333" s="15" t="s">
        <v>1102</v>
      </c>
      <c r="B333" s="33">
        <v>1</v>
      </c>
      <c r="C333" s="32"/>
      <c r="D333" s="33"/>
    </row>
    <row r="334" spans="1:4" ht="30" x14ac:dyDescent="0.25">
      <c r="A334" s="15" t="s">
        <v>1105</v>
      </c>
      <c r="B334" s="33">
        <v>1</v>
      </c>
      <c r="C334" s="32"/>
      <c r="D334" s="33"/>
    </row>
    <row r="335" spans="1:4" x14ac:dyDescent="0.25">
      <c r="A335" s="15" t="s">
        <v>1107</v>
      </c>
      <c r="B335" s="33">
        <v>1</v>
      </c>
      <c r="C335" s="32"/>
      <c r="D335" s="33"/>
    </row>
    <row r="336" spans="1:4" ht="30" x14ac:dyDescent="0.25">
      <c r="A336" s="15" t="s">
        <v>1110</v>
      </c>
      <c r="B336" s="33">
        <v>1</v>
      </c>
      <c r="C336" s="32"/>
      <c r="D336" s="33"/>
    </row>
    <row r="337" spans="1:4" x14ac:dyDescent="0.25">
      <c r="A337" s="15" t="s">
        <v>1112</v>
      </c>
      <c r="B337" s="33">
        <v>1</v>
      </c>
      <c r="C337" s="32"/>
      <c r="D337" s="33"/>
    </row>
    <row r="338" spans="1:4" x14ac:dyDescent="0.25">
      <c r="A338" s="15" t="s">
        <v>1114</v>
      </c>
      <c r="B338" s="33">
        <v>2</v>
      </c>
      <c r="C338" s="32"/>
      <c r="D338" s="33"/>
    </row>
    <row r="339" spans="1:4" ht="30" x14ac:dyDescent="0.25">
      <c r="A339" s="15" t="s">
        <v>1116</v>
      </c>
      <c r="B339" s="33">
        <v>1</v>
      </c>
      <c r="C339" s="32"/>
      <c r="D339" s="33"/>
    </row>
    <row r="340" spans="1:4" x14ac:dyDescent="0.25">
      <c r="A340" s="15" t="s">
        <v>1119</v>
      </c>
      <c r="B340" s="33">
        <v>1</v>
      </c>
      <c r="C340" s="32"/>
      <c r="D340" s="33"/>
    </row>
    <row r="341" spans="1:4" x14ac:dyDescent="0.25">
      <c r="A341" s="15" t="s">
        <v>1122</v>
      </c>
      <c r="B341" s="33">
        <v>1</v>
      </c>
      <c r="C341" s="32"/>
      <c r="D341" s="33"/>
    </row>
    <row r="342" spans="1:4" x14ac:dyDescent="0.25">
      <c r="A342" s="15" t="s">
        <v>1124</v>
      </c>
      <c r="B342" s="33">
        <v>1</v>
      </c>
      <c r="C342" s="32"/>
      <c r="D342" s="33"/>
    </row>
    <row r="343" spans="1:4" ht="30" x14ac:dyDescent="0.25">
      <c r="A343" s="15" t="s">
        <v>1126</v>
      </c>
      <c r="B343" s="33">
        <v>1</v>
      </c>
      <c r="C343" s="32"/>
      <c r="D343" s="33"/>
    </row>
    <row r="344" spans="1:4" x14ac:dyDescent="0.25">
      <c r="A344" s="15" t="s">
        <v>1128</v>
      </c>
      <c r="B344" s="33">
        <v>1</v>
      </c>
      <c r="C344" s="32"/>
      <c r="D344" s="33"/>
    </row>
    <row r="345" spans="1:4" x14ac:dyDescent="0.25">
      <c r="A345" s="15" t="s">
        <v>1131</v>
      </c>
      <c r="B345" s="33">
        <v>0</v>
      </c>
      <c r="C345" s="32"/>
      <c r="D345" s="33"/>
    </row>
    <row r="346" spans="1:4" x14ac:dyDescent="0.25">
      <c r="A346" s="15" t="s">
        <v>1133</v>
      </c>
      <c r="B346" s="33">
        <v>0</v>
      </c>
      <c r="C346" s="32"/>
      <c r="D346" s="33"/>
    </row>
    <row r="347" spans="1:4" x14ac:dyDescent="0.25">
      <c r="A347" s="15" t="s">
        <v>1135</v>
      </c>
      <c r="B347" s="33">
        <v>0</v>
      </c>
      <c r="C347" s="32"/>
      <c r="D347" s="33"/>
    </row>
    <row r="348" spans="1:4" x14ac:dyDescent="0.25">
      <c r="A348" s="15" t="s">
        <v>1137</v>
      </c>
      <c r="B348" s="33">
        <v>1</v>
      </c>
      <c r="C348" s="32"/>
      <c r="D348" s="33"/>
    </row>
    <row r="349" spans="1:4" x14ac:dyDescent="0.25">
      <c r="A349" s="15" t="s">
        <v>1147</v>
      </c>
      <c r="B349" s="33">
        <v>1</v>
      </c>
      <c r="C349" s="32"/>
      <c r="D349" s="33"/>
    </row>
    <row r="350" spans="1:4" x14ac:dyDescent="0.25">
      <c r="A350" s="15" t="s">
        <v>1152</v>
      </c>
      <c r="B350" s="33">
        <v>0</v>
      </c>
      <c r="C350" s="32"/>
      <c r="D350" s="33"/>
    </row>
    <row r="351" spans="1:4" x14ac:dyDescent="0.25">
      <c r="A351" s="15" t="s">
        <v>1160</v>
      </c>
      <c r="B351" s="33">
        <v>0</v>
      </c>
      <c r="C351" s="32"/>
      <c r="D351" s="33"/>
    </row>
    <row r="352" spans="1:4" x14ac:dyDescent="0.25">
      <c r="A352" s="15" t="s">
        <v>1169</v>
      </c>
      <c r="B352" s="33">
        <v>0</v>
      </c>
      <c r="C352" s="32"/>
      <c r="D352" s="33"/>
    </row>
    <row r="353" spans="1:4" x14ac:dyDescent="0.25">
      <c r="A353" s="15" t="s">
        <v>1171</v>
      </c>
      <c r="B353" s="33">
        <v>0</v>
      </c>
      <c r="C353" s="32"/>
      <c r="D353" s="33"/>
    </row>
    <row r="354" spans="1:4" x14ac:dyDescent="0.25">
      <c r="A354" s="15" t="s">
        <v>1173</v>
      </c>
      <c r="B354" s="33">
        <v>0</v>
      </c>
      <c r="C354" s="32"/>
      <c r="D354" s="33"/>
    </row>
    <row r="355" spans="1:4" x14ac:dyDescent="0.25">
      <c r="A355" s="15" t="s">
        <v>1175</v>
      </c>
      <c r="B355" s="33">
        <v>0</v>
      </c>
      <c r="C355" s="32"/>
      <c r="D355" s="33"/>
    </row>
    <row r="356" spans="1:4" x14ac:dyDescent="0.25">
      <c r="A356" s="15" t="s">
        <v>1179</v>
      </c>
      <c r="B356" s="33">
        <v>0</v>
      </c>
      <c r="C356" s="32"/>
      <c r="D356" s="33"/>
    </row>
    <row r="357" spans="1:4" x14ac:dyDescent="0.25">
      <c r="A357" s="15" t="s">
        <v>1181</v>
      </c>
      <c r="B357" s="33">
        <v>5</v>
      </c>
      <c r="C357" s="32"/>
      <c r="D357" s="33"/>
    </row>
    <row r="358" spans="1:4" x14ac:dyDescent="0.25">
      <c r="A358" s="15" t="s">
        <v>1183</v>
      </c>
      <c r="B358" s="33">
        <v>0</v>
      </c>
      <c r="C358" s="32"/>
      <c r="D358" s="33"/>
    </row>
    <row r="359" spans="1:4" x14ac:dyDescent="0.25">
      <c r="A359" s="15" t="s">
        <v>1185</v>
      </c>
      <c r="B359" s="33">
        <v>0</v>
      </c>
      <c r="C359" s="32"/>
      <c r="D359" s="33"/>
    </row>
    <row r="360" spans="1:4" x14ac:dyDescent="0.25">
      <c r="A360" s="15" t="s">
        <v>1195</v>
      </c>
      <c r="B360" s="33">
        <v>30</v>
      </c>
      <c r="C360" s="32"/>
      <c r="D360" s="33"/>
    </row>
    <row r="361" spans="1:4" x14ac:dyDescent="0.25">
      <c r="A361" s="15" t="s">
        <v>1197</v>
      </c>
      <c r="B361" s="33">
        <v>30</v>
      </c>
      <c r="C361" s="32"/>
      <c r="D361" s="33"/>
    </row>
    <row r="362" spans="1:4" ht="30" x14ac:dyDescent="0.25">
      <c r="A362" s="15" t="s">
        <v>1199</v>
      </c>
      <c r="B362" s="33">
        <v>0</v>
      </c>
      <c r="C362" s="32"/>
      <c r="D362" s="33"/>
    </row>
    <row r="363" spans="1:4" ht="30" x14ac:dyDescent="0.25">
      <c r="A363" s="15" t="s">
        <v>1201</v>
      </c>
      <c r="B363" s="33">
        <v>0</v>
      </c>
      <c r="C363" s="32"/>
      <c r="D363" s="33"/>
    </row>
    <row r="364" spans="1:4" x14ac:dyDescent="0.25">
      <c r="A364" s="15" t="s">
        <v>1203</v>
      </c>
      <c r="B364" s="33">
        <v>0</v>
      </c>
      <c r="C364" s="32"/>
      <c r="D364" s="33"/>
    </row>
    <row r="365" spans="1:4" ht="30" x14ac:dyDescent="0.25">
      <c r="A365" s="15" t="s">
        <v>1205</v>
      </c>
      <c r="B365" s="33">
        <v>0</v>
      </c>
      <c r="C365" s="32"/>
      <c r="D365" s="33"/>
    </row>
    <row r="366" spans="1:4" x14ac:dyDescent="0.25">
      <c r="A366" s="15" t="s">
        <v>1207</v>
      </c>
      <c r="B366" s="33">
        <v>0</v>
      </c>
      <c r="C366" s="32"/>
      <c r="D366" s="33"/>
    </row>
    <row r="367" spans="1:4" ht="30" x14ac:dyDescent="0.25">
      <c r="A367" s="15" t="s">
        <v>1209</v>
      </c>
      <c r="B367" s="33">
        <v>0</v>
      </c>
      <c r="C367" s="32"/>
      <c r="D367" s="33"/>
    </row>
    <row r="368" spans="1:4" x14ac:dyDescent="0.25">
      <c r="A368" s="15" t="s">
        <v>1211</v>
      </c>
      <c r="B368" s="33">
        <v>0</v>
      </c>
      <c r="C368" s="32"/>
      <c r="D368" s="33"/>
    </row>
    <row r="369" spans="1:4" x14ac:dyDescent="0.25">
      <c r="A369" s="15" t="s">
        <v>1213</v>
      </c>
      <c r="B369" s="33">
        <v>0</v>
      </c>
      <c r="C369" s="32"/>
      <c r="D369" s="33"/>
    </row>
    <row r="370" spans="1:4" x14ac:dyDescent="0.25">
      <c r="A370" s="15" t="s">
        <v>1215</v>
      </c>
      <c r="B370" s="33">
        <v>0</v>
      </c>
      <c r="C370" s="32"/>
      <c r="D370" s="33"/>
    </row>
    <row r="371" spans="1:4" x14ac:dyDescent="0.25">
      <c r="A371" s="15" t="s">
        <v>1217</v>
      </c>
      <c r="B371" s="33">
        <v>0</v>
      </c>
      <c r="C371" s="32"/>
      <c r="D371" s="33"/>
    </row>
    <row r="372" spans="1:4" x14ac:dyDescent="0.25">
      <c r="A372" s="15" t="s">
        <v>1219</v>
      </c>
      <c r="B372" s="33">
        <v>0</v>
      </c>
      <c r="C372" s="32"/>
      <c r="D372" s="33"/>
    </row>
    <row r="373" spans="1:4" ht="30" x14ac:dyDescent="0.25">
      <c r="A373" s="15" t="s">
        <v>1221</v>
      </c>
      <c r="B373" s="33">
        <v>0</v>
      </c>
      <c r="C373" s="32"/>
      <c r="D373" s="33"/>
    </row>
    <row r="374" spans="1:4" x14ac:dyDescent="0.25">
      <c r="A374" s="15" t="s">
        <v>1223</v>
      </c>
      <c r="B374" s="33">
        <v>0</v>
      </c>
      <c r="C374" s="32"/>
      <c r="D374" s="33"/>
    </row>
    <row r="375" spans="1:4" x14ac:dyDescent="0.25">
      <c r="A375" s="15" t="s">
        <v>1225</v>
      </c>
      <c r="B375" s="33">
        <v>0</v>
      </c>
      <c r="C375" s="32"/>
      <c r="D375" s="33"/>
    </row>
    <row r="376" spans="1:4" x14ac:dyDescent="0.25">
      <c r="A376" s="15" t="s">
        <v>1237</v>
      </c>
      <c r="B376" s="33">
        <v>0</v>
      </c>
      <c r="C376" s="32"/>
      <c r="D376" s="33"/>
    </row>
    <row r="377" spans="1:4" x14ac:dyDescent="0.25">
      <c r="A377" s="15" t="s">
        <v>1239</v>
      </c>
      <c r="B377" s="33">
        <v>0</v>
      </c>
      <c r="C377" s="32"/>
      <c r="D377" s="33"/>
    </row>
    <row r="378" spans="1:4" x14ac:dyDescent="0.25">
      <c r="A378" s="15" t="s">
        <v>1241</v>
      </c>
      <c r="B378" s="33">
        <v>0</v>
      </c>
      <c r="C378" s="32"/>
      <c r="D378" s="33"/>
    </row>
    <row r="379" spans="1:4" x14ac:dyDescent="0.25">
      <c r="A379" s="15" t="s">
        <v>1243</v>
      </c>
      <c r="B379" s="33">
        <v>0</v>
      </c>
      <c r="C379" s="32"/>
      <c r="D379" s="33"/>
    </row>
    <row r="380" spans="1:4" x14ac:dyDescent="0.25">
      <c r="A380" s="15" t="s">
        <v>1245</v>
      </c>
      <c r="B380" s="33">
        <v>0</v>
      </c>
      <c r="C380" s="32"/>
      <c r="D380" s="33"/>
    </row>
    <row r="381" spans="1:4" x14ac:dyDescent="0.25">
      <c r="A381" s="15" t="s">
        <v>1247</v>
      </c>
      <c r="B381" s="33">
        <v>0</v>
      </c>
      <c r="C381" s="32"/>
      <c r="D381" s="33"/>
    </row>
    <row r="382" spans="1:4" x14ac:dyDescent="0.25">
      <c r="A382" s="15" t="s">
        <v>1249</v>
      </c>
      <c r="B382" s="33">
        <v>0</v>
      </c>
      <c r="C382" s="32"/>
      <c r="D382" s="33"/>
    </row>
    <row r="383" spans="1:4" x14ac:dyDescent="0.25">
      <c r="A383" s="15" t="s">
        <v>1251</v>
      </c>
      <c r="B383" s="33">
        <v>0</v>
      </c>
      <c r="C383" s="32"/>
      <c r="D383" s="33"/>
    </row>
    <row r="384" spans="1:4" x14ac:dyDescent="0.25">
      <c r="A384" s="15" t="s">
        <v>1256</v>
      </c>
      <c r="B384" s="33">
        <v>0</v>
      </c>
      <c r="C384" s="32"/>
      <c r="D384" s="33"/>
    </row>
    <row r="385" spans="1:4" x14ac:dyDescent="0.25">
      <c r="A385" s="15" t="s">
        <v>1260</v>
      </c>
      <c r="B385" s="33">
        <v>0</v>
      </c>
      <c r="C385" s="32"/>
      <c r="D385" s="33"/>
    </row>
    <row r="386" spans="1:4" x14ac:dyDescent="0.25">
      <c r="A386" s="15" t="s">
        <v>1263</v>
      </c>
      <c r="B386" s="33">
        <v>0</v>
      </c>
      <c r="C386" s="32"/>
      <c r="D386" s="33"/>
    </row>
    <row r="387" spans="1:4" x14ac:dyDescent="0.25">
      <c r="A387" s="15" t="s">
        <v>1265</v>
      </c>
      <c r="B387" s="33">
        <v>0</v>
      </c>
      <c r="C387" s="32"/>
      <c r="D387" s="33"/>
    </row>
    <row r="388" spans="1:4" x14ac:dyDescent="0.25">
      <c r="A388" s="15" t="s">
        <v>1268</v>
      </c>
      <c r="B388" s="33">
        <v>0</v>
      </c>
      <c r="C388" s="32"/>
      <c r="D388" s="33"/>
    </row>
    <row r="389" spans="1:4" x14ac:dyDescent="0.25">
      <c r="A389" s="15" t="s">
        <v>1270</v>
      </c>
      <c r="B389" s="33">
        <v>0</v>
      </c>
      <c r="C389" s="32"/>
      <c r="D389" s="33"/>
    </row>
    <row r="390" spans="1:4" x14ac:dyDescent="0.25">
      <c r="A390" s="15" t="s">
        <v>1276</v>
      </c>
      <c r="B390" s="33">
        <v>0</v>
      </c>
      <c r="C390" s="32"/>
      <c r="D390" s="33"/>
    </row>
    <row r="391" spans="1:4" x14ac:dyDescent="0.25">
      <c r="A391" s="15" t="s">
        <v>1281</v>
      </c>
      <c r="B391" s="33">
        <v>0</v>
      </c>
      <c r="C391" s="32"/>
      <c r="D391" s="33"/>
    </row>
    <row r="392" spans="1:4" x14ac:dyDescent="0.25">
      <c r="A392" s="15" t="s">
        <v>1283</v>
      </c>
      <c r="B392" s="33">
        <v>0</v>
      </c>
      <c r="C392" s="32"/>
      <c r="D392" s="33"/>
    </row>
    <row r="393" spans="1:4" x14ac:dyDescent="0.25">
      <c r="A393" s="15" t="s">
        <v>1285</v>
      </c>
      <c r="B393" s="33">
        <v>0</v>
      </c>
      <c r="C393" s="32"/>
      <c r="D393" s="33"/>
    </row>
    <row r="394" spans="1:4" x14ac:dyDescent="0.25">
      <c r="A394" s="15" t="s">
        <v>1287</v>
      </c>
      <c r="B394" s="33">
        <v>0</v>
      </c>
      <c r="C394" s="32"/>
      <c r="D394" s="33"/>
    </row>
    <row r="395" spans="1:4" x14ac:dyDescent="0.25">
      <c r="A395" s="102"/>
      <c r="B395" s="33">
        <v>0</v>
      </c>
      <c r="C395" s="81"/>
      <c r="D395" s="82"/>
    </row>
  </sheetData>
  <phoneticPr fontId="3" type="noConversion"/>
  <pageMargins left="0.51181102362204722" right="0.51181102362204722" top="0.74803149606299213" bottom="0.55118110236220474" header="0.31496062992125984" footer="0.31496062992125984"/>
  <pageSetup orientation="portrait" horizontalDpi="360" verticalDpi="360" r:id="rId1"/>
  <headerFooter>
    <oddHeader>&amp;C&amp;"Arial Rounded MT Bold,Normal"&amp;14INVENTARIO DESINGLASS
&amp;G</oddHeader>
    <oddFooter>&amp;L&amp;N&amp;R&amp;G</oddFooter>
  </headerFooter>
  <legacyDrawingHF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theme="1" tint="4.9989318521683403E-2"/>
  </sheetPr>
  <dimension ref="A1:K51"/>
  <sheetViews>
    <sheetView view="pageLayout" zoomScaleNormal="100" workbookViewId="0">
      <selection activeCell="E12" sqref="E12"/>
    </sheetView>
  </sheetViews>
  <sheetFormatPr baseColWidth="10" defaultRowHeight="15" x14ac:dyDescent="0.25"/>
  <cols>
    <col min="1" max="1" width="15" customWidth="1"/>
    <col min="2" max="2" width="21.85546875" customWidth="1"/>
    <col min="3" max="3" width="9.5703125" customWidth="1"/>
    <col min="4" max="4" width="8.42578125" customWidth="1"/>
    <col min="5" max="5" width="9.140625" customWidth="1"/>
    <col min="6" max="6" width="9.5703125" customWidth="1"/>
    <col min="7" max="7" width="9" customWidth="1"/>
    <col min="8" max="8" width="10.28515625" customWidth="1"/>
    <col min="10" max="10" width="10.28515625" customWidth="1"/>
    <col min="11" max="11" width="12.5703125" style="94" customWidth="1"/>
  </cols>
  <sheetData>
    <row r="1" spans="1:11" x14ac:dyDescent="0.25">
      <c r="A1" s="88" t="s">
        <v>27</v>
      </c>
      <c r="B1" s="89" t="s">
        <v>21</v>
      </c>
      <c r="C1" s="89" t="s">
        <v>198</v>
      </c>
      <c r="D1" s="89" t="s">
        <v>1</v>
      </c>
      <c r="E1" s="89" t="s">
        <v>2</v>
      </c>
      <c r="F1" s="89" t="s">
        <v>3</v>
      </c>
      <c r="G1" s="89" t="s">
        <v>4</v>
      </c>
      <c r="H1" s="89" t="s">
        <v>23</v>
      </c>
      <c r="I1" s="89" t="s">
        <v>6</v>
      </c>
      <c r="J1" s="89" t="s">
        <v>7</v>
      </c>
      <c r="K1" s="92" t="s">
        <v>24</v>
      </c>
    </row>
    <row r="2" spans="1:11" x14ac:dyDescent="0.25">
      <c r="A2" s="90"/>
      <c r="B2" s="91"/>
      <c r="C2" s="91"/>
      <c r="D2" s="91"/>
      <c r="E2" s="91"/>
      <c r="F2" s="91"/>
      <c r="G2" s="91"/>
      <c r="H2" s="91"/>
      <c r="I2" s="91"/>
      <c r="J2" s="91"/>
      <c r="K2" s="93"/>
    </row>
    <row r="3" spans="1:11" x14ac:dyDescent="0.25">
      <c r="A3" s="90" t="s">
        <v>952</v>
      </c>
      <c r="B3" s="91" t="s">
        <v>1256</v>
      </c>
      <c r="C3" s="91" t="s">
        <v>1257</v>
      </c>
      <c r="D3" s="91"/>
      <c r="E3" s="91"/>
      <c r="F3" s="91" t="s">
        <v>1257</v>
      </c>
      <c r="G3" s="91" t="s">
        <v>1258</v>
      </c>
      <c r="H3" s="91">
        <v>2</v>
      </c>
      <c r="I3" s="91"/>
      <c r="J3" s="91" t="s">
        <v>1259</v>
      </c>
      <c r="K3" s="107" t="s">
        <v>1349</v>
      </c>
    </row>
    <row r="4" spans="1:11" x14ac:dyDescent="0.25">
      <c r="A4" s="90" t="s">
        <v>952</v>
      </c>
      <c r="B4" s="91" t="s">
        <v>1260</v>
      </c>
      <c r="C4" s="91" t="s">
        <v>1261</v>
      </c>
      <c r="D4" s="91"/>
      <c r="E4" s="91"/>
      <c r="F4" s="91" t="s">
        <v>1261</v>
      </c>
      <c r="G4" s="91" t="s">
        <v>221</v>
      </c>
      <c r="H4" s="91">
        <v>1</v>
      </c>
      <c r="I4" s="91"/>
      <c r="J4" s="91" t="s">
        <v>1262</v>
      </c>
      <c r="K4" s="107" t="s">
        <v>1349</v>
      </c>
    </row>
    <row r="5" spans="1:11" x14ac:dyDescent="0.25">
      <c r="A5" s="90" t="s">
        <v>952</v>
      </c>
      <c r="B5" s="91" t="s">
        <v>446</v>
      </c>
      <c r="C5" s="91" t="s">
        <v>447</v>
      </c>
      <c r="D5" s="91"/>
      <c r="E5" s="91"/>
      <c r="F5" s="91" t="s">
        <v>447</v>
      </c>
      <c r="G5" s="91" t="s">
        <v>448</v>
      </c>
      <c r="H5" s="91">
        <v>1</v>
      </c>
      <c r="I5" s="91"/>
      <c r="J5" s="91" t="s">
        <v>223</v>
      </c>
      <c r="K5" s="107" t="s">
        <v>1349</v>
      </c>
    </row>
    <row r="6" spans="1:11" x14ac:dyDescent="0.25">
      <c r="A6" s="90" t="s">
        <v>952</v>
      </c>
      <c r="B6" s="91" t="s">
        <v>662</v>
      </c>
      <c r="C6" s="91" t="s">
        <v>663</v>
      </c>
      <c r="D6" s="91"/>
      <c r="E6" s="91"/>
      <c r="F6" s="91" t="s">
        <v>663</v>
      </c>
      <c r="G6" s="91" t="s">
        <v>570</v>
      </c>
      <c r="H6" s="91">
        <v>2</v>
      </c>
      <c r="I6" s="91"/>
      <c r="J6" s="91" t="s">
        <v>223</v>
      </c>
      <c r="K6" s="107" t="s">
        <v>1349</v>
      </c>
    </row>
    <row r="7" spans="1:11" x14ac:dyDescent="0.25">
      <c r="A7" s="90" t="s">
        <v>952</v>
      </c>
      <c r="B7" s="91" t="s">
        <v>1263</v>
      </c>
      <c r="C7" s="91" t="s">
        <v>1264</v>
      </c>
      <c r="D7" s="91"/>
      <c r="E7" s="91"/>
      <c r="F7" s="91" t="s">
        <v>1264</v>
      </c>
      <c r="G7" s="91" t="s">
        <v>221</v>
      </c>
      <c r="H7" s="91">
        <v>2</v>
      </c>
      <c r="I7" s="91"/>
      <c r="J7" s="91" t="s">
        <v>1259</v>
      </c>
      <c r="K7" s="107" t="s">
        <v>1349</v>
      </c>
    </row>
    <row r="8" spans="1:11" x14ac:dyDescent="0.25">
      <c r="A8" s="90" t="s">
        <v>952</v>
      </c>
      <c r="B8" s="91" t="s">
        <v>1265</v>
      </c>
      <c r="C8" s="91" t="s">
        <v>1266</v>
      </c>
      <c r="D8" s="91"/>
      <c r="E8" s="91"/>
      <c r="F8" s="91" t="s">
        <v>1266</v>
      </c>
      <c r="G8" s="91" t="s">
        <v>1267</v>
      </c>
      <c r="H8" s="91">
        <v>1</v>
      </c>
      <c r="I8" s="91"/>
      <c r="J8" s="91" t="s">
        <v>1262</v>
      </c>
      <c r="K8" s="107" t="s">
        <v>1349</v>
      </c>
    </row>
    <row r="9" spans="1:11" x14ac:dyDescent="0.25">
      <c r="A9" s="90" t="s">
        <v>952</v>
      </c>
      <c r="B9" s="91" t="s">
        <v>1268</v>
      </c>
      <c r="C9" s="91" t="s">
        <v>1269</v>
      </c>
      <c r="D9" s="91"/>
      <c r="E9" s="91"/>
      <c r="F9" s="91" t="s">
        <v>1269</v>
      </c>
      <c r="G9" s="91" t="s">
        <v>221</v>
      </c>
      <c r="H9" s="91">
        <v>2</v>
      </c>
      <c r="I9" s="91"/>
      <c r="J9" s="91" t="s">
        <v>1259</v>
      </c>
      <c r="K9" s="107" t="s">
        <v>1349</v>
      </c>
    </row>
    <row r="10" spans="1:11" x14ac:dyDescent="0.25">
      <c r="A10" s="90" t="s">
        <v>957</v>
      </c>
      <c r="B10" s="91" t="s">
        <v>1256</v>
      </c>
      <c r="C10" s="91" t="s">
        <v>1257</v>
      </c>
      <c r="D10" s="91"/>
      <c r="E10" s="91"/>
      <c r="F10" s="91" t="s">
        <v>1257</v>
      </c>
      <c r="G10" s="91" t="s">
        <v>1258</v>
      </c>
      <c r="H10" s="91">
        <v>2</v>
      </c>
      <c r="I10" s="91"/>
      <c r="J10" s="91" t="s">
        <v>1259</v>
      </c>
      <c r="K10" s="107" t="s">
        <v>1349</v>
      </c>
    </row>
    <row r="11" spans="1:11" x14ac:dyDescent="0.25">
      <c r="A11" s="90" t="s">
        <v>957</v>
      </c>
      <c r="B11" s="91" t="s">
        <v>1260</v>
      </c>
      <c r="C11" s="91" t="s">
        <v>1261</v>
      </c>
      <c r="D11" s="91"/>
      <c r="E11" s="91"/>
      <c r="F11" s="91" t="s">
        <v>1261</v>
      </c>
      <c r="G11" s="91" t="s">
        <v>221</v>
      </c>
      <c r="H11" s="91">
        <v>1</v>
      </c>
      <c r="I11" s="91"/>
      <c r="J11" s="91" t="s">
        <v>1262</v>
      </c>
      <c r="K11" s="107" t="s">
        <v>1349</v>
      </c>
    </row>
    <row r="12" spans="1:11" x14ac:dyDescent="0.25">
      <c r="A12" s="90" t="s">
        <v>957</v>
      </c>
      <c r="B12" s="91" t="s">
        <v>446</v>
      </c>
      <c r="C12" s="91" t="s">
        <v>447</v>
      </c>
      <c r="D12" s="91"/>
      <c r="E12" s="91"/>
      <c r="F12" s="91" t="s">
        <v>447</v>
      </c>
      <c r="G12" s="91" t="s">
        <v>448</v>
      </c>
      <c r="H12" s="91">
        <v>1</v>
      </c>
      <c r="I12" s="91"/>
      <c r="J12" s="91" t="s">
        <v>1259</v>
      </c>
      <c r="K12" s="107" t="s">
        <v>1349</v>
      </c>
    </row>
    <row r="13" spans="1:11" x14ac:dyDescent="0.25">
      <c r="A13" s="90" t="s">
        <v>957</v>
      </c>
      <c r="B13" s="91" t="s">
        <v>662</v>
      </c>
      <c r="C13" s="91" t="s">
        <v>663</v>
      </c>
      <c r="D13" s="91"/>
      <c r="E13" s="91"/>
      <c r="F13" s="91" t="s">
        <v>663</v>
      </c>
      <c r="G13" s="91" t="s">
        <v>570</v>
      </c>
      <c r="H13" s="91">
        <v>2</v>
      </c>
      <c r="I13" s="91"/>
      <c r="J13" s="91" t="s">
        <v>1259</v>
      </c>
      <c r="K13" s="107" t="s">
        <v>1349</v>
      </c>
    </row>
    <row r="14" spans="1:11" x14ac:dyDescent="0.25">
      <c r="A14" s="90" t="s">
        <v>957</v>
      </c>
      <c r="B14" s="91" t="s">
        <v>1263</v>
      </c>
      <c r="C14" s="91" t="s">
        <v>1264</v>
      </c>
      <c r="D14" s="91"/>
      <c r="E14" s="91"/>
      <c r="F14" s="91" t="s">
        <v>1264</v>
      </c>
      <c r="G14" s="91" t="s">
        <v>221</v>
      </c>
      <c r="H14" s="91">
        <v>2</v>
      </c>
      <c r="I14" s="91"/>
      <c r="J14" s="91" t="s">
        <v>1259</v>
      </c>
      <c r="K14" s="107" t="s">
        <v>1349</v>
      </c>
    </row>
    <row r="15" spans="1:11" x14ac:dyDescent="0.25">
      <c r="A15" s="90" t="s">
        <v>957</v>
      </c>
      <c r="B15" s="91" t="s">
        <v>1265</v>
      </c>
      <c r="C15" s="91" t="s">
        <v>1266</v>
      </c>
      <c r="D15" s="91"/>
      <c r="E15" s="91"/>
      <c r="F15" s="91" t="s">
        <v>1266</v>
      </c>
      <c r="G15" s="91" t="s">
        <v>1267</v>
      </c>
      <c r="H15" s="91">
        <v>1</v>
      </c>
      <c r="I15" s="91"/>
      <c r="J15" s="91" t="s">
        <v>1262</v>
      </c>
      <c r="K15" s="107" t="s">
        <v>1349</v>
      </c>
    </row>
    <row r="16" spans="1:11" x14ac:dyDescent="0.25">
      <c r="A16" s="90" t="s">
        <v>957</v>
      </c>
      <c r="B16" s="91" t="s">
        <v>1268</v>
      </c>
      <c r="C16" s="91" t="s">
        <v>1269</v>
      </c>
      <c r="D16" s="91"/>
      <c r="E16" s="91"/>
      <c r="F16" s="91" t="s">
        <v>1269</v>
      </c>
      <c r="G16" s="91" t="s">
        <v>221</v>
      </c>
      <c r="H16" s="91">
        <v>2</v>
      </c>
      <c r="I16" s="91"/>
      <c r="J16" s="91" t="s">
        <v>1259</v>
      </c>
      <c r="K16" s="107" t="s">
        <v>1349</v>
      </c>
    </row>
    <row r="17" spans="1:11" x14ac:dyDescent="0.25">
      <c r="A17" s="90" t="s">
        <v>1063</v>
      </c>
      <c r="B17" s="91" t="s">
        <v>1304</v>
      </c>
      <c r="C17" s="91" t="s">
        <v>1305</v>
      </c>
      <c r="D17" s="91"/>
      <c r="E17" s="91"/>
      <c r="F17" s="91" t="s">
        <v>1305</v>
      </c>
      <c r="G17" s="91" t="s">
        <v>221</v>
      </c>
      <c r="H17" s="91">
        <v>0</v>
      </c>
      <c r="I17" s="91"/>
      <c r="J17" s="91" t="s">
        <v>1259</v>
      </c>
      <c r="K17" s="107" t="s">
        <v>1349</v>
      </c>
    </row>
    <row r="18" spans="1:11" x14ac:dyDescent="0.25">
      <c r="A18" s="90" t="s">
        <v>952</v>
      </c>
      <c r="B18" s="91" t="s">
        <v>1304</v>
      </c>
      <c r="C18" s="91" t="s">
        <v>1305</v>
      </c>
      <c r="D18" s="91"/>
      <c r="E18" s="91"/>
      <c r="F18" s="91" t="s">
        <v>1305</v>
      </c>
      <c r="G18" s="91" t="s">
        <v>221</v>
      </c>
      <c r="H18" s="91">
        <v>3</v>
      </c>
      <c r="I18" s="91"/>
      <c r="J18" s="91" t="s">
        <v>223</v>
      </c>
      <c r="K18" s="107" t="s">
        <v>1349</v>
      </c>
    </row>
    <row r="19" spans="1:11" x14ac:dyDescent="0.25">
      <c r="A19" s="90" t="s">
        <v>957</v>
      </c>
      <c r="B19" s="91" t="s">
        <v>1304</v>
      </c>
      <c r="C19" s="91" t="s">
        <v>1305</v>
      </c>
      <c r="D19" s="91"/>
      <c r="E19" s="91"/>
      <c r="F19" s="91" t="s">
        <v>1305</v>
      </c>
      <c r="G19" s="91" t="s">
        <v>221</v>
      </c>
      <c r="H19" s="91">
        <v>3</v>
      </c>
      <c r="I19" s="91"/>
      <c r="J19" s="91" t="s">
        <v>223</v>
      </c>
      <c r="K19" s="107" t="s">
        <v>1349</v>
      </c>
    </row>
    <row r="20" spans="1:11" x14ac:dyDescent="0.25">
      <c r="A20" s="90" t="s">
        <v>1063</v>
      </c>
      <c r="B20" s="91" t="s">
        <v>1311</v>
      </c>
      <c r="C20" s="91" t="s">
        <v>1312</v>
      </c>
      <c r="D20" s="91"/>
      <c r="E20" s="91"/>
      <c r="F20" s="91" t="s">
        <v>1312</v>
      </c>
      <c r="G20" s="91" t="s">
        <v>221</v>
      </c>
      <c r="H20" s="91">
        <v>0</v>
      </c>
      <c r="I20" s="91"/>
      <c r="J20" s="91" t="s">
        <v>223</v>
      </c>
      <c r="K20" s="107" t="s">
        <v>1349</v>
      </c>
    </row>
    <row r="21" spans="1:11" x14ac:dyDescent="0.25">
      <c r="A21" s="90" t="s">
        <v>952</v>
      </c>
      <c r="B21" s="91" t="s">
        <v>1311</v>
      </c>
      <c r="C21" s="91" t="s">
        <v>1312</v>
      </c>
      <c r="D21" s="91"/>
      <c r="E21" s="91"/>
      <c r="F21" s="91" t="s">
        <v>1312</v>
      </c>
      <c r="G21" s="91" t="s">
        <v>221</v>
      </c>
      <c r="H21" s="91">
        <v>2</v>
      </c>
      <c r="I21" s="91"/>
      <c r="J21" s="91" t="s">
        <v>223</v>
      </c>
      <c r="K21" s="107" t="s">
        <v>1349</v>
      </c>
    </row>
    <row r="22" spans="1:11" x14ac:dyDescent="0.25">
      <c r="A22" s="90" t="s">
        <v>957</v>
      </c>
      <c r="B22" s="91" t="s">
        <v>1311</v>
      </c>
      <c r="C22" s="91" t="s">
        <v>1312</v>
      </c>
      <c r="D22" s="91"/>
      <c r="E22" s="91"/>
      <c r="F22" s="91" t="s">
        <v>1312</v>
      </c>
      <c r="G22" s="91" t="s">
        <v>221</v>
      </c>
      <c r="H22" s="91">
        <v>2</v>
      </c>
      <c r="I22" s="91"/>
      <c r="J22" s="91" t="s">
        <v>223</v>
      </c>
      <c r="K22" s="107" t="s">
        <v>1349</v>
      </c>
    </row>
    <row r="23" spans="1:11" x14ac:dyDescent="0.25">
      <c r="A23" s="90" t="s">
        <v>1063</v>
      </c>
      <c r="B23" s="91" t="s">
        <v>1317</v>
      </c>
      <c r="C23" s="91" t="s">
        <v>1318</v>
      </c>
      <c r="D23" s="91"/>
      <c r="E23" s="91"/>
      <c r="F23" s="91" t="s">
        <v>1318</v>
      </c>
      <c r="G23" s="91" t="s">
        <v>231</v>
      </c>
      <c r="H23" s="91">
        <v>0</v>
      </c>
      <c r="I23" s="91"/>
      <c r="J23" s="91" t="s">
        <v>223</v>
      </c>
      <c r="K23" s="107" t="s">
        <v>1349</v>
      </c>
    </row>
    <row r="24" spans="1:11" x14ac:dyDescent="0.25">
      <c r="A24" s="90" t="s">
        <v>952</v>
      </c>
      <c r="B24" s="91" t="s">
        <v>1317</v>
      </c>
      <c r="C24" s="91" t="s">
        <v>1318</v>
      </c>
      <c r="D24" s="91"/>
      <c r="E24" s="91"/>
      <c r="F24" s="91" t="s">
        <v>1318</v>
      </c>
      <c r="G24" s="91" t="s">
        <v>231</v>
      </c>
      <c r="H24" s="91">
        <v>10</v>
      </c>
      <c r="I24" s="91"/>
      <c r="J24" s="91" t="s">
        <v>223</v>
      </c>
      <c r="K24" s="107" t="s">
        <v>1349</v>
      </c>
    </row>
    <row r="25" spans="1:11" x14ac:dyDescent="0.25">
      <c r="A25" s="90" t="s">
        <v>957</v>
      </c>
      <c r="B25" s="91" t="s">
        <v>1317</v>
      </c>
      <c r="C25" s="91" t="s">
        <v>1318</v>
      </c>
      <c r="D25" s="91"/>
      <c r="E25" s="91"/>
      <c r="F25" s="91" t="s">
        <v>1318</v>
      </c>
      <c r="G25" s="91" t="s">
        <v>231</v>
      </c>
      <c r="H25" s="91">
        <v>10</v>
      </c>
      <c r="I25" s="91"/>
      <c r="J25" s="91" t="s">
        <v>223</v>
      </c>
      <c r="K25" s="107" t="s">
        <v>1349</v>
      </c>
    </row>
    <row r="26" spans="1:11" x14ac:dyDescent="0.25">
      <c r="A26" s="90" t="s">
        <v>952</v>
      </c>
      <c r="B26" s="91" t="s">
        <v>380</v>
      </c>
      <c r="C26" s="91" t="s">
        <v>381</v>
      </c>
      <c r="D26" s="91"/>
      <c r="E26" s="91"/>
      <c r="F26" s="91" t="s">
        <v>381</v>
      </c>
      <c r="G26" s="91" t="s">
        <v>382</v>
      </c>
      <c r="H26" s="91">
        <v>1</v>
      </c>
      <c r="I26" s="91" t="s">
        <v>223</v>
      </c>
      <c r="J26" s="91" t="s">
        <v>223</v>
      </c>
      <c r="K26" s="107" t="s">
        <v>1349</v>
      </c>
    </row>
    <row r="27" spans="1:11" x14ac:dyDescent="0.25">
      <c r="A27" s="90" t="s">
        <v>957</v>
      </c>
      <c r="B27" s="91" t="s">
        <v>380</v>
      </c>
      <c r="C27" s="91" t="s">
        <v>381</v>
      </c>
      <c r="D27" s="91"/>
      <c r="E27" s="91"/>
      <c r="F27" s="91" t="s">
        <v>381</v>
      </c>
      <c r="G27" s="91" t="s">
        <v>382</v>
      </c>
      <c r="H27" s="91">
        <v>1</v>
      </c>
      <c r="I27" s="91" t="s">
        <v>223</v>
      </c>
      <c r="J27" s="91" t="s">
        <v>223</v>
      </c>
      <c r="K27" s="107" t="s">
        <v>1349</v>
      </c>
    </row>
    <row r="28" spans="1:11" x14ac:dyDescent="0.25">
      <c r="A28" s="90" t="s">
        <v>1063</v>
      </c>
      <c r="B28" s="91" t="s">
        <v>1326</v>
      </c>
      <c r="C28" s="91" t="s">
        <v>1327</v>
      </c>
      <c r="D28" s="91"/>
      <c r="E28" s="91"/>
      <c r="F28" s="91" t="s">
        <v>1327</v>
      </c>
      <c r="G28" s="91" t="s">
        <v>221</v>
      </c>
      <c r="H28" s="91">
        <v>0</v>
      </c>
      <c r="I28" s="91"/>
      <c r="J28" s="91" t="s">
        <v>223</v>
      </c>
      <c r="K28" s="107" t="s">
        <v>1349</v>
      </c>
    </row>
    <row r="29" spans="1:11" x14ac:dyDescent="0.25">
      <c r="A29" s="90" t="s">
        <v>952</v>
      </c>
      <c r="B29" s="91" t="s">
        <v>1326</v>
      </c>
      <c r="C29" s="91" t="s">
        <v>1327</v>
      </c>
      <c r="D29" s="91"/>
      <c r="E29" s="91"/>
      <c r="F29" s="91" t="s">
        <v>1327</v>
      </c>
      <c r="G29" s="91" t="s">
        <v>221</v>
      </c>
      <c r="H29" s="91">
        <v>22</v>
      </c>
      <c r="I29" s="91"/>
      <c r="J29" s="91" t="s">
        <v>223</v>
      </c>
      <c r="K29" s="107" t="s">
        <v>1349</v>
      </c>
    </row>
    <row r="30" spans="1:11" x14ac:dyDescent="0.25">
      <c r="A30" s="90" t="s">
        <v>957</v>
      </c>
      <c r="B30" s="91" t="s">
        <v>1326</v>
      </c>
      <c r="C30" s="91" t="s">
        <v>1327</v>
      </c>
      <c r="D30" s="91"/>
      <c r="E30" s="91"/>
      <c r="F30" s="91" t="s">
        <v>1327</v>
      </c>
      <c r="G30" s="91" t="s">
        <v>221</v>
      </c>
      <c r="H30" s="91">
        <v>22</v>
      </c>
      <c r="I30" s="91"/>
      <c r="J30" s="91" t="s">
        <v>223</v>
      </c>
      <c r="K30" s="107" t="s">
        <v>1349</v>
      </c>
    </row>
    <row r="31" spans="1:11" x14ac:dyDescent="0.25">
      <c r="A31" s="90" t="s">
        <v>952</v>
      </c>
      <c r="B31" s="91" t="s">
        <v>710</v>
      </c>
      <c r="C31" s="91" t="s">
        <v>711</v>
      </c>
      <c r="D31" s="91"/>
      <c r="E31" s="91"/>
      <c r="F31" s="91" t="s">
        <v>711</v>
      </c>
      <c r="G31" s="91" t="s">
        <v>448</v>
      </c>
      <c r="H31" s="91">
        <v>3</v>
      </c>
      <c r="I31" s="91" t="s">
        <v>223</v>
      </c>
      <c r="J31" s="91" t="s">
        <v>1259</v>
      </c>
      <c r="K31" s="107" t="s">
        <v>1349</v>
      </c>
    </row>
    <row r="32" spans="1:11" x14ac:dyDescent="0.25">
      <c r="A32" s="90" t="s">
        <v>952</v>
      </c>
      <c r="B32" s="91" t="s">
        <v>405</v>
      </c>
      <c r="C32" s="91">
        <v>2220</v>
      </c>
      <c r="D32" s="91"/>
      <c r="E32" s="91" t="s">
        <v>233</v>
      </c>
      <c r="F32" s="91">
        <v>2220</v>
      </c>
      <c r="G32" s="91" t="s">
        <v>235</v>
      </c>
      <c r="H32" s="91">
        <v>3</v>
      </c>
      <c r="I32" s="91" t="s">
        <v>223</v>
      </c>
      <c r="J32" s="91" t="s">
        <v>1259</v>
      </c>
      <c r="K32" s="107" t="s">
        <v>1349</v>
      </c>
    </row>
    <row r="33" spans="1:11" x14ac:dyDescent="0.25">
      <c r="A33" s="90" t="s">
        <v>957</v>
      </c>
      <c r="B33" s="91" t="s">
        <v>710</v>
      </c>
      <c r="C33" s="91" t="s">
        <v>711</v>
      </c>
      <c r="D33" s="91"/>
      <c r="E33" s="91"/>
      <c r="F33" s="91" t="s">
        <v>711</v>
      </c>
      <c r="G33" s="91" t="s">
        <v>448</v>
      </c>
      <c r="H33" s="91">
        <v>3</v>
      </c>
      <c r="I33" s="91" t="s">
        <v>223</v>
      </c>
      <c r="J33" s="91" t="s">
        <v>223</v>
      </c>
      <c r="K33" s="107" t="s">
        <v>1349</v>
      </c>
    </row>
    <row r="34" spans="1:11" x14ac:dyDescent="0.25">
      <c r="A34" s="90" t="s">
        <v>957</v>
      </c>
      <c r="B34" s="91" t="s">
        <v>405</v>
      </c>
      <c r="C34" s="91">
        <v>2220</v>
      </c>
      <c r="D34" s="91"/>
      <c r="E34" s="91" t="s">
        <v>233</v>
      </c>
      <c r="F34" s="91">
        <v>2220</v>
      </c>
      <c r="G34" s="91" t="s">
        <v>235</v>
      </c>
      <c r="H34" s="91">
        <v>9</v>
      </c>
      <c r="I34" s="91" t="s">
        <v>223</v>
      </c>
      <c r="J34" s="91" t="s">
        <v>223</v>
      </c>
      <c r="K34" s="107" t="s">
        <v>1349</v>
      </c>
    </row>
    <row r="35" spans="1:11" x14ac:dyDescent="0.25">
      <c r="A35" s="90" t="s">
        <v>1063</v>
      </c>
      <c r="B35" s="91" t="s">
        <v>1335</v>
      </c>
      <c r="C35" s="91" t="s">
        <v>1336</v>
      </c>
      <c r="D35" s="91"/>
      <c r="E35" s="91"/>
      <c r="F35" s="91" t="s">
        <v>1336</v>
      </c>
      <c r="G35" s="91" t="s">
        <v>221</v>
      </c>
      <c r="H35" s="91">
        <v>0</v>
      </c>
      <c r="I35" s="91"/>
      <c r="J35" s="91" t="s">
        <v>1259</v>
      </c>
      <c r="K35" s="107" t="s">
        <v>1349</v>
      </c>
    </row>
    <row r="36" spans="1:11" x14ac:dyDescent="0.25">
      <c r="A36" s="90" t="s">
        <v>1063</v>
      </c>
      <c r="B36" s="91" t="s">
        <v>1337</v>
      </c>
      <c r="C36" s="91" t="s">
        <v>1338</v>
      </c>
      <c r="D36" s="91"/>
      <c r="E36" s="91"/>
      <c r="F36" s="91" t="s">
        <v>1338</v>
      </c>
      <c r="G36" s="91" t="s">
        <v>221</v>
      </c>
      <c r="H36" s="91">
        <v>0</v>
      </c>
      <c r="I36" s="91"/>
      <c r="J36" s="91" t="s">
        <v>1259</v>
      </c>
      <c r="K36" s="107" t="s">
        <v>1349</v>
      </c>
    </row>
    <row r="37" spans="1:11" x14ac:dyDescent="0.25">
      <c r="A37" s="90" t="s">
        <v>1063</v>
      </c>
      <c r="B37" s="91" t="s">
        <v>1339</v>
      </c>
      <c r="C37" s="91" t="s">
        <v>1340</v>
      </c>
      <c r="D37" s="91"/>
      <c r="E37" s="91"/>
      <c r="F37" s="91" t="s">
        <v>1340</v>
      </c>
      <c r="G37" s="91" t="s">
        <v>221</v>
      </c>
      <c r="H37" s="91">
        <v>0</v>
      </c>
      <c r="I37" s="91"/>
      <c r="J37" s="91" t="s">
        <v>32</v>
      </c>
      <c r="K37" s="107" t="s">
        <v>1349</v>
      </c>
    </row>
    <row r="38" spans="1:11" x14ac:dyDescent="0.25">
      <c r="A38" s="90" t="s">
        <v>952</v>
      </c>
      <c r="B38" s="91" t="s">
        <v>1337</v>
      </c>
      <c r="C38" s="91" t="s">
        <v>1338</v>
      </c>
      <c r="D38" s="91"/>
      <c r="E38" s="91"/>
      <c r="F38" s="91" t="s">
        <v>1338</v>
      </c>
      <c r="G38" s="91" t="s">
        <v>221</v>
      </c>
      <c r="H38" s="91">
        <v>1</v>
      </c>
      <c r="I38" s="91"/>
      <c r="J38" s="91" t="s">
        <v>1259</v>
      </c>
      <c r="K38" s="107" t="s">
        <v>1349</v>
      </c>
    </row>
    <row r="39" spans="1:11" x14ac:dyDescent="0.25">
      <c r="A39" s="90" t="s">
        <v>952</v>
      </c>
      <c r="B39" s="91" t="s">
        <v>1265</v>
      </c>
      <c r="C39" s="91" t="s">
        <v>1266</v>
      </c>
      <c r="D39" s="91"/>
      <c r="E39" s="91"/>
      <c r="F39" s="91" t="s">
        <v>1266</v>
      </c>
      <c r="G39" s="91" t="s">
        <v>1267</v>
      </c>
      <c r="H39" s="91">
        <v>1</v>
      </c>
      <c r="I39" s="91"/>
      <c r="J39" s="91" t="s">
        <v>1262</v>
      </c>
      <c r="K39" s="107" t="s">
        <v>1349</v>
      </c>
    </row>
    <row r="40" spans="1:11" x14ac:dyDescent="0.25">
      <c r="A40" s="90" t="s">
        <v>952</v>
      </c>
      <c r="B40" s="91" t="s">
        <v>1335</v>
      </c>
      <c r="C40" s="91" t="s">
        <v>1336</v>
      </c>
      <c r="D40" s="91"/>
      <c r="E40" s="91"/>
      <c r="F40" s="91" t="s">
        <v>1336</v>
      </c>
      <c r="G40" s="91" t="s">
        <v>221</v>
      </c>
      <c r="H40" s="91">
        <v>4</v>
      </c>
      <c r="I40" s="91"/>
      <c r="J40" s="91" t="s">
        <v>1259</v>
      </c>
      <c r="K40" s="107" t="s">
        <v>1349</v>
      </c>
    </row>
    <row r="41" spans="1:11" x14ac:dyDescent="0.25">
      <c r="A41" s="90" t="s">
        <v>952</v>
      </c>
      <c r="B41" s="91" t="s">
        <v>660</v>
      </c>
      <c r="C41" s="91" t="s">
        <v>661</v>
      </c>
      <c r="D41" s="91"/>
      <c r="E41" s="91"/>
      <c r="F41" s="91" t="s">
        <v>661</v>
      </c>
      <c r="G41" s="91" t="s">
        <v>221</v>
      </c>
      <c r="H41" s="91">
        <v>50</v>
      </c>
      <c r="I41" s="91" t="s">
        <v>223</v>
      </c>
      <c r="J41" s="91" t="s">
        <v>1259</v>
      </c>
      <c r="K41" s="107" t="s">
        <v>1349</v>
      </c>
    </row>
    <row r="42" spans="1:11" x14ac:dyDescent="0.25">
      <c r="A42" s="90" t="s">
        <v>952</v>
      </c>
      <c r="B42" s="91" t="s">
        <v>1339</v>
      </c>
      <c r="C42" s="91" t="s">
        <v>1340</v>
      </c>
      <c r="D42" s="91"/>
      <c r="E42" s="91"/>
      <c r="F42" s="91" t="s">
        <v>1340</v>
      </c>
      <c r="G42" s="91" t="s">
        <v>221</v>
      </c>
      <c r="H42" s="91">
        <v>50</v>
      </c>
      <c r="I42" s="91"/>
      <c r="J42" s="91" t="s">
        <v>1262</v>
      </c>
      <c r="K42" s="107" t="s">
        <v>1349</v>
      </c>
    </row>
    <row r="43" spans="1:11" x14ac:dyDescent="0.25">
      <c r="A43" s="90" t="s">
        <v>957</v>
      </c>
      <c r="B43" s="91" t="s">
        <v>1335</v>
      </c>
      <c r="C43" s="91" t="s">
        <v>1336</v>
      </c>
      <c r="D43" s="91"/>
      <c r="E43" s="91"/>
      <c r="F43" s="91" t="s">
        <v>1336</v>
      </c>
      <c r="G43" s="91" t="s">
        <v>221</v>
      </c>
      <c r="H43" s="91">
        <v>4</v>
      </c>
      <c r="I43" s="91"/>
      <c r="J43" s="91" t="s">
        <v>1259</v>
      </c>
      <c r="K43" s="107" t="s">
        <v>1349</v>
      </c>
    </row>
    <row r="44" spans="1:11" x14ac:dyDescent="0.25">
      <c r="A44" s="90" t="s">
        <v>957</v>
      </c>
      <c r="B44" s="91" t="s">
        <v>1337</v>
      </c>
      <c r="C44" s="91" t="s">
        <v>1338</v>
      </c>
      <c r="D44" s="91"/>
      <c r="E44" s="91"/>
      <c r="F44" s="91" t="s">
        <v>1338</v>
      </c>
      <c r="G44" s="91" t="s">
        <v>221</v>
      </c>
      <c r="H44" s="91">
        <v>1</v>
      </c>
      <c r="I44" s="91"/>
      <c r="J44" s="91" t="s">
        <v>1259</v>
      </c>
      <c r="K44" s="107" t="s">
        <v>1349</v>
      </c>
    </row>
    <row r="45" spans="1:11" x14ac:dyDescent="0.25">
      <c r="A45" s="90" t="s">
        <v>957</v>
      </c>
      <c r="B45" s="91" t="s">
        <v>1265</v>
      </c>
      <c r="C45" s="91" t="s">
        <v>1266</v>
      </c>
      <c r="D45" s="91"/>
      <c r="E45" s="91"/>
      <c r="F45" s="91" t="s">
        <v>1266</v>
      </c>
      <c r="G45" s="91" t="s">
        <v>1267</v>
      </c>
      <c r="H45" s="91">
        <v>1</v>
      </c>
      <c r="I45" s="91"/>
      <c r="J45" s="91" t="s">
        <v>1262</v>
      </c>
      <c r="K45" s="107" t="s">
        <v>1349</v>
      </c>
    </row>
    <row r="46" spans="1:11" x14ac:dyDescent="0.25">
      <c r="A46" s="90" t="s">
        <v>957</v>
      </c>
      <c r="B46" s="91" t="s">
        <v>660</v>
      </c>
      <c r="C46" s="91" t="s">
        <v>661</v>
      </c>
      <c r="D46" s="91"/>
      <c r="E46" s="91"/>
      <c r="F46" s="91" t="s">
        <v>661</v>
      </c>
      <c r="G46" s="91" t="s">
        <v>221</v>
      </c>
      <c r="H46" s="91">
        <v>50</v>
      </c>
      <c r="I46" s="91" t="s">
        <v>223</v>
      </c>
      <c r="J46" s="91" t="s">
        <v>1259</v>
      </c>
      <c r="K46" s="107" t="s">
        <v>1349</v>
      </c>
    </row>
    <row r="47" spans="1:11" x14ac:dyDescent="0.25">
      <c r="A47" s="90" t="s">
        <v>957</v>
      </c>
      <c r="B47" s="91" t="s">
        <v>1339</v>
      </c>
      <c r="C47" s="91" t="s">
        <v>1340</v>
      </c>
      <c r="D47" s="91"/>
      <c r="E47" s="91"/>
      <c r="F47" s="91" t="s">
        <v>1340</v>
      </c>
      <c r="G47" s="91" t="s">
        <v>221</v>
      </c>
      <c r="H47" s="91">
        <v>50</v>
      </c>
      <c r="I47" s="91"/>
      <c r="J47" s="91" t="s">
        <v>1259</v>
      </c>
      <c r="K47" s="107" t="s">
        <v>1349</v>
      </c>
    </row>
    <row r="48" spans="1:11" x14ac:dyDescent="0.25">
      <c r="A48" s="90" t="s">
        <v>1063</v>
      </c>
      <c r="B48" s="91" t="s">
        <v>1344</v>
      </c>
      <c r="C48" s="91" t="s">
        <v>1345</v>
      </c>
      <c r="D48" s="91"/>
      <c r="E48" s="91"/>
      <c r="F48" s="91" t="s">
        <v>1345</v>
      </c>
      <c r="G48" s="91" t="s">
        <v>221</v>
      </c>
      <c r="H48" s="91">
        <v>0</v>
      </c>
      <c r="I48" s="91"/>
      <c r="J48" s="91" t="s">
        <v>223</v>
      </c>
      <c r="K48" s="107" t="s">
        <v>1349</v>
      </c>
    </row>
    <row r="49" spans="1:11" x14ac:dyDescent="0.25">
      <c r="A49" s="90" t="s">
        <v>952</v>
      </c>
      <c r="B49" s="91" t="s">
        <v>1344</v>
      </c>
      <c r="C49" s="91" t="s">
        <v>1345</v>
      </c>
      <c r="D49" s="91"/>
      <c r="E49" s="91"/>
      <c r="F49" s="91" t="s">
        <v>1345</v>
      </c>
      <c r="G49" s="91" t="s">
        <v>221</v>
      </c>
      <c r="H49" s="91">
        <v>1</v>
      </c>
      <c r="I49" s="91"/>
      <c r="J49" s="91" t="s">
        <v>223</v>
      </c>
      <c r="K49" s="107" t="s">
        <v>1349</v>
      </c>
    </row>
    <row r="50" spans="1:11" x14ac:dyDescent="0.25">
      <c r="A50" s="90" t="s">
        <v>957</v>
      </c>
      <c r="B50" s="91" t="s">
        <v>1344</v>
      </c>
      <c r="C50" s="91" t="s">
        <v>1345</v>
      </c>
      <c r="D50" s="91"/>
      <c r="E50" s="91"/>
      <c r="F50" s="91" t="s">
        <v>1345</v>
      </c>
      <c r="G50" s="91" t="s">
        <v>221</v>
      </c>
      <c r="H50" s="91">
        <v>1</v>
      </c>
      <c r="I50" s="91"/>
      <c r="J50" s="91" t="s">
        <v>223</v>
      </c>
      <c r="K50" s="107" t="s">
        <v>1349</v>
      </c>
    </row>
    <row r="51" spans="1:11" x14ac:dyDescent="0.25">
      <c r="A51" s="90"/>
      <c r="B51" s="91"/>
      <c r="C51" s="91"/>
      <c r="D51" s="91"/>
      <c r="E51" s="91"/>
      <c r="F51" s="91"/>
      <c r="G51" s="91"/>
      <c r="H51" s="91"/>
      <c r="I51" s="91"/>
      <c r="J51" s="91"/>
      <c r="K51" s="107"/>
    </row>
  </sheetData>
  <pageMargins left="0.51181102362204722" right="0.51181102362204722" top="0.55118110236220474" bottom="0.55118110236220474" header="0.31496062992125984" footer="0.31496062992125984"/>
  <pageSetup orientation="landscape" verticalDpi="360" r:id="rId1"/>
  <headerFooter>
    <oddHeader>&amp;C&amp;"Arial Rounded MT Bold,Normal"REPORTE DESINGLASS
&amp;G&amp;R&amp;D</oddHeader>
    <oddFooter>&amp;L&amp;P&amp;R&amp;G</oddFooter>
  </headerFooter>
  <legacyDrawingHF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1"/>
  </sheetPr>
  <dimension ref="A1:C7"/>
  <sheetViews>
    <sheetView workbookViewId="0">
      <selection activeCell="B15" sqref="B15"/>
    </sheetView>
  </sheetViews>
  <sheetFormatPr baseColWidth="10" defaultRowHeight="15" x14ac:dyDescent="0.25"/>
  <cols>
    <col min="1" max="1" width="8.140625" customWidth="1"/>
    <col min="2" max="2" width="28.7109375" customWidth="1"/>
    <col min="3" max="3" width="45.5703125" customWidth="1"/>
  </cols>
  <sheetData>
    <row r="1" spans="1:3" x14ac:dyDescent="0.25">
      <c r="A1" s="3" t="s">
        <v>0</v>
      </c>
      <c r="B1" s="3" t="s">
        <v>25</v>
      </c>
      <c r="C1" s="3" t="s">
        <v>1</v>
      </c>
    </row>
    <row r="2" spans="1:3" x14ac:dyDescent="0.25">
      <c r="A2" s="8">
        <f t="shared" ref="A2:A7" si="0">ROW(A1)</f>
        <v>1</v>
      </c>
      <c r="B2" s="36" t="s">
        <v>204</v>
      </c>
      <c r="C2" s="36" t="s">
        <v>213</v>
      </c>
    </row>
    <row r="3" spans="1:3" x14ac:dyDescent="0.25">
      <c r="A3" s="35">
        <f t="shared" si="0"/>
        <v>2</v>
      </c>
      <c r="B3" s="37" t="s">
        <v>202</v>
      </c>
      <c r="C3" s="37" t="s">
        <v>203</v>
      </c>
    </row>
    <row r="4" spans="1:3" x14ac:dyDescent="0.25">
      <c r="A4" s="76">
        <f t="shared" si="0"/>
        <v>3</v>
      </c>
      <c r="B4" s="9" t="s">
        <v>882</v>
      </c>
      <c r="C4" s="9">
        <v>51088983</v>
      </c>
    </row>
    <row r="5" spans="1:3" x14ac:dyDescent="0.25">
      <c r="A5" s="35">
        <f t="shared" si="0"/>
        <v>4</v>
      </c>
      <c r="B5" s="37" t="s">
        <v>887</v>
      </c>
      <c r="C5" s="37">
        <v>51088983</v>
      </c>
    </row>
    <row r="6" spans="1:3" x14ac:dyDescent="0.25">
      <c r="A6" s="35">
        <f t="shared" si="0"/>
        <v>5</v>
      </c>
      <c r="B6" s="37" t="s">
        <v>210</v>
      </c>
      <c r="C6" s="37" t="s">
        <v>211</v>
      </c>
    </row>
    <row r="7" spans="1:3" x14ac:dyDescent="0.25">
      <c r="A7" s="35">
        <f t="shared" si="0"/>
        <v>6</v>
      </c>
      <c r="B7" s="37"/>
      <c r="C7" s="37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15</vt:i4>
      </vt:variant>
      <vt:variant>
        <vt:lpstr>Rangos con nombre</vt:lpstr>
      </vt:variant>
      <vt:variant>
        <vt:i4>3</vt:i4>
      </vt:variant>
    </vt:vector>
  </HeadingPairs>
  <TitlesOfParts>
    <vt:vector size="18" baseType="lpstr">
      <vt:lpstr>Inventario</vt:lpstr>
      <vt:lpstr>Movimientos</vt:lpstr>
      <vt:lpstr>Proveedores</vt:lpstr>
      <vt:lpstr>RegistrodeSalidas</vt:lpstr>
      <vt:lpstr>RegistrodeEntradas</vt:lpstr>
      <vt:lpstr>LISTASDESALIDA</vt:lpstr>
      <vt:lpstr>DG_Inventarios</vt:lpstr>
      <vt:lpstr>ENCABEZADO</vt:lpstr>
      <vt:lpstr>LISTADEPRODUCTOS</vt:lpstr>
      <vt:lpstr>HOJA DE SALIDAS</vt:lpstr>
      <vt:lpstr>LISTA DE SALIDAS</vt:lpstr>
      <vt:lpstr>HOJA DE ENTRADAS</vt:lpstr>
      <vt:lpstr>HOJA PARA INVENTARIO</vt:lpstr>
      <vt:lpstr>REPORTE</vt:lpstr>
      <vt:lpstr>USUARIOS</vt:lpstr>
      <vt:lpstr>I</vt:lpstr>
      <vt:lpstr>referenc</vt:lpstr>
      <vt:lpstr>referencia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isaac monted</dc:creator>
  <cp:lastModifiedBy>w</cp:lastModifiedBy>
  <cp:lastPrinted>2022-10-31T15:07:15Z</cp:lastPrinted>
  <dcterms:created xsi:type="dcterms:W3CDTF">2022-05-27T20:23:45Z</dcterms:created>
  <dcterms:modified xsi:type="dcterms:W3CDTF">2022-12-16T20:08:34Z</dcterms:modified>
</cp:coreProperties>
</file>