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esktop\"/>
    </mc:Choice>
  </mc:AlternateContent>
  <xr:revisionPtr revIDLastSave="0" documentId="13_ncr:1_{C0766843-7E82-4968-B845-15909123C264}" xr6:coauthVersionLast="47" xr6:coauthVersionMax="47" xr10:uidLastSave="{00000000-0000-0000-0000-000000000000}"/>
  <bookViews>
    <workbookView xWindow="-108" yWindow="-108" windowWidth="23256" windowHeight="12456" xr2:uid="{93E9625B-2A21-4B88-9CD6-77F8BEB3CA9E}"/>
  </bookViews>
  <sheets>
    <sheet name="Comis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P139" i="1"/>
  <c r="S139" i="1" s="1"/>
  <c r="L139" i="1"/>
  <c r="J139" i="1"/>
  <c r="J138" i="1"/>
  <c r="P138" i="1" s="1"/>
  <c r="S138" i="1" s="1"/>
  <c r="P137" i="1"/>
  <c r="S137" i="1" s="1"/>
  <c r="L137" i="1"/>
  <c r="J137" i="1"/>
  <c r="J136" i="1" s="1"/>
  <c r="L135" i="1" s="1"/>
  <c r="J134" i="1" s="1"/>
  <c r="L133" i="1"/>
  <c r="J133" i="1"/>
  <c r="P133" i="1" s="1"/>
  <c r="S133" i="1" s="1"/>
  <c r="J132" i="1"/>
  <c r="P132" i="1" s="1"/>
  <c r="S132" i="1" s="1"/>
  <c r="P131" i="1"/>
  <c r="S131" i="1" s="1"/>
  <c r="L131" i="1" s="1"/>
  <c r="P130" i="1"/>
  <c r="S130" i="1" s="1"/>
  <c r="L130" i="1"/>
  <c r="J130" i="1" s="1"/>
  <c r="P129" i="1"/>
  <c r="S129" i="1" s="1"/>
  <c r="L129" i="1"/>
  <c r="J129" i="1"/>
  <c r="J128" i="1"/>
  <c r="P128" i="1" s="1"/>
  <c r="J127" i="1" s="1"/>
  <c r="L126" i="1" s="1"/>
  <c r="J125" i="1" s="1"/>
  <c r="P124" i="1"/>
  <c r="Q124" i="1" s="1"/>
  <c r="L124" i="1"/>
  <c r="J124" i="1"/>
  <c r="P123" i="1"/>
  <c r="L123" i="1"/>
  <c r="J123" i="1"/>
  <c r="L122" i="1"/>
  <c r="P122" i="1" s="1"/>
  <c r="L121" i="1"/>
  <c r="J121" i="1"/>
  <c r="P121" i="1" s="1"/>
  <c r="P120" i="1"/>
  <c r="L120" i="1" s="1"/>
  <c r="Q119" i="1"/>
  <c r="S119" i="1" s="1"/>
  <c r="J119" i="1"/>
  <c r="L119" i="1" s="1"/>
  <c r="P118" i="1"/>
  <c r="L118" i="1"/>
  <c r="J118" i="1" s="1"/>
  <c r="P117" i="1"/>
  <c r="L117" i="1"/>
  <c r="J117" i="1"/>
  <c r="P116" i="1"/>
  <c r="Q116" i="1" s="1"/>
  <c r="L116" i="1"/>
  <c r="J116" i="1"/>
  <c r="P115" i="1" s="1"/>
  <c r="J114" i="1" s="1"/>
  <c r="J113" i="1"/>
  <c r="L113" i="1" s="1"/>
  <c r="L112" i="1" s="1"/>
  <c r="Q111" i="1"/>
  <c r="J111" i="1" s="1"/>
  <c r="Q110" i="1"/>
  <c r="P110" i="1"/>
  <c r="L110" i="1"/>
  <c r="J110" i="1" s="1"/>
  <c r="P109" i="1"/>
  <c r="S109" i="1" s="1"/>
  <c r="L109" i="1"/>
  <c r="J109" i="1"/>
  <c r="P108" i="1" s="1"/>
  <c r="L107" i="1"/>
  <c r="J107" i="1"/>
  <c r="P107" i="1" s="1"/>
  <c r="P106" i="1"/>
  <c r="L106" i="1"/>
  <c r="J106" i="1" s="1"/>
  <c r="P105" i="1"/>
  <c r="S105" i="1" s="1"/>
  <c r="J105" i="1"/>
  <c r="L105" i="1" s="1"/>
  <c r="P104" i="1"/>
  <c r="S104" i="1" s="1"/>
  <c r="L104" i="1"/>
  <c r="J104" i="1" s="1"/>
  <c r="P103" i="1" s="1"/>
  <c r="S103" i="1" s="1"/>
  <c r="J102" i="1"/>
  <c r="L102" i="1" s="1"/>
  <c r="J101" i="1" s="1"/>
  <c r="P100" i="1"/>
  <c r="Q100" i="1" s="1"/>
  <c r="S100" i="1" s="1"/>
  <c r="L100" i="1"/>
  <c r="J100" i="1" s="1"/>
  <c r="P99" i="1"/>
  <c r="Q99" i="1" s="1"/>
  <c r="L99" i="1"/>
  <c r="J99" i="1" s="1"/>
  <c r="P98" i="1"/>
  <c r="L98" i="1"/>
  <c r="J98" i="1"/>
  <c r="J97" i="1"/>
  <c r="P97" i="1" s="1"/>
  <c r="L96" i="1"/>
  <c r="J96" i="1"/>
  <c r="P96" i="1" s="1"/>
  <c r="Q95" i="1"/>
  <c r="P95" i="1"/>
  <c r="S95" i="1" s="1"/>
  <c r="L95" i="1"/>
  <c r="J95" i="1" s="1"/>
  <c r="P94" i="1"/>
  <c r="L94" i="1" s="1"/>
  <c r="P93" i="1"/>
  <c r="Q93" i="1" s="1"/>
  <c r="S93" i="1" s="1"/>
  <c r="J93" i="1"/>
  <c r="L93" i="1" s="1"/>
  <c r="P92" i="1"/>
  <c r="L92" i="1"/>
  <c r="J92" i="1" s="1"/>
  <c r="P91" i="1"/>
  <c r="S91" i="1" s="1"/>
  <c r="L91" i="1"/>
  <c r="J91" i="1"/>
  <c r="P90" i="1" s="1"/>
  <c r="J89" i="1" s="1"/>
  <c r="P88" i="1"/>
  <c r="Q88" i="1" s="1"/>
  <c r="S88" i="1" s="1"/>
  <c r="J88" i="1"/>
  <c r="L88" i="1" s="1"/>
  <c r="L87" i="1" s="1"/>
  <c r="J86" i="1" s="1"/>
  <c r="P85" i="1"/>
  <c r="S85" i="1" s="1"/>
  <c r="L85" i="1"/>
  <c r="J85" i="1" s="1"/>
  <c r="P84" i="1" s="1"/>
  <c r="S84" i="1" s="1"/>
  <c r="P83" i="1"/>
  <c r="S83" i="1" s="1"/>
  <c r="L83" i="1" s="1"/>
  <c r="P82" i="1"/>
  <c r="Q82" i="1" s="1"/>
  <c r="J82" i="1"/>
  <c r="L82" i="1" s="1"/>
  <c r="P81" i="1"/>
  <c r="S81" i="1" s="1"/>
  <c r="L81" i="1"/>
  <c r="J81" i="1" s="1"/>
  <c r="P80" i="1"/>
  <c r="L80" i="1"/>
  <c r="J80" i="1"/>
  <c r="P79" i="1" s="1"/>
  <c r="S79" i="1" s="1"/>
  <c r="P78" i="1"/>
  <c r="S78" i="1" s="1"/>
  <c r="J78" i="1"/>
  <c r="L78" i="1" s="1"/>
  <c r="L76" i="1"/>
  <c r="J76" i="1" s="1"/>
  <c r="P75" i="1"/>
  <c r="L75" i="1"/>
  <c r="J75" i="1" s="1"/>
  <c r="P74" i="1"/>
  <c r="L74" i="1"/>
  <c r="J74" i="1"/>
  <c r="P73" i="1"/>
  <c r="S73" i="1" s="1"/>
  <c r="L73" i="1"/>
  <c r="J73" i="1"/>
  <c r="P72" i="1"/>
  <c r="S72" i="1" s="1"/>
  <c r="J72" i="1"/>
  <c r="L72" i="1" s="1"/>
  <c r="P71" i="1"/>
  <c r="S71" i="1" s="1"/>
  <c r="L71" i="1"/>
  <c r="J71" i="1" s="1"/>
  <c r="P70" i="1"/>
  <c r="S70" i="1" s="1"/>
  <c r="L70" i="1"/>
  <c r="J70" i="1"/>
  <c r="J69" i="1" s="1"/>
  <c r="L68" i="1" s="1"/>
  <c r="L67" i="1"/>
  <c r="J67" i="1" s="1"/>
  <c r="P66" i="1"/>
  <c r="L66" i="1"/>
  <c r="J66" i="1" s="1"/>
  <c r="P65" i="1"/>
  <c r="L65" i="1"/>
  <c r="J65" i="1"/>
  <c r="P64" i="1" s="1"/>
  <c r="P63" i="1"/>
  <c r="S63" i="1" s="1"/>
  <c r="L63" i="1" s="1"/>
  <c r="P62" i="1"/>
  <c r="Q62" i="1" s="1"/>
  <c r="J62" i="1"/>
  <c r="L62" i="1" s="1"/>
  <c r="P61" i="1"/>
  <c r="S61" i="1" s="1"/>
  <c r="L61" i="1"/>
  <c r="J61" i="1" s="1"/>
  <c r="P60" i="1"/>
  <c r="L60" i="1"/>
  <c r="J60" i="1"/>
  <c r="P59" i="1"/>
  <c r="Q59" i="1" s="1"/>
  <c r="L59" i="1"/>
  <c r="J59" i="1"/>
  <c r="P58" i="1" s="1"/>
  <c r="J57" i="1" s="1"/>
  <c r="J56" i="1"/>
  <c r="L56" i="1" s="1"/>
  <c r="L55" i="1" s="1"/>
  <c r="L54" i="1"/>
  <c r="J54" i="1" s="1"/>
  <c r="P53" i="1"/>
  <c r="S53" i="1" s="1"/>
  <c r="L53" i="1"/>
  <c r="J53" i="1"/>
  <c r="P52" i="1"/>
  <c r="S52" i="1" s="1"/>
  <c r="L52" i="1"/>
  <c r="J52" i="1"/>
  <c r="P51" i="1"/>
  <c r="L51" i="1" s="1"/>
  <c r="P50" i="1"/>
  <c r="Q50" i="1" s="1"/>
  <c r="J50" i="1"/>
  <c r="L50" i="1" s="1"/>
  <c r="P49" i="1"/>
  <c r="S49" i="1" s="1"/>
  <c r="L49" i="1"/>
  <c r="J49" i="1" s="1"/>
  <c r="P48" i="1"/>
  <c r="S48" i="1" s="1"/>
  <c r="L48" i="1"/>
  <c r="J48" i="1"/>
  <c r="P47" i="1" s="1"/>
  <c r="J46" i="1"/>
  <c r="L46" i="1" s="1"/>
  <c r="J45" i="1" s="1"/>
  <c r="P44" i="1"/>
  <c r="S44" i="1" s="1"/>
  <c r="L44" i="1"/>
  <c r="J44" i="1" s="1"/>
  <c r="Q43" i="1"/>
  <c r="P43" i="1"/>
  <c r="L43" i="1"/>
  <c r="J43" i="1"/>
  <c r="J42" i="1"/>
  <c r="P42" i="1" s="1"/>
  <c r="J41" i="1"/>
  <c r="P41" i="1" s="1"/>
  <c r="P40" i="1"/>
  <c r="L40" i="1"/>
  <c r="J40" i="1" s="1"/>
  <c r="P39" i="1"/>
  <c r="Q39" i="1" s="1"/>
  <c r="J39" i="1"/>
  <c r="L39" i="1" s="1"/>
  <c r="P38" i="1"/>
  <c r="Q38" i="1" s="1"/>
  <c r="S38" i="1" s="1"/>
  <c r="L38" i="1"/>
  <c r="J38" i="1"/>
  <c r="P37" i="1"/>
  <c r="L37" i="1"/>
  <c r="J37" i="1" s="1"/>
  <c r="Q36" i="1"/>
  <c r="P36" i="1"/>
  <c r="S36" i="1" s="1"/>
  <c r="L36" i="1"/>
  <c r="J36" i="1"/>
  <c r="P35" i="1" s="1"/>
  <c r="S35" i="1" s="1"/>
  <c r="J34" i="1"/>
  <c r="L34" i="1" s="1"/>
  <c r="J33" i="1" s="1"/>
  <c r="P32" i="1"/>
  <c r="S32" i="1" s="1"/>
  <c r="L32" i="1"/>
  <c r="J32" i="1" s="1"/>
  <c r="P31" i="1"/>
  <c r="L31" i="1"/>
  <c r="J31" i="1"/>
  <c r="P30" i="1" s="1"/>
  <c r="P29" i="1" s="1"/>
  <c r="P28" i="1"/>
  <c r="S28" i="1" s="1"/>
  <c r="J28" i="1"/>
  <c r="L28" i="1" s="1"/>
  <c r="P27" i="1"/>
  <c r="Q27" i="1" s="1"/>
  <c r="S27" i="1" s="1"/>
  <c r="J27" i="1"/>
  <c r="L27" i="1" s="1"/>
  <c r="P26" i="1"/>
  <c r="S26" i="1" s="1"/>
  <c r="L26" i="1"/>
  <c r="J26" i="1"/>
  <c r="P25" i="1" s="1"/>
  <c r="S25" i="1" s="1"/>
  <c r="J24" i="1" s="1"/>
  <c r="L23" i="1" s="1"/>
  <c r="J22" i="1" s="1"/>
  <c r="L21" i="1"/>
  <c r="J21" i="1" s="1"/>
  <c r="P20" i="1"/>
  <c r="Q20" i="1" s="1"/>
  <c r="L20" i="1"/>
  <c r="J20" i="1" s="1"/>
  <c r="P19" i="1" s="1"/>
  <c r="S19" i="1" s="1"/>
  <c r="P18" i="1" s="1"/>
  <c r="P17" i="1"/>
  <c r="S17" i="1" s="1"/>
  <c r="L17" i="1" s="1"/>
  <c r="P16" i="1"/>
  <c r="S16" i="1" s="1"/>
  <c r="L16" i="1"/>
  <c r="J16" i="1" s="1"/>
  <c r="P15" i="1"/>
  <c r="S15" i="1" s="1"/>
  <c r="L15" i="1"/>
  <c r="J15" i="1"/>
  <c r="P14" i="1" s="1"/>
  <c r="J13" i="1"/>
  <c r="L13" i="1" s="1"/>
  <c r="L12" i="1" s="1"/>
  <c r="J11" i="1" s="1"/>
  <c r="P10" i="1"/>
  <c r="S10" i="1" s="1"/>
  <c r="L10" i="1"/>
  <c r="J10" i="1"/>
  <c r="J9" i="1"/>
  <c r="P9" i="1" s="1"/>
  <c r="P8" i="1" s="1"/>
  <c r="P7" i="1"/>
  <c r="Q7" i="1" s="1"/>
  <c r="L7" i="1"/>
  <c r="J7" i="1" s="1"/>
  <c r="P6" i="1"/>
  <c r="Q6" i="1" s="1"/>
  <c r="L6" i="1" s="1"/>
  <c r="P5" i="1"/>
  <c r="Q5" i="1" s="1"/>
  <c r="S5" i="1" s="1"/>
  <c r="L5" i="1"/>
  <c r="J5" i="1"/>
  <c r="P4" i="1"/>
  <c r="S4" i="1" s="1"/>
  <c r="L4" i="1"/>
  <c r="J4" i="1"/>
  <c r="P3" i="1"/>
  <c r="Q3" i="1" s="1"/>
  <c r="L3" i="1"/>
  <c r="J3" i="1"/>
  <c r="J2" i="1" s="1"/>
  <c r="S110" i="1" l="1"/>
  <c r="S43" i="1"/>
  <c r="S99" i="1"/>
  <c r="Q66" i="1"/>
  <c r="S66" i="1" s="1"/>
  <c r="Q75" i="1"/>
  <c r="S75" i="1" s="1"/>
  <c r="S20" i="1"/>
  <c r="S124" i="1"/>
  <c r="Q41" i="1"/>
  <c r="S41" i="1"/>
  <c r="Q96" i="1"/>
  <c r="S96" i="1" s="1"/>
  <c r="Q122" i="1"/>
  <c r="S122" i="1" s="1"/>
  <c r="Q58" i="1"/>
  <c r="S58" i="1" s="1"/>
  <c r="Q47" i="1"/>
  <c r="S47" i="1" s="1"/>
  <c r="Q121" i="1"/>
  <c r="S121" i="1" s="1"/>
  <c r="Q90" i="1"/>
  <c r="S90" i="1" s="1"/>
  <c r="Q18" i="1"/>
  <c r="S18" i="1" s="1"/>
  <c r="Q107" i="1"/>
  <c r="S107" i="1" s="1"/>
  <c r="Q29" i="1"/>
  <c r="S29" i="1" s="1"/>
  <c r="Q14" i="1"/>
  <c r="S14" i="1" s="1"/>
  <c r="Q42" i="1"/>
  <c r="S42" i="1" s="1"/>
  <c r="Q64" i="1"/>
  <c r="S64" i="1" s="1"/>
  <c r="Q97" i="1"/>
  <c r="S97" i="1" s="1"/>
  <c r="Q115" i="1"/>
  <c r="S115" i="1" s="1"/>
  <c r="Q9" i="1"/>
  <c r="S9" i="1" s="1"/>
  <c r="Q8" i="1"/>
  <c r="S8" i="1" s="1"/>
  <c r="Q30" i="1"/>
  <c r="S30" i="1" s="1"/>
  <c r="Q128" i="1"/>
  <c r="S128" i="1" s="1"/>
  <c r="Q108" i="1"/>
  <c r="S108" i="1"/>
  <c r="L2" i="1"/>
  <c r="S6" i="1"/>
  <c r="L90" i="1"/>
  <c r="L69" i="1"/>
  <c r="P2" i="1"/>
  <c r="S3" i="1"/>
  <c r="L22" i="1"/>
  <c r="P24" i="1"/>
  <c r="L33" i="1"/>
  <c r="L45" i="1"/>
  <c r="P57" i="1"/>
  <c r="S59" i="1"/>
  <c r="P69" i="1"/>
  <c r="S69" i="1" s="1"/>
  <c r="L77" i="1"/>
  <c r="L86" i="1"/>
  <c r="P89" i="1"/>
  <c r="L101" i="1"/>
  <c r="L111" i="1"/>
  <c r="P114" i="1"/>
  <c r="S116" i="1"/>
  <c r="P127" i="1"/>
  <c r="P136" i="1"/>
  <c r="S136" i="1" s="1"/>
  <c r="J25" i="1"/>
  <c r="Q51" i="1"/>
  <c r="S51" i="1" s="1"/>
  <c r="L25" i="1"/>
  <c r="L79" i="1"/>
  <c r="S82" i="1"/>
  <c r="L24" i="1"/>
  <c r="J126" i="1"/>
  <c r="L127" i="1"/>
  <c r="J135" i="1"/>
  <c r="L11" i="1"/>
  <c r="P13" i="1"/>
  <c r="S13" i="1" s="1"/>
  <c r="P34" i="1"/>
  <c r="S34" i="1" s="1"/>
  <c r="P46" i="1"/>
  <c r="S46" i="1" s="1"/>
  <c r="P56" i="1"/>
  <c r="P102" i="1"/>
  <c r="S102" i="1" s="1"/>
  <c r="P113" i="1"/>
  <c r="L125" i="1"/>
  <c r="L134" i="1"/>
  <c r="J35" i="1"/>
  <c r="J47" i="1"/>
  <c r="J115" i="1"/>
  <c r="J68" i="1"/>
  <c r="P12" i="1"/>
  <c r="J19" i="1"/>
  <c r="P23" i="1"/>
  <c r="S23" i="1" s="1"/>
  <c r="J30" i="1"/>
  <c r="P55" i="1"/>
  <c r="J64" i="1"/>
  <c r="P68" i="1"/>
  <c r="S68" i="1" s="1"/>
  <c r="J84" i="1"/>
  <c r="P87" i="1"/>
  <c r="J108" i="1"/>
  <c r="P112" i="1"/>
  <c r="J122" i="1"/>
  <c r="P126" i="1"/>
  <c r="S126" i="1" s="1"/>
  <c r="P135" i="1"/>
  <c r="S135" i="1" s="1"/>
  <c r="J55" i="1"/>
  <c r="L114" i="1"/>
  <c r="L136" i="1"/>
  <c r="J8" i="1"/>
  <c r="J18" i="1"/>
  <c r="P22" i="1"/>
  <c r="J29" i="1"/>
  <c r="P33" i="1"/>
  <c r="S33" i="1" s="1"/>
  <c r="P45" i="1"/>
  <c r="S45" i="1" s="1"/>
  <c r="P77" i="1"/>
  <c r="S77" i="1" s="1"/>
  <c r="P86" i="1"/>
  <c r="P101" i="1"/>
  <c r="S101" i="1" s="1"/>
  <c r="P111" i="1"/>
  <c r="S111" i="1" s="1"/>
  <c r="J103" i="1"/>
  <c r="Q120" i="1"/>
  <c r="S120" i="1" s="1"/>
  <c r="L103" i="1"/>
  <c r="L57" i="1"/>
  <c r="L9" i="1"/>
  <c r="P11" i="1"/>
  <c r="S11" i="1" s="1"/>
  <c r="L19" i="1"/>
  <c r="P21" i="1"/>
  <c r="L30" i="1"/>
  <c r="L42" i="1"/>
  <c r="J51" i="1"/>
  <c r="P54" i="1"/>
  <c r="S54" i="1" s="1"/>
  <c r="J63" i="1"/>
  <c r="L64" i="1"/>
  <c r="P67" i="1"/>
  <c r="S67" i="1" s="1"/>
  <c r="P76" i="1"/>
  <c r="J83" i="1"/>
  <c r="L84" i="1"/>
  <c r="L97" i="1"/>
  <c r="L108" i="1"/>
  <c r="J120" i="1"/>
  <c r="P125" i="1"/>
  <c r="S125" i="1" s="1"/>
  <c r="P134" i="1"/>
  <c r="S134" i="1" s="1"/>
  <c r="S62" i="1"/>
  <c r="J87" i="1"/>
  <c r="L89" i="1"/>
  <c r="Q92" i="1"/>
  <c r="S92" i="1" s="1"/>
  <c r="Q118" i="1"/>
  <c r="S118" i="1" s="1"/>
  <c r="J6" i="1"/>
  <c r="L8" i="1"/>
  <c r="J17" i="1"/>
  <c r="L18" i="1"/>
  <c r="L29" i="1"/>
  <c r="L41" i="1"/>
  <c r="J94" i="1"/>
  <c r="J131" i="1"/>
  <c r="L132" i="1"/>
  <c r="Q40" i="1"/>
  <c r="S40" i="1" s="1"/>
  <c r="J58" i="1"/>
  <c r="Q106" i="1"/>
  <c r="S106" i="1" s="1"/>
  <c r="L58" i="1"/>
  <c r="L128" i="1"/>
  <c r="S39" i="1"/>
  <c r="S50" i="1"/>
  <c r="J23" i="1"/>
  <c r="Q31" i="1"/>
  <c r="S31" i="1" s="1"/>
  <c r="Q65" i="1"/>
  <c r="S65" i="1" s="1"/>
  <c r="Q74" i="1"/>
  <c r="S74" i="1" s="1"/>
  <c r="Q98" i="1"/>
  <c r="S98" i="1" s="1"/>
  <c r="Q123" i="1"/>
  <c r="S123" i="1" s="1"/>
  <c r="J14" i="1"/>
  <c r="L138" i="1"/>
  <c r="J79" i="1"/>
  <c r="J90" i="1"/>
  <c r="S7" i="1"/>
  <c r="Q94" i="1"/>
  <c r="S94" i="1" s="1"/>
  <c r="L14" i="1"/>
  <c r="L35" i="1"/>
  <c r="L47" i="1"/>
  <c r="Q37" i="1"/>
  <c r="S37" i="1" s="1"/>
  <c r="Q60" i="1"/>
  <c r="S60" i="1" s="1"/>
  <c r="Q80" i="1"/>
  <c r="S80" i="1" s="1"/>
  <c r="Q117" i="1"/>
  <c r="S117" i="1" s="1"/>
  <c r="L115" i="1"/>
  <c r="J12" i="1"/>
  <c r="J112" i="1"/>
  <c r="Q114" i="1" l="1"/>
  <c r="S114" i="1" s="1"/>
  <c r="Q22" i="1"/>
  <c r="S22" i="1" s="1"/>
  <c r="Q56" i="1"/>
  <c r="S56" i="1" s="1"/>
  <c r="Q55" i="1"/>
  <c r="S55" i="1" s="1"/>
  <c r="Q21" i="1"/>
  <c r="S21" i="1" s="1"/>
  <c r="Q2" i="1"/>
  <c r="S2" i="1" s="1"/>
  <c r="Q89" i="1"/>
  <c r="S89" i="1" s="1"/>
  <c r="Q76" i="1"/>
  <c r="S76" i="1" s="1"/>
  <c r="Q24" i="1"/>
  <c r="S24" i="1" s="1"/>
  <c r="Q113" i="1"/>
  <c r="S113" i="1" s="1"/>
  <c r="Q127" i="1"/>
  <c r="S127" i="1" s="1"/>
  <c r="Q12" i="1"/>
  <c r="S12" i="1" s="1"/>
  <c r="Q57" i="1"/>
  <c r="S57" i="1" s="1"/>
  <c r="Q112" i="1"/>
  <c r="S112" i="1" s="1"/>
  <c r="Q86" i="1"/>
  <c r="S86" i="1" s="1"/>
  <c r="Q87" i="1"/>
  <c r="S87" i="1" s="1"/>
</calcChain>
</file>

<file path=xl/sharedStrings.xml><?xml version="1.0" encoding="utf-8"?>
<sst xmlns="http://schemas.openxmlformats.org/spreadsheetml/2006/main" count="1213" uniqueCount="247">
  <si>
    <t>NOMBRE CLIENTE</t>
  </si>
  <si>
    <t>FECHA RESERVA / VENTA</t>
  </si>
  <si>
    <t>VENDEDOR</t>
  </si>
  <si>
    <t>ETAPA</t>
  </si>
  <si>
    <t>MANZANA</t>
  </si>
  <si>
    <t>LOTE</t>
  </si>
  <si>
    <t>ÁREA</t>
  </si>
  <si>
    <t>VALOR VENTA</t>
  </si>
  <si>
    <t>% DSCTO</t>
  </si>
  <si>
    <t>VALOR DESCUENTO</t>
  </si>
  <si>
    <t>VALOR RESERVA</t>
  </si>
  <si>
    <t>30% VALOR VENTA</t>
  </si>
  <si>
    <t>TIPO FINANCIAMIENTO</t>
  </si>
  <si>
    <t>VALOR TOTAL RECIBIDO</t>
  </si>
  <si>
    <t>% COMISIÓN</t>
  </si>
  <si>
    <t>VALOR COMISIÓN</t>
  </si>
  <si>
    <t>ABONO COMISIÓN</t>
  </si>
  <si>
    <t>FECHA ABONO</t>
  </si>
  <si>
    <t>SALDO POR PAGAR COMISIÓN</t>
  </si>
  <si>
    <t>OBSERVACIÓN</t>
  </si>
  <si>
    <t>29/01/2022+14/11/2022</t>
  </si>
  <si>
    <t>PAGADO</t>
  </si>
  <si>
    <t>CON ERICK</t>
  </si>
  <si>
    <t>21/10/2021+26/04/2022+20/10/2022</t>
  </si>
  <si>
    <t>01/07/2022+15/01/2024</t>
  </si>
  <si>
    <t>20/10/2022+14/11/2022</t>
  </si>
  <si>
    <t>31/08/2022+24/04/2023+16/02/2024</t>
  </si>
  <si>
    <t>CAMIONETA</t>
  </si>
  <si>
    <t>29/01/2022+16/02/2024</t>
  </si>
  <si>
    <t xml:space="preserve"> </t>
  </si>
  <si>
    <t>20/10/2022+14/02/2023</t>
  </si>
  <si>
    <t>26/04/2022+20/10/2022</t>
  </si>
  <si>
    <t>31/08/2022+15/01/2024</t>
  </si>
  <si>
    <t>31/08/2022+13/11/2023</t>
  </si>
  <si>
    <t>23/10/2021+13/11/2023</t>
  </si>
  <si>
    <t>05/04/2023+15/01/2024</t>
  </si>
  <si>
    <t>31/08/2022+14/02/2023</t>
  </si>
  <si>
    <t>31/08/2022+20/10/2022</t>
  </si>
  <si>
    <t>20/10/2022+23/05/2023</t>
  </si>
  <si>
    <t>20/10/2022+15/01/2024</t>
  </si>
  <si>
    <t>20/10/2022+14/02/2023+15/01/2024</t>
  </si>
  <si>
    <t>15/01/2024+16/04/2024</t>
  </si>
  <si>
    <t>16/08/2023+15/01/2024</t>
  </si>
  <si>
    <t>GOMEZ MEJIA BEVERLY SAMIRA</t>
  </si>
  <si>
    <t>SYLVIA ENDARA</t>
  </si>
  <si>
    <t>1</t>
  </si>
  <si>
    <t>A</t>
  </si>
  <si>
    <t>34 MESES CON INTERESES GOMEZ MEJÍA BEVERLY ZAMIRA</t>
  </si>
  <si>
    <t>TERAN CORDOVA MARIA FERNANDA</t>
  </si>
  <si>
    <t>3</t>
  </si>
  <si>
    <t>72 CUOTAS</t>
  </si>
  <si>
    <t>CASTILLO LUIS</t>
  </si>
  <si>
    <t>OFICINA MANTA</t>
  </si>
  <si>
    <t>4</t>
  </si>
  <si>
    <t>36 CUOTAS FIJAS</t>
  </si>
  <si>
    <t>PÁRRAGA PACHECO JORGE FABIÁN</t>
  </si>
  <si>
    <t>7</t>
  </si>
  <si>
    <t>8</t>
  </si>
  <si>
    <t>LOZADA PARRA DANNY DARIO</t>
  </si>
  <si>
    <t>11</t>
  </si>
  <si>
    <t>ESPINOZA VARGAS VIVIANA ESTEFANÍA</t>
  </si>
  <si>
    <t>12</t>
  </si>
  <si>
    <t>RODRÍGUEZ SÁNCHEZ LUIS MANUEL</t>
  </si>
  <si>
    <t>B</t>
  </si>
  <si>
    <t>TITUAÑA ALCACIEGA ROBERT EFRAÍN</t>
  </si>
  <si>
    <t>CONSTRUCTORA</t>
  </si>
  <si>
    <t>ENTREGADO</t>
  </si>
  <si>
    <t>LEONES RODRIGUEZ ROMINA NICOLE</t>
  </si>
  <si>
    <t>ACCIONES</t>
  </si>
  <si>
    <t>13</t>
  </si>
  <si>
    <t>EN 6 MESES PAGA DIFERENCIA</t>
  </si>
  <si>
    <t>LOZADA PARRA CARLOS JESUS</t>
  </si>
  <si>
    <t>C</t>
  </si>
  <si>
    <t>VIVAS AULESTIA ÁNGEL MARCELO</t>
  </si>
  <si>
    <t>OFICINA QUITO</t>
  </si>
  <si>
    <t>ABONADO 5333,33</t>
  </si>
  <si>
    <t>VILLAGRÁN VITERI VERÓNICA DANIELA</t>
  </si>
  <si>
    <t>DESCUENTO AUTORIZADO ECO 2250</t>
  </si>
  <si>
    <t>TROYA CEDEÑO KARINA JOHANNA</t>
  </si>
  <si>
    <t>72 CUOTAS FIJAS</t>
  </si>
  <si>
    <t>CONFORME MONTALVAN ERICK PAUL</t>
  </si>
  <si>
    <t>14</t>
  </si>
  <si>
    <t>72 CUOTA FIJAS</t>
  </si>
  <si>
    <t>MACIAS SANTOS KATHERINE MARIA</t>
  </si>
  <si>
    <t>16</t>
  </si>
  <si>
    <t>36 CUOTAS FIJAS CON INTERÉS / LLAMADAS CADA 2 MESES, ESPOSO ES MARINO Y REGRESA CADA 2 MESES</t>
  </si>
  <si>
    <t>LIÑÁN HUALLANGA JOEL ANDRÉS</t>
  </si>
  <si>
    <t>19</t>
  </si>
  <si>
    <t>ACOSTA SANTOS JULIO CESAR</t>
  </si>
  <si>
    <t>22</t>
  </si>
  <si>
    <t>NAVARRETE NAVARRETE TULIO EDUARDO</t>
  </si>
  <si>
    <t>24</t>
  </si>
  <si>
    <t>MENDIETA VELIZ XAVIER ANTONIO</t>
  </si>
  <si>
    <t>25</t>
  </si>
  <si>
    <t>CHIRIBOGA ANTE ERIKA XIMENA</t>
  </si>
  <si>
    <t>26</t>
  </si>
  <si>
    <t>VELEZ MOREIRA LIDER RAFAEL</t>
  </si>
  <si>
    <t>29</t>
  </si>
  <si>
    <t>MOLINA MURILLO ADRIANA SOFÍA</t>
  </si>
  <si>
    <t>ERICK ARIAS</t>
  </si>
  <si>
    <t>30</t>
  </si>
  <si>
    <t>NARVÁEZ VILLALVA JORGE EDMUNDO</t>
  </si>
  <si>
    <t>31</t>
  </si>
  <si>
    <t>48 CUOTAS FIJAS</t>
  </si>
  <si>
    <t>VARGAS ARIAS CARLOS DANIEL</t>
  </si>
  <si>
    <t>C'</t>
  </si>
  <si>
    <t>ANTES C35</t>
  </si>
  <si>
    <t>MERO PLAZA CHRISTIAN ROGERIO</t>
  </si>
  <si>
    <t>2</t>
  </si>
  <si>
    <t>ANTES C36 0,20 A FAVOR DEL CLIENTE 2715,75</t>
  </si>
  <si>
    <t>INTRIAGO MERO KEVIN ANGEL</t>
  </si>
  <si>
    <t>ANTES C37</t>
  </si>
  <si>
    <t>RUEDA MENDOZA LUIS ERNESTO</t>
  </si>
  <si>
    <t>TERMINA PAGAR 30% 05/06/2024 HACER FINANCIAMIENTO</t>
  </si>
  <si>
    <t>GOMEZ POLANCO ANDRES SEBASTIAN</t>
  </si>
  <si>
    <t>10</t>
  </si>
  <si>
    <t>TORRES JARA ANDREA MICHELLE</t>
  </si>
  <si>
    <t>ZAMBRANO BARREIRO ARIANA YOMAIRA</t>
  </si>
  <si>
    <t>DELGADO GARCÍA MARÍA DEL CARMEN</t>
  </si>
  <si>
    <t>15</t>
  </si>
  <si>
    <t>ANTES C27</t>
  </si>
  <si>
    <t>BANDERAS LUNA LUIS FERNANDO</t>
  </si>
  <si>
    <t>SOSA ZAMBRANO MARÍA BELÉN</t>
  </si>
  <si>
    <t>17</t>
  </si>
  <si>
    <t>18</t>
  </si>
  <si>
    <t>PALADINES IZA JEAN CARLOS</t>
  </si>
  <si>
    <t>20</t>
  </si>
  <si>
    <t>60 CUOTAS</t>
  </si>
  <si>
    <t>VILLAFUERTE MERO MARIUXI ELIZABETH</t>
  </si>
  <si>
    <t>27</t>
  </si>
  <si>
    <t>ANTES C34 CANJE EQUIPO SEGURIDAD MANTA HILLS</t>
  </si>
  <si>
    <t>QUINTERO ARCENTALES MARIBEL MATILDE</t>
  </si>
  <si>
    <t>D</t>
  </si>
  <si>
    <t>ESPINAL PINCAY LUIS ALBERTO</t>
  </si>
  <si>
    <t>MIRANDA ARMAS JUAN JOSÉ</t>
  </si>
  <si>
    <t>CHÁVEZ CARRILLO ARIANA CRISTINA</t>
  </si>
  <si>
    <t>MARITZA LOOR</t>
  </si>
  <si>
    <t>CONTADO</t>
  </si>
  <si>
    <t>YEPEZ REYES DANIEL EDUARDO</t>
  </si>
  <si>
    <t>MACÍAS VILLAMIL GEMA NATALY</t>
  </si>
  <si>
    <t>CARREÑO MENDOZA NINYER JACKELINE</t>
  </si>
  <si>
    <t>9</t>
  </si>
  <si>
    <t>ZAMBRANO BURGOS DIEGO FERNANDO</t>
  </si>
  <si>
    <t>CENTENO ZAMBRANO MERCEDES JAZMÍN</t>
  </si>
  <si>
    <t>CENTENO ZAMBRANO SHIRLEY AMARILIS</t>
  </si>
  <si>
    <t>MACÍAS DELGADO VALERIA ELIZABETH</t>
  </si>
  <si>
    <t>COMPLETÓ 30% 28/08/2023</t>
  </si>
  <si>
    <t>LUCAS MANTUANO CARMEN AUXILIADORA</t>
  </si>
  <si>
    <t>E</t>
  </si>
  <si>
    <t>48 CUOTAS FIJAS CON INTERÉS</t>
  </si>
  <si>
    <t>ROCA CANO RUTH VALERIA</t>
  </si>
  <si>
    <t>MERA SANTOS DIANA ELIZABETH</t>
  </si>
  <si>
    <t>48 CUOTA FIJAS</t>
  </si>
  <si>
    <t>VIVAS AULESTIA OLGER FERNANDO</t>
  </si>
  <si>
    <t>BUCHELI LÓPEZ JAIME FABRICIO</t>
  </si>
  <si>
    <t>ENTRADA PAGADA</t>
  </si>
  <si>
    <t>DURAN YASUMA SANDRA VERONICA</t>
  </si>
  <si>
    <t>DE LA CRUZ CASTILLO JUANA JUDITH</t>
  </si>
  <si>
    <t>MANZANO ANGULO ALVARO ADRIAN</t>
  </si>
  <si>
    <t>CHOCHOS GARCÍA CARLOS ANÍBAL</t>
  </si>
  <si>
    <t>VELEZ PLAZA CHARLES ARIEL</t>
  </si>
  <si>
    <t>F</t>
  </si>
  <si>
    <t>5</t>
  </si>
  <si>
    <t>ZAMBRANO OSTAIZA JOSE MIGUEL</t>
  </si>
  <si>
    <t>G</t>
  </si>
  <si>
    <t>CHEQUE DEVUELTO</t>
  </si>
  <si>
    <t>ZAMBRANO OSTAIZA JOSE BOLIVAR</t>
  </si>
  <si>
    <t>PAGADO 30% 26/01/2023</t>
  </si>
  <si>
    <t>ZAMBRANO OSTAIZA MARÍA JOSÉ</t>
  </si>
  <si>
    <t>60 CUOTAS CON INTERÉS</t>
  </si>
  <si>
    <t>MENDOZA LOOR ARIANA LOURDES</t>
  </si>
  <si>
    <t>6</t>
  </si>
  <si>
    <t>MEJIA LAAZ RONNY AUGUSTO</t>
  </si>
  <si>
    <t>CAMPUZANO CAMPUZANO MARTHA JOHANA</t>
  </si>
  <si>
    <t>60 CUOTAS FIJAS</t>
  </si>
  <si>
    <t>BRIONES ARTEAGA EBSON MAURICIO</t>
  </si>
  <si>
    <t>VERA ZAMBRANO LISBETH ROSARIO</t>
  </si>
  <si>
    <t>VA A REALIZAR PAGOS ESPORÁDICOS PARA TERMINAR DE PAGAR EN 2 AÑOS LOS LOTES</t>
  </si>
  <si>
    <t>TAMAYO BENAVIDES CARLOS ALBERTO</t>
  </si>
  <si>
    <t>OFICINA UIO</t>
  </si>
  <si>
    <t>VILLAREAL ANDRADE PABLO ANDRES</t>
  </si>
  <si>
    <t>H</t>
  </si>
  <si>
    <t>VILLALBA ACARO JOSÉ NECKER</t>
  </si>
  <si>
    <t>ÁCARO MAZA MARÍA BERNARDITA</t>
  </si>
  <si>
    <t>VILLALBA ESPINOZA JOHN NECKER</t>
  </si>
  <si>
    <t>CESPEDES DIAZ MARIO</t>
  </si>
  <si>
    <t>32 CUOTAS</t>
  </si>
  <si>
    <t>MENENDEZ VELEZ EDGAR ARTURO</t>
  </si>
  <si>
    <t>ESPINAL MORA JORGE LUIS</t>
  </si>
  <si>
    <t>ANDRADE ARÉVALO CHRISTIAM FABIÁN</t>
  </si>
  <si>
    <t>LAINEZ ARGUELLO KAROLAYN CELINDA</t>
  </si>
  <si>
    <t>72 CUOTAS OFICINA MANTA</t>
  </si>
  <si>
    <t>CEVALLOS PALMA KAREN JASMIN</t>
  </si>
  <si>
    <t>MOREIRA VELEZ MARCOS STEVEN</t>
  </si>
  <si>
    <t>21</t>
  </si>
  <si>
    <t>VELASQUEZ MARIN DIANA MARIA</t>
  </si>
  <si>
    <t>MENDOZA CANTOS CARLOS AARON</t>
  </si>
  <si>
    <t>36 CUOTAS</t>
  </si>
  <si>
    <t xml:space="preserve">TROYA FREIRE ALISON NARCISA </t>
  </si>
  <si>
    <t>I</t>
  </si>
  <si>
    <t>PAGADO 18,90 A FAVOR DEL CLIENTE PAGADO $1.125,00</t>
  </si>
  <si>
    <t>SERRANO SEBASTIÁN</t>
  </si>
  <si>
    <t>36 CUOTAS FIJAS CON INTERÉS</t>
  </si>
  <si>
    <t>SERRANO VIZUETE ESTEBAN PAÚL</t>
  </si>
  <si>
    <t>VIZUETE FLORES PAULINA ELIZABETH</t>
  </si>
  <si>
    <t>JESSICA GONZALEZ</t>
  </si>
  <si>
    <t>36 CUOTAS CON INTERES</t>
  </si>
  <si>
    <t>SUQUILLO BERMEO LUIS ÁNGEL</t>
  </si>
  <si>
    <t xml:space="preserve">OFICINA MANTA </t>
  </si>
  <si>
    <t>BAILON CATAGUA GABRIEL ANTONIO</t>
  </si>
  <si>
    <t>GUILLÉN CANTOS MAIRENE MABEL</t>
  </si>
  <si>
    <t>72 CUOTAS CON INTERÉS</t>
  </si>
  <si>
    <t>BRITO MEJIA LUISA FERNANDA</t>
  </si>
  <si>
    <t>MINA CHICAIZA JULIO CÉSAR</t>
  </si>
  <si>
    <t>28</t>
  </si>
  <si>
    <t>SANCHEZ LOPEZ MYRIAN JESSENIA</t>
  </si>
  <si>
    <t>DELGADO BAQUE ROBERTO SAMUEL</t>
  </si>
  <si>
    <t>I'</t>
  </si>
  <si>
    <t>VILLAFUERTE CAMPOVERDE ANGEL MIGUEL</t>
  </si>
  <si>
    <t>J</t>
  </si>
  <si>
    <t>VILLAFUERTE MERO HENRY JONATHAN</t>
  </si>
  <si>
    <t>RIVAS GARCÍA ZOILA DANIELA</t>
  </si>
  <si>
    <t>REQUENA ALCIVAR FATIMA NELLY</t>
  </si>
  <si>
    <t>BARCIA MONRROY FERNANDO EDUARDO</t>
  </si>
  <si>
    <t>VENTA CONTADO</t>
  </si>
  <si>
    <t>LOZADA CHIQUIN EDWIN</t>
  </si>
  <si>
    <t>48 CUOTAS</t>
  </si>
  <si>
    <t>PARRA MARTÍNEZ INÉS NARCIZA</t>
  </si>
  <si>
    <t>IÑIGUEZ GUERRERO JUAN PABLO</t>
  </si>
  <si>
    <t>GUERRERO PICO MARIA CECILIA</t>
  </si>
  <si>
    <t>60 MESES CON INTERES</t>
  </si>
  <si>
    <t>HERNÁNDEZ MORA BRYAN JOSUÉ</t>
  </si>
  <si>
    <t>PIN TUBAY DIRNEY LIVEN</t>
  </si>
  <si>
    <t>44</t>
  </si>
  <si>
    <t>19000 CANJE CARRO</t>
  </si>
  <si>
    <t>SANTOS COBEÑA MARÍA FERNANDA</t>
  </si>
  <si>
    <t>45</t>
  </si>
  <si>
    <t>K</t>
  </si>
  <si>
    <t>ANTES C39 ABONADO 5333,33</t>
  </si>
  <si>
    <t>ANTES C40 ABONADO 5333,33</t>
  </si>
  <si>
    <t>Ejemplo 1</t>
  </si>
  <si>
    <t>EJEMPLO 1</t>
  </si>
  <si>
    <t>Ejemplo 2</t>
  </si>
  <si>
    <t>CONDICIÓN</t>
  </si>
  <si>
    <t>ESTADO COMISIÓN</t>
  </si>
  <si>
    <t>POR PAGAR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</si>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</sst>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2" fillId="0" borderId="1" xfId="1" applyFont="1" applyBorder="1" applyAlignment="1">
      <alignment wrapText="1"/>
    </xf>
    <xf numFmtId="164" fontId="2" fillId="0" borderId="1" xfId="1" applyFont="1" applyBorder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165" fontId="0" fillId="0" borderId="1" xfId="0" applyNumberFormat="1" applyBorder="1"/>
    <xf numFmtId="10" fontId="0" fillId="0" borderId="1" xfId="0" applyNumberFormat="1" applyBorder="1"/>
    <xf numFmtId="165" fontId="0" fillId="2" borderId="1" xfId="0" applyNumberFormat="1" applyFill="1" applyBorder="1"/>
    <xf numFmtId="9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14" fontId="0" fillId="0" borderId="0" xfId="0" applyNumberFormat="1"/>
    <xf numFmtId="164" fontId="0" fillId="0" borderId="0" xfId="1" applyFont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0" applyNumberFormat="1"/>
    <xf numFmtId="49" fontId="2" fillId="0" borderId="1" xfId="0" applyNumberFormat="1" applyFont="1" applyBorder="1" applyAlignment="1">
      <alignment horizontal="center" wrapText="1"/>
    </xf>
    <xf numFmtId="2" fontId="0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wrapText="1"/>
    </xf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FE0-49F2-42A1-9455-363D5B0B39D7}">
  <sheetPr>
    <tabColor rgb="FFFFFF00"/>
    <pageSetUpPr fitToPage="1"/>
  </sheetPr>
  <dimension ref="A1:W144"/>
  <sheetViews>
    <sheetView tabSelected="1" zoomScale="70" zoomScaleNormal="70" workbookViewId="0">
      <pane xSplit="6" ySplit="1" topLeftCell="G2" activePane="bottomRight" state="frozen"/>
      <selection pane="topRight" activeCell="H1" sqref="H1"/>
      <selection pane="bottomLeft" activeCell="A3" sqref="A3"/>
      <selection pane="bottomRight" activeCell="C4" sqref="C4"/>
    </sheetView>
  </sheetViews>
  <sheetFormatPr defaultColWidth="4.88671875" defaultRowHeight="14.4" x14ac:dyDescent="0.3"/>
  <cols>
    <col min="1" max="1" width="41.5546875" bestFit="1" customWidth="1"/>
    <col min="2" max="2" width="16" customWidth="1"/>
    <col min="3" max="3" width="17.5546875" bestFit="1" customWidth="1"/>
    <col min="4" max="4" width="8.33203125" style="22" bestFit="1" customWidth="1"/>
    <col min="5" max="5" width="10.44140625" style="17" bestFit="1" customWidth="1"/>
    <col min="6" max="6" width="5.33203125" style="17" bestFit="1" customWidth="1"/>
    <col min="7" max="7" width="8" style="29" bestFit="1" customWidth="1"/>
    <col min="8" max="8" width="13.44140625" style="18" bestFit="1" customWidth="1"/>
    <col min="9" max="9" width="8.88671875" bestFit="1" customWidth="1"/>
    <col min="10" max="10" width="12.33203125" customWidth="1"/>
    <col min="11" max="11" width="11.5546875" style="18" customWidth="1"/>
    <col min="12" max="12" width="13" customWidth="1"/>
    <col min="13" max="13" width="21.6640625" bestFit="1" customWidth="1"/>
    <col min="14" max="14" width="13.88671875" customWidth="1"/>
    <col min="15" max="15" width="10.109375" customWidth="1"/>
    <col min="16" max="16" width="10.88671875" customWidth="1"/>
    <col min="17" max="17" width="10.44140625" customWidth="1"/>
    <col min="18" max="18" width="10.88671875" style="19" customWidth="1"/>
    <col min="19" max="19" width="17.109375" customWidth="1"/>
    <col min="20" max="20" width="14.5546875" bestFit="1" customWidth="1"/>
    <col min="21" max="21" width="11.5546875" bestFit="1" customWidth="1"/>
    <col min="22" max="22" width="12" customWidth="1"/>
  </cols>
  <sheetData>
    <row r="1" spans="1:22" s="7" customFormat="1" ht="28.8" x14ac:dyDescent="0.3">
      <c r="A1" s="2" t="s">
        <v>0</v>
      </c>
      <c r="B1" s="2" t="s">
        <v>1</v>
      </c>
      <c r="C1" s="2" t="s">
        <v>2</v>
      </c>
      <c r="D1" s="25" t="s">
        <v>3</v>
      </c>
      <c r="E1" s="3" t="s">
        <v>4</v>
      </c>
      <c r="F1" s="3" t="s">
        <v>5</v>
      </c>
      <c r="G1" s="27" t="s">
        <v>6</v>
      </c>
      <c r="H1" s="5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 t="s">
        <v>17</v>
      </c>
      <c r="S1" s="2" t="s">
        <v>18</v>
      </c>
      <c r="T1" s="2" t="s">
        <v>19</v>
      </c>
      <c r="U1" s="2" t="s">
        <v>243</v>
      </c>
      <c r="V1" s="2" t="s">
        <v>244</v>
      </c>
    </row>
    <row r="2" spans="1:22" x14ac:dyDescent="0.3">
      <c r="A2" s="9" t="s">
        <v>43</v>
      </c>
      <c r="B2" s="9">
        <v>44497</v>
      </c>
      <c r="C2" s="8" t="s">
        <v>44</v>
      </c>
      <c r="D2" s="16" t="s">
        <v>45</v>
      </c>
      <c r="E2" s="1" t="s">
        <v>46</v>
      </c>
      <c r="F2" s="1" t="s">
        <v>45</v>
      </c>
      <c r="G2" s="30">
        <v>201.15</v>
      </c>
      <c r="H2" s="10">
        <v>18103.5</v>
      </c>
      <c r="I2" s="8">
        <v>0</v>
      </c>
      <c r="J2" s="11">
        <f>H2*I2</f>
        <v>0</v>
      </c>
      <c r="K2" s="10">
        <v>500</v>
      </c>
      <c r="L2" s="11">
        <f>H2*30%</f>
        <v>5431.05</v>
      </c>
      <c r="M2" s="8" t="s">
        <v>47</v>
      </c>
      <c r="N2" s="11">
        <v>8000</v>
      </c>
      <c r="O2" s="12">
        <v>2.5000000000000001E-2</v>
      </c>
      <c r="P2" s="11">
        <f>H2*O2</f>
        <v>452.58750000000003</v>
      </c>
      <c r="Q2" s="11">
        <f>P2*50%+226.29</f>
        <v>452.58375000000001</v>
      </c>
      <c r="R2" s="9" t="s">
        <v>20</v>
      </c>
      <c r="S2" s="11">
        <f>+P2-Q2</f>
        <v>3.7500000000250111E-3</v>
      </c>
      <c r="T2" s="8" t="s">
        <v>21</v>
      </c>
      <c r="U2" s="8" t="s">
        <v>46</v>
      </c>
      <c r="V2" s="8" t="s">
        <v>21</v>
      </c>
    </row>
    <row r="3" spans="1:22" x14ac:dyDescent="0.3">
      <c r="A3" s="9" t="s">
        <v>48</v>
      </c>
      <c r="B3" s="9">
        <v>44939</v>
      </c>
      <c r="C3" s="8" t="s">
        <v>44</v>
      </c>
      <c r="D3" s="16" t="s">
        <v>45</v>
      </c>
      <c r="E3" s="1" t="s">
        <v>46</v>
      </c>
      <c r="F3" s="1" t="s">
        <v>49</v>
      </c>
      <c r="G3" s="30">
        <v>219.89</v>
      </c>
      <c r="H3" s="10">
        <v>27486.25</v>
      </c>
      <c r="I3" s="8">
        <v>0</v>
      </c>
      <c r="J3" s="11">
        <f t="shared" ref="J3:J66" si="0">H3*I3</f>
        <v>0</v>
      </c>
      <c r="K3" s="10">
        <v>1000</v>
      </c>
      <c r="L3" s="11">
        <f t="shared" ref="L3:L66" si="1">H3*30%</f>
        <v>8245.875</v>
      </c>
      <c r="M3" s="8" t="s">
        <v>50</v>
      </c>
      <c r="N3" s="11">
        <v>7621.4799999999987</v>
      </c>
      <c r="O3" s="12">
        <v>2.5000000000000001E-2</v>
      </c>
      <c r="P3" s="11">
        <f t="shared" ref="P3:P66" si="2">H3*O3</f>
        <v>687.15625</v>
      </c>
      <c r="Q3" s="11">
        <f>P3*50%</f>
        <v>343.578125</v>
      </c>
      <c r="R3" s="9">
        <v>44971</v>
      </c>
      <c r="S3" s="11">
        <f t="shared" ref="S3:S66" si="3">+P3-Q3</f>
        <v>343.578125</v>
      </c>
      <c r="T3" s="8"/>
      <c r="U3" s="8" t="s">
        <v>46</v>
      </c>
      <c r="V3" s="8" t="s">
        <v>245</v>
      </c>
    </row>
    <row r="4" spans="1:22" x14ac:dyDescent="0.3">
      <c r="A4" s="9" t="s">
        <v>51</v>
      </c>
      <c r="B4" s="9">
        <v>45077</v>
      </c>
      <c r="C4" s="8" t="s">
        <v>52</v>
      </c>
      <c r="D4" s="16" t="s">
        <v>45</v>
      </c>
      <c r="E4" s="1" t="s">
        <v>46</v>
      </c>
      <c r="F4" s="1" t="s">
        <v>53</v>
      </c>
      <c r="G4" s="30">
        <v>213.36</v>
      </c>
      <c r="H4" s="10">
        <v>28803.600000000002</v>
      </c>
      <c r="I4" s="8">
        <v>0</v>
      </c>
      <c r="J4" s="11">
        <f t="shared" si="0"/>
        <v>0</v>
      </c>
      <c r="K4" s="10">
        <v>4000</v>
      </c>
      <c r="L4" s="11">
        <f t="shared" si="1"/>
        <v>8641.08</v>
      </c>
      <c r="M4" s="8" t="s">
        <v>54</v>
      </c>
      <c r="N4" s="11">
        <v>18562.32</v>
      </c>
      <c r="O4" s="12">
        <v>2.5000000000000001E-2</v>
      </c>
      <c r="P4" s="11">
        <f t="shared" si="2"/>
        <v>720.09000000000015</v>
      </c>
      <c r="Q4" s="8"/>
      <c r="R4" s="9"/>
      <c r="S4" s="11">
        <f t="shared" si="3"/>
        <v>720.09000000000015</v>
      </c>
      <c r="T4" s="8"/>
      <c r="U4" s="8" t="s">
        <v>46</v>
      </c>
      <c r="V4" s="8" t="s">
        <v>246</v>
      </c>
    </row>
    <row r="5" spans="1:22" x14ac:dyDescent="0.3">
      <c r="A5" s="9" t="s">
        <v>55</v>
      </c>
      <c r="B5" s="9">
        <v>44769</v>
      </c>
      <c r="C5" s="8" t="s">
        <v>44</v>
      </c>
      <c r="D5" s="16" t="s">
        <v>45</v>
      </c>
      <c r="E5" s="1" t="s">
        <v>46</v>
      </c>
      <c r="F5" s="1" t="s">
        <v>56</v>
      </c>
      <c r="G5" s="30">
        <v>200.13</v>
      </c>
      <c r="H5" s="10">
        <v>21600</v>
      </c>
      <c r="I5" s="8">
        <v>0</v>
      </c>
      <c r="J5" s="11">
        <f t="shared" si="0"/>
        <v>0</v>
      </c>
      <c r="K5" s="10">
        <v>6480</v>
      </c>
      <c r="L5" s="11">
        <f t="shared" si="1"/>
        <v>6480</v>
      </c>
      <c r="M5" s="8" t="s">
        <v>50</v>
      </c>
      <c r="N5" s="11">
        <v>11100</v>
      </c>
      <c r="O5" s="12">
        <v>2.5000000000000001E-2</v>
      </c>
      <c r="P5" s="11">
        <f t="shared" si="2"/>
        <v>540</v>
      </c>
      <c r="Q5" s="11">
        <f>P5*100%</f>
        <v>540</v>
      </c>
      <c r="R5" s="9">
        <v>44804</v>
      </c>
      <c r="S5" s="11">
        <f t="shared" si="3"/>
        <v>0</v>
      </c>
      <c r="T5" s="8" t="s">
        <v>21</v>
      </c>
      <c r="U5" s="8" t="s">
        <v>46</v>
      </c>
      <c r="V5" s="8" t="s">
        <v>21</v>
      </c>
    </row>
    <row r="6" spans="1:22" x14ac:dyDescent="0.3">
      <c r="A6" s="9" t="s">
        <v>55</v>
      </c>
      <c r="B6" s="9">
        <v>44769</v>
      </c>
      <c r="C6" s="8" t="s">
        <v>44</v>
      </c>
      <c r="D6" s="16" t="s">
        <v>45</v>
      </c>
      <c r="E6" s="1" t="s">
        <v>46</v>
      </c>
      <c r="F6" s="1" t="s">
        <v>57</v>
      </c>
      <c r="G6" s="30">
        <v>200.1</v>
      </c>
      <c r="H6" s="10">
        <v>21600</v>
      </c>
      <c r="I6" s="8">
        <v>0</v>
      </c>
      <c r="J6" s="11">
        <f t="shared" si="0"/>
        <v>0</v>
      </c>
      <c r="K6" s="10">
        <v>6480</v>
      </c>
      <c r="L6" s="11">
        <f t="shared" si="1"/>
        <v>6480</v>
      </c>
      <c r="M6" s="8" t="s">
        <v>50</v>
      </c>
      <c r="N6" s="11">
        <v>11100</v>
      </c>
      <c r="O6" s="12">
        <v>2.5000000000000001E-2</v>
      </c>
      <c r="P6" s="11">
        <f t="shared" si="2"/>
        <v>540</v>
      </c>
      <c r="Q6" s="11">
        <f>P6*100%</f>
        <v>540</v>
      </c>
      <c r="R6" s="9">
        <v>44804</v>
      </c>
      <c r="S6" s="11">
        <f t="shared" si="3"/>
        <v>0</v>
      </c>
      <c r="T6" s="8" t="s">
        <v>21</v>
      </c>
      <c r="U6" s="8" t="s">
        <v>46</v>
      </c>
      <c r="V6" s="8" t="s">
        <v>245</v>
      </c>
    </row>
    <row r="7" spans="1:22" x14ac:dyDescent="0.3">
      <c r="A7" s="9" t="s">
        <v>58</v>
      </c>
      <c r="B7" s="9">
        <v>44737</v>
      </c>
      <c r="C7" s="8" t="s">
        <v>44</v>
      </c>
      <c r="D7" s="16" t="s">
        <v>45</v>
      </c>
      <c r="E7" s="1" t="s">
        <v>46</v>
      </c>
      <c r="F7" s="1" t="s">
        <v>59</v>
      </c>
      <c r="G7" s="30">
        <v>201.22</v>
      </c>
      <c r="H7" s="10">
        <v>30856.25</v>
      </c>
      <c r="I7" s="8">
        <v>0</v>
      </c>
      <c r="J7" s="11">
        <f t="shared" si="0"/>
        <v>0</v>
      </c>
      <c r="K7" s="10">
        <v>1000</v>
      </c>
      <c r="L7" s="11">
        <f t="shared" si="1"/>
        <v>9256.875</v>
      </c>
      <c r="M7" s="8" t="s">
        <v>50</v>
      </c>
      <c r="N7" s="11">
        <v>1830.49</v>
      </c>
      <c r="O7" s="12">
        <v>2.5000000000000001E-2</v>
      </c>
      <c r="P7" s="11">
        <f t="shared" si="2"/>
        <v>771.40625</v>
      </c>
      <c r="Q7" s="11">
        <f>P7*50%</f>
        <v>385.703125</v>
      </c>
      <c r="R7" s="9">
        <v>44743</v>
      </c>
      <c r="S7" s="11">
        <f t="shared" si="3"/>
        <v>385.703125</v>
      </c>
      <c r="T7" s="8" t="s">
        <v>22</v>
      </c>
      <c r="U7" s="8" t="s">
        <v>63</v>
      </c>
      <c r="V7" s="8" t="s">
        <v>246</v>
      </c>
    </row>
    <row r="8" spans="1:22" x14ac:dyDescent="0.3">
      <c r="A8" s="9" t="s">
        <v>60</v>
      </c>
      <c r="B8" s="9">
        <v>44737</v>
      </c>
      <c r="C8" s="8" t="s">
        <v>44</v>
      </c>
      <c r="D8" s="16" t="s">
        <v>45</v>
      </c>
      <c r="E8" s="1" t="s">
        <v>46</v>
      </c>
      <c r="F8" s="1" t="s">
        <v>61</v>
      </c>
      <c r="G8" s="30">
        <v>200.91</v>
      </c>
      <c r="H8" s="10">
        <v>30938.75</v>
      </c>
      <c r="I8" s="8">
        <v>0</v>
      </c>
      <c r="J8" s="11">
        <f t="shared" si="0"/>
        <v>0</v>
      </c>
      <c r="K8" s="10">
        <v>1000</v>
      </c>
      <c r="L8" s="11">
        <f t="shared" si="1"/>
        <v>9281.625</v>
      </c>
      <c r="M8" s="8" t="s">
        <v>50</v>
      </c>
      <c r="N8" s="11">
        <v>2247.46</v>
      </c>
      <c r="O8" s="12">
        <v>2.5000000000000001E-2</v>
      </c>
      <c r="P8" s="11">
        <f t="shared" si="2"/>
        <v>773.46875</v>
      </c>
      <c r="Q8" s="11">
        <f>P8*50%</f>
        <v>386.734375</v>
      </c>
      <c r="R8" s="9">
        <v>44743</v>
      </c>
      <c r="S8" s="11">
        <f t="shared" si="3"/>
        <v>386.734375</v>
      </c>
      <c r="T8" s="8" t="s">
        <v>22</v>
      </c>
      <c r="U8" s="8" t="s">
        <v>63</v>
      </c>
      <c r="V8" s="8" t="s">
        <v>21</v>
      </c>
    </row>
    <row r="9" spans="1:22" x14ac:dyDescent="0.3">
      <c r="A9" s="9" t="s">
        <v>62</v>
      </c>
      <c r="B9" s="9">
        <v>44490</v>
      </c>
      <c r="C9" s="8" t="s">
        <v>44</v>
      </c>
      <c r="D9" s="16" t="s">
        <v>45</v>
      </c>
      <c r="E9" s="1" t="s">
        <v>63</v>
      </c>
      <c r="F9" s="1" t="s">
        <v>45</v>
      </c>
      <c r="G9" s="30">
        <v>224.93</v>
      </c>
      <c r="H9" s="10">
        <v>20243.7</v>
      </c>
      <c r="I9" s="8">
        <v>0</v>
      </c>
      <c r="J9" s="11">
        <f t="shared" si="0"/>
        <v>0</v>
      </c>
      <c r="K9" s="10">
        <v>3000</v>
      </c>
      <c r="L9" s="11">
        <f t="shared" si="1"/>
        <v>6073.11</v>
      </c>
      <c r="M9" s="8" t="s">
        <v>21</v>
      </c>
      <c r="N9" s="11">
        <v>20243.7</v>
      </c>
      <c r="O9" s="12">
        <v>2.5000000000000001E-2</v>
      </c>
      <c r="P9" s="11">
        <f t="shared" si="2"/>
        <v>506.09250000000003</v>
      </c>
      <c r="Q9" s="11">
        <f>P9*50%+P9*25%+126.52</f>
        <v>506.08937500000002</v>
      </c>
      <c r="R9" s="9" t="s">
        <v>23</v>
      </c>
      <c r="S9" s="11">
        <f t="shared" si="3"/>
        <v>3.1250000000113687E-3</v>
      </c>
      <c r="T9" s="8" t="s">
        <v>21</v>
      </c>
      <c r="U9" s="8" t="s">
        <v>46</v>
      </c>
      <c r="V9" s="8" t="s">
        <v>245</v>
      </c>
    </row>
    <row r="10" spans="1:22" x14ac:dyDescent="0.3">
      <c r="A10" s="9" t="s">
        <v>64</v>
      </c>
      <c r="B10" s="9">
        <v>44495</v>
      </c>
      <c r="C10" s="8" t="s">
        <v>65</v>
      </c>
      <c r="D10" s="16" t="s">
        <v>45</v>
      </c>
      <c r="E10" s="1" t="s">
        <v>63</v>
      </c>
      <c r="F10" s="1">
        <v>2</v>
      </c>
      <c r="G10" s="30">
        <v>233.51</v>
      </c>
      <c r="H10" s="10">
        <v>15000</v>
      </c>
      <c r="I10" s="8">
        <v>0</v>
      </c>
      <c r="J10" s="11">
        <f t="shared" si="0"/>
        <v>0</v>
      </c>
      <c r="K10" s="10">
        <v>4500</v>
      </c>
      <c r="L10" s="11">
        <f t="shared" si="1"/>
        <v>4500</v>
      </c>
      <c r="M10" s="8" t="s">
        <v>66</v>
      </c>
      <c r="N10" s="11">
        <v>15000</v>
      </c>
      <c r="O10" s="12">
        <v>2.5000000000000001E-2</v>
      </c>
      <c r="P10" s="11">
        <f t="shared" si="2"/>
        <v>375</v>
      </c>
      <c r="Q10" s="8"/>
      <c r="R10" s="9"/>
      <c r="S10" s="11">
        <f t="shared" si="3"/>
        <v>375</v>
      </c>
      <c r="T10" s="8"/>
      <c r="U10" s="8" t="s">
        <v>46</v>
      </c>
      <c r="V10" s="8" t="s">
        <v>246</v>
      </c>
    </row>
    <row r="11" spans="1:22" x14ac:dyDescent="0.3">
      <c r="A11" s="9" t="s">
        <v>64</v>
      </c>
      <c r="B11" s="9">
        <v>44495</v>
      </c>
      <c r="C11" s="8" t="s">
        <v>65</v>
      </c>
      <c r="D11" s="16" t="s">
        <v>45</v>
      </c>
      <c r="E11" s="1" t="s">
        <v>63</v>
      </c>
      <c r="F11" s="1">
        <v>3</v>
      </c>
      <c r="G11" s="30">
        <v>223.03</v>
      </c>
      <c r="H11" s="10">
        <v>15000</v>
      </c>
      <c r="I11" s="8">
        <v>0</v>
      </c>
      <c r="J11" s="11">
        <f t="shared" si="0"/>
        <v>0</v>
      </c>
      <c r="K11" s="10">
        <v>4500</v>
      </c>
      <c r="L11" s="11">
        <f t="shared" si="1"/>
        <v>4500</v>
      </c>
      <c r="M11" s="8" t="s">
        <v>66</v>
      </c>
      <c r="N11" s="11">
        <v>15000</v>
      </c>
      <c r="O11" s="12">
        <v>2.5000000000000001E-2</v>
      </c>
      <c r="P11" s="11">
        <f t="shared" si="2"/>
        <v>375</v>
      </c>
      <c r="Q11" s="8"/>
      <c r="R11" s="9"/>
      <c r="S11" s="11">
        <f t="shared" si="3"/>
        <v>375</v>
      </c>
      <c r="T11" s="8"/>
      <c r="U11" s="8" t="s">
        <v>46</v>
      </c>
      <c r="V11" s="8" t="s">
        <v>21</v>
      </c>
    </row>
    <row r="12" spans="1:22" x14ac:dyDescent="0.3">
      <c r="A12" s="9" t="s">
        <v>55</v>
      </c>
      <c r="B12" s="9">
        <v>44769</v>
      </c>
      <c r="C12" s="8" t="s">
        <v>44</v>
      </c>
      <c r="D12" s="16" t="s">
        <v>45</v>
      </c>
      <c r="E12" s="1" t="s">
        <v>63</v>
      </c>
      <c r="F12" s="1" t="s">
        <v>61</v>
      </c>
      <c r="G12" s="30">
        <v>207</v>
      </c>
      <c r="H12" s="10">
        <v>20000</v>
      </c>
      <c r="I12" s="8">
        <v>0</v>
      </c>
      <c r="J12" s="11">
        <f t="shared" si="0"/>
        <v>0</v>
      </c>
      <c r="K12" s="10">
        <v>6000</v>
      </c>
      <c r="L12" s="11">
        <f t="shared" si="1"/>
        <v>6000</v>
      </c>
      <c r="M12" s="8" t="s">
        <v>50</v>
      </c>
      <c r="N12" s="11">
        <v>10277.68</v>
      </c>
      <c r="O12" s="12">
        <v>2.5000000000000001E-2</v>
      </c>
      <c r="P12" s="11">
        <f t="shared" si="2"/>
        <v>500</v>
      </c>
      <c r="Q12" s="11">
        <f>P12*100%</f>
        <v>500</v>
      </c>
      <c r="R12" s="9">
        <v>44804</v>
      </c>
      <c r="S12" s="11">
        <f t="shared" si="3"/>
        <v>0</v>
      </c>
      <c r="T12" s="8" t="s">
        <v>21</v>
      </c>
      <c r="U12" s="8" t="s">
        <v>46</v>
      </c>
      <c r="V12" s="8" t="s">
        <v>245</v>
      </c>
    </row>
    <row r="13" spans="1:22" x14ac:dyDescent="0.3">
      <c r="A13" s="9" t="s">
        <v>67</v>
      </c>
      <c r="B13" s="9">
        <v>45237</v>
      </c>
      <c r="C13" s="8" t="s">
        <v>68</v>
      </c>
      <c r="D13" s="16" t="s">
        <v>45</v>
      </c>
      <c r="E13" s="1" t="s">
        <v>63</v>
      </c>
      <c r="F13" s="1" t="s">
        <v>69</v>
      </c>
      <c r="G13" s="30">
        <v>296.35000000000002</v>
      </c>
      <c r="H13" s="10">
        <v>37043.75</v>
      </c>
      <c r="I13" s="8">
        <v>0</v>
      </c>
      <c r="J13" s="11">
        <f t="shared" si="0"/>
        <v>0</v>
      </c>
      <c r="K13" s="10">
        <v>10000</v>
      </c>
      <c r="L13" s="11">
        <f t="shared" si="1"/>
        <v>11113.125</v>
      </c>
      <c r="M13" s="8" t="s">
        <v>70</v>
      </c>
      <c r="N13" s="11">
        <v>10000</v>
      </c>
      <c r="O13" s="12">
        <v>3.5000000000000003E-2</v>
      </c>
      <c r="P13" s="11">
        <f t="shared" si="2"/>
        <v>1296.5312500000002</v>
      </c>
      <c r="Q13" s="8"/>
      <c r="R13" s="9"/>
      <c r="S13" s="11">
        <f t="shared" si="3"/>
        <v>1296.5312500000002</v>
      </c>
      <c r="T13" s="8"/>
      <c r="U13" s="8" t="s">
        <v>46</v>
      </c>
      <c r="V13" s="8" t="s">
        <v>246</v>
      </c>
    </row>
    <row r="14" spans="1:22" x14ac:dyDescent="0.3">
      <c r="A14" s="9" t="s">
        <v>71</v>
      </c>
      <c r="B14" s="9">
        <v>44735</v>
      </c>
      <c r="C14" s="8" t="s">
        <v>44</v>
      </c>
      <c r="D14" s="16" t="s">
        <v>45</v>
      </c>
      <c r="E14" s="1" t="s">
        <v>72</v>
      </c>
      <c r="F14" s="1" t="s">
        <v>45</v>
      </c>
      <c r="G14" s="30">
        <v>204.21</v>
      </c>
      <c r="H14" s="10">
        <v>25526.25</v>
      </c>
      <c r="I14" s="8">
        <v>0</v>
      </c>
      <c r="J14" s="11">
        <f t="shared" si="0"/>
        <v>0</v>
      </c>
      <c r="K14" s="10">
        <v>1000</v>
      </c>
      <c r="L14" s="11">
        <f t="shared" si="1"/>
        <v>7657.875</v>
      </c>
      <c r="M14" s="8" t="s">
        <v>50</v>
      </c>
      <c r="N14" s="11">
        <v>7131.52</v>
      </c>
      <c r="O14" s="12">
        <v>2.5000000000000001E-2</v>
      </c>
      <c r="P14" s="11">
        <f t="shared" si="2"/>
        <v>638.15625</v>
      </c>
      <c r="Q14" s="11">
        <f>P14*50%+(79.77+79.77)</f>
        <v>478.61812499999996</v>
      </c>
      <c r="R14" s="9" t="s">
        <v>24</v>
      </c>
      <c r="S14" s="11">
        <f t="shared" si="3"/>
        <v>159.53812500000004</v>
      </c>
      <c r="T14" s="8" t="s">
        <v>22</v>
      </c>
      <c r="U14" s="8" t="s">
        <v>63</v>
      </c>
      <c r="V14" s="8" t="s">
        <v>21</v>
      </c>
    </row>
    <row r="15" spans="1:22" x14ac:dyDescent="0.3">
      <c r="A15" s="9" t="s">
        <v>73</v>
      </c>
      <c r="B15" s="9">
        <v>44530</v>
      </c>
      <c r="C15" s="8" t="s">
        <v>74</v>
      </c>
      <c r="D15" s="16" t="s">
        <v>45</v>
      </c>
      <c r="E15" s="1" t="s">
        <v>72</v>
      </c>
      <c r="F15" s="1">
        <v>6</v>
      </c>
      <c r="G15" s="30">
        <v>256.33999999999997</v>
      </c>
      <c r="H15" s="10">
        <v>19248.29</v>
      </c>
      <c r="I15" s="8">
        <v>0</v>
      </c>
      <c r="J15" s="11">
        <f t="shared" si="0"/>
        <v>0</v>
      </c>
      <c r="K15" s="10">
        <v>1000</v>
      </c>
      <c r="L15" s="11">
        <f t="shared" si="1"/>
        <v>5774.4870000000001</v>
      </c>
      <c r="M15" s="8" t="s">
        <v>75</v>
      </c>
      <c r="N15" s="11">
        <v>9154.1899999999987</v>
      </c>
      <c r="O15" s="12">
        <v>2.5000000000000001E-2</v>
      </c>
      <c r="P15" s="11">
        <f t="shared" si="2"/>
        <v>481.20725000000004</v>
      </c>
      <c r="Q15" s="8"/>
      <c r="R15" s="9"/>
      <c r="S15" s="11">
        <f t="shared" si="3"/>
        <v>481.20725000000004</v>
      </c>
      <c r="T15" s="8"/>
      <c r="U15" s="8" t="s">
        <v>46</v>
      </c>
      <c r="V15" s="8" t="s">
        <v>245</v>
      </c>
    </row>
    <row r="16" spans="1:22" x14ac:dyDescent="0.3">
      <c r="A16" s="9" t="s">
        <v>73</v>
      </c>
      <c r="B16" s="9">
        <v>44530</v>
      </c>
      <c r="C16" s="8" t="s">
        <v>74</v>
      </c>
      <c r="D16" s="16" t="s">
        <v>45</v>
      </c>
      <c r="E16" s="1" t="s">
        <v>72</v>
      </c>
      <c r="F16" s="1">
        <v>7</v>
      </c>
      <c r="G16" s="30">
        <v>245</v>
      </c>
      <c r="H16" s="10">
        <v>19248.29</v>
      </c>
      <c r="I16" s="8">
        <v>0</v>
      </c>
      <c r="J16" s="11">
        <f t="shared" si="0"/>
        <v>0</v>
      </c>
      <c r="K16" s="10">
        <v>1000</v>
      </c>
      <c r="L16" s="11">
        <f t="shared" si="1"/>
        <v>5774.4870000000001</v>
      </c>
      <c r="M16" s="8" t="s">
        <v>75</v>
      </c>
      <c r="N16" s="11">
        <v>9154.1899999999987</v>
      </c>
      <c r="O16" s="12">
        <v>2.5000000000000001E-2</v>
      </c>
      <c r="P16" s="11">
        <f t="shared" si="2"/>
        <v>481.20725000000004</v>
      </c>
      <c r="Q16" s="8"/>
      <c r="R16" s="9"/>
      <c r="S16" s="11">
        <f t="shared" si="3"/>
        <v>481.20725000000004</v>
      </c>
      <c r="T16" s="8"/>
      <c r="U16" s="8" t="s">
        <v>46</v>
      </c>
      <c r="V16" s="8" t="s">
        <v>246</v>
      </c>
    </row>
    <row r="17" spans="1:23" x14ac:dyDescent="0.3">
      <c r="A17" s="9" t="s">
        <v>76</v>
      </c>
      <c r="B17" s="9">
        <v>44530</v>
      </c>
      <c r="C17" s="8" t="s">
        <v>74</v>
      </c>
      <c r="D17" s="16" t="s">
        <v>45</v>
      </c>
      <c r="E17" s="1" t="s">
        <v>72</v>
      </c>
      <c r="F17" s="1" t="s">
        <v>57</v>
      </c>
      <c r="G17" s="30">
        <v>245</v>
      </c>
      <c r="H17" s="10">
        <v>22250</v>
      </c>
      <c r="I17" s="8">
        <v>0</v>
      </c>
      <c r="J17" s="11">
        <f t="shared" si="0"/>
        <v>0</v>
      </c>
      <c r="K17" s="10">
        <v>300</v>
      </c>
      <c r="L17" s="11">
        <f t="shared" si="1"/>
        <v>6675</v>
      </c>
      <c r="M17" s="8" t="s">
        <v>77</v>
      </c>
      <c r="N17" s="11">
        <v>20000</v>
      </c>
      <c r="O17" s="12">
        <v>2.5000000000000001E-2</v>
      </c>
      <c r="P17" s="11">
        <f t="shared" si="2"/>
        <v>556.25</v>
      </c>
      <c r="Q17" s="8"/>
      <c r="R17" s="9"/>
      <c r="S17" s="11">
        <f t="shared" si="3"/>
        <v>556.25</v>
      </c>
      <c r="T17" s="8"/>
      <c r="U17" s="8" t="s">
        <v>46</v>
      </c>
      <c r="V17" s="8" t="s">
        <v>21</v>
      </c>
    </row>
    <row r="18" spans="1:23" x14ac:dyDescent="0.3">
      <c r="A18" s="9" t="s">
        <v>78</v>
      </c>
      <c r="B18" s="9">
        <v>44735</v>
      </c>
      <c r="C18" s="8" t="s">
        <v>44</v>
      </c>
      <c r="D18" s="16" t="s">
        <v>45</v>
      </c>
      <c r="E18" s="1" t="s">
        <v>72</v>
      </c>
      <c r="F18" s="1" t="s">
        <v>59</v>
      </c>
      <c r="G18" s="30">
        <v>289.23</v>
      </c>
      <c r="H18" s="10">
        <v>36153.75</v>
      </c>
      <c r="I18" s="8">
        <v>0</v>
      </c>
      <c r="J18" s="11">
        <f t="shared" si="0"/>
        <v>0</v>
      </c>
      <c r="K18" s="10">
        <v>500</v>
      </c>
      <c r="L18" s="11">
        <f t="shared" si="1"/>
        <v>10846.125</v>
      </c>
      <c r="M18" s="8" t="s">
        <v>79</v>
      </c>
      <c r="N18" s="11">
        <v>5882.4999999999991</v>
      </c>
      <c r="O18" s="12">
        <v>2.5000000000000001E-2</v>
      </c>
      <c r="P18" s="11">
        <f t="shared" si="2"/>
        <v>903.84375</v>
      </c>
      <c r="Q18" s="11">
        <f>P18*50%+(451.92/2)</f>
        <v>677.88187500000004</v>
      </c>
      <c r="R18" s="9">
        <v>45040</v>
      </c>
      <c r="S18" s="11">
        <f t="shared" si="3"/>
        <v>225.96187499999996</v>
      </c>
      <c r="T18" s="8" t="s">
        <v>22</v>
      </c>
      <c r="U18" s="8" t="s">
        <v>63</v>
      </c>
      <c r="V18" s="8" t="s">
        <v>245</v>
      </c>
    </row>
    <row r="19" spans="1:23" x14ac:dyDescent="0.3">
      <c r="A19" s="9" t="s">
        <v>80</v>
      </c>
      <c r="B19" s="9">
        <v>44994</v>
      </c>
      <c r="C19" s="8" t="s">
        <v>52</v>
      </c>
      <c r="D19" s="16" t="s">
        <v>45</v>
      </c>
      <c r="E19" s="1" t="s">
        <v>72</v>
      </c>
      <c r="F19" s="1" t="s">
        <v>81</v>
      </c>
      <c r="G19" s="30">
        <v>267.82</v>
      </c>
      <c r="H19" s="10">
        <v>36155.699999999997</v>
      </c>
      <c r="I19" s="8">
        <v>0</v>
      </c>
      <c r="J19" s="11">
        <f t="shared" si="0"/>
        <v>0</v>
      </c>
      <c r="K19" s="10">
        <v>1000</v>
      </c>
      <c r="L19" s="11">
        <f t="shared" si="1"/>
        <v>10846.71</v>
      </c>
      <c r="M19" s="8" t="s">
        <v>82</v>
      </c>
      <c r="N19" s="11">
        <v>7917.8899999999994</v>
      </c>
      <c r="O19" s="12">
        <v>2.5000000000000001E-2</v>
      </c>
      <c r="P19" s="11">
        <f t="shared" si="2"/>
        <v>903.89249999999993</v>
      </c>
      <c r="Q19" s="8"/>
      <c r="R19" s="9"/>
      <c r="S19" s="11">
        <f t="shared" si="3"/>
        <v>903.89249999999993</v>
      </c>
      <c r="T19" s="8"/>
      <c r="U19" s="8" t="s">
        <v>46</v>
      </c>
      <c r="V19" s="8" t="s">
        <v>246</v>
      </c>
    </row>
    <row r="20" spans="1:23" x14ac:dyDescent="0.3">
      <c r="A20" s="9" t="s">
        <v>83</v>
      </c>
      <c r="B20" s="9">
        <v>44530</v>
      </c>
      <c r="C20" s="8" t="s">
        <v>44</v>
      </c>
      <c r="D20" s="16" t="s">
        <v>45</v>
      </c>
      <c r="E20" s="1" t="s">
        <v>72</v>
      </c>
      <c r="F20" s="1" t="s">
        <v>84</v>
      </c>
      <c r="G20" s="30">
        <v>230</v>
      </c>
      <c r="H20" s="10">
        <v>23000</v>
      </c>
      <c r="I20" s="8">
        <v>0</v>
      </c>
      <c r="J20" s="11">
        <f t="shared" si="0"/>
        <v>0</v>
      </c>
      <c r="K20" s="10">
        <v>500</v>
      </c>
      <c r="L20" s="11">
        <f t="shared" si="1"/>
        <v>6900</v>
      </c>
      <c r="M20" s="8" t="s">
        <v>85</v>
      </c>
      <c r="N20" s="11">
        <v>16178.64</v>
      </c>
      <c r="O20" s="12">
        <v>2.5000000000000001E-2</v>
      </c>
      <c r="P20" s="11">
        <f t="shared" si="2"/>
        <v>575</v>
      </c>
      <c r="Q20" s="11">
        <f>P20*50%+287.5</f>
        <v>575</v>
      </c>
      <c r="R20" s="9" t="s">
        <v>25</v>
      </c>
      <c r="S20" s="11">
        <f t="shared" si="3"/>
        <v>0</v>
      </c>
      <c r="T20" s="8" t="s">
        <v>21</v>
      </c>
      <c r="U20" s="8" t="s">
        <v>46</v>
      </c>
      <c r="V20" s="8" t="s">
        <v>21</v>
      </c>
    </row>
    <row r="21" spans="1:23" x14ac:dyDescent="0.3">
      <c r="A21" s="9" t="s">
        <v>86</v>
      </c>
      <c r="B21" s="9">
        <v>44746</v>
      </c>
      <c r="C21" s="8" t="s">
        <v>44</v>
      </c>
      <c r="D21" s="16" t="s">
        <v>45</v>
      </c>
      <c r="E21" s="1" t="s">
        <v>72</v>
      </c>
      <c r="F21" s="1" t="s">
        <v>87</v>
      </c>
      <c r="G21" s="30">
        <v>246.41</v>
      </c>
      <c r="H21" s="10">
        <v>30801.25</v>
      </c>
      <c r="I21" s="8">
        <v>0</v>
      </c>
      <c r="J21" s="11">
        <f t="shared" si="0"/>
        <v>0</v>
      </c>
      <c r="K21" s="10">
        <v>1000</v>
      </c>
      <c r="L21" s="11">
        <f t="shared" si="1"/>
        <v>9240.375</v>
      </c>
      <c r="M21" s="8" t="s">
        <v>50</v>
      </c>
      <c r="N21" s="11">
        <v>10140</v>
      </c>
      <c r="O21" s="12">
        <v>2.5000000000000001E-2</v>
      </c>
      <c r="P21" s="11">
        <f t="shared" si="2"/>
        <v>770.03125</v>
      </c>
      <c r="Q21" s="11">
        <f>P21*50%+(385.02/2)+385.02</f>
        <v>962.54562499999997</v>
      </c>
      <c r="R21" s="9" t="s">
        <v>26</v>
      </c>
      <c r="S21" s="13">
        <f t="shared" si="3"/>
        <v>-192.51437499999997</v>
      </c>
      <c r="T21" s="8" t="s">
        <v>21</v>
      </c>
      <c r="U21" s="8" t="s">
        <v>46</v>
      </c>
      <c r="V21" s="8" t="s">
        <v>245</v>
      </c>
    </row>
    <row r="22" spans="1:23" x14ac:dyDescent="0.3">
      <c r="A22" s="9" t="s">
        <v>88</v>
      </c>
      <c r="B22" s="9">
        <v>44959</v>
      </c>
      <c r="C22" s="8" t="s">
        <v>44</v>
      </c>
      <c r="D22" s="16" t="s">
        <v>45</v>
      </c>
      <c r="E22" s="1" t="s">
        <v>72</v>
      </c>
      <c r="F22" s="1" t="s">
        <v>89</v>
      </c>
      <c r="G22" s="30">
        <v>200</v>
      </c>
      <c r="H22" s="10">
        <v>25000</v>
      </c>
      <c r="I22" s="8">
        <v>0</v>
      </c>
      <c r="J22" s="11">
        <f t="shared" si="0"/>
        <v>0</v>
      </c>
      <c r="K22" s="10">
        <v>2000</v>
      </c>
      <c r="L22" s="11">
        <f t="shared" si="1"/>
        <v>7500</v>
      </c>
      <c r="M22" s="8" t="s">
        <v>79</v>
      </c>
      <c r="N22" s="11">
        <v>4555.5200000000004</v>
      </c>
      <c r="O22" s="12">
        <v>2.5000000000000001E-2</v>
      </c>
      <c r="P22" s="11">
        <f t="shared" si="2"/>
        <v>625</v>
      </c>
      <c r="Q22" s="11">
        <f>P22*50%+(312.5/2)</f>
        <v>468.75</v>
      </c>
      <c r="R22" s="9">
        <v>44971</v>
      </c>
      <c r="S22" s="11">
        <f t="shared" si="3"/>
        <v>156.25</v>
      </c>
      <c r="T22" s="8" t="s">
        <v>27</v>
      </c>
      <c r="U22" s="8" t="s">
        <v>72</v>
      </c>
      <c r="V22" s="8" t="s">
        <v>246</v>
      </c>
    </row>
    <row r="23" spans="1:23" x14ac:dyDescent="0.3">
      <c r="A23" s="9" t="s">
        <v>90</v>
      </c>
      <c r="B23" s="9">
        <v>44525</v>
      </c>
      <c r="C23" s="8" t="s">
        <v>74</v>
      </c>
      <c r="D23" s="16" t="s">
        <v>45</v>
      </c>
      <c r="E23" s="1" t="s">
        <v>72</v>
      </c>
      <c r="F23" s="1" t="s">
        <v>91</v>
      </c>
      <c r="G23" s="30">
        <v>208.5</v>
      </c>
      <c r="H23" s="10">
        <v>18800</v>
      </c>
      <c r="I23" s="8">
        <v>0</v>
      </c>
      <c r="J23" s="11">
        <f t="shared" si="0"/>
        <v>0</v>
      </c>
      <c r="K23" s="10">
        <v>300</v>
      </c>
      <c r="L23" s="11">
        <f t="shared" si="1"/>
        <v>5640</v>
      </c>
      <c r="M23" s="8">
        <v>0</v>
      </c>
      <c r="N23" s="11">
        <v>18800</v>
      </c>
      <c r="O23" s="12">
        <v>2.5000000000000001E-2</v>
      </c>
      <c r="P23" s="11">
        <f t="shared" si="2"/>
        <v>470</v>
      </c>
      <c r="Q23" s="8"/>
      <c r="R23" s="9"/>
      <c r="S23" s="11">
        <f t="shared" si="3"/>
        <v>470</v>
      </c>
      <c r="T23" s="8"/>
      <c r="U23" s="8" t="s">
        <v>46</v>
      </c>
      <c r="V23" s="8" t="s">
        <v>21</v>
      </c>
    </row>
    <row r="24" spans="1:23" x14ac:dyDescent="0.3">
      <c r="A24" s="9" t="s">
        <v>92</v>
      </c>
      <c r="B24" s="9">
        <v>44525</v>
      </c>
      <c r="C24" s="8" t="s">
        <v>44</v>
      </c>
      <c r="D24" s="16" t="s">
        <v>45</v>
      </c>
      <c r="E24" s="1" t="s">
        <v>72</v>
      </c>
      <c r="F24" s="1" t="s">
        <v>93</v>
      </c>
      <c r="G24" s="30">
        <v>330</v>
      </c>
      <c r="H24" s="10">
        <v>33000</v>
      </c>
      <c r="I24" s="8">
        <v>0</v>
      </c>
      <c r="J24" s="11">
        <f t="shared" si="0"/>
        <v>0</v>
      </c>
      <c r="K24" s="10">
        <v>2000</v>
      </c>
      <c r="L24" s="11">
        <f t="shared" si="1"/>
        <v>9900</v>
      </c>
      <c r="M24" s="8">
        <v>0</v>
      </c>
      <c r="N24" s="11">
        <v>7266.6399999999994</v>
      </c>
      <c r="O24" s="12">
        <v>2.5000000000000001E-2</v>
      </c>
      <c r="P24" s="11">
        <f t="shared" si="2"/>
        <v>825</v>
      </c>
      <c r="Q24" s="11">
        <f>P24*50%</f>
        <v>412.5</v>
      </c>
      <c r="R24" s="9">
        <v>44590</v>
      </c>
      <c r="S24" s="11">
        <f t="shared" si="3"/>
        <v>412.5</v>
      </c>
      <c r="T24" s="8" t="s">
        <v>27</v>
      </c>
      <c r="U24" s="8" t="s">
        <v>72</v>
      </c>
      <c r="V24" s="8" t="s">
        <v>245</v>
      </c>
    </row>
    <row r="25" spans="1:23" x14ac:dyDescent="0.3">
      <c r="A25" s="9" t="s">
        <v>94</v>
      </c>
      <c r="B25" s="9">
        <v>44848</v>
      </c>
      <c r="C25" s="8" t="s">
        <v>44</v>
      </c>
      <c r="D25" s="16" t="s">
        <v>45</v>
      </c>
      <c r="E25" s="1" t="s">
        <v>72</v>
      </c>
      <c r="F25" s="1" t="s">
        <v>95</v>
      </c>
      <c r="G25" s="30">
        <v>293.5</v>
      </c>
      <c r="H25" s="10">
        <v>36687.5</v>
      </c>
      <c r="I25" s="8">
        <v>0</v>
      </c>
      <c r="J25" s="11">
        <f t="shared" si="0"/>
        <v>0</v>
      </c>
      <c r="K25" s="10">
        <v>2000</v>
      </c>
      <c r="L25" s="11">
        <f t="shared" si="1"/>
        <v>11006.25</v>
      </c>
      <c r="M25" s="8" t="s">
        <v>50</v>
      </c>
      <c r="N25" s="11">
        <v>10190.09</v>
      </c>
      <c r="O25" s="12">
        <v>2.5000000000000001E-2</v>
      </c>
      <c r="P25" s="11">
        <f t="shared" si="2"/>
        <v>917.1875</v>
      </c>
      <c r="Q25" s="8"/>
      <c r="R25" s="9"/>
      <c r="S25" s="11">
        <f t="shared" si="3"/>
        <v>917.1875</v>
      </c>
      <c r="T25" s="8" t="s">
        <v>27</v>
      </c>
      <c r="U25" s="8" t="s">
        <v>72</v>
      </c>
      <c r="V25" s="8" t="s">
        <v>246</v>
      </c>
    </row>
    <row r="26" spans="1:23" x14ac:dyDescent="0.3">
      <c r="A26" s="9" t="s">
        <v>96</v>
      </c>
      <c r="B26" s="9">
        <v>44810</v>
      </c>
      <c r="C26" s="8" t="s">
        <v>44</v>
      </c>
      <c r="D26" s="16" t="s">
        <v>45</v>
      </c>
      <c r="E26" s="1" t="s">
        <v>72</v>
      </c>
      <c r="F26" s="1" t="s">
        <v>97</v>
      </c>
      <c r="G26" s="30">
        <v>294.45999999999998</v>
      </c>
      <c r="H26" s="10">
        <v>36807.5</v>
      </c>
      <c r="I26" s="8">
        <v>0</v>
      </c>
      <c r="J26" s="11">
        <f t="shared" si="0"/>
        <v>0</v>
      </c>
      <c r="K26" s="10">
        <v>1000</v>
      </c>
      <c r="L26" s="11">
        <f t="shared" si="1"/>
        <v>11042.25</v>
      </c>
      <c r="M26" s="8" t="s">
        <v>50</v>
      </c>
      <c r="N26" s="11">
        <v>5484.28</v>
      </c>
      <c r="O26" s="12">
        <v>2.5000000000000001E-2</v>
      </c>
      <c r="P26" s="11">
        <f t="shared" si="2"/>
        <v>920.1875</v>
      </c>
      <c r="Q26" s="8"/>
      <c r="R26" s="9"/>
      <c r="S26" s="11">
        <f t="shared" si="3"/>
        <v>920.1875</v>
      </c>
      <c r="T26" s="8" t="s">
        <v>27</v>
      </c>
      <c r="U26" s="8" t="s">
        <v>72</v>
      </c>
      <c r="V26" s="8" t="s">
        <v>21</v>
      </c>
    </row>
    <row r="27" spans="1:23" x14ac:dyDescent="0.3">
      <c r="A27" s="9" t="s">
        <v>98</v>
      </c>
      <c r="B27" s="9">
        <v>45141</v>
      </c>
      <c r="C27" s="8" t="s">
        <v>99</v>
      </c>
      <c r="D27" s="16" t="s">
        <v>45</v>
      </c>
      <c r="E27" s="1" t="s">
        <v>72</v>
      </c>
      <c r="F27" s="1" t="s">
        <v>100</v>
      </c>
      <c r="G27" s="30">
        <v>250</v>
      </c>
      <c r="H27" s="10">
        <v>33750</v>
      </c>
      <c r="I27" s="8">
        <v>0</v>
      </c>
      <c r="J27" s="11">
        <f t="shared" si="0"/>
        <v>0</v>
      </c>
      <c r="K27" s="10">
        <v>2000</v>
      </c>
      <c r="L27" s="11">
        <f t="shared" si="1"/>
        <v>10125</v>
      </c>
      <c r="M27" s="8" t="s">
        <v>54</v>
      </c>
      <c r="N27" s="11">
        <v>3500</v>
      </c>
      <c r="O27" s="12">
        <v>3.5000000000000003E-2</v>
      </c>
      <c r="P27" s="11">
        <f t="shared" si="2"/>
        <v>1181.25</v>
      </c>
      <c r="Q27" s="11">
        <f>P27*50%</f>
        <v>590.625</v>
      </c>
      <c r="R27" s="9">
        <v>45154</v>
      </c>
      <c r="S27" s="11">
        <f t="shared" si="3"/>
        <v>590.625</v>
      </c>
      <c r="T27" s="8"/>
      <c r="U27" s="8" t="s">
        <v>46</v>
      </c>
      <c r="V27" s="8" t="s">
        <v>245</v>
      </c>
    </row>
    <row r="28" spans="1:23" x14ac:dyDescent="0.3">
      <c r="A28" s="9" t="s">
        <v>101</v>
      </c>
      <c r="B28" s="9">
        <v>45126</v>
      </c>
      <c r="C28" s="8" t="s">
        <v>74</v>
      </c>
      <c r="D28" s="16" t="s">
        <v>45</v>
      </c>
      <c r="E28" s="1" t="s">
        <v>72</v>
      </c>
      <c r="F28" s="1" t="s">
        <v>102</v>
      </c>
      <c r="G28" s="30">
        <v>287.58999999999997</v>
      </c>
      <c r="H28" s="10">
        <v>38824.649999999994</v>
      </c>
      <c r="I28" s="8">
        <v>0</v>
      </c>
      <c r="J28" s="11">
        <f t="shared" si="0"/>
        <v>0</v>
      </c>
      <c r="K28" s="10">
        <v>1000</v>
      </c>
      <c r="L28" s="11">
        <f t="shared" si="1"/>
        <v>11647.394999999999</v>
      </c>
      <c r="M28" s="8" t="s">
        <v>103</v>
      </c>
      <c r="N28" s="11">
        <v>14235.8</v>
      </c>
      <c r="O28" s="12">
        <v>3.5000000000000003E-2</v>
      </c>
      <c r="P28" s="11">
        <f t="shared" si="2"/>
        <v>1358.86275</v>
      </c>
      <c r="Q28" s="8"/>
      <c r="R28" s="9"/>
      <c r="S28" s="11">
        <f t="shared" si="3"/>
        <v>1358.86275</v>
      </c>
      <c r="T28" s="8"/>
      <c r="U28" s="8" t="s">
        <v>46</v>
      </c>
      <c r="V28" s="8" t="s">
        <v>246</v>
      </c>
    </row>
    <row r="29" spans="1:23" x14ac:dyDescent="0.3">
      <c r="A29" s="9" t="s">
        <v>104</v>
      </c>
      <c r="B29" s="9">
        <v>44504</v>
      </c>
      <c r="C29" s="8" t="s">
        <v>44</v>
      </c>
      <c r="D29" s="16" t="s">
        <v>45</v>
      </c>
      <c r="E29" s="1" t="s">
        <v>105</v>
      </c>
      <c r="F29" s="1" t="s">
        <v>45</v>
      </c>
      <c r="G29" s="30">
        <v>203.38</v>
      </c>
      <c r="H29" s="10">
        <v>18304.2</v>
      </c>
      <c r="I29" s="8">
        <v>0</v>
      </c>
      <c r="J29" s="11">
        <f t="shared" si="0"/>
        <v>0</v>
      </c>
      <c r="K29" s="10">
        <v>5500</v>
      </c>
      <c r="L29" s="11">
        <f t="shared" si="1"/>
        <v>5491.26</v>
      </c>
      <c r="M29" s="8" t="s">
        <v>106</v>
      </c>
      <c r="N29" s="11">
        <v>11043.25</v>
      </c>
      <c r="O29" s="12">
        <v>2.5000000000000001E-2</v>
      </c>
      <c r="P29" s="11">
        <f t="shared" si="2"/>
        <v>457.60500000000002</v>
      </c>
      <c r="Q29" s="11">
        <f>P29*100%</f>
        <v>457.60500000000002</v>
      </c>
      <c r="R29" s="9">
        <v>44497</v>
      </c>
      <c r="S29" s="11">
        <f t="shared" si="3"/>
        <v>0</v>
      </c>
      <c r="T29" s="8" t="s">
        <v>21</v>
      </c>
      <c r="U29" s="8" t="s">
        <v>46</v>
      </c>
      <c r="V29" s="8" t="s">
        <v>21</v>
      </c>
    </row>
    <row r="30" spans="1:23" x14ac:dyDescent="0.3">
      <c r="A30" s="9" t="s">
        <v>107</v>
      </c>
      <c r="B30" s="9">
        <v>44497</v>
      </c>
      <c r="C30" s="8" t="s">
        <v>44</v>
      </c>
      <c r="D30" s="16" t="s">
        <v>45</v>
      </c>
      <c r="E30" s="1" t="s">
        <v>105</v>
      </c>
      <c r="F30" s="1" t="s">
        <v>108</v>
      </c>
      <c r="G30" s="30">
        <v>200.31</v>
      </c>
      <c r="H30" s="10">
        <v>18027.900000000001</v>
      </c>
      <c r="I30" s="8">
        <v>0</v>
      </c>
      <c r="J30" s="11">
        <f t="shared" si="0"/>
        <v>0</v>
      </c>
      <c r="K30" s="10">
        <v>500</v>
      </c>
      <c r="L30" s="11">
        <f t="shared" si="1"/>
        <v>5408.37</v>
      </c>
      <c r="M30" s="8" t="s">
        <v>109</v>
      </c>
      <c r="N30" s="11">
        <v>18027.900000000001</v>
      </c>
      <c r="O30" s="12">
        <v>2.5000000000000001E-2</v>
      </c>
      <c r="P30" s="11">
        <f t="shared" si="2"/>
        <v>450.69750000000005</v>
      </c>
      <c r="Q30" s="11">
        <f>P30*50%+225.35</f>
        <v>450.69875000000002</v>
      </c>
      <c r="R30" s="9">
        <v>44590</v>
      </c>
      <c r="S30" s="11">
        <f t="shared" si="3"/>
        <v>-1.2499999999704414E-3</v>
      </c>
      <c r="T30" s="8" t="s">
        <v>21</v>
      </c>
      <c r="U30" s="8" t="s">
        <v>46</v>
      </c>
      <c r="V30" s="8" t="s">
        <v>245</v>
      </c>
    </row>
    <row r="31" spans="1:23" x14ac:dyDescent="0.3">
      <c r="A31" s="9" t="s">
        <v>110</v>
      </c>
      <c r="B31" s="9">
        <v>44497</v>
      </c>
      <c r="C31" s="8" t="s">
        <v>44</v>
      </c>
      <c r="D31" s="16" t="s">
        <v>45</v>
      </c>
      <c r="E31" s="1" t="s">
        <v>105</v>
      </c>
      <c r="F31" s="1" t="s">
        <v>49</v>
      </c>
      <c r="G31" s="30">
        <v>200.38</v>
      </c>
      <c r="H31" s="10">
        <v>18034.2</v>
      </c>
      <c r="I31" s="8">
        <v>0</v>
      </c>
      <c r="J31" s="11">
        <f t="shared" si="0"/>
        <v>0</v>
      </c>
      <c r="K31" s="10">
        <v>500</v>
      </c>
      <c r="L31" s="11">
        <f t="shared" si="1"/>
        <v>5410.26</v>
      </c>
      <c r="M31" s="8" t="s">
        <v>111</v>
      </c>
      <c r="N31" s="11">
        <v>9403.64</v>
      </c>
      <c r="O31" s="12">
        <v>2.5000000000000001E-2</v>
      </c>
      <c r="P31" s="11">
        <f t="shared" si="2"/>
        <v>450.85500000000002</v>
      </c>
      <c r="Q31" s="11">
        <f>P31*50%+225.43</f>
        <v>450.85750000000002</v>
      </c>
      <c r="R31" s="9" t="s">
        <v>28</v>
      </c>
      <c r="S31" s="11">
        <f t="shared" si="3"/>
        <v>-2.4999999999977263E-3</v>
      </c>
      <c r="T31" s="8" t="s">
        <v>21</v>
      </c>
      <c r="U31" s="8" t="s">
        <v>46</v>
      </c>
      <c r="V31" s="8" t="s">
        <v>246</v>
      </c>
      <c r="W31" t="s">
        <v>29</v>
      </c>
    </row>
    <row r="32" spans="1:23" x14ac:dyDescent="0.3">
      <c r="A32" s="9" t="s">
        <v>112</v>
      </c>
      <c r="B32" s="9">
        <v>44530</v>
      </c>
      <c r="C32" s="8" t="s">
        <v>52</v>
      </c>
      <c r="D32" s="16" t="s">
        <v>45</v>
      </c>
      <c r="E32" s="1" t="s">
        <v>105</v>
      </c>
      <c r="F32" s="1">
        <v>7</v>
      </c>
      <c r="G32" s="30">
        <v>200.23</v>
      </c>
      <c r="H32" s="10">
        <v>20023</v>
      </c>
      <c r="I32" s="8">
        <v>0</v>
      </c>
      <c r="J32" s="11">
        <f t="shared" si="0"/>
        <v>0</v>
      </c>
      <c r="K32" s="10">
        <v>2000</v>
      </c>
      <c r="L32" s="11">
        <f t="shared" si="1"/>
        <v>6006.9</v>
      </c>
      <c r="M32" s="8" t="s">
        <v>113</v>
      </c>
      <c r="N32" s="11">
        <v>6255.07</v>
      </c>
      <c r="O32" s="12">
        <v>2.5000000000000001E-2</v>
      </c>
      <c r="P32" s="11">
        <f t="shared" si="2"/>
        <v>500.57500000000005</v>
      </c>
      <c r="Q32" s="8"/>
      <c r="R32" s="9"/>
      <c r="S32" s="11">
        <f t="shared" si="3"/>
        <v>500.57500000000005</v>
      </c>
      <c r="T32" s="8"/>
      <c r="U32" s="8" t="s">
        <v>46</v>
      </c>
      <c r="V32" s="8" t="s">
        <v>21</v>
      </c>
    </row>
    <row r="33" spans="1:22" x14ac:dyDescent="0.3">
      <c r="A33" s="9" t="s">
        <v>112</v>
      </c>
      <c r="B33" s="9">
        <v>44530</v>
      </c>
      <c r="C33" s="8" t="s">
        <v>52</v>
      </c>
      <c r="D33" s="16" t="s">
        <v>45</v>
      </c>
      <c r="E33" s="1" t="s">
        <v>105</v>
      </c>
      <c r="F33" s="1">
        <v>8</v>
      </c>
      <c r="G33" s="30">
        <v>203.3</v>
      </c>
      <c r="H33" s="10">
        <v>20330</v>
      </c>
      <c r="I33" s="8">
        <v>0</v>
      </c>
      <c r="J33" s="11">
        <f t="shared" si="0"/>
        <v>0</v>
      </c>
      <c r="K33" s="10">
        <v>2000</v>
      </c>
      <c r="L33" s="11">
        <f t="shared" si="1"/>
        <v>6099</v>
      </c>
      <c r="M33" s="8" t="s">
        <v>113</v>
      </c>
      <c r="N33" s="11">
        <v>6347.17</v>
      </c>
      <c r="O33" s="12">
        <v>2.5000000000000001E-2</v>
      </c>
      <c r="P33" s="11">
        <f t="shared" si="2"/>
        <v>508.25</v>
      </c>
      <c r="Q33" s="8"/>
      <c r="R33" s="9"/>
      <c r="S33" s="11">
        <f t="shared" si="3"/>
        <v>508.25</v>
      </c>
      <c r="T33" s="8"/>
      <c r="U33" s="8" t="s">
        <v>46</v>
      </c>
      <c r="V33" s="8" t="s">
        <v>245</v>
      </c>
    </row>
    <row r="34" spans="1:22" x14ac:dyDescent="0.3">
      <c r="A34" s="9" t="s">
        <v>112</v>
      </c>
      <c r="B34" s="9">
        <v>44530</v>
      </c>
      <c r="C34" s="8" t="s">
        <v>52</v>
      </c>
      <c r="D34" s="16" t="s">
        <v>45</v>
      </c>
      <c r="E34" s="1" t="s">
        <v>105</v>
      </c>
      <c r="F34" s="1">
        <v>9</v>
      </c>
      <c r="G34" s="30">
        <v>211.08</v>
      </c>
      <c r="H34" s="10">
        <v>21108</v>
      </c>
      <c r="I34" s="8">
        <v>0</v>
      </c>
      <c r="J34" s="11">
        <f t="shared" si="0"/>
        <v>0</v>
      </c>
      <c r="K34" s="10">
        <v>2000</v>
      </c>
      <c r="L34" s="11">
        <f t="shared" si="1"/>
        <v>6332.4</v>
      </c>
      <c r="M34" s="8" t="s">
        <v>113</v>
      </c>
      <c r="N34" s="11">
        <v>6580.57</v>
      </c>
      <c r="O34" s="12">
        <v>2.5000000000000001E-2</v>
      </c>
      <c r="P34" s="11">
        <f t="shared" si="2"/>
        <v>527.70000000000005</v>
      </c>
      <c r="Q34" s="8"/>
      <c r="R34" s="9"/>
      <c r="S34" s="11">
        <f t="shared" si="3"/>
        <v>527.70000000000005</v>
      </c>
      <c r="T34" s="8"/>
      <c r="U34" s="8" t="s">
        <v>46</v>
      </c>
      <c r="V34" s="8" t="s">
        <v>246</v>
      </c>
    </row>
    <row r="35" spans="1:22" x14ac:dyDescent="0.3">
      <c r="A35" s="9" t="s">
        <v>114</v>
      </c>
      <c r="B35" s="9">
        <v>44875</v>
      </c>
      <c r="C35" s="8" t="s">
        <v>74</v>
      </c>
      <c r="D35" s="16" t="s">
        <v>45</v>
      </c>
      <c r="E35" s="1" t="s">
        <v>105</v>
      </c>
      <c r="F35" s="1" t="s">
        <v>115</v>
      </c>
      <c r="G35" s="30">
        <v>200.18</v>
      </c>
      <c r="H35" s="10">
        <v>24000</v>
      </c>
      <c r="I35" s="8">
        <v>0</v>
      </c>
      <c r="J35" s="11">
        <f t="shared" si="0"/>
        <v>0</v>
      </c>
      <c r="K35" s="10">
        <v>12000</v>
      </c>
      <c r="L35" s="11">
        <f t="shared" si="1"/>
        <v>7200</v>
      </c>
      <c r="M35" s="8">
        <v>0</v>
      </c>
      <c r="N35" s="11">
        <v>18000</v>
      </c>
      <c r="O35" s="12">
        <v>2.5000000000000001E-2</v>
      </c>
      <c r="P35" s="11">
        <f t="shared" si="2"/>
        <v>600</v>
      </c>
      <c r="Q35" s="8"/>
      <c r="R35" s="9"/>
      <c r="S35" s="11">
        <f t="shared" si="3"/>
        <v>600</v>
      </c>
      <c r="T35" s="8"/>
      <c r="U35" s="8" t="s">
        <v>46</v>
      </c>
      <c r="V35" s="8" t="s">
        <v>21</v>
      </c>
    </row>
    <row r="36" spans="1:22" x14ac:dyDescent="0.3">
      <c r="A36" s="9" t="s">
        <v>116</v>
      </c>
      <c r="B36" s="9">
        <v>44791</v>
      </c>
      <c r="C36" s="8" t="s">
        <v>44</v>
      </c>
      <c r="D36" s="16" t="s">
        <v>45</v>
      </c>
      <c r="E36" s="1" t="s">
        <v>105</v>
      </c>
      <c r="F36" s="1" t="s">
        <v>59</v>
      </c>
      <c r="G36" s="30">
        <v>260.8</v>
      </c>
      <c r="H36" s="10">
        <v>32600</v>
      </c>
      <c r="I36" s="8">
        <v>0</v>
      </c>
      <c r="J36" s="11">
        <f t="shared" si="0"/>
        <v>0</v>
      </c>
      <c r="K36" s="10">
        <v>1000</v>
      </c>
      <c r="L36" s="11">
        <f t="shared" si="1"/>
        <v>9780</v>
      </c>
      <c r="M36" s="8" t="s">
        <v>50</v>
      </c>
      <c r="N36" s="11">
        <v>10631.839999999997</v>
      </c>
      <c r="O36" s="12">
        <v>2.5000000000000001E-2</v>
      </c>
      <c r="P36" s="11">
        <f t="shared" si="2"/>
        <v>815</v>
      </c>
      <c r="Q36" s="11">
        <f>442.03-34.53</f>
        <v>407.5</v>
      </c>
      <c r="R36" s="9">
        <v>44854</v>
      </c>
      <c r="S36" s="11">
        <f t="shared" si="3"/>
        <v>407.5</v>
      </c>
      <c r="T36" s="8" t="s">
        <v>27</v>
      </c>
      <c r="U36" s="8" t="s">
        <v>72</v>
      </c>
      <c r="V36" s="8" t="s">
        <v>245</v>
      </c>
    </row>
    <row r="37" spans="1:22" x14ac:dyDescent="0.3">
      <c r="A37" s="9" t="s">
        <v>117</v>
      </c>
      <c r="B37" s="9">
        <v>44831</v>
      </c>
      <c r="C37" s="8" t="s">
        <v>44</v>
      </c>
      <c r="D37" s="16" t="s">
        <v>45</v>
      </c>
      <c r="E37" s="1" t="s">
        <v>105</v>
      </c>
      <c r="F37" s="1" t="s">
        <v>69</v>
      </c>
      <c r="G37" s="30">
        <v>282.89999999999998</v>
      </c>
      <c r="H37" s="10">
        <v>35362.5</v>
      </c>
      <c r="I37" s="8">
        <v>0</v>
      </c>
      <c r="J37" s="11">
        <f t="shared" si="0"/>
        <v>0</v>
      </c>
      <c r="K37" s="10">
        <v>2500</v>
      </c>
      <c r="L37" s="11">
        <f t="shared" si="1"/>
        <v>10608.75</v>
      </c>
      <c r="M37" s="8" t="s">
        <v>50</v>
      </c>
      <c r="N37" s="11">
        <v>8433.4600000000009</v>
      </c>
      <c r="O37" s="12">
        <v>2.5000000000000001E-2</v>
      </c>
      <c r="P37" s="11">
        <f t="shared" si="2"/>
        <v>884.0625</v>
      </c>
      <c r="Q37" s="11">
        <f>P37*50%+221.02</f>
        <v>663.05124999999998</v>
      </c>
      <c r="R37" s="9" t="s">
        <v>30</v>
      </c>
      <c r="S37" s="11">
        <f t="shared" si="3"/>
        <v>221.01125000000002</v>
      </c>
      <c r="T37" s="8" t="s">
        <v>27</v>
      </c>
      <c r="U37" s="8" t="s">
        <v>72</v>
      </c>
      <c r="V37" s="8" t="s">
        <v>246</v>
      </c>
    </row>
    <row r="38" spans="1:22" x14ac:dyDescent="0.3">
      <c r="A38" s="9" t="s">
        <v>117</v>
      </c>
      <c r="B38" s="9">
        <v>44831</v>
      </c>
      <c r="C38" s="8" t="s">
        <v>44</v>
      </c>
      <c r="D38" s="16" t="s">
        <v>45</v>
      </c>
      <c r="E38" s="1" t="s">
        <v>105</v>
      </c>
      <c r="F38" s="1" t="s">
        <v>81</v>
      </c>
      <c r="G38" s="30">
        <v>213.16</v>
      </c>
      <c r="H38" s="10">
        <v>26645</v>
      </c>
      <c r="I38" s="8">
        <v>0</v>
      </c>
      <c r="J38" s="11">
        <f t="shared" si="0"/>
        <v>0</v>
      </c>
      <c r="K38" s="10">
        <v>2500</v>
      </c>
      <c r="L38" s="11">
        <f t="shared" si="1"/>
        <v>7993.5</v>
      </c>
      <c r="M38" s="8" t="s">
        <v>50</v>
      </c>
      <c r="N38" s="11">
        <v>6859.5499999999993</v>
      </c>
      <c r="O38" s="12">
        <v>2.5000000000000001E-2</v>
      </c>
      <c r="P38" s="11">
        <f t="shared" si="2"/>
        <v>666.125</v>
      </c>
      <c r="Q38" s="11">
        <f>P38*50%+166.53</f>
        <v>499.59249999999997</v>
      </c>
      <c r="R38" s="9" t="s">
        <v>30</v>
      </c>
      <c r="S38" s="11">
        <f t="shared" si="3"/>
        <v>166.53250000000003</v>
      </c>
      <c r="T38" s="8" t="s">
        <v>27</v>
      </c>
      <c r="U38" s="8" t="s">
        <v>72</v>
      </c>
      <c r="V38" s="8" t="s">
        <v>21</v>
      </c>
    </row>
    <row r="39" spans="1:22" x14ac:dyDescent="0.3">
      <c r="A39" s="9" t="s">
        <v>118</v>
      </c>
      <c r="B39" s="9">
        <v>44504</v>
      </c>
      <c r="C39" s="8" t="s">
        <v>44</v>
      </c>
      <c r="D39" s="16" t="s">
        <v>45</v>
      </c>
      <c r="E39" s="1" t="s">
        <v>105</v>
      </c>
      <c r="F39" s="1" t="s">
        <v>119</v>
      </c>
      <c r="G39" s="30">
        <v>213.68</v>
      </c>
      <c r="H39" s="10">
        <v>19231.2</v>
      </c>
      <c r="I39" s="8">
        <v>0</v>
      </c>
      <c r="J39" s="11">
        <f t="shared" si="0"/>
        <v>0</v>
      </c>
      <c r="K39" s="10">
        <v>500</v>
      </c>
      <c r="L39" s="11">
        <f t="shared" si="1"/>
        <v>5769.36</v>
      </c>
      <c r="M39" s="8" t="s">
        <v>120</v>
      </c>
      <c r="N39" s="11">
        <v>5773.1900000000005</v>
      </c>
      <c r="O39" s="12">
        <v>2.5000000000000001E-2</v>
      </c>
      <c r="P39" s="11">
        <f t="shared" si="2"/>
        <v>480.78000000000003</v>
      </c>
      <c r="Q39" s="11">
        <f>P39*50%+240.39</f>
        <v>480.78</v>
      </c>
      <c r="R39" s="9" t="s">
        <v>20</v>
      </c>
      <c r="S39" s="11">
        <f t="shared" si="3"/>
        <v>0</v>
      </c>
      <c r="T39" s="8" t="s">
        <v>21</v>
      </c>
      <c r="U39" s="8" t="s">
        <v>46</v>
      </c>
      <c r="V39" s="8" t="s">
        <v>245</v>
      </c>
    </row>
    <row r="40" spans="1:22" x14ac:dyDescent="0.3">
      <c r="A40" s="9" t="s">
        <v>121</v>
      </c>
      <c r="B40" s="9">
        <v>44546</v>
      </c>
      <c r="C40" s="8" t="s">
        <v>44</v>
      </c>
      <c r="D40" s="16" t="s">
        <v>45</v>
      </c>
      <c r="E40" s="1" t="s">
        <v>105</v>
      </c>
      <c r="F40" s="1" t="s">
        <v>84</v>
      </c>
      <c r="G40" s="30">
        <v>330.48</v>
      </c>
      <c r="H40" s="10">
        <v>36352.800000000003</v>
      </c>
      <c r="I40" s="8">
        <v>0</v>
      </c>
      <c r="J40" s="11">
        <f t="shared" si="0"/>
        <v>0</v>
      </c>
      <c r="K40" s="10">
        <v>500</v>
      </c>
      <c r="L40" s="11">
        <f t="shared" si="1"/>
        <v>10905.84</v>
      </c>
      <c r="M40" s="8">
        <v>0</v>
      </c>
      <c r="N40" s="11">
        <v>9000</v>
      </c>
      <c r="O40" s="12">
        <v>2.5000000000000001E-2</v>
      </c>
      <c r="P40" s="11">
        <f t="shared" si="2"/>
        <v>908.82000000000016</v>
      </c>
      <c r="Q40" s="11">
        <f>P40*25%+227.21</f>
        <v>454.41500000000008</v>
      </c>
      <c r="R40" s="9" t="s">
        <v>31</v>
      </c>
      <c r="S40" s="11">
        <f t="shared" si="3"/>
        <v>454.40500000000009</v>
      </c>
      <c r="T40" s="8" t="s">
        <v>22</v>
      </c>
      <c r="U40" s="8" t="s">
        <v>63</v>
      </c>
      <c r="V40" s="8" t="s">
        <v>246</v>
      </c>
    </row>
    <row r="41" spans="1:22" x14ac:dyDescent="0.3">
      <c r="A41" s="9" t="s">
        <v>122</v>
      </c>
      <c r="B41" s="9">
        <v>44764</v>
      </c>
      <c r="C41" s="8" t="s">
        <v>44</v>
      </c>
      <c r="D41" s="16" t="s">
        <v>45</v>
      </c>
      <c r="E41" s="1" t="s">
        <v>105</v>
      </c>
      <c r="F41" s="1" t="s">
        <v>123</v>
      </c>
      <c r="G41" s="30">
        <v>210.16</v>
      </c>
      <c r="H41" s="10">
        <v>26270</v>
      </c>
      <c r="I41" s="8">
        <v>0</v>
      </c>
      <c r="J41" s="11">
        <f t="shared" si="0"/>
        <v>0</v>
      </c>
      <c r="K41" s="10">
        <v>1000</v>
      </c>
      <c r="L41" s="11">
        <f t="shared" si="1"/>
        <v>7881</v>
      </c>
      <c r="M41" s="8" t="s">
        <v>50</v>
      </c>
      <c r="N41" s="11">
        <v>4860.67</v>
      </c>
      <c r="O41" s="12">
        <v>2.5000000000000001E-2</v>
      </c>
      <c r="P41" s="11">
        <f t="shared" si="2"/>
        <v>656.75</v>
      </c>
      <c r="Q41" s="11">
        <f>P41*50%</f>
        <v>328.375</v>
      </c>
      <c r="R41" s="9">
        <v>44804</v>
      </c>
      <c r="S41" s="11">
        <f t="shared" si="3"/>
        <v>328.375</v>
      </c>
      <c r="T41" s="8" t="s">
        <v>27</v>
      </c>
      <c r="U41" s="8" t="s">
        <v>72</v>
      </c>
      <c r="V41" s="8" t="s">
        <v>21</v>
      </c>
    </row>
    <row r="42" spans="1:22" x14ac:dyDescent="0.3">
      <c r="A42" s="9" t="s">
        <v>122</v>
      </c>
      <c r="B42" s="9">
        <v>44735</v>
      </c>
      <c r="C42" s="8" t="s">
        <v>44</v>
      </c>
      <c r="D42" s="16" t="s">
        <v>45</v>
      </c>
      <c r="E42" s="1" t="s">
        <v>105</v>
      </c>
      <c r="F42" s="1" t="s">
        <v>124</v>
      </c>
      <c r="G42" s="30">
        <v>344.54</v>
      </c>
      <c r="H42" s="10">
        <v>43067.5</v>
      </c>
      <c r="I42" s="8">
        <v>0</v>
      </c>
      <c r="J42" s="11">
        <f t="shared" si="0"/>
        <v>0</v>
      </c>
      <c r="K42" s="10">
        <v>1000</v>
      </c>
      <c r="L42" s="11">
        <f t="shared" si="1"/>
        <v>12920.25</v>
      </c>
      <c r="M42" s="8" t="s">
        <v>50</v>
      </c>
      <c r="N42" s="11">
        <v>8011.24</v>
      </c>
      <c r="O42" s="12">
        <v>2.5000000000000001E-2</v>
      </c>
      <c r="P42" s="11">
        <f t="shared" si="2"/>
        <v>1076.6875</v>
      </c>
      <c r="Q42" s="11">
        <f>P42*50%</f>
        <v>538.34375</v>
      </c>
      <c r="R42" s="9">
        <v>44743</v>
      </c>
      <c r="S42" s="11">
        <f t="shared" si="3"/>
        <v>538.34375</v>
      </c>
      <c r="T42" s="8" t="s">
        <v>27</v>
      </c>
      <c r="U42" s="8" t="s">
        <v>72</v>
      </c>
      <c r="V42" s="8" t="s">
        <v>245</v>
      </c>
    </row>
    <row r="43" spans="1:22" x14ac:dyDescent="0.3">
      <c r="A43" s="9" t="s">
        <v>125</v>
      </c>
      <c r="B43" s="9">
        <v>44735</v>
      </c>
      <c r="C43" s="8" t="s">
        <v>44</v>
      </c>
      <c r="D43" s="16" t="s">
        <v>45</v>
      </c>
      <c r="E43" s="1" t="s">
        <v>105</v>
      </c>
      <c r="F43" s="1" t="s">
        <v>126</v>
      </c>
      <c r="G43" s="30">
        <v>394.48</v>
      </c>
      <c r="H43" s="10">
        <v>44970.720000000001</v>
      </c>
      <c r="I43" s="8">
        <v>0</v>
      </c>
      <c r="J43" s="11">
        <f t="shared" si="0"/>
        <v>0</v>
      </c>
      <c r="K43" s="10">
        <v>13491.220000000001</v>
      </c>
      <c r="L43" s="11">
        <f t="shared" si="1"/>
        <v>13491.216</v>
      </c>
      <c r="M43" s="8" t="s">
        <v>127</v>
      </c>
      <c r="N43" s="11">
        <v>18737.82</v>
      </c>
      <c r="O43" s="12">
        <v>2.5000000000000001E-2</v>
      </c>
      <c r="P43" s="11">
        <f t="shared" si="2"/>
        <v>1124.268</v>
      </c>
      <c r="Q43" s="8">
        <f>1076.77</f>
        <v>1076.77</v>
      </c>
      <c r="R43" s="9">
        <v>44743</v>
      </c>
      <c r="S43" s="11">
        <f t="shared" si="3"/>
        <v>47.498000000000047</v>
      </c>
      <c r="T43" s="8" t="s">
        <v>27</v>
      </c>
      <c r="U43" s="8" t="s">
        <v>72</v>
      </c>
      <c r="V43" s="8" t="s">
        <v>246</v>
      </c>
    </row>
    <row r="44" spans="1:22" x14ac:dyDescent="0.3">
      <c r="A44" s="9" t="s">
        <v>112</v>
      </c>
      <c r="B44" s="9">
        <v>44530</v>
      </c>
      <c r="C44" s="8" t="s">
        <v>52</v>
      </c>
      <c r="D44" s="16" t="s">
        <v>45</v>
      </c>
      <c r="E44" s="1" t="s">
        <v>105</v>
      </c>
      <c r="F44" s="1">
        <v>22</v>
      </c>
      <c r="G44" s="30">
        <v>211.56</v>
      </c>
      <c r="H44" s="10">
        <v>21156</v>
      </c>
      <c r="I44" s="8">
        <v>0</v>
      </c>
      <c r="J44" s="11">
        <f t="shared" si="0"/>
        <v>0</v>
      </c>
      <c r="K44" s="10">
        <v>2000</v>
      </c>
      <c r="L44" s="11">
        <f t="shared" si="1"/>
        <v>6346.8</v>
      </c>
      <c r="M44" s="8" t="s">
        <v>113</v>
      </c>
      <c r="N44" s="11">
        <v>6594.97</v>
      </c>
      <c r="O44" s="12">
        <v>2.5000000000000001E-2</v>
      </c>
      <c r="P44" s="11">
        <f t="shared" si="2"/>
        <v>528.9</v>
      </c>
      <c r="Q44" s="8"/>
      <c r="R44" s="9"/>
      <c r="S44" s="11">
        <f t="shared" si="3"/>
        <v>528.9</v>
      </c>
      <c r="T44" s="8"/>
      <c r="U44" s="8" t="s">
        <v>46</v>
      </c>
      <c r="V44" s="8" t="s">
        <v>21</v>
      </c>
    </row>
    <row r="45" spans="1:22" x14ac:dyDescent="0.3">
      <c r="A45" s="9" t="s">
        <v>112</v>
      </c>
      <c r="B45" s="9">
        <v>44530</v>
      </c>
      <c r="C45" s="8" t="s">
        <v>52</v>
      </c>
      <c r="D45" s="16" t="s">
        <v>45</v>
      </c>
      <c r="E45" s="1" t="s">
        <v>105</v>
      </c>
      <c r="F45" s="1">
        <v>23</v>
      </c>
      <c r="G45" s="30">
        <v>207.22</v>
      </c>
      <c r="H45" s="10">
        <v>20722</v>
      </c>
      <c r="I45" s="8">
        <v>0</v>
      </c>
      <c r="J45" s="11">
        <f t="shared" si="0"/>
        <v>0</v>
      </c>
      <c r="K45" s="10">
        <v>2000</v>
      </c>
      <c r="L45" s="11">
        <f t="shared" si="1"/>
        <v>6216.5999999999995</v>
      </c>
      <c r="M45" s="8" t="s">
        <v>113</v>
      </c>
      <c r="N45" s="11">
        <v>6464.77</v>
      </c>
      <c r="O45" s="12">
        <v>2.5000000000000001E-2</v>
      </c>
      <c r="P45" s="11">
        <f t="shared" si="2"/>
        <v>518.05000000000007</v>
      </c>
      <c r="Q45" s="8"/>
      <c r="R45" s="9"/>
      <c r="S45" s="11">
        <f t="shared" si="3"/>
        <v>518.05000000000007</v>
      </c>
      <c r="T45" s="8"/>
      <c r="U45" s="8" t="s">
        <v>46</v>
      </c>
      <c r="V45" s="8" t="s">
        <v>245</v>
      </c>
    </row>
    <row r="46" spans="1:22" x14ac:dyDescent="0.3">
      <c r="A46" s="9" t="s">
        <v>112</v>
      </c>
      <c r="B46" s="9">
        <v>44530</v>
      </c>
      <c r="C46" s="8" t="s">
        <v>52</v>
      </c>
      <c r="D46" s="16" t="s">
        <v>45</v>
      </c>
      <c r="E46" s="1" t="s">
        <v>105</v>
      </c>
      <c r="F46" s="1">
        <v>24</v>
      </c>
      <c r="G46" s="30">
        <v>200.31</v>
      </c>
      <c r="H46" s="10">
        <v>20031</v>
      </c>
      <c r="I46" s="8">
        <v>0</v>
      </c>
      <c r="J46" s="11">
        <f t="shared" si="0"/>
        <v>0</v>
      </c>
      <c r="K46" s="10">
        <v>2000</v>
      </c>
      <c r="L46" s="11">
        <f t="shared" si="1"/>
        <v>6009.3</v>
      </c>
      <c r="M46" s="8" t="s">
        <v>113</v>
      </c>
      <c r="N46" s="11">
        <v>6257.45</v>
      </c>
      <c r="O46" s="12">
        <v>2.5000000000000001E-2</v>
      </c>
      <c r="P46" s="11">
        <f t="shared" si="2"/>
        <v>500.77500000000003</v>
      </c>
      <c r="Q46" s="8"/>
      <c r="R46" s="9"/>
      <c r="S46" s="11">
        <f t="shared" si="3"/>
        <v>500.77500000000003</v>
      </c>
      <c r="T46" s="8"/>
      <c r="U46" s="8" t="s">
        <v>46</v>
      </c>
      <c r="V46" s="8" t="s">
        <v>246</v>
      </c>
    </row>
    <row r="47" spans="1:22" x14ac:dyDescent="0.3">
      <c r="A47" s="9" t="s">
        <v>128</v>
      </c>
      <c r="B47" s="9">
        <v>44491</v>
      </c>
      <c r="C47" s="8" t="s">
        <v>44</v>
      </c>
      <c r="D47" s="16" t="s">
        <v>45</v>
      </c>
      <c r="E47" s="1" t="s">
        <v>105</v>
      </c>
      <c r="F47" s="1" t="s">
        <v>129</v>
      </c>
      <c r="G47" s="30">
        <v>200</v>
      </c>
      <c r="H47" s="10">
        <v>17990</v>
      </c>
      <c r="I47" s="8">
        <v>0</v>
      </c>
      <c r="J47" s="11">
        <f t="shared" si="0"/>
        <v>0</v>
      </c>
      <c r="K47" s="10">
        <v>1000</v>
      </c>
      <c r="L47" s="11">
        <f t="shared" si="1"/>
        <v>5397</v>
      </c>
      <c r="M47" s="8" t="s">
        <v>130</v>
      </c>
      <c r="N47" s="11">
        <v>1000</v>
      </c>
      <c r="O47" s="12">
        <v>2.5000000000000001E-2</v>
      </c>
      <c r="P47" s="11">
        <f>H47*O47</f>
        <v>449.75</v>
      </c>
      <c r="Q47" s="11">
        <f>P47*50%</f>
        <v>224.875</v>
      </c>
      <c r="R47" s="9">
        <v>44490</v>
      </c>
      <c r="S47" s="11">
        <f t="shared" si="3"/>
        <v>224.875</v>
      </c>
      <c r="T47" s="8" t="s">
        <v>27</v>
      </c>
      <c r="U47" s="8" t="s">
        <v>72</v>
      </c>
      <c r="V47" s="8" t="s">
        <v>21</v>
      </c>
    </row>
    <row r="48" spans="1:22" x14ac:dyDescent="0.3">
      <c r="A48" s="9" t="s">
        <v>131</v>
      </c>
      <c r="B48" s="9">
        <v>44956</v>
      </c>
      <c r="C48" s="8" t="s">
        <v>52</v>
      </c>
      <c r="D48" s="16" t="s">
        <v>45</v>
      </c>
      <c r="E48" s="1" t="s">
        <v>132</v>
      </c>
      <c r="F48" s="1" t="s">
        <v>45</v>
      </c>
      <c r="G48" s="30">
        <v>200.17</v>
      </c>
      <c r="H48" s="10">
        <v>25021.25</v>
      </c>
      <c r="I48" s="8">
        <v>0</v>
      </c>
      <c r="J48" s="11">
        <f t="shared" si="0"/>
        <v>0</v>
      </c>
      <c r="K48" s="10">
        <v>1000</v>
      </c>
      <c r="L48" s="11">
        <f t="shared" si="1"/>
        <v>7506.375</v>
      </c>
      <c r="M48" s="8" t="s">
        <v>50</v>
      </c>
      <c r="N48" s="11">
        <v>6671.7100000000009</v>
      </c>
      <c r="O48" s="12">
        <v>2.5000000000000001E-2</v>
      </c>
      <c r="P48" s="11">
        <f t="shared" si="2"/>
        <v>625.53125</v>
      </c>
      <c r="Q48" s="8"/>
      <c r="R48" s="9"/>
      <c r="S48" s="11">
        <f t="shared" si="3"/>
        <v>625.53125</v>
      </c>
      <c r="T48" s="8"/>
      <c r="U48" s="8" t="s">
        <v>46</v>
      </c>
      <c r="V48" s="8" t="s">
        <v>245</v>
      </c>
    </row>
    <row r="49" spans="1:22" x14ac:dyDescent="0.3">
      <c r="A49" s="9" t="s">
        <v>133</v>
      </c>
      <c r="B49" s="9">
        <v>44769</v>
      </c>
      <c r="C49" s="8" t="s">
        <v>52</v>
      </c>
      <c r="D49" s="16" t="s">
        <v>45</v>
      </c>
      <c r="E49" s="1" t="s">
        <v>132</v>
      </c>
      <c r="F49" s="1" t="s">
        <v>108</v>
      </c>
      <c r="G49" s="30">
        <v>200.31</v>
      </c>
      <c r="H49" s="10">
        <v>25038.75</v>
      </c>
      <c r="I49" s="8">
        <v>0</v>
      </c>
      <c r="J49" s="11">
        <f t="shared" si="0"/>
        <v>0</v>
      </c>
      <c r="K49" s="10">
        <v>1000</v>
      </c>
      <c r="L49" s="11">
        <f t="shared" si="1"/>
        <v>7511.625</v>
      </c>
      <c r="M49" s="8" t="s">
        <v>50</v>
      </c>
      <c r="N49" s="11">
        <v>8345.14</v>
      </c>
      <c r="O49" s="12">
        <v>2.5000000000000001E-2</v>
      </c>
      <c r="P49" s="11">
        <f t="shared" si="2"/>
        <v>625.96875</v>
      </c>
      <c r="Q49" s="8"/>
      <c r="R49" s="9"/>
      <c r="S49" s="11">
        <f t="shared" si="3"/>
        <v>625.96875</v>
      </c>
      <c r="T49" s="8"/>
      <c r="U49" s="8" t="s">
        <v>46</v>
      </c>
      <c r="V49" s="8" t="s">
        <v>246</v>
      </c>
    </row>
    <row r="50" spans="1:22" x14ac:dyDescent="0.3">
      <c r="A50" s="9" t="s">
        <v>134</v>
      </c>
      <c r="B50" s="9">
        <v>44757</v>
      </c>
      <c r="C50" s="8" t="s">
        <v>44</v>
      </c>
      <c r="D50" s="16" t="s">
        <v>45</v>
      </c>
      <c r="E50" s="1" t="s">
        <v>132</v>
      </c>
      <c r="F50" s="1" t="s">
        <v>49</v>
      </c>
      <c r="G50" s="30">
        <v>200.8</v>
      </c>
      <c r="H50" s="10">
        <v>25100</v>
      </c>
      <c r="I50" s="8">
        <v>0</v>
      </c>
      <c r="J50" s="11">
        <f t="shared" si="0"/>
        <v>0</v>
      </c>
      <c r="K50" s="10">
        <v>1000</v>
      </c>
      <c r="L50" s="11">
        <f t="shared" si="1"/>
        <v>7530</v>
      </c>
      <c r="M50" s="8" t="s">
        <v>50</v>
      </c>
      <c r="N50" s="11">
        <v>8363.8400000000038</v>
      </c>
      <c r="O50" s="12">
        <v>2.5000000000000001E-2</v>
      </c>
      <c r="P50" s="11">
        <f t="shared" si="2"/>
        <v>627.5</v>
      </c>
      <c r="Q50" s="11">
        <f>P50*50%+(313.75/2)</f>
        <v>470.625</v>
      </c>
      <c r="R50" s="9">
        <v>44804</v>
      </c>
      <c r="S50" s="11">
        <f t="shared" si="3"/>
        <v>156.875</v>
      </c>
      <c r="T50" s="8" t="s">
        <v>27</v>
      </c>
      <c r="U50" s="8" t="s">
        <v>72</v>
      </c>
      <c r="V50" s="8" t="s">
        <v>21</v>
      </c>
    </row>
    <row r="51" spans="1:22" x14ac:dyDescent="0.3">
      <c r="A51" s="9" t="s">
        <v>135</v>
      </c>
      <c r="B51" s="9">
        <v>44650</v>
      </c>
      <c r="C51" s="8" t="s">
        <v>136</v>
      </c>
      <c r="D51" s="16" t="s">
        <v>45</v>
      </c>
      <c r="E51" s="1" t="s">
        <v>132</v>
      </c>
      <c r="F51" s="1" t="s">
        <v>53</v>
      </c>
      <c r="G51" s="30">
        <v>200.3</v>
      </c>
      <c r="H51" s="10">
        <v>21372</v>
      </c>
      <c r="I51" s="8">
        <v>0</v>
      </c>
      <c r="J51" s="11">
        <f t="shared" si="0"/>
        <v>0</v>
      </c>
      <c r="K51" s="10">
        <v>10000</v>
      </c>
      <c r="L51" s="11">
        <f t="shared" si="1"/>
        <v>6411.5999999999995</v>
      </c>
      <c r="M51" s="8" t="s">
        <v>137</v>
      </c>
      <c r="N51" s="11">
        <v>21372</v>
      </c>
      <c r="O51" s="12">
        <v>0.04</v>
      </c>
      <c r="P51" s="11">
        <f t="shared" si="2"/>
        <v>854.88</v>
      </c>
      <c r="Q51" s="11">
        <f>P51*100%</f>
        <v>854.88</v>
      </c>
      <c r="R51" s="9">
        <v>44677</v>
      </c>
      <c r="S51" s="11">
        <f t="shared" si="3"/>
        <v>0</v>
      </c>
      <c r="T51" s="8" t="s">
        <v>21</v>
      </c>
      <c r="U51" s="8" t="s">
        <v>46</v>
      </c>
      <c r="V51" s="8" t="s">
        <v>245</v>
      </c>
    </row>
    <row r="52" spans="1:22" x14ac:dyDescent="0.3">
      <c r="A52" s="9" t="s">
        <v>73</v>
      </c>
      <c r="B52" s="9">
        <v>44530</v>
      </c>
      <c r="C52" s="8" t="s">
        <v>74</v>
      </c>
      <c r="D52" s="16" t="s">
        <v>45</v>
      </c>
      <c r="E52" s="1" t="s">
        <v>132</v>
      </c>
      <c r="F52" s="1">
        <v>5</v>
      </c>
      <c r="G52" s="30">
        <v>236.04</v>
      </c>
      <c r="H52" s="10">
        <v>19248.29</v>
      </c>
      <c r="I52" s="8">
        <v>0</v>
      </c>
      <c r="J52" s="11">
        <f t="shared" si="0"/>
        <v>0</v>
      </c>
      <c r="K52" s="10">
        <v>1000</v>
      </c>
      <c r="L52" s="11">
        <f t="shared" si="1"/>
        <v>5774.4870000000001</v>
      </c>
      <c r="M52" s="8" t="s">
        <v>75</v>
      </c>
      <c r="N52" s="11">
        <v>9154.1899999999987</v>
      </c>
      <c r="O52" s="12">
        <v>2.5000000000000001E-2</v>
      </c>
      <c r="P52" s="11">
        <f t="shared" si="2"/>
        <v>481.20725000000004</v>
      </c>
      <c r="Q52" s="8"/>
      <c r="R52" s="9"/>
      <c r="S52" s="11">
        <f t="shared" si="3"/>
        <v>481.20725000000004</v>
      </c>
      <c r="T52" s="8"/>
      <c r="U52" s="8" t="s">
        <v>46</v>
      </c>
      <c r="V52" s="8" t="s">
        <v>246</v>
      </c>
    </row>
    <row r="53" spans="1:22" x14ac:dyDescent="0.3">
      <c r="A53" s="9" t="s">
        <v>138</v>
      </c>
      <c r="B53" s="9">
        <v>44521</v>
      </c>
      <c r="C53" s="8" t="s">
        <v>52</v>
      </c>
      <c r="D53" s="16" t="s">
        <v>45</v>
      </c>
      <c r="E53" s="1" t="s">
        <v>132</v>
      </c>
      <c r="F53" s="1" t="s">
        <v>56</v>
      </c>
      <c r="G53" s="30">
        <v>233.45</v>
      </c>
      <c r="H53" s="10">
        <v>23345</v>
      </c>
      <c r="I53" s="8">
        <v>0</v>
      </c>
      <c r="J53" s="11">
        <f t="shared" si="0"/>
        <v>0</v>
      </c>
      <c r="K53" s="10">
        <v>300</v>
      </c>
      <c r="L53" s="11">
        <f t="shared" si="1"/>
        <v>7003.5</v>
      </c>
      <c r="M53" s="8" t="s">
        <v>127</v>
      </c>
      <c r="N53" s="11">
        <v>6974.8799999999992</v>
      </c>
      <c r="O53" s="12">
        <v>2.5000000000000001E-2</v>
      </c>
      <c r="P53" s="11">
        <f t="shared" si="2"/>
        <v>583.625</v>
      </c>
      <c r="Q53" s="8"/>
      <c r="R53" s="9"/>
      <c r="S53" s="11">
        <f t="shared" si="3"/>
        <v>583.625</v>
      </c>
      <c r="T53" s="8"/>
      <c r="U53" s="8" t="s">
        <v>46</v>
      </c>
      <c r="V53" s="8" t="s">
        <v>21</v>
      </c>
    </row>
    <row r="54" spans="1:22" x14ac:dyDescent="0.3">
      <c r="A54" s="9" t="s">
        <v>139</v>
      </c>
      <c r="B54" s="9">
        <v>44775</v>
      </c>
      <c r="C54" s="8" t="s">
        <v>52</v>
      </c>
      <c r="D54" s="16" t="s">
        <v>45</v>
      </c>
      <c r="E54" s="1" t="s">
        <v>132</v>
      </c>
      <c r="F54" s="1" t="s">
        <v>57</v>
      </c>
      <c r="G54" s="30">
        <v>205.43</v>
      </c>
      <c r="H54" s="10">
        <v>25678.75</v>
      </c>
      <c r="I54" s="8">
        <v>0</v>
      </c>
      <c r="J54" s="11">
        <f t="shared" si="0"/>
        <v>0</v>
      </c>
      <c r="K54" s="10">
        <v>1000</v>
      </c>
      <c r="L54" s="11">
        <f t="shared" si="1"/>
        <v>7703.625</v>
      </c>
      <c r="M54" s="8" t="s">
        <v>50</v>
      </c>
      <c r="N54" s="11">
        <v>8893.76</v>
      </c>
      <c r="O54" s="12">
        <v>2.5000000000000001E-2</v>
      </c>
      <c r="P54" s="11">
        <f t="shared" si="2"/>
        <v>641.96875</v>
      </c>
      <c r="Q54" s="8"/>
      <c r="R54" s="9"/>
      <c r="S54" s="11">
        <f t="shared" si="3"/>
        <v>641.96875</v>
      </c>
      <c r="T54" s="8"/>
      <c r="U54" s="8" t="s">
        <v>46</v>
      </c>
      <c r="V54" s="8" t="s">
        <v>245</v>
      </c>
    </row>
    <row r="55" spans="1:22" x14ac:dyDescent="0.3">
      <c r="A55" s="9" t="s">
        <v>140</v>
      </c>
      <c r="B55" s="9">
        <v>44751</v>
      </c>
      <c r="C55" s="8" t="s">
        <v>44</v>
      </c>
      <c r="D55" s="16" t="s">
        <v>45</v>
      </c>
      <c r="E55" s="1" t="s">
        <v>132</v>
      </c>
      <c r="F55" s="1" t="s">
        <v>141</v>
      </c>
      <c r="G55" s="30">
        <v>219.65</v>
      </c>
      <c r="H55" s="10">
        <v>26358</v>
      </c>
      <c r="I55" s="8">
        <v>0</v>
      </c>
      <c r="J55" s="11">
        <f t="shared" si="0"/>
        <v>0</v>
      </c>
      <c r="K55" s="10">
        <v>1000</v>
      </c>
      <c r="L55" s="11">
        <f t="shared" si="1"/>
        <v>7907.4</v>
      </c>
      <c r="M55" s="8" t="s">
        <v>50</v>
      </c>
      <c r="N55" s="11">
        <v>7816.800000000002</v>
      </c>
      <c r="O55" s="12">
        <v>2.5000000000000001E-2</v>
      </c>
      <c r="P55" s="11">
        <f t="shared" si="2"/>
        <v>658.95</v>
      </c>
      <c r="Q55" s="11">
        <f>P55*50%</f>
        <v>329.47500000000002</v>
      </c>
      <c r="R55" s="9">
        <v>44804</v>
      </c>
      <c r="S55" s="11">
        <f t="shared" si="3"/>
        <v>329.47500000000002</v>
      </c>
      <c r="T55" s="8" t="s">
        <v>27</v>
      </c>
      <c r="U55" s="8" t="s">
        <v>46</v>
      </c>
      <c r="V55" s="8" t="s">
        <v>246</v>
      </c>
    </row>
    <row r="56" spans="1:22" x14ac:dyDescent="0.3">
      <c r="A56" s="9" t="s">
        <v>142</v>
      </c>
      <c r="B56" s="9">
        <v>44754</v>
      </c>
      <c r="C56" s="8" t="s">
        <v>44</v>
      </c>
      <c r="D56" s="16" t="s">
        <v>45</v>
      </c>
      <c r="E56" s="1" t="s">
        <v>132</v>
      </c>
      <c r="F56" s="1" t="s">
        <v>115</v>
      </c>
      <c r="G56" s="30">
        <v>218.9</v>
      </c>
      <c r="H56" s="10">
        <v>27362.5</v>
      </c>
      <c r="I56" s="8">
        <v>0</v>
      </c>
      <c r="J56" s="11">
        <f t="shared" si="0"/>
        <v>0</v>
      </c>
      <c r="K56" s="10">
        <v>1000</v>
      </c>
      <c r="L56" s="11">
        <f t="shared" si="1"/>
        <v>8208.75</v>
      </c>
      <c r="M56" s="8" t="s">
        <v>50</v>
      </c>
      <c r="N56" s="11">
        <v>6126.1</v>
      </c>
      <c r="O56" s="12">
        <v>2.5000000000000001E-2</v>
      </c>
      <c r="P56" s="11">
        <f t="shared" si="2"/>
        <v>684.0625</v>
      </c>
      <c r="Q56" s="11">
        <f>P56*50%+(85.51+85.51)</f>
        <v>513.05124999999998</v>
      </c>
      <c r="R56" s="9" t="s">
        <v>32</v>
      </c>
      <c r="S56" s="11">
        <f t="shared" si="3"/>
        <v>171.01125000000002</v>
      </c>
      <c r="T56" s="8" t="s">
        <v>22</v>
      </c>
      <c r="U56" s="8" t="s">
        <v>63</v>
      </c>
      <c r="V56" s="8" t="s">
        <v>21</v>
      </c>
    </row>
    <row r="57" spans="1:22" x14ac:dyDescent="0.3">
      <c r="A57" s="9" t="s">
        <v>143</v>
      </c>
      <c r="B57" s="9">
        <v>44753</v>
      </c>
      <c r="C57" s="8" t="s">
        <v>44</v>
      </c>
      <c r="D57" s="16" t="s">
        <v>45</v>
      </c>
      <c r="E57" s="1" t="s">
        <v>132</v>
      </c>
      <c r="F57" s="1" t="s">
        <v>59</v>
      </c>
      <c r="G57" s="30">
        <v>237.38</v>
      </c>
      <c r="H57" s="10">
        <v>29672.5</v>
      </c>
      <c r="I57" s="8">
        <v>0</v>
      </c>
      <c r="J57" s="11">
        <f t="shared" si="0"/>
        <v>0</v>
      </c>
      <c r="K57" s="10">
        <v>1000</v>
      </c>
      <c r="L57" s="11">
        <f t="shared" si="1"/>
        <v>8901.75</v>
      </c>
      <c r="M57" s="8" t="s">
        <v>50</v>
      </c>
      <c r="N57" s="11">
        <v>10159.689999999997</v>
      </c>
      <c r="O57" s="12">
        <v>2.5000000000000001E-2</v>
      </c>
      <c r="P57" s="11">
        <f t="shared" si="2"/>
        <v>741.8125</v>
      </c>
      <c r="Q57" s="11">
        <f>P57*50%+(370.91/2)</f>
        <v>556.36125000000004</v>
      </c>
      <c r="R57" s="9">
        <v>44804</v>
      </c>
      <c r="S57" s="11">
        <f t="shared" si="3"/>
        <v>185.45124999999996</v>
      </c>
      <c r="T57" s="8" t="s">
        <v>22</v>
      </c>
      <c r="U57" s="8" t="s">
        <v>63</v>
      </c>
      <c r="V57" s="8" t="s">
        <v>245</v>
      </c>
    </row>
    <row r="58" spans="1:22" x14ac:dyDescent="0.3">
      <c r="A58" s="9" t="s">
        <v>144</v>
      </c>
      <c r="B58" s="9">
        <v>44753</v>
      </c>
      <c r="C58" s="8" t="s">
        <v>44</v>
      </c>
      <c r="D58" s="16" t="s">
        <v>45</v>
      </c>
      <c r="E58" s="1" t="s">
        <v>132</v>
      </c>
      <c r="F58" s="1" t="s">
        <v>61</v>
      </c>
      <c r="G58" s="30">
        <v>202.67</v>
      </c>
      <c r="H58" s="10">
        <v>25333.75</v>
      </c>
      <c r="I58" s="8">
        <v>0</v>
      </c>
      <c r="J58" s="11">
        <f t="shared" si="0"/>
        <v>0</v>
      </c>
      <c r="K58" s="10">
        <v>1000</v>
      </c>
      <c r="L58" s="11">
        <f t="shared" si="1"/>
        <v>7600.125</v>
      </c>
      <c r="M58" s="8" t="s">
        <v>50</v>
      </c>
      <c r="N58" s="11">
        <v>8773.3100000000049</v>
      </c>
      <c r="O58" s="12">
        <v>2.5000000000000001E-2</v>
      </c>
      <c r="P58" s="11">
        <f t="shared" si="2"/>
        <v>633.34375</v>
      </c>
      <c r="Q58" s="11">
        <f>P58*50%+(316.67/2)+(158.34/2)</f>
        <v>554.176875</v>
      </c>
      <c r="R58" s="9" t="s">
        <v>33</v>
      </c>
      <c r="S58" s="11">
        <f t="shared" si="3"/>
        <v>79.166875000000005</v>
      </c>
      <c r="T58" s="8" t="s">
        <v>22</v>
      </c>
      <c r="U58" s="8" t="s">
        <v>63</v>
      </c>
      <c r="V58" s="8" t="s">
        <v>246</v>
      </c>
    </row>
    <row r="59" spans="1:22" x14ac:dyDescent="0.3">
      <c r="A59" s="9" t="s">
        <v>145</v>
      </c>
      <c r="B59" s="9">
        <v>44493</v>
      </c>
      <c r="C59" s="8" t="s">
        <v>44</v>
      </c>
      <c r="D59" s="16" t="s">
        <v>45</v>
      </c>
      <c r="E59" s="1" t="s">
        <v>132</v>
      </c>
      <c r="F59" s="1" t="s">
        <v>119</v>
      </c>
      <c r="G59" s="30">
        <v>293.39999999999998</v>
      </c>
      <c r="H59" s="10">
        <v>26406</v>
      </c>
      <c r="I59" s="8">
        <v>0</v>
      </c>
      <c r="J59" s="11">
        <f t="shared" si="0"/>
        <v>0</v>
      </c>
      <c r="K59" s="10">
        <v>1000</v>
      </c>
      <c r="L59" s="11">
        <f t="shared" si="1"/>
        <v>7921.7999999999993</v>
      </c>
      <c r="M59" s="8" t="s">
        <v>146</v>
      </c>
      <c r="N59" s="11">
        <v>8513.6200000000008</v>
      </c>
      <c r="O59" s="12">
        <v>2.5000000000000001E-2</v>
      </c>
      <c r="P59" s="11">
        <f t="shared" si="2"/>
        <v>660.15000000000009</v>
      </c>
      <c r="Q59" s="11">
        <f>P59*50%+330.08</f>
        <v>660.15499999999997</v>
      </c>
      <c r="R59" s="9" t="s">
        <v>34</v>
      </c>
      <c r="S59" s="11">
        <f t="shared" si="3"/>
        <v>-4.9999999998817657E-3</v>
      </c>
      <c r="T59" s="8" t="s">
        <v>21</v>
      </c>
      <c r="U59" s="8" t="s">
        <v>46</v>
      </c>
      <c r="V59" s="8" t="s">
        <v>21</v>
      </c>
    </row>
    <row r="60" spans="1:22" x14ac:dyDescent="0.3">
      <c r="A60" s="9" t="s">
        <v>147</v>
      </c>
      <c r="B60" s="9">
        <v>44519</v>
      </c>
      <c r="C60" s="8" t="s">
        <v>44</v>
      </c>
      <c r="D60" s="16" t="s">
        <v>45</v>
      </c>
      <c r="E60" s="1" t="s">
        <v>148</v>
      </c>
      <c r="F60" s="1" t="s">
        <v>45</v>
      </c>
      <c r="G60" s="30">
        <v>203.19</v>
      </c>
      <c r="H60" s="10">
        <v>18287.099999999999</v>
      </c>
      <c r="I60" s="8">
        <v>0</v>
      </c>
      <c r="J60" s="11">
        <f t="shared" si="0"/>
        <v>0</v>
      </c>
      <c r="K60" s="10">
        <v>500</v>
      </c>
      <c r="L60" s="11">
        <f t="shared" si="1"/>
        <v>5486.1299999999992</v>
      </c>
      <c r="M60" s="8" t="s">
        <v>149</v>
      </c>
      <c r="N60" s="11">
        <v>10303.799999999999</v>
      </c>
      <c r="O60" s="12">
        <v>2.5000000000000001E-2</v>
      </c>
      <c r="P60" s="11">
        <f t="shared" si="2"/>
        <v>457.17750000000001</v>
      </c>
      <c r="Q60" s="11">
        <f>P60*50%+228.59</f>
        <v>457.17875000000004</v>
      </c>
      <c r="R60" s="9" t="s">
        <v>20</v>
      </c>
      <c r="S60" s="11">
        <f t="shared" si="3"/>
        <v>-1.2500000000272848E-3</v>
      </c>
      <c r="T60" s="8" t="s">
        <v>21</v>
      </c>
      <c r="U60" s="8" t="s">
        <v>46</v>
      </c>
      <c r="V60" s="8" t="s">
        <v>245</v>
      </c>
    </row>
    <row r="61" spans="1:22" x14ac:dyDescent="0.3">
      <c r="A61" s="9" t="s">
        <v>150</v>
      </c>
      <c r="B61" s="9">
        <v>44522</v>
      </c>
      <c r="C61" s="8" t="s">
        <v>52</v>
      </c>
      <c r="D61" s="16" t="s">
        <v>45</v>
      </c>
      <c r="E61" s="1" t="s">
        <v>148</v>
      </c>
      <c r="F61" s="1">
        <v>2</v>
      </c>
      <c r="G61" s="30">
        <v>211.46</v>
      </c>
      <c r="H61" s="10">
        <v>21146</v>
      </c>
      <c r="I61" s="8">
        <v>0</v>
      </c>
      <c r="J61" s="11">
        <f t="shared" si="0"/>
        <v>0</v>
      </c>
      <c r="K61" s="10">
        <v>2000</v>
      </c>
      <c r="L61" s="11">
        <f t="shared" si="1"/>
        <v>6343.8</v>
      </c>
      <c r="M61" s="8" t="s">
        <v>127</v>
      </c>
      <c r="N61" s="11">
        <v>9595.5</v>
      </c>
      <c r="O61" s="12">
        <v>2.5000000000000001E-2</v>
      </c>
      <c r="P61" s="11">
        <f t="shared" si="2"/>
        <v>528.65</v>
      </c>
      <c r="Q61" s="8"/>
      <c r="R61" s="9"/>
      <c r="S61" s="11">
        <f t="shared" si="3"/>
        <v>528.65</v>
      </c>
      <c r="T61" s="8"/>
      <c r="U61" s="8" t="s">
        <v>46</v>
      </c>
      <c r="V61" s="8" t="s">
        <v>246</v>
      </c>
    </row>
    <row r="62" spans="1:22" x14ac:dyDescent="0.3">
      <c r="A62" s="9" t="s">
        <v>151</v>
      </c>
      <c r="B62" s="9">
        <v>45007</v>
      </c>
      <c r="C62" s="8" t="s">
        <v>44</v>
      </c>
      <c r="D62" s="16" t="s">
        <v>45</v>
      </c>
      <c r="E62" s="1" t="s">
        <v>148</v>
      </c>
      <c r="F62" s="1" t="s">
        <v>49</v>
      </c>
      <c r="G62" s="30">
        <v>200.17</v>
      </c>
      <c r="H62" s="10">
        <v>27022.949999999997</v>
      </c>
      <c r="I62" s="8">
        <v>0</v>
      </c>
      <c r="J62" s="11">
        <f t="shared" si="0"/>
        <v>0</v>
      </c>
      <c r="K62" s="10">
        <v>4000</v>
      </c>
      <c r="L62" s="11">
        <f t="shared" si="1"/>
        <v>8106.8849999999984</v>
      </c>
      <c r="M62" s="8" t="s">
        <v>152</v>
      </c>
      <c r="N62" s="11">
        <v>8110</v>
      </c>
      <c r="O62" s="12">
        <v>2.5000000000000001E-2</v>
      </c>
      <c r="P62" s="11">
        <f t="shared" si="2"/>
        <v>675.57375000000002</v>
      </c>
      <c r="Q62" s="11">
        <f>P62*100%</f>
        <v>675.57375000000002</v>
      </c>
      <c r="R62" s="9">
        <v>45021</v>
      </c>
      <c r="S62" s="11">
        <f t="shared" si="3"/>
        <v>0</v>
      </c>
      <c r="T62" s="8" t="s">
        <v>21</v>
      </c>
      <c r="U62" s="8" t="s">
        <v>46</v>
      </c>
      <c r="V62" s="8" t="s">
        <v>21</v>
      </c>
    </row>
    <row r="63" spans="1:22" x14ac:dyDescent="0.3">
      <c r="A63" s="9" t="s">
        <v>153</v>
      </c>
      <c r="B63" s="9">
        <v>44530</v>
      </c>
      <c r="C63" s="8" t="s">
        <v>74</v>
      </c>
      <c r="D63" s="16" t="s">
        <v>45</v>
      </c>
      <c r="E63" s="1" t="s">
        <v>148</v>
      </c>
      <c r="F63" s="1">
        <v>6</v>
      </c>
      <c r="G63" s="30">
        <v>226.08</v>
      </c>
      <c r="H63" s="10">
        <v>19248.3</v>
      </c>
      <c r="I63" s="8">
        <v>0</v>
      </c>
      <c r="J63" s="11">
        <f t="shared" si="0"/>
        <v>0</v>
      </c>
      <c r="K63" s="10">
        <v>1000</v>
      </c>
      <c r="L63" s="11">
        <f t="shared" si="1"/>
        <v>5774.49</v>
      </c>
      <c r="M63" s="8" t="s">
        <v>75</v>
      </c>
      <c r="N63" s="11">
        <v>9154.1899999999987</v>
      </c>
      <c r="O63" s="12">
        <v>2.5000000000000001E-2</v>
      </c>
      <c r="P63" s="11">
        <f t="shared" si="2"/>
        <v>481.20749999999998</v>
      </c>
      <c r="Q63" s="8"/>
      <c r="R63" s="9"/>
      <c r="S63" s="11">
        <f t="shared" si="3"/>
        <v>481.20749999999998</v>
      </c>
      <c r="T63" s="8"/>
      <c r="U63" s="8" t="s">
        <v>46</v>
      </c>
      <c r="V63" s="8" t="s">
        <v>245</v>
      </c>
    </row>
    <row r="64" spans="1:22" x14ac:dyDescent="0.3">
      <c r="A64" s="9" t="s">
        <v>154</v>
      </c>
      <c r="B64" s="9">
        <v>44515</v>
      </c>
      <c r="C64" s="8" t="s">
        <v>44</v>
      </c>
      <c r="D64" s="16" t="s">
        <v>45</v>
      </c>
      <c r="E64" s="1" t="s">
        <v>148</v>
      </c>
      <c r="F64" s="1" t="s">
        <v>56</v>
      </c>
      <c r="G64" s="30">
        <v>223.58</v>
      </c>
      <c r="H64" s="10">
        <v>20122.2</v>
      </c>
      <c r="I64" s="8">
        <v>0</v>
      </c>
      <c r="J64" s="11">
        <f t="shared" si="0"/>
        <v>0</v>
      </c>
      <c r="K64" s="10">
        <v>500</v>
      </c>
      <c r="L64" s="11">
        <f t="shared" si="1"/>
        <v>6036.66</v>
      </c>
      <c r="M64" s="8" t="s">
        <v>155</v>
      </c>
      <c r="N64" s="11">
        <v>8000</v>
      </c>
      <c r="O64" s="12">
        <v>2.5000000000000001E-2</v>
      </c>
      <c r="P64" s="11">
        <f t="shared" si="2"/>
        <v>503.05500000000006</v>
      </c>
      <c r="Q64" s="11">
        <f>P64*100%</f>
        <v>503.05500000000006</v>
      </c>
      <c r="R64" s="9">
        <v>44495</v>
      </c>
      <c r="S64" s="11">
        <f t="shared" si="3"/>
        <v>0</v>
      </c>
      <c r="T64" s="8" t="s">
        <v>21</v>
      </c>
      <c r="U64" s="8" t="s">
        <v>46</v>
      </c>
      <c r="V64" s="8" t="s">
        <v>246</v>
      </c>
    </row>
    <row r="65" spans="1:22" x14ac:dyDescent="0.3">
      <c r="A65" s="9" t="s">
        <v>156</v>
      </c>
      <c r="B65" s="9">
        <v>44504</v>
      </c>
      <c r="C65" s="8" t="s">
        <v>44</v>
      </c>
      <c r="D65" s="16" t="s">
        <v>45</v>
      </c>
      <c r="E65" s="1" t="s">
        <v>148</v>
      </c>
      <c r="F65" s="1" t="s">
        <v>57</v>
      </c>
      <c r="G65" s="30">
        <v>294.86</v>
      </c>
      <c r="H65" s="10">
        <v>26537.4</v>
      </c>
      <c r="I65" s="8">
        <v>0</v>
      </c>
      <c r="J65" s="11">
        <f t="shared" si="0"/>
        <v>0</v>
      </c>
      <c r="K65" s="10">
        <v>500</v>
      </c>
      <c r="L65" s="11">
        <f t="shared" si="1"/>
        <v>7961.22</v>
      </c>
      <c r="M65" s="8" t="s">
        <v>21</v>
      </c>
      <c r="N65" s="11">
        <v>26537.4</v>
      </c>
      <c r="O65" s="12">
        <v>2.5000000000000001E-2</v>
      </c>
      <c r="P65" s="11">
        <f t="shared" si="2"/>
        <v>663.43500000000006</v>
      </c>
      <c r="Q65" s="11">
        <f>P65*50%</f>
        <v>331.71750000000003</v>
      </c>
      <c r="R65" s="9">
        <v>44590</v>
      </c>
      <c r="S65" s="11">
        <f t="shared" si="3"/>
        <v>331.71750000000003</v>
      </c>
      <c r="T65" s="8" t="s">
        <v>27</v>
      </c>
      <c r="U65" s="8" t="s">
        <v>72</v>
      </c>
      <c r="V65" s="8" t="s">
        <v>21</v>
      </c>
    </row>
    <row r="66" spans="1:22" x14ac:dyDescent="0.3">
      <c r="A66" s="9" t="s">
        <v>156</v>
      </c>
      <c r="B66" s="9">
        <v>44504</v>
      </c>
      <c r="C66" s="8" t="s">
        <v>44</v>
      </c>
      <c r="D66" s="16" t="s">
        <v>45</v>
      </c>
      <c r="E66" s="1" t="s">
        <v>148</v>
      </c>
      <c r="F66" s="1" t="s">
        <v>141</v>
      </c>
      <c r="G66" s="30">
        <v>259.91000000000003</v>
      </c>
      <c r="H66" s="10">
        <v>23391.9</v>
      </c>
      <c r="I66" s="8">
        <v>0</v>
      </c>
      <c r="J66" s="11">
        <f t="shared" si="0"/>
        <v>0</v>
      </c>
      <c r="K66" s="10">
        <v>500</v>
      </c>
      <c r="L66" s="11">
        <f t="shared" si="1"/>
        <v>7017.5700000000006</v>
      </c>
      <c r="M66" s="8" t="s">
        <v>21</v>
      </c>
      <c r="N66" s="11">
        <v>23391.9</v>
      </c>
      <c r="O66" s="12">
        <v>2.5000000000000001E-2</v>
      </c>
      <c r="P66" s="11">
        <f t="shared" si="2"/>
        <v>584.79750000000001</v>
      </c>
      <c r="Q66" s="11">
        <f>P66*50%</f>
        <v>292.39875000000001</v>
      </c>
      <c r="R66" s="9">
        <v>44590</v>
      </c>
      <c r="S66" s="11">
        <f t="shared" si="3"/>
        <v>292.39875000000001</v>
      </c>
      <c r="T66" s="8" t="s">
        <v>27</v>
      </c>
      <c r="U66" s="8" t="s">
        <v>72</v>
      </c>
      <c r="V66" s="8" t="s">
        <v>245</v>
      </c>
    </row>
    <row r="67" spans="1:22" x14ac:dyDescent="0.3">
      <c r="A67" s="9" t="s">
        <v>157</v>
      </c>
      <c r="B67" s="9">
        <v>44970</v>
      </c>
      <c r="C67" s="8" t="s">
        <v>52</v>
      </c>
      <c r="D67" s="16" t="s">
        <v>45</v>
      </c>
      <c r="E67" s="1" t="s">
        <v>148</v>
      </c>
      <c r="F67" s="1" t="s">
        <v>115</v>
      </c>
      <c r="G67" s="30">
        <v>201.8</v>
      </c>
      <c r="H67" s="10">
        <v>26234</v>
      </c>
      <c r="I67" s="8">
        <v>0</v>
      </c>
      <c r="J67" s="11">
        <f t="shared" ref="J67:J127" si="4">H67*I67</f>
        <v>0</v>
      </c>
      <c r="K67" s="10">
        <v>1000</v>
      </c>
      <c r="L67" s="11">
        <f t="shared" ref="L67:L130" si="5">H67*30%</f>
        <v>7870.2</v>
      </c>
      <c r="M67" s="8" t="s">
        <v>79</v>
      </c>
      <c r="N67" s="11">
        <v>5906.5800000000017</v>
      </c>
      <c r="O67" s="12">
        <v>2.5000000000000001E-2</v>
      </c>
      <c r="P67" s="11">
        <f t="shared" ref="P67:P130" si="6">H67*O67</f>
        <v>655.85</v>
      </c>
      <c r="Q67" s="8"/>
      <c r="R67" s="9"/>
      <c r="S67" s="11">
        <f t="shared" ref="S67:S130" si="7">+P67-Q67</f>
        <v>655.85</v>
      </c>
      <c r="T67" s="8"/>
      <c r="U67" s="8" t="s">
        <v>46</v>
      </c>
      <c r="V67" s="8" t="s">
        <v>246</v>
      </c>
    </row>
    <row r="68" spans="1:22" x14ac:dyDescent="0.3">
      <c r="A68" s="9" t="s">
        <v>158</v>
      </c>
      <c r="B68" s="9">
        <v>44970</v>
      </c>
      <c r="C68" s="8" t="s">
        <v>52</v>
      </c>
      <c r="D68" s="16" t="s">
        <v>45</v>
      </c>
      <c r="E68" s="1" t="s">
        <v>148</v>
      </c>
      <c r="F68" s="1" t="s">
        <v>59</v>
      </c>
      <c r="G68" s="30">
        <v>212.86</v>
      </c>
      <c r="H68" s="10">
        <v>27671.8</v>
      </c>
      <c r="I68" s="8">
        <v>0</v>
      </c>
      <c r="J68" s="11">
        <f t="shared" si="4"/>
        <v>0</v>
      </c>
      <c r="K68" s="10">
        <v>1000</v>
      </c>
      <c r="L68" s="11">
        <f t="shared" si="5"/>
        <v>8301.5399999999991</v>
      </c>
      <c r="M68" s="8" t="s">
        <v>79</v>
      </c>
      <c r="N68" s="11">
        <v>6186.1599999999989</v>
      </c>
      <c r="O68" s="12">
        <v>2.5000000000000001E-2</v>
      </c>
      <c r="P68" s="11">
        <f t="shared" si="6"/>
        <v>691.79500000000007</v>
      </c>
      <c r="Q68" s="8"/>
      <c r="R68" s="9"/>
      <c r="S68" s="11">
        <f t="shared" si="7"/>
        <v>691.79500000000007</v>
      </c>
      <c r="T68" s="8"/>
      <c r="U68" s="8" t="s">
        <v>46</v>
      </c>
      <c r="V68" s="8" t="s">
        <v>21</v>
      </c>
    </row>
    <row r="69" spans="1:22" x14ac:dyDescent="0.3">
      <c r="A69" s="9" t="s">
        <v>158</v>
      </c>
      <c r="B69" s="9">
        <v>44970</v>
      </c>
      <c r="C69" s="8" t="s">
        <v>52</v>
      </c>
      <c r="D69" s="16" t="s">
        <v>45</v>
      </c>
      <c r="E69" s="1" t="s">
        <v>148</v>
      </c>
      <c r="F69" s="1" t="s">
        <v>61</v>
      </c>
      <c r="G69" s="30">
        <v>211.1</v>
      </c>
      <c r="H69" s="10">
        <v>27443</v>
      </c>
      <c r="I69" s="8">
        <v>0</v>
      </c>
      <c r="J69" s="11">
        <f t="shared" si="4"/>
        <v>0</v>
      </c>
      <c r="K69" s="10">
        <v>1000</v>
      </c>
      <c r="L69" s="11">
        <f t="shared" si="5"/>
        <v>8232.9</v>
      </c>
      <c r="M69" s="8" t="s">
        <v>79</v>
      </c>
      <c r="N69" s="11">
        <v>6141.6500000000005</v>
      </c>
      <c r="O69" s="12">
        <v>2.5000000000000001E-2</v>
      </c>
      <c r="P69" s="11">
        <f t="shared" si="6"/>
        <v>686.07500000000005</v>
      </c>
      <c r="Q69" s="8"/>
      <c r="R69" s="9"/>
      <c r="S69" s="11">
        <f t="shared" si="7"/>
        <v>686.07500000000005</v>
      </c>
      <c r="T69" s="8"/>
      <c r="U69" s="8" t="s">
        <v>46</v>
      </c>
      <c r="V69" s="8" t="s">
        <v>245</v>
      </c>
    </row>
    <row r="70" spans="1:22" x14ac:dyDescent="0.3">
      <c r="A70" s="9" t="s">
        <v>159</v>
      </c>
      <c r="B70" s="9">
        <v>44768</v>
      </c>
      <c r="C70" s="8" t="s">
        <v>52</v>
      </c>
      <c r="D70" s="16" t="s">
        <v>45</v>
      </c>
      <c r="E70" s="1" t="s">
        <v>148</v>
      </c>
      <c r="F70" s="1" t="s">
        <v>81</v>
      </c>
      <c r="G70" s="30">
        <v>202.25</v>
      </c>
      <c r="H70" s="10">
        <v>25281.46</v>
      </c>
      <c r="I70" s="8">
        <v>0</v>
      </c>
      <c r="J70" s="11">
        <f t="shared" si="4"/>
        <v>0</v>
      </c>
      <c r="K70" s="10">
        <v>1000</v>
      </c>
      <c r="L70" s="11">
        <f t="shared" si="5"/>
        <v>7584.4379999999992</v>
      </c>
      <c r="M70" s="8" t="s">
        <v>79</v>
      </c>
      <c r="N70" s="11">
        <v>8774</v>
      </c>
      <c r="O70" s="12">
        <v>2.5000000000000001E-2</v>
      </c>
      <c r="P70" s="11">
        <f t="shared" si="6"/>
        <v>632.03650000000005</v>
      </c>
      <c r="Q70" s="8"/>
      <c r="R70" s="9"/>
      <c r="S70" s="11">
        <f t="shared" si="7"/>
        <v>632.03650000000005</v>
      </c>
      <c r="T70" s="8"/>
      <c r="U70" s="8" t="s">
        <v>46</v>
      </c>
      <c r="V70" s="8" t="s">
        <v>246</v>
      </c>
    </row>
    <row r="71" spans="1:22" x14ac:dyDescent="0.3">
      <c r="A71" s="9" t="s">
        <v>160</v>
      </c>
      <c r="B71" s="9">
        <v>44529</v>
      </c>
      <c r="C71" s="8" t="s">
        <v>52</v>
      </c>
      <c r="D71" s="16" t="s">
        <v>45</v>
      </c>
      <c r="E71" s="1" t="s">
        <v>161</v>
      </c>
      <c r="F71" s="1">
        <v>1</v>
      </c>
      <c r="G71" s="30">
        <v>308.38</v>
      </c>
      <c r="H71" s="10">
        <v>28987.72</v>
      </c>
      <c r="I71" s="8">
        <v>0</v>
      </c>
      <c r="J71" s="11">
        <f t="shared" si="4"/>
        <v>0</v>
      </c>
      <c r="K71" s="10">
        <v>13666.663333333334</v>
      </c>
      <c r="L71" s="11">
        <f t="shared" si="5"/>
        <v>8696.3160000000007</v>
      </c>
      <c r="M71" s="8" t="s">
        <v>21</v>
      </c>
      <c r="N71" s="11">
        <v>28987.716666666667</v>
      </c>
      <c r="O71" s="12">
        <v>2.5000000000000001E-2</v>
      </c>
      <c r="P71" s="11">
        <f t="shared" si="6"/>
        <v>724.6930000000001</v>
      </c>
      <c r="Q71" s="8"/>
      <c r="R71" s="9"/>
      <c r="S71" s="11">
        <f t="shared" si="7"/>
        <v>724.6930000000001</v>
      </c>
      <c r="T71" s="8"/>
      <c r="U71" s="8" t="s">
        <v>46</v>
      </c>
      <c r="V71" s="8" t="s">
        <v>21</v>
      </c>
    </row>
    <row r="72" spans="1:22" x14ac:dyDescent="0.3">
      <c r="A72" s="9" t="s">
        <v>160</v>
      </c>
      <c r="B72" s="9">
        <v>44529</v>
      </c>
      <c r="C72" s="8" t="s">
        <v>52</v>
      </c>
      <c r="D72" s="16" t="s">
        <v>45</v>
      </c>
      <c r="E72" s="1" t="s">
        <v>161</v>
      </c>
      <c r="F72" s="1" t="s">
        <v>53</v>
      </c>
      <c r="G72" s="30">
        <v>204.88</v>
      </c>
      <c r="H72" s="10">
        <v>19258.72</v>
      </c>
      <c r="I72" s="8">
        <v>0</v>
      </c>
      <c r="J72" s="11">
        <f t="shared" si="4"/>
        <v>0</v>
      </c>
      <c r="K72" s="10">
        <v>13666.663333333334</v>
      </c>
      <c r="L72" s="11">
        <f t="shared" si="5"/>
        <v>5777.616</v>
      </c>
      <c r="M72" s="8" t="s">
        <v>21</v>
      </c>
      <c r="N72" s="11">
        <v>19258.716666666667</v>
      </c>
      <c r="O72" s="12">
        <v>2.5000000000000001E-2</v>
      </c>
      <c r="P72" s="11">
        <f t="shared" si="6"/>
        <v>481.46800000000007</v>
      </c>
      <c r="Q72" s="8"/>
      <c r="R72" s="9"/>
      <c r="S72" s="11">
        <f t="shared" si="7"/>
        <v>481.46800000000007</v>
      </c>
      <c r="T72" s="8"/>
      <c r="U72" s="8" t="s">
        <v>46</v>
      </c>
      <c r="V72" s="8" t="s">
        <v>245</v>
      </c>
    </row>
    <row r="73" spans="1:22" x14ac:dyDescent="0.3">
      <c r="A73" s="9" t="s">
        <v>160</v>
      </c>
      <c r="B73" s="9">
        <v>44529</v>
      </c>
      <c r="C73" s="8" t="s">
        <v>52</v>
      </c>
      <c r="D73" s="16" t="s">
        <v>45</v>
      </c>
      <c r="E73" s="1" t="s">
        <v>161</v>
      </c>
      <c r="F73" s="1" t="s">
        <v>162</v>
      </c>
      <c r="G73" s="30">
        <v>204.93</v>
      </c>
      <c r="H73" s="10">
        <v>19263.419999999998</v>
      </c>
      <c r="I73" s="8">
        <v>0</v>
      </c>
      <c r="J73" s="11">
        <f t="shared" si="4"/>
        <v>0</v>
      </c>
      <c r="K73" s="10">
        <v>13666.663333333334</v>
      </c>
      <c r="L73" s="11">
        <f t="shared" si="5"/>
        <v>5779.0259999999989</v>
      </c>
      <c r="M73" s="8" t="s">
        <v>21</v>
      </c>
      <c r="N73" s="11">
        <v>19263.416666666668</v>
      </c>
      <c r="O73" s="12">
        <v>2.5000000000000001E-2</v>
      </c>
      <c r="P73" s="11">
        <f t="shared" si="6"/>
        <v>481.58549999999997</v>
      </c>
      <c r="Q73" s="8"/>
      <c r="R73" s="9"/>
      <c r="S73" s="11">
        <f t="shared" si="7"/>
        <v>481.58549999999997</v>
      </c>
      <c r="T73" s="8"/>
      <c r="U73" s="8" t="s">
        <v>46</v>
      </c>
      <c r="V73" s="8" t="s">
        <v>246</v>
      </c>
    </row>
    <row r="74" spans="1:22" x14ac:dyDescent="0.3">
      <c r="A74" s="9" t="s">
        <v>163</v>
      </c>
      <c r="B74" s="9">
        <v>44508</v>
      </c>
      <c r="C74" s="8" t="s">
        <v>44</v>
      </c>
      <c r="D74" s="16" t="s">
        <v>45</v>
      </c>
      <c r="E74" s="1" t="s">
        <v>164</v>
      </c>
      <c r="F74" s="1" t="s">
        <v>45</v>
      </c>
      <c r="G74" s="30">
        <v>364.95</v>
      </c>
      <c r="H74" s="10">
        <v>32845.5</v>
      </c>
      <c r="I74" s="8">
        <v>0</v>
      </c>
      <c r="J74" s="11">
        <f t="shared" si="4"/>
        <v>0</v>
      </c>
      <c r="K74" s="10">
        <v>1000</v>
      </c>
      <c r="L74" s="11">
        <f t="shared" si="5"/>
        <v>9853.65</v>
      </c>
      <c r="M74" s="8" t="s">
        <v>165</v>
      </c>
      <c r="N74" s="11">
        <v>9053.65</v>
      </c>
      <c r="O74" s="12">
        <v>2.5000000000000001E-2</v>
      </c>
      <c r="P74" s="11">
        <f t="shared" si="6"/>
        <v>821.13750000000005</v>
      </c>
      <c r="Q74" s="11">
        <f>P74*50%</f>
        <v>410.56875000000002</v>
      </c>
      <c r="R74" s="9">
        <v>44507</v>
      </c>
      <c r="S74" s="11">
        <f t="shared" si="7"/>
        <v>410.56875000000002</v>
      </c>
      <c r="T74" s="8" t="s">
        <v>22</v>
      </c>
      <c r="U74" s="8" t="s">
        <v>63</v>
      </c>
      <c r="V74" s="8" t="s">
        <v>21</v>
      </c>
    </row>
    <row r="75" spans="1:22" x14ac:dyDescent="0.3">
      <c r="A75" s="9" t="s">
        <v>166</v>
      </c>
      <c r="B75" s="9">
        <v>44504</v>
      </c>
      <c r="C75" s="8" t="s">
        <v>44</v>
      </c>
      <c r="D75" s="16" t="s">
        <v>45</v>
      </c>
      <c r="E75" s="1" t="s">
        <v>164</v>
      </c>
      <c r="F75" s="1" t="s">
        <v>108</v>
      </c>
      <c r="G75" s="30">
        <v>294.45999999999998</v>
      </c>
      <c r="H75" s="10">
        <v>26501.4</v>
      </c>
      <c r="I75" s="8">
        <v>0</v>
      </c>
      <c r="J75" s="11">
        <f t="shared" si="4"/>
        <v>0</v>
      </c>
      <c r="K75" s="10">
        <v>1000</v>
      </c>
      <c r="L75" s="11">
        <f t="shared" si="5"/>
        <v>7950.42</v>
      </c>
      <c r="M75" s="8" t="s">
        <v>167</v>
      </c>
      <c r="N75" s="11">
        <v>14882.949999999999</v>
      </c>
      <c r="O75" s="12">
        <v>2.5000000000000001E-2</v>
      </c>
      <c r="P75" s="11">
        <f t="shared" si="6"/>
        <v>662.53500000000008</v>
      </c>
      <c r="Q75" s="11">
        <f>P75*50%</f>
        <v>331.26750000000004</v>
      </c>
      <c r="R75" s="9">
        <v>44504</v>
      </c>
      <c r="S75" s="11">
        <f t="shared" si="7"/>
        <v>331.26750000000004</v>
      </c>
      <c r="T75" s="8" t="s">
        <v>27</v>
      </c>
      <c r="U75" s="8" t="s">
        <v>72</v>
      </c>
      <c r="V75" s="8" t="s">
        <v>245</v>
      </c>
    </row>
    <row r="76" spans="1:22" x14ac:dyDescent="0.3">
      <c r="A76" s="9" t="s">
        <v>168</v>
      </c>
      <c r="B76" s="9">
        <v>44506</v>
      </c>
      <c r="C76" s="8" t="s">
        <v>44</v>
      </c>
      <c r="D76" s="16" t="s">
        <v>45</v>
      </c>
      <c r="E76" s="1" t="s">
        <v>164</v>
      </c>
      <c r="F76" s="1" t="s">
        <v>49</v>
      </c>
      <c r="G76" s="30">
        <v>212.09</v>
      </c>
      <c r="H76" s="10">
        <v>19088.099999999999</v>
      </c>
      <c r="I76" s="8">
        <v>0</v>
      </c>
      <c r="J76" s="11">
        <f t="shared" si="4"/>
        <v>0</v>
      </c>
      <c r="K76" s="10">
        <v>500</v>
      </c>
      <c r="L76" s="11">
        <f t="shared" si="5"/>
        <v>5726.4299999999994</v>
      </c>
      <c r="M76" s="8" t="s">
        <v>169</v>
      </c>
      <c r="N76" s="11">
        <v>10314.27</v>
      </c>
      <c r="O76" s="12">
        <v>2.5000000000000001E-2</v>
      </c>
      <c r="P76" s="11">
        <f t="shared" si="6"/>
        <v>477.20249999999999</v>
      </c>
      <c r="Q76" s="11">
        <f>P76*50%</f>
        <v>238.60124999999999</v>
      </c>
      <c r="R76" s="9">
        <v>44590</v>
      </c>
      <c r="S76" s="11">
        <f t="shared" si="7"/>
        <v>238.60124999999999</v>
      </c>
      <c r="T76" s="8" t="s">
        <v>27</v>
      </c>
      <c r="U76" s="8" t="s">
        <v>72</v>
      </c>
      <c r="V76" s="8" t="s">
        <v>246</v>
      </c>
    </row>
    <row r="77" spans="1:22" x14ac:dyDescent="0.3">
      <c r="A77" s="9" t="s">
        <v>240</v>
      </c>
      <c r="B77" s="9">
        <v>44505</v>
      </c>
      <c r="C77" s="8" t="s">
        <v>241</v>
      </c>
      <c r="D77" s="16">
        <v>1</v>
      </c>
      <c r="E77" s="1" t="s">
        <v>164</v>
      </c>
      <c r="F77" s="1">
        <v>4</v>
      </c>
      <c r="G77" s="30">
        <v>200.2</v>
      </c>
      <c r="H77" s="10">
        <v>20090.8</v>
      </c>
      <c r="I77" s="8">
        <v>0</v>
      </c>
      <c r="J77" s="11">
        <f t="shared" si="4"/>
        <v>0</v>
      </c>
      <c r="K77" s="10">
        <v>500</v>
      </c>
      <c r="L77" s="11">
        <f t="shared" si="5"/>
        <v>6027.24</v>
      </c>
      <c r="M77" s="8" t="s">
        <v>79</v>
      </c>
      <c r="N77" s="11">
        <v>5682.35</v>
      </c>
      <c r="O77" s="12">
        <v>3.5000000000000003E-2</v>
      </c>
      <c r="P77" s="11">
        <f t="shared" si="6"/>
        <v>703.178</v>
      </c>
      <c r="Q77" s="8"/>
      <c r="R77" s="9"/>
      <c r="S77" s="11">
        <f t="shared" si="7"/>
        <v>703.178</v>
      </c>
      <c r="T77" s="8" t="s">
        <v>27</v>
      </c>
      <c r="U77" s="8" t="s">
        <v>72</v>
      </c>
      <c r="V77" s="8" t="s">
        <v>21</v>
      </c>
    </row>
    <row r="78" spans="1:22" x14ac:dyDescent="0.3">
      <c r="A78" s="9" t="s">
        <v>170</v>
      </c>
      <c r="B78" s="9">
        <v>44944</v>
      </c>
      <c r="C78" s="8" t="s">
        <v>52</v>
      </c>
      <c r="D78" s="16" t="s">
        <v>45</v>
      </c>
      <c r="E78" s="1" t="s">
        <v>164</v>
      </c>
      <c r="F78" s="1" t="s">
        <v>171</v>
      </c>
      <c r="G78" s="30">
        <v>200.2</v>
      </c>
      <c r="H78" s="10">
        <v>26026</v>
      </c>
      <c r="I78" s="8">
        <v>0</v>
      </c>
      <c r="J78" s="11">
        <f t="shared" si="4"/>
        <v>0</v>
      </c>
      <c r="K78" s="10">
        <v>3026</v>
      </c>
      <c r="L78" s="11">
        <f t="shared" si="5"/>
        <v>7807.7999999999993</v>
      </c>
      <c r="M78" s="8" t="s">
        <v>50</v>
      </c>
      <c r="N78" s="11">
        <v>6539.84</v>
      </c>
      <c r="O78" s="12">
        <v>2.5000000000000001E-2</v>
      </c>
      <c r="P78" s="11">
        <f t="shared" si="6"/>
        <v>650.65000000000009</v>
      </c>
      <c r="Q78" s="8"/>
      <c r="R78" s="9"/>
      <c r="S78" s="11">
        <f t="shared" si="7"/>
        <v>650.65000000000009</v>
      </c>
      <c r="T78" s="8"/>
      <c r="U78" s="8" t="s">
        <v>46</v>
      </c>
      <c r="V78" s="8" t="s">
        <v>245</v>
      </c>
    </row>
    <row r="79" spans="1:22" x14ac:dyDescent="0.3">
      <c r="A79" s="9" t="s">
        <v>172</v>
      </c>
      <c r="B79" s="9">
        <v>45016</v>
      </c>
      <c r="C79" s="8" t="s">
        <v>74</v>
      </c>
      <c r="D79" s="16" t="s">
        <v>45</v>
      </c>
      <c r="E79" s="1" t="s">
        <v>164</v>
      </c>
      <c r="F79" s="1" t="s">
        <v>57</v>
      </c>
      <c r="G79" s="30">
        <v>200.2</v>
      </c>
      <c r="H79" s="10">
        <v>27027</v>
      </c>
      <c r="I79" s="8">
        <v>0</v>
      </c>
      <c r="J79" s="11">
        <f t="shared" si="4"/>
        <v>0</v>
      </c>
      <c r="K79" s="10">
        <v>1000</v>
      </c>
      <c r="L79" s="11">
        <f t="shared" si="5"/>
        <v>8108.0999999999995</v>
      </c>
      <c r="M79" s="8" t="s">
        <v>54</v>
      </c>
      <c r="N79" s="11">
        <v>2000</v>
      </c>
      <c r="O79" s="12">
        <v>2.5000000000000001E-2</v>
      </c>
      <c r="P79" s="11">
        <f t="shared" si="6"/>
        <v>675.67500000000007</v>
      </c>
      <c r="Q79" s="8"/>
      <c r="R79" s="9"/>
      <c r="S79" s="11">
        <f t="shared" si="7"/>
        <v>675.67500000000007</v>
      </c>
      <c r="T79" s="8"/>
      <c r="U79" s="8" t="s">
        <v>46</v>
      </c>
      <c r="V79" s="8" t="s">
        <v>246</v>
      </c>
    </row>
    <row r="80" spans="1:22" x14ac:dyDescent="0.3">
      <c r="A80" s="9" t="s">
        <v>173</v>
      </c>
      <c r="B80" s="9">
        <v>44889</v>
      </c>
      <c r="C80" s="8" t="s">
        <v>44</v>
      </c>
      <c r="D80" s="16" t="s">
        <v>45</v>
      </c>
      <c r="E80" s="1" t="s">
        <v>164</v>
      </c>
      <c r="F80" s="1" t="s">
        <v>141</v>
      </c>
      <c r="G80" s="30">
        <v>200.2</v>
      </c>
      <c r="H80" s="10">
        <v>25025</v>
      </c>
      <c r="I80" s="8">
        <v>0</v>
      </c>
      <c r="J80" s="11">
        <f t="shared" si="4"/>
        <v>0</v>
      </c>
      <c r="K80" s="10">
        <v>7507.5</v>
      </c>
      <c r="L80" s="11">
        <f t="shared" si="5"/>
        <v>7507.5</v>
      </c>
      <c r="M80" s="8" t="s">
        <v>174</v>
      </c>
      <c r="N80" s="11">
        <v>11011.380000000001</v>
      </c>
      <c r="O80" s="12">
        <v>2.5000000000000001E-2</v>
      </c>
      <c r="P80" s="11">
        <f t="shared" si="6"/>
        <v>625.625</v>
      </c>
      <c r="Q80" s="11">
        <f>P80*100%</f>
        <v>625.625</v>
      </c>
      <c r="R80" s="9">
        <v>44910</v>
      </c>
      <c r="S80" s="11">
        <f t="shared" si="7"/>
        <v>0</v>
      </c>
      <c r="T80" s="8" t="s">
        <v>21</v>
      </c>
      <c r="U80" s="8" t="s">
        <v>46</v>
      </c>
      <c r="V80" s="8" t="s">
        <v>21</v>
      </c>
    </row>
    <row r="81" spans="1:22" x14ac:dyDescent="0.3">
      <c r="A81" s="9" t="s">
        <v>175</v>
      </c>
      <c r="B81" s="9">
        <v>44839</v>
      </c>
      <c r="C81" s="8" t="s">
        <v>44</v>
      </c>
      <c r="D81" s="16" t="s">
        <v>45</v>
      </c>
      <c r="E81" s="1" t="s">
        <v>164</v>
      </c>
      <c r="F81" s="1" t="s">
        <v>115</v>
      </c>
      <c r="G81" s="30">
        <v>200.2</v>
      </c>
      <c r="H81" s="10">
        <v>22522.5</v>
      </c>
      <c r="I81" s="8">
        <v>0</v>
      </c>
      <c r="J81" s="11">
        <f t="shared" si="4"/>
        <v>0</v>
      </c>
      <c r="K81" s="10">
        <v>6000</v>
      </c>
      <c r="L81" s="11">
        <f t="shared" si="5"/>
        <v>6756.75</v>
      </c>
      <c r="M81" s="8" t="s">
        <v>174</v>
      </c>
      <c r="N81" s="11">
        <v>10681.460000000001</v>
      </c>
      <c r="O81" s="12">
        <v>2.5000000000000001E-2</v>
      </c>
      <c r="P81" s="11">
        <f>H81*O81</f>
        <v>563.0625</v>
      </c>
      <c r="Q81" s="11">
        <v>312.81</v>
      </c>
      <c r="R81" s="9">
        <v>44910</v>
      </c>
      <c r="S81" s="11">
        <f t="shared" si="7"/>
        <v>250.2525</v>
      </c>
      <c r="T81" s="8" t="s">
        <v>27</v>
      </c>
      <c r="U81" s="8" t="s">
        <v>72</v>
      </c>
      <c r="V81" s="8" t="s">
        <v>245</v>
      </c>
    </row>
    <row r="82" spans="1:22" x14ac:dyDescent="0.3">
      <c r="A82" s="9" t="s">
        <v>176</v>
      </c>
      <c r="B82" s="9">
        <v>44500</v>
      </c>
      <c r="C82" s="8" t="s">
        <v>44</v>
      </c>
      <c r="D82" s="16" t="s">
        <v>45</v>
      </c>
      <c r="E82" s="1" t="s">
        <v>164</v>
      </c>
      <c r="F82" s="1" t="s">
        <v>59</v>
      </c>
      <c r="G82" s="30">
        <v>225.86</v>
      </c>
      <c r="H82" s="10">
        <v>20327.400000000001</v>
      </c>
      <c r="I82" s="8">
        <v>0</v>
      </c>
      <c r="J82" s="11">
        <f t="shared" si="4"/>
        <v>0</v>
      </c>
      <c r="K82" s="10">
        <v>500</v>
      </c>
      <c r="L82" s="11">
        <f t="shared" si="5"/>
        <v>6098.22</v>
      </c>
      <c r="M82" s="8" t="s">
        <v>177</v>
      </c>
      <c r="N82" s="11">
        <v>15122.68</v>
      </c>
      <c r="O82" s="12">
        <v>2.5000000000000001E-2</v>
      </c>
      <c r="P82" s="11">
        <f t="shared" si="6"/>
        <v>508.18500000000006</v>
      </c>
      <c r="Q82" s="11">
        <f>P82*50%</f>
        <v>254.09250000000003</v>
      </c>
      <c r="R82" s="9">
        <v>44590</v>
      </c>
      <c r="S82" s="11">
        <f t="shared" si="7"/>
        <v>254.09250000000003</v>
      </c>
      <c r="T82" s="8" t="s">
        <v>27</v>
      </c>
      <c r="U82" s="8" t="s">
        <v>72</v>
      </c>
      <c r="V82" s="8" t="s">
        <v>246</v>
      </c>
    </row>
    <row r="83" spans="1:22" x14ac:dyDescent="0.3">
      <c r="A83" s="9" t="s">
        <v>242</v>
      </c>
      <c r="B83" s="9">
        <v>45582</v>
      </c>
      <c r="C83" s="8" t="s">
        <v>241</v>
      </c>
      <c r="D83" s="16" t="s">
        <v>45</v>
      </c>
      <c r="E83" s="1" t="s">
        <v>164</v>
      </c>
      <c r="F83" s="1">
        <v>12</v>
      </c>
      <c r="G83" s="30">
        <v>226.83</v>
      </c>
      <c r="H83" s="10">
        <v>25000</v>
      </c>
      <c r="I83" s="8">
        <v>0</v>
      </c>
      <c r="J83" s="11">
        <f t="shared" si="4"/>
        <v>0</v>
      </c>
      <c r="K83" s="10">
        <v>1000</v>
      </c>
      <c r="L83" s="11">
        <f t="shared" si="5"/>
        <v>7500</v>
      </c>
      <c r="M83" s="8" t="s">
        <v>54</v>
      </c>
      <c r="N83" s="11">
        <v>10000</v>
      </c>
      <c r="O83" s="12">
        <v>3.5000000000000003E-2</v>
      </c>
      <c r="P83" s="11">
        <f t="shared" si="6"/>
        <v>875.00000000000011</v>
      </c>
      <c r="Q83" s="8"/>
      <c r="R83" s="9"/>
      <c r="S83" s="11">
        <f t="shared" si="7"/>
        <v>875.00000000000011</v>
      </c>
      <c r="T83" s="8" t="s">
        <v>27</v>
      </c>
      <c r="U83" s="8" t="s">
        <v>72</v>
      </c>
      <c r="V83" s="8" t="s">
        <v>21</v>
      </c>
    </row>
    <row r="84" spans="1:22" x14ac:dyDescent="0.3">
      <c r="A84" s="9" t="s">
        <v>178</v>
      </c>
      <c r="B84" s="9">
        <v>45185</v>
      </c>
      <c r="C84" s="8" t="s">
        <v>74</v>
      </c>
      <c r="D84" s="16" t="s">
        <v>45</v>
      </c>
      <c r="E84" s="1" t="s">
        <v>164</v>
      </c>
      <c r="F84" s="1" t="s">
        <v>69</v>
      </c>
      <c r="G84" s="30">
        <v>222.3</v>
      </c>
      <c r="H84" s="10">
        <v>25000</v>
      </c>
      <c r="I84" s="8">
        <v>0</v>
      </c>
      <c r="J84" s="11">
        <f t="shared" si="4"/>
        <v>0</v>
      </c>
      <c r="K84" s="10">
        <v>10000</v>
      </c>
      <c r="L84" s="11">
        <f t="shared" si="5"/>
        <v>7500</v>
      </c>
      <c r="M84" s="8" t="s">
        <v>179</v>
      </c>
      <c r="N84" s="11">
        <v>20000</v>
      </c>
      <c r="O84" s="12">
        <v>3.5000000000000003E-2</v>
      </c>
      <c r="P84" s="11">
        <f t="shared" si="6"/>
        <v>875.00000000000011</v>
      </c>
      <c r="Q84" s="8"/>
      <c r="R84" s="9"/>
      <c r="S84" s="11">
        <f t="shared" si="7"/>
        <v>875.00000000000011</v>
      </c>
      <c r="T84" s="8"/>
      <c r="U84" s="8" t="s">
        <v>46</v>
      </c>
      <c r="V84" s="8" t="s">
        <v>245</v>
      </c>
    </row>
    <row r="85" spans="1:22" x14ac:dyDescent="0.3">
      <c r="A85" s="9" t="s">
        <v>180</v>
      </c>
      <c r="B85" s="9">
        <v>44991</v>
      </c>
      <c r="C85" s="8" t="s">
        <v>74</v>
      </c>
      <c r="D85" s="16" t="s">
        <v>45</v>
      </c>
      <c r="E85" s="1" t="s">
        <v>181</v>
      </c>
      <c r="F85" s="1" t="s">
        <v>45</v>
      </c>
      <c r="G85" s="30">
        <v>222.3</v>
      </c>
      <c r="H85" s="10">
        <v>30010.5</v>
      </c>
      <c r="I85" s="8">
        <v>0</v>
      </c>
      <c r="J85" s="11">
        <f t="shared" si="4"/>
        <v>0</v>
      </c>
      <c r="K85" s="10">
        <v>1000</v>
      </c>
      <c r="L85" s="11">
        <f t="shared" si="5"/>
        <v>9003.15</v>
      </c>
      <c r="M85" s="8" t="s">
        <v>152</v>
      </c>
      <c r="N85" s="11">
        <v>12815.75</v>
      </c>
      <c r="O85" s="12">
        <v>2.5000000000000001E-2</v>
      </c>
      <c r="P85" s="11">
        <f t="shared" si="6"/>
        <v>750.26250000000005</v>
      </c>
      <c r="Q85" s="8"/>
      <c r="R85" s="9"/>
      <c r="S85" s="11">
        <f t="shared" si="7"/>
        <v>750.26250000000005</v>
      </c>
      <c r="T85" s="8"/>
      <c r="U85" s="8" t="s">
        <v>46</v>
      </c>
      <c r="V85" s="8" t="s">
        <v>246</v>
      </c>
    </row>
    <row r="86" spans="1:22" x14ac:dyDescent="0.3">
      <c r="A86" s="9" t="s">
        <v>182</v>
      </c>
      <c r="B86" s="9">
        <v>44760</v>
      </c>
      <c r="C86" s="8" t="s">
        <v>44</v>
      </c>
      <c r="D86" s="16" t="s">
        <v>45</v>
      </c>
      <c r="E86" s="1" t="s">
        <v>181</v>
      </c>
      <c r="F86" s="1" t="s">
        <v>108</v>
      </c>
      <c r="G86" s="30">
        <v>200</v>
      </c>
      <c r="H86" s="10">
        <v>24000</v>
      </c>
      <c r="I86" s="8">
        <v>0</v>
      </c>
      <c r="J86" s="11">
        <f t="shared" si="4"/>
        <v>0</v>
      </c>
      <c r="K86" s="10">
        <v>1000</v>
      </c>
      <c r="L86" s="11">
        <f t="shared" si="5"/>
        <v>7200</v>
      </c>
      <c r="M86" s="8" t="s">
        <v>50</v>
      </c>
      <c r="N86" s="11">
        <v>8347.1199999999953</v>
      </c>
      <c r="O86" s="12">
        <v>2.5000000000000001E-2</v>
      </c>
      <c r="P86" s="11">
        <f t="shared" si="6"/>
        <v>600</v>
      </c>
      <c r="Q86" s="11">
        <f>P86*50%+(300/2)</f>
        <v>450</v>
      </c>
      <c r="R86" s="9">
        <v>44804</v>
      </c>
      <c r="S86" s="11">
        <f t="shared" si="7"/>
        <v>150</v>
      </c>
      <c r="T86" s="8" t="s">
        <v>27</v>
      </c>
      <c r="U86" s="8" t="s">
        <v>72</v>
      </c>
      <c r="V86" s="8" t="s">
        <v>21</v>
      </c>
    </row>
    <row r="87" spans="1:22" x14ac:dyDescent="0.3">
      <c r="A87" s="9" t="s">
        <v>182</v>
      </c>
      <c r="B87" s="9">
        <v>44760</v>
      </c>
      <c r="C87" s="8" t="s">
        <v>44</v>
      </c>
      <c r="D87" s="16" t="s">
        <v>45</v>
      </c>
      <c r="E87" s="1" t="s">
        <v>181</v>
      </c>
      <c r="F87" s="1" t="s">
        <v>49</v>
      </c>
      <c r="G87" s="30">
        <v>200</v>
      </c>
      <c r="H87" s="10">
        <v>25000</v>
      </c>
      <c r="I87" s="8">
        <v>0</v>
      </c>
      <c r="J87" s="11">
        <f t="shared" si="4"/>
        <v>0</v>
      </c>
      <c r="K87" s="10">
        <v>1000</v>
      </c>
      <c r="L87" s="11">
        <f t="shared" si="5"/>
        <v>7500</v>
      </c>
      <c r="M87" s="8" t="s">
        <v>50</v>
      </c>
      <c r="N87" s="11">
        <v>8666.59</v>
      </c>
      <c r="O87" s="12">
        <v>2.5000000000000001E-2</v>
      </c>
      <c r="P87" s="11">
        <f t="shared" si="6"/>
        <v>625</v>
      </c>
      <c r="Q87" s="11">
        <f>P87*50%+(312.5/2)</f>
        <v>468.75</v>
      </c>
      <c r="R87" s="9">
        <v>44804</v>
      </c>
      <c r="S87" s="11">
        <f t="shared" si="7"/>
        <v>156.25</v>
      </c>
      <c r="T87" s="8" t="s">
        <v>27</v>
      </c>
      <c r="U87" s="8" t="s">
        <v>72</v>
      </c>
      <c r="V87" s="8" t="s">
        <v>245</v>
      </c>
    </row>
    <row r="88" spans="1:22" x14ac:dyDescent="0.3">
      <c r="A88" s="9" t="s">
        <v>183</v>
      </c>
      <c r="B88" s="9">
        <v>44760</v>
      </c>
      <c r="C88" s="8" t="s">
        <v>44</v>
      </c>
      <c r="D88" s="16" t="s">
        <v>45</v>
      </c>
      <c r="E88" s="1" t="s">
        <v>181</v>
      </c>
      <c r="F88" s="1" t="s">
        <v>53</v>
      </c>
      <c r="G88" s="30">
        <v>200</v>
      </c>
      <c r="H88" s="10">
        <v>25000</v>
      </c>
      <c r="I88" s="8">
        <v>0</v>
      </c>
      <c r="J88" s="11">
        <f t="shared" si="4"/>
        <v>0</v>
      </c>
      <c r="K88" s="10">
        <v>1000</v>
      </c>
      <c r="L88" s="11">
        <f t="shared" si="5"/>
        <v>7500</v>
      </c>
      <c r="M88" s="8" t="s">
        <v>50</v>
      </c>
      <c r="N88" s="11">
        <v>8666.59</v>
      </c>
      <c r="O88" s="12">
        <v>2.5000000000000001E-2</v>
      </c>
      <c r="P88" s="11">
        <f t="shared" si="6"/>
        <v>625</v>
      </c>
      <c r="Q88" s="11">
        <f>P88*50%+(312.5/2)</f>
        <v>468.75</v>
      </c>
      <c r="R88" s="9">
        <v>44804</v>
      </c>
      <c r="S88" s="11">
        <f t="shared" si="7"/>
        <v>156.25</v>
      </c>
      <c r="T88" s="8" t="s">
        <v>27</v>
      </c>
      <c r="U88" s="8" t="s">
        <v>72</v>
      </c>
      <c r="V88" s="8" t="s">
        <v>246</v>
      </c>
    </row>
    <row r="89" spans="1:22" x14ac:dyDescent="0.3">
      <c r="A89" s="9" t="s">
        <v>184</v>
      </c>
      <c r="B89" s="9">
        <v>44760</v>
      </c>
      <c r="C89" s="8" t="s">
        <v>44</v>
      </c>
      <c r="D89" s="16" t="s">
        <v>45</v>
      </c>
      <c r="E89" s="1" t="s">
        <v>181</v>
      </c>
      <c r="F89" s="1" t="s">
        <v>162</v>
      </c>
      <c r="G89" s="30">
        <v>200</v>
      </c>
      <c r="H89" s="10">
        <v>25000</v>
      </c>
      <c r="I89" s="8">
        <v>0</v>
      </c>
      <c r="J89" s="11">
        <f t="shared" si="4"/>
        <v>0</v>
      </c>
      <c r="K89" s="10">
        <v>1000</v>
      </c>
      <c r="L89" s="11">
        <f t="shared" si="5"/>
        <v>7500</v>
      </c>
      <c r="M89" s="8" t="s">
        <v>50</v>
      </c>
      <c r="N89" s="11">
        <v>8666.59</v>
      </c>
      <c r="O89" s="12">
        <v>2.5000000000000001E-2</v>
      </c>
      <c r="P89" s="11">
        <f t="shared" si="6"/>
        <v>625</v>
      </c>
      <c r="Q89" s="11">
        <f>P89*50%+(312.5/2)</f>
        <v>468.75</v>
      </c>
      <c r="R89" s="9">
        <v>44804</v>
      </c>
      <c r="S89" s="11">
        <f t="shared" si="7"/>
        <v>156.25</v>
      </c>
      <c r="T89" s="8" t="s">
        <v>27</v>
      </c>
      <c r="U89" s="8" t="s">
        <v>72</v>
      </c>
      <c r="V89" s="8" t="s">
        <v>21</v>
      </c>
    </row>
    <row r="90" spans="1:22" x14ac:dyDescent="0.3">
      <c r="A90" s="9" t="s">
        <v>185</v>
      </c>
      <c r="B90" s="9">
        <v>44743</v>
      </c>
      <c r="C90" s="8" t="s">
        <v>44</v>
      </c>
      <c r="D90" s="16" t="s">
        <v>45</v>
      </c>
      <c r="E90" s="1" t="s">
        <v>181</v>
      </c>
      <c r="F90" s="1" t="s">
        <v>56</v>
      </c>
      <c r="G90" s="30">
        <v>262.77</v>
      </c>
      <c r="H90" s="10">
        <v>32846.25</v>
      </c>
      <c r="I90" s="8">
        <v>0</v>
      </c>
      <c r="J90" s="11">
        <f t="shared" si="4"/>
        <v>0</v>
      </c>
      <c r="K90" s="10">
        <v>1000</v>
      </c>
      <c r="L90" s="11">
        <f t="shared" si="5"/>
        <v>9853.875</v>
      </c>
      <c r="M90" s="8" t="s">
        <v>186</v>
      </c>
      <c r="N90" s="11">
        <v>19000</v>
      </c>
      <c r="O90" s="12">
        <v>2.5000000000000001E-2</v>
      </c>
      <c r="P90" s="11">
        <f t="shared" si="6"/>
        <v>821.15625</v>
      </c>
      <c r="Q90" s="11">
        <f>P90*50%+410.58</f>
        <v>821.15812499999993</v>
      </c>
      <c r="R90" s="9" t="s">
        <v>32</v>
      </c>
      <c r="S90" s="11">
        <f t="shared" si="7"/>
        <v>-1.8749999999272404E-3</v>
      </c>
      <c r="T90" s="8" t="s">
        <v>21</v>
      </c>
      <c r="U90" s="8" t="s">
        <v>46</v>
      </c>
      <c r="V90" s="8" t="s">
        <v>245</v>
      </c>
    </row>
    <row r="91" spans="1:22" x14ac:dyDescent="0.3">
      <c r="A91" s="9" t="s">
        <v>187</v>
      </c>
      <c r="B91" s="9">
        <v>45237</v>
      </c>
      <c r="C91" s="8" t="s">
        <v>44</v>
      </c>
      <c r="D91" s="16" t="s">
        <v>45</v>
      </c>
      <c r="E91" s="1" t="s">
        <v>181</v>
      </c>
      <c r="F91" s="1" t="s">
        <v>61</v>
      </c>
      <c r="G91" s="30">
        <v>200.05</v>
      </c>
      <c r="H91" s="10">
        <v>25656.412499999999</v>
      </c>
      <c r="I91" s="14">
        <v>0.05</v>
      </c>
      <c r="J91" s="11">
        <f>27006.75*I91</f>
        <v>1350.3375000000001</v>
      </c>
      <c r="K91" s="10">
        <v>2000</v>
      </c>
      <c r="L91" s="11">
        <f t="shared" si="5"/>
        <v>7696.923749999999</v>
      </c>
      <c r="M91" s="8" t="s">
        <v>54</v>
      </c>
      <c r="N91" s="11">
        <v>7982.76</v>
      </c>
      <c r="O91" s="12">
        <v>3.5000000000000003E-2</v>
      </c>
      <c r="P91" s="11">
        <f t="shared" si="6"/>
        <v>897.97443750000002</v>
      </c>
      <c r="Q91" s="11">
        <v>472.62</v>
      </c>
      <c r="R91" s="9">
        <v>45243</v>
      </c>
      <c r="S91" s="11">
        <f t="shared" si="7"/>
        <v>425.35443750000002</v>
      </c>
      <c r="T91" s="8" t="s">
        <v>27</v>
      </c>
      <c r="U91" s="8" t="s">
        <v>72</v>
      </c>
      <c r="V91" s="8" t="s">
        <v>246</v>
      </c>
    </row>
    <row r="92" spans="1:22" x14ac:dyDescent="0.3">
      <c r="A92" s="9" t="s">
        <v>188</v>
      </c>
      <c r="B92" s="9">
        <v>44982</v>
      </c>
      <c r="C92" s="8" t="s">
        <v>44</v>
      </c>
      <c r="D92" s="16" t="s">
        <v>45</v>
      </c>
      <c r="E92" s="1" t="s">
        <v>181</v>
      </c>
      <c r="F92" s="1" t="s">
        <v>81</v>
      </c>
      <c r="G92" s="30">
        <v>200</v>
      </c>
      <c r="H92" s="10">
        <v>27000</v>
      </c>
      <c r="I92" s="8">
        <v>0</v>
      </c>
      <c r="J92" s="11">
        <f t="shared" si="4"/>
        <v>0</v>
      </c>
      <c r="K92" s="10">
        <v>2000</v>
      </c>
      <c r="L92" s="11">
        <f t="shared" si="5"/>
        <v>8100</v>
      </c>
      <c r="M92" s="8" t="s">
        <v>50</v>
      </c>
      <c r="N92" s="11">
        <v>7555.5200000000023</v>
      </c>
      <c r="O92" s="12">
        <v>2.5000000000000001E-2</v>
      </c>
      <c r="P92" s="11">
        <f t="shared" si="6"/>
        <v>675</v>
      </c>
      <c r="Q92" s="11">
        <f>P92*50%+(337.5/2)</f>
        <v>506.25</v>
      </c>
      <c r="R92" s="9" t="s">
        <v>35</v>
      </c>
      <c r="S92" s="11">
        <f t="shared" si="7"/>
        <v>168.75</v>
      </c>
      <c r="T92" s="8" t="s">
        <v>27</v>
      </c>
      <c r="U92" s="8" t="s">
        <v>72</v>
      </c>
      <c r="V92" s="8" t="s">
        <v>21</v>
      </c>
    </row>
    <row r="93" spans="1:22" x14ac:dyDescent="0.3">
      <c r="A93" s="9" t="s">
        <v>189</v>
      </c>
      <c r="B93" s="9">
        <v>44746</v>
      </c>
      <c r="C93" s="8" t="s">
        <v>44</v>
      </c>
      <c r="D93" s="16" t="s">
        <v>45</v>
      </c>
      <c r="E93" s="1" t="s">
        <v>181</v>
      </c>
      <c r="F93" s="1" t="s">
        <v>84</v>
      </c>
      <c r="G93" s="30">
        <v>200</v>
      </c>
      <c r="H93" s="10">
        <v>24000</v>
      </c>
      <c r="I93" s="8">
        <v>0</v>
      </c>
      <c r="J93" s="11">
        <f t="shared" si="4"/>
        <v>0</v>
      </c>
      <c r="K93" s="10">
        <v>1000</v>
      </c>
      <c r="L93" s="11">
        <f t="shared" si="5"/>
        <v>7200</v>
      </c>
      <c r="M93" s="8" t="s">
        <v>50</v>
      </c>
      <c r="N93" s="11">
        <v>8666.5599999999959</v>
      </c>
      <c r="O93" s="12">
        <v>2.5000000000000001E-2</v>
      </c>
      <c r="P93" s="11">
        <f t="shared" si="6"/>
        <v>600</v>
      </c>
      <c r="Q93" s="11">
        <f>P93*50%+12.5+150</f>
        <v>462.5</v>
      </c>
      <c r="R93" s="9" t="s">
        <v>36</v>
      </c>
      <c r="S93" s="11">
        <f t="shared" si="7"/>
        <v>137.5</v>
      </c>
      <c r="T93" s="8" t="s">
        <v>27</v>
      </c>
      <c r="U93" s="8" t="s">
        <v>72</v>
      </c>
      <c r="V93" s="8" t="s">
        <v>245</v>
      </c>
    </row>
    <row r="94" spans="1:22" x14ac:dyDescent="0.3">
      <c r="A94" s="9" t="s">
        <v>190</v>
      </c>
      <c r="B94" s="9">
        <v>44770</v>
      </c>
      <c r="C94" s="8" t="s">
        <v>44</v>
      </c>
      <c r="D94" s="16" t="s">
        <v>45</v>
      </c>
      <c r="E94" s="1" t="s">
        <v>181</v>
      </c>
      <c r="F94" s="1" t="s">
        <v>87</v>
      </c>
      <c r="G94" s="30">
        <v>242.2</v>
      </c>
      <c r="H94" s="10">
        <v>30275</v>
      </c>
      <c r="I94" s="8">
        <v>0</v>
      </c>
      <c r="J94" s="11">
        <f t="shared" si="4"/>
        <v>0</v>
      </c>
      <c r="K94" s="10">
        <v>1000</v>
      </c>
      <c r="L94" s="11">
        <f t="shared" si="5"/>
        <v>9082.5</v>
      </c>
      <c r="M94" s="8" t="s">
        <v>191</v>
      </c>
      <c r="N94" s="11">
        <v>9538.6000000000022</v>
      </c>
      <c r="O94" s="12">
        <v>2.5000000000000001E-2</v>
      </c>
      <c r="P94" s="11">
        <f t="shared" si="6"/>
        <v>756.875</v>
      </c>
      <c r="Q94" s="11">
        <f>P94*50%-65.94</f>
        <v>312.4975</v>
      </c>
      <c r="R94" s="9">
        <v>44804</v>
      </c>
      <c r="S94" s="11">
        <f t="shared" si="7"/>
        <v>444.3775</v>
      </c>
      <c r="T94" s="8" t="s">
        <v>27</v>
      </c>
      <c r="U94" s="8" t="s">
        <v>72</v>
      </c>
      <c r="V94" s="8" t="s">
        <v>246</v>
      </c>
    </row>
    <row r="95" spans="1:22" x14ac:dyDescent="0.3">
      <c r="A95" s="9" t="s">
        <v>192</v>
      </c>
      <c r="B95" s="9">
        <v>44744</v>
      </c>
      <c r="C95" s="8" t="s">
        <v>44</v>
      </c>
      <c r="D95" s="16" t="s">
        <v>45</v>
      </c>
      <c r="E95" s="1" t="s">
        <v>181</v>
      </c>
      <c r="F95" s="1" t="s">
        <v>126</v>
      </c>
      <c r="G95" s="30">
        <v>200</v>
      </c>
      <c r="H95" s="10">
        <v>25000</v>
      </c>
      <c r="I95" s="8">
        <v>0</v>
      </c>
      <c r="J95" s="11">
        <f t="shared" si="4"/>
        <v>0</v>
      </c>
      <c r="K95" s="10">
        <v>2500</v>
      </c>
      <c r="L95" s="11">
        <f t="shared" si="5"/>
        <v>7500</v>
      </c>
      <c r="M95" s="8" t="s">
        <v>50</v>
      </c>
      <c r="N95" s="11">
        <v>5937.5</v>
      </c>
      <c r="O95" s="12">
        <v>2.5000000000000001E-2</v>
      </c>
      <c r="P95" s="11">
        <f t="shared" si="6"/>
        <v>625</v>
      </c>
      <c r="Q95" s="11">
        <f>260.7+51.8+(312.5/2)</f>
        <v>468.75</v>
      </c>
      <c r="R95" s="9" t="s">
        <v>37</v>
      </c>
      <c r="S95" s="11">
        <f t="shared" si="7"/>
        <v>156.25</v>
      </c>
      <c r="T95" s="8" t="s">
        <v>27</v>
      </c>
      <c r="U95" s="8" t="s">
        <v>72</v>
      </c>
      <c r="V95" s="8" t="s">
        <v>21</v>
      </c>
    </row>
    <row r="96" spans="1:22" x14ac:dyDescent="0.3">
      <c r="A96" s="9" t="s">
        <v>193</v>
      </c>
      <c r="B96" s="9">
        <v>44753</v>
      </c>
      <c r="C96" s="8" t="s">
        <v>44</v>
      </c>
      <c r="D96" s="16" t="s">
        <v>45</v>
      </c>
      <c r="E96" s="1" t="s">
        <v>181</v>
      </c>
      <c r="F96" s="1" t="s">
        <v>194</v>
      </c>
      <c r="G96" s="30">
        <v>370.48</v>
      </c>
      <c r="H96" s="10">
        <v>46310</v>
      </c>
      <c r="I96" s="8">
        <v>0</v>
      </c>
      <c r="J96" s="11">
        <f t="shared" si="4"/>
        <v>0</v>
      </c>
      <c r="K96" s="10">
        <v>3000</v>
      </c>
      <c r="L96" s="11">
        <f t="shared" si="5"/>
        <v>13893</v>
      </c>
      <c r="M96" s="8" t="s">
        <v>50</v>
      </c>
      <c r="N96" s="11">
        <v>9000</v>
      </c>
      <c r="O96" s="12">
        <v>2.5000000000000001E-2</v>
      </c>
      <c r="P96" s="11">
        <f t="shared" si="6"/>
        <v>1157.75</v>
      </c>
      <c r="Q96" s="11">
        <f>P96*50%</f>
        <v>578.875</v>
      </c>
      <c r="R96" s="9">
        <v>44854</v>
      </c>
      <c r="S96" s="11">
        <f t="shared" si="7"/>
        <v>578.875</v>
      </c>
      <c r="T96" s="8" t="s">
        <v>27</v>
      </c>
      <c r="U96" s="8" t="s">
        <v>72</v>
      </c>
      <c r="V96" s="8" t="s">
        <v>245</v>
      </c>
    </row>
    <row r="97" spans="1:22" x14ac:dyDescent="0.3">
      <c r="A97" s="9" t="s">
        <v>195</v>
      </c>
      <c r="B97" s="9">
        <v>45064</v>
      </c>
      <c r="C97" s="8" t="s">
        <v>44</v>
      </c>
      <c r="D97" s="16" t="s">
        <v>45</v>
      </c>
      <c r="E97" s="1" t="s">
        <v>181</v>
      </c>
      <c r="F97" s="1" t="s">
        <v>91</v>
      </c>
      <c r="G97" s="30">
        <v>276.14999999999998</v>
      </c>
      <c r="H97" s="10">
        <v>34670.6325</v>
      </c>
      <c r="I97" s="14">
        <v>7.0000000000000007E-2</v>
      </c>
      <c r="J97" s="11">
        <f>37280.25*I97</f>
        <v>2609.6175000000003</v>
      </c>
      <c r="K97" s="10">
        <v>1500</v>
      </c>
      <c r="L97" s="11">
        <f>H97*30%</f>
        <v>10401.18975</v>
      </c>
      <c r="M97" s="8" t="s">
        <v>54</v>
      </c>
      <c r="N97" s="11">
        <v>17283.53</v>
      </c>
      <c r="O97" s="12">
        <v>3.5000000000000003E-2</v>
      </c>
      <c r="P97" s="11">
        <f>H97*O97</f>
        <v>1213.4721375000001</v>
      </c>
      <c r="Q97" s="11">
        <f>P97*100%</f>
        <v>1213.4721375000001</v>
      </c>
      <c r="R97" s="9">
        <v>45069</v>
      </c>
      <c r="S97" s="11">
        <f>+P97-Q97</f>
        <v>0</v>
      </c>
      <c r="T97" s="8" t="s">
        <v>21</v>
      </c>
      <c r="U97" s="8" t="s">
        <v>46</v>
      </c>
      <c r="V97" s="8" t="s">
        <v>246</v>
      </c>
    </row>
    <row r="98" spans="1:22" x14ac:dyDescent="0.3">
      <c r="A98" s="9" t="s">
        <v>195</v>
      </c>
      <c r="B98" s="9">
        <v>45061</v>
      </c>
      <c r="C98" s="8" t="s">
        <v>44</v>
      </c>
      <c r="D98" s="16" t="s">
        <v>45</v>
      </c>
      <c r="E98" s="1" t="s">
        <v>181</v>
      </c>
      <c r="F98" s="1" t="s">
        <v>93</v>
      </c>
      <c r="G98" s="30">
        <v>250</v>
      </c>
      <c r="H98" s="10">
        <v>31387.5</v>
      </c>
      <c r="I98" s="14">
        <v>7.0000000000000007E-2</v>
      </c>
      <c r="J98" s="11">
        <f>33750*I98</f>
        <v>2362.5</v>
      </c>
      <c r="K98" s="10">
        <v>1043.95</v>
      </c>
      <c r="L98" s="11">
        <f>H98*30%</f>
        <v>9416.25</v>
      </c>
      <c r="M98" s="8" t="s">
        <v>54</v>
      </c>
      <c r="N98" s="11">
        <v>15646.939999999999</v>
      </c>
      <c r="O98" s="12">
        <v>3.5000000000000003E-2</v>
      </c>
      <c r="P98" s="11">
        <f>H98*O98</f>
        <v>1098.5625</v>
      </c>
      <c r="Q98" s="11">
        <f>P98*100%</f>
        <v>1098.5625</v>
      </c>
      <c r="R98" s="9">
        <v>45069</v>
      </c>
      <c r="S98" s="11">
        <f>+P98-Q98</f>
        <v>0</v>
      </c>
      <c r="T98" s="8" t="s">
        <v>21</v>
      </c>
      <c r="U98" s="8" t="s">
        <v>46</v>
      </c>
      <c r="V98" s="8" t="s">
        <v>21</v>
      </c>
    </row>
    <row r="99" spans="1:22" x14ac:dyDescent="0.3">
      <c r="A99" s="9" t="s">
        <v>196</v>
      </c>
      <c r="B99" s="9">
        <v>45303</v>
      </c>
      <c r="C99" s="8" t="s">
        <v>44</v>
      </c>
      <c r="D99" s="16" t="s">
        <v>45</v>
      </c>
      <c r="E99" s="1" t="s">
        <v>181</v>
      </c>
      <c r="F99" s="1" t="s">
        <v>97</v>
      </c>
      <c r="G99" s="26">
        <v>220</v>
      </c>
      <c r="H99" s="10">
        <v>27918</v>
      </c>
      <c r="I99" s="8">
        <v>0</v>
      </c>
      <c r="J99" s="11">
        <f t="shared" ref="J99" si="8">H99*I99</f>
        <v>0</v>
      </c>
      <c r="K99" s="10">
        <v>11167.2</v>
      </c>
      <c r="L99" s="11">
        <f>H99*40%</f>
        <v>11167.2</v>
      </c>
      <c r="M99" s="8" t="s">
        <v>197</v>
      </c>
      <c r="N99" s="11">
        <v>13493.7</v>
      </c>
      <c r="O99" s="12">
        <v>3.5000000000000003E-2</v>
      </c>
      <c r="P99" s="11">
        <f t="shared" ref="P99" si="9">H99*O99</f>
        <v>977.13000000000011</v>
      </c>
      <c r="Q99" s="11">
        <f>P99*100%</f>
        <v>977.13000000000011</v>
      </c>
      <c r="R99" s="9">
        <v>45306</v>
      </c>
      <c r="S99" s="11">
        <f t="shared" ref="S99" si="10">+P99-Q99</f>
        <v>0</v>
      </c>
      <c r="T99" s="8" t="s">
        <v>21</v>
      </c>
      <c r="U99" s="8" t="s">
        <v>46</v>
      </c>
      <c r="V99" s="8" t="s">
        <v>245</v>
      </c>
    </row>
    <row r="100" spans="1:22" x14ac:dyDescent="0.3">
      <c r="A100" s="9" t="s">
        <v>198</v>
      </c>
      <c r="B100" s="9">
        <v>44567</v>
      </c>
      <c r="C100" s="8" t="s">
        <v>44</v>
      </c>
      <c r="D100" s="16" t="s">
        <v>45</v>
      </c>
      <c r="E100" s="1" t="s">
        <v>199</v>
      </c>
      <c r="F100" s="1" t="s">
        <v>57</v>
      </c>
      <c r="G100" s="30">
        <v>200.11</v>
      </c>
      <c r="H100" s="10">
        <v>22012.100000000002</v>
      </c>
      <c r="I100" s="8">
        <v>0</v>
      </c>
      <c r="J100" s="11">
        <f t="shared" si="4"/>
        <v>0</v>
      </c>
      <c r="K100" s="10">
        <v>1000</v>
      </c>
      <c r="L100" s="11">
        <f t="shared" si="5"/>
        <v>6603.63</v>
      </c>
      <c r="M100" s="8" t="s">
        <v>200</v>
      </c>
      <c r="N100" s="11">
        <v>22012.1</v>
      </c>
      <c r="O100" s="12">
        <v>2.5000000000000001E-2</v>
      </c>
      <c r="P100" s="11">
        <f t="shared" si="6"/>
        <v>550.30250000000012</v>
      </c>
      <c r="Q100" s="11">
        <f>P100*100%</f>
        <v>550.30250000000012</v>
      </c>
      <c r="R100" s="9">
        <v>44879</v>
      </c>
      <c r="S100" s="11">
        <f t="shared" si="7"/>
        <v>0</v>
      </c>
      <c r="T100" s="8" t="s">
        <v>21</v>
      </c>
      <c r="U100" s="8" t="s">
        <v>46</v>
      </c>
      <c r="V100" s="8" t="s">
        <v>246</v>
      </c>
    </row>
    <row r="101" spans="1:22" x14ac:dyDescent="0.3">
      <c r="A101" s="9" t="s">
        <v>201</v>
      </c>
      <c r="B101" s="9">
        <v>44521</v>
      </c>
      <c r="C101" s="8" t="s">
        <v>52</v>
      </c>
      <c r="D101" s="16" t="s">
        <v>45</v>
      </c>
      <c r="E101" s="1" t="s">
        <v>199</v>
      </c>
      <c r="F101" s="1">
        <v>11</v>
      </c>
      <c r="G101" s="30">
        <v>200.11</v>
      </c>
      <c r="H101" s="10">
        <v>20011</v>
      </c>
      <c r="I101" s="8">
        <v>0</v>
      </c>
      <c r="J101" s="11">
        <f t="shared" si="4"/>
        <v>0</v>
      </c>
      <c r="K101" s="10">
        <v>2000</v>
      </c>
      <c r="L101" s="11">
        <f t="shared" si="5"/>
        <v>6003.3</v>
      </c>
      <c r="M101" s="8" t="s">
        <v>202</v>
      </c>
      <c r="N101" s="11">
        <v>11202.7</v>
      </c>
      <c r="O101" s="12">
        <v>2.5000000000000001E-2</v>
      </c>
      <c r="P101" s="11">
        <f t="shared" si="6"/>
        <v>500.27500000000003</v>
      </c>
      <c r="Q101" s="8"/>
      <c r="R101" s="9"/>
      <c r="S101" s="11">
        <f t="shared" si="7"/>
        <v>500.27500000000003</v>
      </c>
      <c r="T101" s="8"/>
      <c r="U101" s="8" t="s">
        <v>46</v>
      </c>
      <c r="V101" s="8" t="s">
        <v>21</v>
      </c>
    </row>
    <row r="102" spans="1:22" x14ac:dyDescent="0.3">
      <c r="A102" s="9" t="s">
        <v>203</v>
      </c>
      <c r="B102" s="9">
        <v>44522</v>
      </c>
      <c r="C102" s="8" t="s">
        <v>52</v>
      </c>
      <c r="D102" s="16" t="s">
        <v>45</v>
      </c>
      <c r="E102" s="1" t="s">
        <v>199</v>
      </c>
      <c r="F102" s="1">
        <v>13</v>
      </c>
      <c r="G102" s="30">
        <v>200.09</v>
      </c>
      <c r="H102" s="10">
        <v>20009</v>
      </c>
      <c r="I102" s="8">
        <v>0</v>
      </c>
      <c r="J102" s="11">
        <f t="shared" si="4"/>
        <v>0</v>
      </c>
      <c r="K102" s="10">
        <v>2000</v>
      </c>
      <c r="L102" s="11">
        <f t="shared" si="5"/>
        <v>6002.7</v>
      </c>
      <c r="M102" s="8">
        <v>0</v>
      </c>
      <c r="N102" s="11">
        <v>3500</v>
      </c>
      <c r="O102" s="12">
        <v>2.5000000000000001E-2</v>
      </c>
      <c r="P102" s="11">
        <f t="shared" si="6"/>
        <v>500.22500000000002</v>
      </c>
      <c r="Q102" s="8"/>
      <c r="R102" s="9"/>
      <c r="S102" s="11">
        <f t="shared" si="7"/>
        <v>500.22500000000002</v>
      </c>
      <c r="T102" s="8"/>
      <c r="U102" s="8" t="s">
        <v>46</v>
      </c>
      <c r="V102" s="8" t="s">
        <v>245</v>
      </c>
    </row>
    <row r="103" spans="1:22" x14ac:dyDescent="0.3">
      <c r="A103" s="9" t="s">
        <v>204</v>
      </c>
      <c r="B103" s="9">
        <v>44525</v>
      </c>
      <c r="C103" s="8" t="s">
        <v>205</v>
      </c>
      <c r="D103" s="16" t="s">
        <v>45</v>
      </c>
      <c r="E103" s="1" t="s">
        <v>199</v>
      </c>
      <c r="F103" s="1">
        <v>15</v>
      </c>
      <c r="G103" s="30">
        <v>206.02</v>
      </c>
      <c r="H103" s="10">
        <v>20602</v>
      </c>
      <c r="I103" s="8">
        <v>0</v>
      </c>
      <c r="J103" s="11">
        <f t="shared" si="4"/>
        <v>0</v>
      </c>
      <c r="K103" s="10">
        <v>2000</v>
      </c>
      <c r="L103" s="11">
        <f t="shared" si="5"/>
        <v>6180.5999999999995</v>
      </c>
      <c r="M103" s="8" t="s">
        <v>206</v>
      </c>
      <c r="N103" s="11">
        <v>8027.5599999999995</v>
      </c>
      <c r="O103" s="12">
        <v>2.5000000000000001E-2</v>
      </c>
      <c r="P103" s="11">
        <f t="shared" si="6"/>
        <v>515.05000000000007</v>
      </c>
      <c r="Q103" s="8"/>
      <c r="R103" s="9"/>
      <c r="S103" s="11">
        <f t="shared" si="7"/>
        <v>515.05000000000007</v>
      </c>
      <c r="T103" s="8"/>
      <c r="U103" s="8" t="s">
        <v>46</v>
      </c>
      <c r="V103" s="8" t="s">
        <v>246</v>
      </c>
    </row>
    <row r="104" spans="1:22" x14ac:dyDescent="0.3">
      <c r="A104" s="9" t="s">
        <v>207</v>
      </c>
      <c r="B104" s="9">
        <v>44769</v>
      </c>
      <c r="C104" s="8" t="s">
        <v>52</v>
      </c>
      <c r="D104" s="16" t="s">
        <v>45</v>
      </c>
      <c r="E104" s="1" t="s">
        <v>199</v>
      </c>
      <c r="F104" s="1" t="s">
        <v>84</v>
      </c>
      <c r="G104" s="30">
        <v>200.54</v>
      </c>
      <c r="H104" s="10">
        <v>24067</v>
      </c>
      <c r="I104" s="8">
        <v>0</v>
      </c>
      <c r="J104" s="11">
        <f t="shared" si="4"/>
        <v>0</v>
      </c>
      <c r="K104" s="10">
        <v>1000</v>
      </c>
      <c r="L104" s="11">
        <f t="shared" si="5"/>
        <v>7220.0999999999995</v>
      </c>
      <c r="M104" s="8" t="s">
        <v>208</v>
      </c>
      <c r="N104" s="11">
        <v>14493.18</v>
      </c>
      <c r="O104" s="12">
        <v>2.5000000000000001E-2</v>
      </c>
      <c r="P104" s="11">
        <f t="shared" si="6"/>
        <v>601.67500000000007</v>
      </c>
      <c r="Q104" s="8"/>
      <c r="R104" s="9"/>
      <c r="S104" s="11">
        <f t="shared" si="7"/>
        <v>601.67500000000007</v>
      </c>
      <c r="T104" s="8"/>
      <c r="U104" s="8" t="s">
        <v>46</v>
      </c>
      <c r="V104" s="8" t="s">
        <v>21</v>
      </c>
    </row>
    <row r="105" spans="1:22" x14ac:dyDescent="0.3">
      <c r="A105" s="9" t="s">
        <v>209</v>
      </c>
      <c r="B105" s="9">
        <v>44770</v>
      </c>
      <c r="C105" s="8" t="s">
        <v>52</v>
      </c>
      <c r="D105" s="16" t="s">
        <v>45</v>
      </c>
      <c r="E105" s="1" t="s">
        <v>199</v>
      </c>
      <c r="F105" s="1" t="s">
        <v>89</v>
      </c>
      <c r="G105" s="30">
        <v>200.18</v>
      </c>
      <c r="H105" s="10">
        <v>25022.5</v>
      </c>
      <c r="I105" s="8">
        <v>0</v>
      </c>
      <c r="J105" s="11">
        <f t="shared" si="4"/>
        <v>0</v>
      </c>
      <c r="K105" s="10">
        <v>1000</v>
      </c>
      <c r="L105" s="11">
        <f t="shared" si="5"/>
        <v>7506.75</v>
      </c>
      <c r="M105" s="8" t="s">
        <v>208</v>
      </c>
      <c r="N105" s="11">
        <v>5421.9500000000007</v>
      </c>
      <c r="O105" s="12">
        <v>2.5000000000000001E-2</v>
      </c>
      <c r="P105" s="11">
        <f t="shared" si="6"/>
        <v>625.5625</v>
      </c>
      <c r="Q105" s="8"/>
      <c r="R105" s="9"/>
      <c r="S105" s="11">
        <f t="shared" si="7"/>
        <v>625.5625</v>
      </c>
      <c r="T105" s="8"/>
      <c r="U105" s="8" t="s">
        <v>46</v>
      </c>
      <c r="V105" s="8" t="s">
        <v>245</v>
      </c>
    </row>
    <row r="106" spans="1:22" x14ac:dyDescent="0.3">
      <c r="A106" s="9" t="s">
        <v>210</v>
      </c>
      <c r="B106" s="9">
        <v>44530</v>
      </c>
      <c r="C106" s="8" t="s">
        <v>44</v>
      </c>
      <c r="D106" s="16" t="s">
        <v>45</v>
      </c>
      <c r="E106" s="1" t="s">
        <v>199</v>
      </c>
      <c r="F106" s="1" t="s">
        <v>95</v>
      </c>
      <c r="G106" s="30">
        <v>200</v>
      </c>
      <c r="H106" s="10">
        <v>20000</v>
      </c>
      <c r="I106" s="8">
        <v>0</v>
      </c>
      <c r="J106" s="11">
        <f t="shared" si="4"/>
        <v>0</v>
      </c>
      <c r="K106" s="10">
        <v>500</v>
      </c>
      <c r="L106" s="11">
        <f t="shared" si="5"/>
        <v>6000</v>
      </c>
      <c r="M106" s="8" t="s">
        <v>211</v>
      </c>
      <c r="N106" s="11">
        <v>10301</v>
      </c>
      <c r="O106" s="12">
        <v>2.5000000000000001E-2</v>
      </c>
      <c r="P106" s="11">
        <f t="shared" si="6"/>
        <v>500</v>
      </c>
      <c r="Q106" s="11">
        <f>P106*50%+250</f>
        <v>500</v>
      </c>
      <c r="R106" s="9" t="s">
        <v>20</v>
      </c>
      <c r="S106" s="11">
        <f t="shared" si="7"/>
        <v>0</v>
      </c>
      <c r="T106" s="8" t="s">
        <v>21</v>
      </c>
      <c r="U106" s="8" t="s">
        <v>46</v>
      </c>
      <c r="V106" s="8" t="s">
        <v>246</v>
      </c>
    </row>
    <row r="107" spans="1:22" x14ac:dyDescent="0.3">
      <c r="A107" s="9" t="s">
        <v>212</v>
      </c>
      <c r="B107" s="9">
        <v>44529</v>
      </c>
      <c r="C107" s="8" t="s">
        <v>44</v>
      </c>
      <c r="D107" s="16" t="s">
        <v>45</v>
      </c>
      <c r="E107" s="1" t="s">
        <v>199</v>
      </c>
      <c r="F107" s="1" t="s">
        <v>129</v>
      </c>
      <c r="G107" s="30">
        <v>200.11</v>
      </c>
      <c r="H107" s="10">
        <v>20011</v>
      </c>
      <c r="I107" s="8">
        <v>0</v>
      </c>
      <c r="J107" s="11">
        <f t="shared" si="4"/>
        <v>0</v>
      </c>
      <c r="K107" s="10">
        <v>500</v>
      </c>
      <c r="L107" s="11">
        <f t="shared" si="5"/>
        <v>6003.3</v>
      </c>
      <c r="M107" s="8" t="s">
        <v>211</v>
      </c>
      <c r="N107" s="11">
        <v>7519.2</v>
      </c>
      <c r="O107" s="12">
        <v>2.5000000000000001E-2</v>
      </c>
      <c r="P107" s="11">
        <f t="shared" si="6"/>
        <v>500.27500000000003</v>
      </c>
      <c r="Q107" s="11">
        <f>P107*50%+250.14</f>
        <v>500.27750000000003</v>
      </c>
      <c r="R107" s="9" t="s">
        <v>20</v>
      </c>
      <c r="S107" s="11">
        <f t="shared" si="7"/>
        <v>-2.4999999999977263E-3</v>
      </c>
      <c r="T107" s="8" t="s">
        <v>21</v>
      </c>
      <c r="U107" s="8" t="s">
        <v>46</v>
      </c>
      <c r="V107" s="8" t="s">
        <v>21</v>
      </c>
    </row>
    <row r="108" spans="1:22" x14ac:dyDescent="0.3">
      <c r="A108" s="9" t="s">
        <v>213</v>
      </c>
      <c r="B108" s="9">
        <v>44529</v>
      </c>
      <c r="C108" s="8" t="s">
        <v>44</v>
      </c>
      <c r="D108" s="16" t="s">
        <v>45</v>
      </c>
      <c r="E108" s="1" t="s">
        <v>199</v>
      </c>
      <c r="F108" s="1" t="s">
        <v>214</v>
      </c>
      <c r="G108" s="30">
        <v>200.13</v>
      </c>
      <c r="H108" s="10">
        <v>20013</v>
      </c>
      <c r="I108" s="8">
        <v>0</v>
      </c>
      <c r="J108" s="11">
        <f t="shared" si="4"/>
        <v>0</v>
      </c>
      <c r="K108" s="10">
        <v>500</v>
      </c>
      <c r="L108" s="11">
        <f t="shared" si="5"/>
        <v>6003.9</v>
      </c>
      <c r="M108" s="8" t="s">
        <v>211</v>
      </c>
      <c r="N108" s="11">
        <v>9801.4</v>
      </c>
      <c r="O108" s="12">
        <v>2.5000000000000001E-2</v>
      </c>
      <c r="P108" s="11">
        <f t="shared" si="6"/>
        <v>500.32500000000005</v>
      </c>
      <c r="Q108" s="11">
        <f>P108*50%+37.34+212.82</f>
        <v>500.32250000000005</v>
      </c>
      <c r="R108" s="9">
        <v>44590</v>
      </c>
      <c r="S108" s="11">
        <f t="shared" si="7"/>
        <v>2.4999999999977263E-3</v>
      </c>
      <c r="T108" s="8" t="s">
        <v>21</v>
      </c>
      <c r="U108" s="8" t="s">
        <v>46</v>
      </c>
      <c r="V108" s="8" t="s">
        <v>245</v>
      </c>
    </row>
    <row r="109" spans="1:22" x14ac:dyDescent="0.3">
      <c r="A109" s="9" t="s">
        <v>215</v>
      </c>
      <c r="B109" s="9">
        <v>44804</v>
      </c>
      <c r="C109" s="8" t="s">
        <v>52</v>
      </c>
      <c r="D109" s="16" t="s">
        <v>45</v>
      </c>
      <c r="E109" s="1" t="s">
        <v>199</v>
      </c>
      <c r="F109" s="1" t="s">
        <v>97</v>
      </c>
      <c r="G109" s="30">
        <v>302.92</v>
      </c>
      <c r="H109" s="10">
        <v>39379.599999999999</v>
      </c>
      <c r="I109" s="8">
        <v>0</v>
      </c>
      <c r="J109" s="11">
        <f t="shared" si="4"/>
        <v>0</v>
      </c>
      <c r="K109" s="10">
        <v>1000</v>
      </c>
      <c r="L109" s="11">
        <f t="shared" si="5"/>
        <v>11813.88</v>
      </c>
      <c r="M109" s="8" t="s">
        <v>191</v>
      </c>
      <c r="N109" s="11">
        <v>4198.3</v>
      </c>
      <c r="O109" s="12">
        <v>2.5000000000000001E-2</v>
      </c>
      <c r="P109" s="11">
        <f t="shared" si="6"/>
        <v>984.49</v>
      </c>
      <c r="Q109" s="8"/>
      <c r="R109" s="9"/>
      <c r="S109" s="11">
        <f t="shared" si="7"/>
        <v>984.49</v>
      </c>
      <c r="T109" s="8"/>
      <c r="U109" s="8" t="s">
        <v>46</v>
      </c>
      <c r="V109" s="8" t="s">
        <v>246</v>
      </c>
    </row>
    <row r="110" spans="1:22" x14ac:dyDescent="0.3">
      <c r="A110" s="9" t="s">
        <v>216</v>
      </c>
      <c r="B110" s="9">
        <v>45068</v>
      </c>
      <c r="C110" s="8" t="s">
        <v>44</v>
      </c>
      <c r="D110" s="16" t="s">
        <v>45</v>
      </c>
      <c r="E110" s="1" t="s">
        <v>217</v>
      </c>
      <c r="F110" s="1" t="s">
        <v>45</v>
      </c>
      <c r="G110" s="30">
        <v>200</v>
      </c>
      <c r="H110" s="10">
        <v>26000</v>
      </c>
      <c r="I110" s="8">
        <v>0</v>
      </c>
      <c r="J110" s="11">
        <f>H110*I110</f>
        <v>0</v>
      </c>
      <c r="K110" s="10">
        <v>3000</v>
      </c>
      <c r="L110" s="11">
        <f>H110*30%</f>
        <v>7800</v>
      </c>
      <c r="M110" s="8" t="s">
        <v>103</v>
      </c>
      <c r="N110" s="11">
        <v>13555.060000000001</v>
      </c>
      <c r="O110" s="12">
        <v>2.5000000000000001E-2</v>
      </c>
      <c r="P110" s="11">
        <f>H110*O110</f>
        <v>650</v>
      </c>
      <c r="Q110" s="15">
        <f>625.89/2+675</f>
        <v>987.94499999999994</v>
      </c>
      <c r="R110" s="9" t="s">
        <v>38</v>
      </c>
      <c r="S110" s="13">
        <f>+P110-Q110</f>
        <v>-337.94499999999994</v>
      </c>
      <c r="T110" s="8" t="s">
        <v>21</v>
      </c>
      <c r="U110" s="8" t="s">
        <v>46</v>
      </c>
      <c r="V110" s="8" t="s">
        <v>21</v>
      </c>
    </row>
    <row r="111" spans="1:22" x14ac:dyDescent="0.3">
      <c r="A111" s="9" t="s">
        <v>216</v>
      </c>
      <c r="B111" s="9">
        <v>45068</v>
      </c>
      <c r="C111" s="8" t="s">
        <v>44</v>
      </c>
      <c r="D111" s="16" t="s">
        <v>45</v>
      </c>
      <c r="E111" s="1" t="s">
        <v>217</v>
      </c>
      <c r="F111" s="1" t="s">
        <v>108</v>
      </c>
      <c r="G111" s="30">
        <v>200</v>
      </c>
      <c r="H111" s="10">
        <v>26000</v>
      </c>
      <c r="I111" s="8">
        <v>0</v>
      </c>
      <c r="J111" s="11">
        <f>H111*I111</f>
        <v>0</v>
      </c>
      <c r="K111" s="10">
        <v>566.96</v>
      </c>
      <c r="L111" s="11">
        <f>H111*30%</f>
        <v>7800</v>
      </c>
      <c r="M111" s="8" t="s">
        <v>152</v>
      </c>
      <c r="N111" s="11">
        <v>13555.060000000001</v>
      </c>
      <c r="O111" s="12">
        <v>2.5000000000000001E-2</v>
      </c>
      <c r="P111" s="11">
        <f>H111*O111</f>
        <v>650</v>
      </c>
      <c r="Q111" s="15">
        <f>625.89/2+675</f>
        <v>987.94499999999994</v>
      </c>
      <c r="R111" s="9" t="s">
        <v>38</v>
      </c>
      <c r="S111" s="13">
        <f>+P111-Q111</f>
        <v>-337.94499999999994</v>
      </c>
      <c r="T111" s="8" t="s">
        <v>21</v>
      </c>
      <c r="U111" s="8" t="s">
        <v>46</v>
      </c>
      <c r="V111" s="8" t="s">
        <v>245</v>
      </c>
    </row>
    <row r="112" spans="1:22" x14ac:dyDescent="0.3">
      <c r="A112" s="9" t="s">
        <v>218</v>
      </c>
      <c r="B112" s="9">
        <v>44491</v>
      </c>
      <c r="C112" s="8" t="s">
        <v>44</v>
      </c>
      <c r="D112" s="16" t="s">
        <v>45</v>
      </c>
      <c r="E112" s="1" t="s">
        <v>219</v>
      </c>
      <c r="F112" s="1" t="s">
        <v>45</v>
      </c>
      <c r="G112" s="30">
        <v>200.16</v>
      </c>
      <c r="H112" s="10">
        <v>15000</v>
      </c>
      <c r="I112" s="8">
        <v>0</v>
      </c>
      <c r="J112" s="11">
        <f t="shared" si="4"/>
        <v>0</v>
      </c>
      <c r="K112" s="10">
        <v>1000</v>
      </c>
      <c r="L112" s="11">
        <f t="shared" si="5"/>
        <v>4500</v>
      </c>
      <c r="M112" s="8" t="s">
        <v>21</v>
      </c>
      <c r="N112" s="11">
        <v>15000</v>
      </c>
      <c r="O112" s="12">
        <v>0.04</v>
      </c>
      <c r="P112" s="11">
        <f t="shared" si="6"/>
        <v>600</v>
      </c>
      <c r="Q112" s="11">
        <f>P112*100%</f>
        <v>600</v>
      </c>
      <c r="R112" s="9">
        <v>44490</v>
      </c>
      <c r="S112" s="11">
        <f t="shared" si="7"/>
        <v>0</v>
      </c>
      <c r="T112" s="8" t="s">
        <v>21</v>
      </c>
      <c r="U112" s="8" t="s">
        <v>46</v>
      </c>
      <c r="V112" s="8" t="s">
        <v>246</v>
      </c>
    </row>
    <row r="113" spans="1:22" x14ac:dyDescent="0.3">
      <c r="A113" s="9" t="s">
        <v>220</v>
      </c>
      <c r="B113" s="9">
        <v>44491</v>
      </c>
      <c r="C113" s="8" t="s">
        <v>44</v>
      </c>
      <c r="D113" s="16" t="s">
        <v>45</v>
      </c>
      <c r="E113" s="1" t="s">
        <v>219</v>
      </c>
      <c r="F113" s="1" t="s">
        <v>108</v>
      </c>
      <c r="G113" s="30">
        <v>206.9</v>
      </c>
      <c r="H113" s="10">
        <v>15000</v>
      </c>
      <c r="I113" s="8">
        <v>0</v>
      </c>
      <c r="J113" s="11">
        <f t="shared" si="4"/>
        <v>0</v>
      </c>
      <c r="K113" s="10">
        <v>1000</v>
      </c>
      <c r="L113" s="11">
        <f t="shared" si="5"/>
        <v>4500</v>
      </c>
      <c r="M113" s="8" t="s">
        <v>21</v>
      </c>
      <c r="N113" s="11">
        <v>15000</v>
      </c>
      <c r="O113" s="12">
        <v>0.04</v>
      </c>
      <c r="P113" s="11">
        <f t="shared" si="6"/>
        <v>600</v>
      </c>
      <c r="Q113" s="11">
        <f t="shared" ref="Q113:Q115" si="11">P113*100%</f>
        <v>600</v>
      </c>
      <c r="R113" s="9">
        <v>44490</v>
      </c>
      <c r="S113" s="11">
        <f t="shared" si="7"/>
        <v>0</v>
      </c>
      <c r="T113" s="8" t="s">
        <v>21</v>
      </c>
      <c r="U113" s="8" t="s">
        <v>46</v>
      </c>
      <c r="V113" s="8" t="s">
        <v>21</v>
      </c>
    </row>
    <row r="114" spans="1:22" x14ac:dyDescent="0.3">
      <c r="A114" s="9" t="s">
        <v>218</v>
      </c>
      <c r="B114" s="9">
        <v>44496</v>
      </c>
      <c r="C114" s="8" t="s">
        <v>44</v>
      </c>
      <c r="D114" s="16" t="s">
        <v>45</v>
      </c>
      <c r="E114" s="1" t="s">
        <v>219</v>
      </c>
      <c r="F114" s="1" t="s">
        <v>49</v>
      </c>
      <c r="G114" s="30">
        <v>204.22</v>
      </c>
      <c r="H114" s="10">
        <v>13000</v>
      </c>
      <c r="I114" s="8">
        <v>0</v>
      </c>
      <c r="J114" s="11">
        <f t="shared" si="4"/>
        <v>0</v>
      </c>
      <c r="K114" s="10">
        <v>1000</v>
      </c>
      <c r="L114" s="11">
        <f t="shared" si="5"/>
        <v>3900</v>
      </c>
      <c r="M114" s="8" t="s">
        <v>21</v>
      </c>
      <c r="N114" s="11">
        <v>13000</v>
      </c>
      <c r="O114" s="12">
        <v>3.6900000000000002E-2</v>
      </c>
      <c r="P114" s="11">
        <f>H114*O114+0.3</f>
        <v>480.00000000000006</v>
      </c>
      <c r="Q114" s="11">
        <f t="shared" si="11"/>
        <v>480.00000000000006</v>
      </c>
      <c r="R114" s="9">
        <v>44490</v>
      </c>
      <c r="S114" s="11">
        <f t="shared" si="7"/>
        <v>0</v>
      </c>
      <c r="T114" s="8" t="s">
        <v>21</v>
      </c>
      <c r="U114" s="8" t="s">
        <v>46</v>
      </c>
      <c r="V114" s="8" t="s">
        <v>245</v>
      </c>
    </row>
    <row r="115" spans="1:22" x14ac:dyDescent="0.3">
      <c r="A115" s="9" t="s">
        <v>218</v>
      </c>
      <c r="B115" s="9">
        <v>44496</v>
      </c>
      <c r="C115" s="8" t="s">
        <v>44</v>
      </c>
      <c r="D115" s="16" t="s">
        <v>45</v>
      </c>
      <c r="E115" s="1" t="s">
        <v>219</v>
      </c>
      <c r="F115" s="1" t="s">
        <v>53</v>
      </c>
      <c r="G115" s="30">
        <v>205.01</v>
      </c>
      <c r="H115" s="10">
        <v>15000</v>
      </c>
      <c r="I115" s="8">
        <v>0</v>
      </c>
      <c r="J115" s="11">
        <f t="shared" si="4"/>
        <v>0</v>
      </c>
      <c r="K115" s="10">
        <v>1000</v>
      </c>
      <c r="L115" s="11">
        <f t="shared" si="5"/>
        <v>4500</v>
      </c>
      <c r="M115" s="8" t="s">
        <v>21</v>
      </c>
      <c r="N115" s="11">
        <v>15000</v>
      </c>
      <c r="O115" s="12">
        <v>0.04</v>
      </c>
      <c r="P115" s="11">
        <f t="shared" si="6"/>
        <v>600</v>
      </c>
      <c r="Q115" s="11">
        <f t="shared" si="11"/>
        <v>600</v>
      </c>
      <c r="R115" s="9">
        <v>44490</v>
      </c>
      <c r="S115" s="11">
        <f t="shared" si="7"/>
        <v>0</v>
      </c>
      <c r="T115" s="8" t="s">
        <v>21</v>
      </c>
      <c r="U115" s="8" t="s">
        <v>46</v>
      </c>
      <c r="V115" s="8" t="s">
        <v>246</v>
      </c>
    </row>
    <row r="116" spans="1:22" x14ac:dyDescent="0.3">
      <c r="A116" s="9" t="s">
        <v>176</v>
      </c>
      <c r="B116" s="9">
        <v>44500</v>
      </c>
      <c r="C116" s="8" t="s">
        <v>44</v>
      </c>
      <c r="D116" s="16" t="s">
        <v>45</v>
      </c>
      <c r="E116" s="1" t="s">
        <v>219</v>
      </c>
      <c r="F116" s="1" t="s">
        <v>162</v>
      </c>
      <c r="G116" s="30">
        <v>204.42</v>
      </c>
      <c r="H116" s="10">
        <v>18397.8</v>
      </c>
      <c r="I116" s="8">
        <v>0</v>
      </c>
      <c r="J116" s="11">
        <f t="shared" si="4"/>
        <v>0</v>
      </c>
      <c r="K116" s="10">
        <v>500</v>
      </c>
      <c r="L116" s="11">
        <f t="shared" si="5"/>
        <v>5519.3399999999992</v>
      </c>
      <c r="M116" s="8" t="s">
        <v>21</v>
      </c>
      <c r="N116" s="11">
        <v>18397.8</v>
      </c>
      <c r="O116" s="12">
        <v>2.5000000000000001E-2</v>
      </c>
      <c r="P116" s="11">
        <f t="shared" si="6"/>
        <v>459.94499999999999</v>
      </c>
      <c r="Q116" s="11">
        <f>P116*50%</f>
        <v>229.9725</v>
      </c>
      <c r="R116" s="9">
        <v>44590</v>
      </c>
      <c r="S116" s="11">
        <f t="shared" si="7"/>
        <v>229.9725</v>
      </c>
      <c r="T116" s="8" t="s">
        <v>27</v>
      </c>
      <c r="U116" s="8" t="s">
        <v>72</v>
      </c>
      <c r="V116" s="8" t="s">
        <v>21</v>
      </c>
    </row>
    <row r="117" spans="1:22" x14ac:dyDescent="0.3">
      <c r="A117" s="9" t="s">
        <v>221</v>
      </c>
      <c r="B117" s="9">
        <v>44760</v>
      </c>
      <c r="C117" s="8" t="s">
        <v>44</v>
      </c>
      <c r="D117" s="16" t="s">
        <v>45</v>
      </c>
      <c r="E117" s="1" t="s">
        <v>219</v>
      </c>
      <c r="F117" s="1" t="s">
        <v>171</v>
      </c>
      <c r="G117" s="30">
        <v>229.27</v>
      </c>
      <c r="H117" s="10">
        <v>28658.75</v>
      </c>
      <c r="I117" s="8">
        <v>0</v>
      </c>
      <c r="J117" s="11">
        <f t="shared" si="4"/>
        <v>0</v>
      </c>
      <c r="K117" s="10">
        <v>1000</v>
      </c>
      <c r="L117" s="11">
        <f t="shared" si="5"/>
        <v>8597.625</v>
      </c>
      <c r="M117" s="8" t="s">
        <v>50</v>
      </c>
      <c r="N117" s="11">
        <v>9451.2999999999975</v>
      </c>
      <c r="O117" s="12">
        <v>2.5000000000000001E-2</v>
      </c>
      <c r="P117" s="11">
        <f t="shared" si="6"/>
        <v>716.46875</v>
      </c>
      <c r="Q117" s="11">
        <f>P117*50%+(44.78+44.78)</f>
        <v>447.794375</v>
      </c>
      <c r="R117" s="9" t="s">
        <v>39</v>
      </c>
      <c r="S117" s="11">
        <f>+P117-Q117</f>
        <v>268.674375</v>
      </c>
      <c r="T117" s="8" t="s">
        <v>22</v>
      </c>
      <c r="U117" s="8" t="s">
        <v>63</v>
      </c>
      <c r="V117" s="8" t="s">
        <v>245</v>
      </c>
    </row>
    <row r="118" spans="1:22" x14ac:dyDescent="0.3">
      <c r="A118" s="9" t="s">
        <v>222</v>
      </c>
      <c r="B118" s="9">
        <v>44942</v>
      </c>
      <c r="C118" s="8" t="s">
        <v>44</v>
      </c>
      <c r="D118" s="16" t="s">
        <v>45</v>
      </c>
      <c r="E118" s="1" t="s">
        <v>219</v>
      </c>
      <c r="F118" s="1" t="s">
        <v>115</v>
      </c>
      <c r="G118" s="30">
        <v>208.03</v>
      </c>
      <c r="H118" s="10">
        <v>26003.75</v>
      </c>
      <c r="I118" s="8">
        <v>0</v>
      </c>
      <c r="J118" s="11">
        <f t="shared" si="4"/>
        <v>0</v>
      </c>
      <c r="K118" s="10">
        <v>2000</v>
      </c>
      <c r="L118" s="11">
        <f t="shared" si="5"/>
        <v>7801.125</v>
      </c>
      <c r="M118" s="8" t="s">
        <v>79</v>
      </c>
      <c r="N118" s="11">
        <v>3968</v>
      </c>
      <c r="O118" s="12">
        <v>2.5000000000000001E-2</v>
      </c>
      <c r="P118" s="11">
        <f t="shared" si="6"/>
        <v>650.09375</v>
      </c>
      <c r="Q118" s="11">
        <f>P118*50%</f>
        <v>325.046875</v>
      </c>
      <c r="R118" s="9">
        <v>44971</v>
      </c>
      <c r="S118" s="11">
        <f t="shared" si="7"/>
        <v>325.046875</v>
      </c>
      <c r="T118" s="8" t="s">
        <v>27</v>
      </c>
      <c r="U118" s="8" t="s">
        <v>72</v>
      </c>
      <c r="V118" s="8" t="s">
        <v>246</v>
      </c>
    </row>
    <row r="119" spans="1:22" x14ac:dyDescent="0.3">
      <c r="A119" s="9" t="s">
        <v>223</v>
      </c>
      <c r="B119" s="9">
        <v>44959</v>
      </c>
      <c r="C119" s="8" t="s">
        <v>44</v>
      </c>
      <c r="D119" s="16" t="s">
        <v>45</v>
      </c>
      <c r="E119" s="1" t="s">
        <v>219</v>
      </c>
      <c r="F119" s="1" t="s">
        <v>59</v>
      </c>
      <c r="G119" s="30">
        <v>202.62</v>
      </c>
      <c r="H119" s="10">
        <v>21000</v>
      </c>
      <c r="I119" s="8">
        <v>0</v>
      </c>
      <c r="J119" s="11">
        <f t="shared" si="4"/>
        <v>0</v>
      </c>
      <c r="K119" s="10">
        <v>5000</v>
      </c>
      <c r="L119" s="11">
        <f t="shared" si="5"/>
        <v>6300</v>
      </c>
      <c r="M119" s="8" t="s">
        <v>224</v>
      </c>
      <c r="N119" s="11">
        <v>21000</v>
      </c>
      <c r="O119" s="12">
        <v>2.5000000000000001E-2</v>
      </c>
      <c r="P119" s="11">
        <v>1000</v>
      </c>
      <c r="Q119" s="11">
        <f>P119*100%</f>
        <v>1000</v>
      </c>
      <c r="R119" s="9">
        <v>44960</v>
      </c>
      <c r="S119" s="11">
        <f t="shared" si="7"/>
        <v>0</v>
      </c>
      <c r="T119" s="8" t="s">
        <v>21</v>
      </c>
      <c r="U119" s="8" t="s">
        <v>46</v>
      </c>
      <c r="V119" s="8" t="s">
        <v>21</v>
      </c>
    </row>
    <row r="120" spans="1:22" x14ac:dyDescent="0.3">
      <c r="A120" s="9" t="s">
        <v>225</v>
      </c>
      <c r="B120" s="9">
        <v>44735</v>
      </c>
      <c r="C120" s="8" t="s">
        <v>44</v>
      </c>
      <c r="D120" s="16" t="s">
        <v>45</v>
      </c>
      <c r="E120" s="1" t="s">
        <v>219</v>
      </c>
      <c r="F120" s="1" t="s">
        <v>61</v>
      </c>
      <c r="G120" s="30">
        <v>244.61</v>
      </c>
      <c r="H120" s="10">
        <v>30577.25</v>
      </c>
      <c r="I120" s="8">
        <v>0</v>
      </c>
      <c r="J120" s="11">
        <f t="shared" si="4"/>
        <v>0</v>
      </c>
      <c r="K120" s="10">
        <v>1000</v>
      </c>
      <c r="L120" s="11">
        <f t="shared" si="5"/>
        <v>9173.1749999999993</v>
      </c>
      <c r="M120" s="8" t="s">
        <v>226</v>
      </c>
      <c r="N120" s="11">
        <v>13940.050000000007</v>
      </c>
      <c r="O120" s="12">
        <v>2.5000000000000001E-2</v>
      </c>
      <c r="P120" s="11">
        <f t="shared" si="6"/>
        <v>764.43125000000009</v>
      </c>
      <c r="Q120" s="11">
        <f>P120*50%-0.02+(382.24/2)+(95.56+95.56)</f>
        <v>764.43562500000007</v>
      </c>
      <c r="R120" s="9" t="s">
        <v>40</v>
      </c>
      <c r="S120" s="11">
        <f t="shared" si="7"/>
        <v>-4.3749999999818101E-3</v>
      </c>
      <c r="T120" s="8" t="s">
        <v>21</v>
      </c>
      <c r="U120" s="8" t="s">
        <v>46</v>
      </c>
      <c r="V120" s="8" t="s">
        <v>245</v>
      </c>
    </row>
    <row r="121" spans="1:22" x14ac:dyDescent="0.3">
      <c r="A121" s="9" t="s">
        <v>227</v>
      </c>
      <c r="B121" s="9">
        <v>44735</v>
      </c>
      <c r="C121" s="8" t="s">
        <v>44</v>
      </c>
      <c r="D121" s="16" t="s">
        <v>45</v>
      </c>
      <c r="E121" s="1" t="s">
        <v>219</v>
      </c>
      <c r="F121" s="1" t="s">
        <v>69</v>
      </c>
      <c r="G121" s="30">
        <v>227.52</v>
      </c>
      <c r="H121" s="10">
        <v>28440</v>
      </c>
      <c r="I121" s="8">
        <v>0</v>
      </c>
      <c r="J121" s="11">
        <f t="shared" si="4"/>
        <v>0</v>
      </c>
      <c r="K121" s="10">
        <v>1000</v>
      </c>
      <c r="L121" s="11">
        <f t="shared" si="5"/>
        <v>8532</v>
      </c>
      <c r="M121" s="8" t="s">
        <v>226</v>
      </c>
      <c r="N121" s="11">
        <v>12433.4</v>
      </c>
      <c r="O121" s="12">
        <v>2.5000000000000001E-2</v>
      </c>
      <c r="P121" s="11">
        <f t="shared" si="6"/>
        <v>711</v>
      </c>
      <c r="Q121" s="11">
        <f>P121*50%+(355.5/2)+(88.87+88.88)</f>
        <v>711</v>
      </c>
      <c r="R121" s="9" t="s">
        <v>40</v>
      </c>
      <c r="S121" s="11">
        <f t="shared" si="7"/>
        <v>0</v>
      </c>
      <c r="T121" s="8" t="s">
        <v>21</v>
      </c>
      <c r="U121" s="8" t="s">
        <v>46</v>
      </c>
      <c r="V121" s="8" t="s">
        <v>246</v>
      </c>
    </row>
    <row r="122" spans="1:22" x14ac:dyDescent="0.3">
      <c r="A122" s="9" t="s">
        <v>221</v>
      </c>
      <c r="B122" s="9">
        <v>44763</v>
      </c>
      <c r="C122" s="8" t="s">
        <v>44</v>
      </c>
      <c r="D122" s="16" t="s">
        <v>45</v>
      </c>
      <c r="E122" s="1" t="s">
        <v>219</v>
      </c>
      <c r="F122" s="1" t="s">
        <v>81</v>
      </c>
      <c r="G122" s="30">
        <v>200.18</v>
      </c>
      <c r="H122" s="10">
        <v>25022.5</v>
      </c>
      <c r="I122" s="8">
        <v>0</v>
      </c>
      <c r="J122" s="11">
        <f t="shared" si="4"/>
        <v>0</v>
      </c>
      <c r="K122" s="10">
        <v>1000</v>
      </c>
      <c r="L122" s="11">
        <f t="shared" si="5"/>
        <v>7506.75</v>
      </c>
      <c r="M122" s="8" t="s">
        <v>50</v>
      </c>
      <c r="N122" s="11">
        <v>8340.2999999999975</v>
      </c>
      <c r="O122" s="12">
        <v>2.5000000000000001E-2</v>
      </c>
      <c r="P122" s="11">
        <f t="shared" si="6"/>
        <v>625.5625</v>
      </c>
      <c r="Q122" s="11">
        <f>P122*50%+(78.2+78.2)</f>
        <v>469.18124999999998</v>
      </c>
      <c r="R122" s="9" t="s">
        <v>39</v>
      </c>
      <c r="S122" s="11">
        <f t="shared" si="7"/>
        <v>156.38125000000002</v>
      </c>
      <c r="T122" s="8" t="s">
        <v>22</v>
      </c>
      <c r="U122" s="8" t="s">
        <v>63</v>
      </c>
      <c r="V122" s="8" t="s">
        <v>21</v>
      </c>
    </row>
    <row r="123" spans="1:22" x14ac:dyDescent="0.3">
      <c r="A123" s="9" t="s">
        <v>221</v>
      </c>
      <c r="B123" s="9">
        <v>44763</v>
      </c>
      <c r="C123" s="8" t="s">
        <v>44</v>
      </c>
      <c r="D123" s="16" t="s">
        <v>45</v>
      </c>
      <c r="E123" s="1" t="s">
        <v>219</v>
      </c>
      <c r="F123" s="1" t="s">
        <v>119</v>
      </c>
      <c r="G123" s="30">
        <v>200.55</v>
      </c>
      <c r="H123" s="10">
        <v>25068.75</v>
      </c>
      <c r="I123" s="8">
        <v>0</v>
      </c>
      <c r="J123" s="11">
        <f t="shared" si="4"/>
        <v>0</v>
      </c>
      <c r="K123" s="10">
        <v>1000</v>
      </c>
      <c r="L123" s="11">
        <f t="shared" si="5"/>
        <v>7520.625</v>
      </c>
      <c r="M123" s="8" t="s">
        <v>50</v>
      </c>
      <c r="N123" s="11">
        <v>8354.380000000001</v>
      </c>
      <c r="O123" s="12">
        <v>2.5000000000000001E-2</v>
      </c>
      <c r="P123" s="11">
        <f t="shared" si="6"/>
        <v>626.71875</v>
      </c>
      <c r="Q123" s="11">
        <f>P123*50%+(78.34+78.34)</f>
        <v>470.03937500000001</v>
      </c>
      <c r="R123" s="9" t="s">
        <v>39</v>
      </c>
      <c r="S123" s="11">
        <f t="shared" si="7"/>
        <v>156.67937499999999</v>
      </c>
      <c r="T123" s="8" t="s">
        <v>22</v>
      </c>
      <c r="U123" s="8" t="s">
        <v>63</v>
      </c>
      <c r="V123" s="8" t="s">
        <v>245</v>
      </c>
    </row>
    <row r="124" spans="1:22" x14ac:dyDescent="0.3">
      <c r="A124" s="9" t="s">
        <v>228</v>
      </c>
      <c r="B124" s="9">
        <v>44746</v>
      </c>
      <c r="C124" s="8" t="s">
        <v>44</v>
      </c>
      <c r="D124" s="16" t="s">
        <v>45</v>
      </c>
      <c r="E124" s="1" t="s">
        <v>219</v>
      </c>
      <c r="F124" s="1" t="s">
        <v>84</v>
      </c>
      <c r="G124" s="30">
        <v>200.14</v>
      </c>
      <c r="H124" s="10">
        <v>25397.5</v>
      </c>
      <c r="I124" s="8">
        <v>0</v>
      </c>
      <c r="J124" s="11">
        <f t="shared" si="4"/>
        <v>0</v>
      </c>
      <c r="K124" s="10">
        <v>1000</v>
      </c>
      <c r="L124" s="11">
        <f t="shared" si="5"/>
        <v>7619.25</v>
      </c>
      <c r="M124" s="8" t="s">
        <v>50</v>
      </c>
      <c r="N124" s="11">
        <v>9132.4000000000033</v>
      </c>
      <c r="O124" s="12">
        <v>2.5000000000000001E-2</v>
      </c>
      <c r="P124" s="11">
        <f t="shared" si="6"/>
        <v>634.9375</v>
      </c>
      <c r="Q124" s="11">
        <f>P124*50%+(317.47/2)</f>
        <v>476.20375000000001</v>
      </c>
      <c r="R124" s="9" t="s">
        <v>30</v>
      </c>
      <c r="S124" s="11">
        <f t="shared" si="7"/>
        <v>158.73374999999999</v>
      </c>
      <c r="T124" s="8" t="s">
        <v>27</v>
      </c>
      <c r="U124" s="8" t="s">
        <v>72</v>
      </c>
      <c r="V124" s="8" t="s">
        <v>246</v>
      </c>
    </row>
    <row r="125" spans="1:22" x14ac:dyDescent="0.3">
      <c r="A125" s="9" t="s">
        <v>229</v>
      </c>
      <c r="B125" s="9">
        <v>44530</v>
      </c>
      <c r="C125" s="8" t="s">
        <v>52</v>
      </c>
      <c r="D125" s="16" t="s">
        <v>45</v>
      </c>
      <c r="E125" s="1" t="s">
        <v>219</v>
      </c>
      <c r="F125" s="1" t="s">
        <v>123</v>
      </c>
      <c r="G125" s="30">
        <v>200.55</v>
      </c>
      <c r="H125" s="10">
        <v>20055</v>
      </c>
      <c r="I125" s="8">
        <v>0</v>
      </c>
      <c r="J125" s="11">
        <f t="shared" si="4"/>
        <v>0</v>
      </c>
      <c r="K125" s="10">
        <v>2000</v>
      </c>
      <c r="L125" s="11">
        <f t="shared" si="5"/>
        <v>6016.5</v>
      </c>
      <c r="M125" s="8" t="s">
        <v>230</v>
      </c>
      <c r="N125" s="11">
        <v>8370.3000000000011</v>
      </c>
      <c r="O125" s="12">
        <v>2.5000000000000001E-2</v>
      </c>
      <c r="P125" s="11">
        <f t="shared" si="6"/>
        <v>501.375</v>
      </c>
      <c r="Q125" s="8"/>
      <c r="R125" s="9"/>
      <c r="S125" s="11">
        <f t="shared" si="7"/>
        <v>501.375</v>
      </c>
      <c r="T125" s="8"/>
      <c r="U125" s="8" t="s">
        <v>46</v>
      </c>
      <c r="V125" s="8" t="s">
        <v>21</v>
      </c>
    </row>
    <row r="126" spans="1:22" x14ac:dyDescent="0.3">
      <c r="A126" s="9" t="s">
        <v>231</v>
      </c>
      <c r="B126" s="9">
        <v>44915</v>
      </c>
      <c r="C126" s="8" t="s">
        <v>52</v>
      </c>
      <c r="D126" s="16" t="s">
        <v>45</v>
      </c>
      <c r="E126" s="1" t="s">
        <v>219</v>
      </c>
      <c r="F126" s="1" t="s">
        <v>129</v>
      </c>
      <c r="G126" s="30">
        <v>209.84</v>
      </c>
      <c r="H126" s="10">
        <v>27279.200000000001</v>
      </c>
      <c r="I126" s="8">
        <v>0</v>
      </c>
      <c r="J126" s="11">
        <f t="shared" si="4"/>
        <v>0</v>
      </c>
      <c r="K126" s="10">
        <v>1000</v>
      </c>
      <c r="L126" s="11">
        <f t="shared" si="5"/>
        <v>8183.76</v>
      </c>
      <c r="M126" s="8" t="s">
        <v>50</v>
      </c>
      <c r="N126" s="11">
        <v>7935</v>
      </c>
      <c r="O126" s="12">
        <v>2.5000000000000001E-2</v>
      </c>
      <c r="P126" s="11">
        <f t="shared" si="6"/>
        <v>681.98</v>
      </c>
      <c r="Q126" s="8"/>
      <c r="R126" s="9"/>
      <c r="S126" s="11">
        <f t="shared" si="7"/>
        <v>681.98</v>
      </c>
      <c r="T126" s="8"/>
      <c r="U126" s="8" t="s">
        <v>46</v>
      </c>
      <c r="V126" s="8" t="s">
        <v>245</v>
      </c>
    </row>
    <row r="127" spans="1:22" x14ac:dyDescent="0.3">
      <c r="A127" s="9" t="s">
        <v>232</v>
      </c>
      <c r="B127" s="9">
        <v>45092</v>
      </c>
      <c r="C127" s="8" t="s">
        <v>44</v>
      </c>
      <c r="D127" s="16" t="s">
        <v>45</v>
      </c>
      <c r="E127" s="1" t="s">
        <v>219</v>
      </c>
      <c r="F127" s="1" t="s">
        <v>233</v>
      </c>
      <c r="G127" s="30">
        <v>241.07</v>
      </c>
      <c r="H127" s="10">
        <v>32544.45</v>
      </c>
      <c r="I127" s="8">
        <v>0</v>
      </c>
      <c r="J127" s="11">
        <f t="shared" si="4"/>
        <v>0</v>
      </c>
      <c r="K127" s="10">
        <v>1000</v>
      </c>
      <c r="L127" s="11">
        <f t="shared" si="5"/>
        <v>9763.3349999999991</v>
      </c>
      <c r="M127" s="8" t="s">
        <v>234</v>
      </c>
      <c r="N127" s="11">
        <v>25000</v>
      </c>
      <c r="O127" s="12">
        <v>3.5000000000000003E-2</v>
      </c>
      <c r="P127" s="11">
        <f t="shared" si="6"/>
        <v>1139.0557500000002</v>
      </c>
      <c r="Q127" s="11">
        <f>P127*50%+569.53</f>
        <v>1139.057875</v>
      </c>
      <c r="R127" s="9" t="s">
        <v>41</v>
      </c>
      <c r="S127" s="11">
        <f t="shared" si="7"/>
        <v>-2.1249999997507985E-3</v>
      </c>
      <c r="T127" s="8" t="s">
        <v>21</v>
      </c>
      <c r="U127" s="8" t="s">
        <v>46</v>
      </c>
      <c r="V127" s="8" t="s">
        <v>246</v>
      </c>
    </row>
    <row r="128" spans="1:22" x14ac:dyDescent="0.3">
      <c r="A128" s="9" t="s">
        <v>235</v>
      </c>
      <c r="B128" s="9">
        <v>45122</v>
      </c>
      <c r="C128" s="8" t="s">
        <v>44</v>
      </c>
      <c r="D128" s="16" t="s">
        <v>45</v>
      </c>
      <c r="E128" s="1" t="s">
        <v>219</v>
      </c>
      <c r="F128" s="1" t="s">
        <v>236</v>
      </c>
      <c r="G128" s="30">
        <v>250.06</v>
      </c>
      <c r="H128" s="10">
        <v>32070.195</v>
      </c>
      <c r="I128" s="14">
        <v>0.05</v>
      </c>
      <c r="J128" s="11">
        <f>33758.1*I128</f>
        <v>1687.905</v>
      </c>
      <c r="K128" s="10">
        <v>5000</v>
      </c>
      <c r="L128" s="11">
        <f t="shared" si="5"/>
        <v>9621.0584999999992</v>
      </c>
      <c r="M128" s="8">
        <v>0</v>
      </c>
      <c r="N128" s="11">
        <v>14253.420000000002</v>
      </c>
      <c r="O128" s="12">
        <v>3.5000000000000003E-2</v>
      </c>
      <c r="P128" s="11">
        <f t="shared" si="6"/>
        <v>1122.4568250000002</v>
      </c>
      <c r="Q128" s="11">
        <f>P128*50%+561.23</f>
        <v>1122.4584125000001</v>
      </c>
      <c r="R128" s="9" t="s">
        <v>42</v>
      </c>
      <c r="S128" s="11">
        <f t="shared" si="7"/>
        <v>-1.5874999999141437E-3</v>
      </c>
      <c r="T128" s="8" t="s">
        <v>21</v>
      </c>
      <c r="U128" s="8" t="s">
        <v>46</v>
      </c>
      <c r="V128" s="8" t="s">
        <v>21</v>
      </c>
    </row>
    <row r="129" spans="1:22" x14ac:dyDescent="0.3">
      <c r="A129" s="9" t="s">
        <v>73</v>
      </c>
      <c r="B129" s="9">
        <v>44530</v>
      </c>
      <c r="C129" s="8" t="s">
        <v>74</v>
      </c>
      <c r="D129" s="16" t="s">
        <v>45</v>
      </c>
      <c r="E129" s="1" t="s">
        <v>237</v>
      </c>
      <c r="F129" s="1" t="s">
        <v>45</v>
      </c>
      <c r="G129" s="30">
        <v>203.81</v>
      </c>
      <c r="H129" s="10">
        <v>19248.29</v>
      </c>
      <c r="I129" s="8">
        <v>0</v>
      </c>
      <c r="J129" s="11">
        <f t="shared" ref="J129:J139" si="12">H129*I129</f>
        <v>0</v>
      </c>
      <c r="K129" s="10">
        <v>1000</v>
      </c>
      <c r="L129" s="11">
        <f t="shared" si="5"/>
        <v>5774.4870000000001</v>
      </c>
      <c r="M129" s="8" t="s">
        <v>75</v>
      </c>
      <c r="N129" s="11">
        <v>9154.1899999999987</v>
      </c>
      <c r="O129" s="12">
        <v>2.5000000000000001E-2</v>
      </c>
      <c r="P129" s="11">
        <f t="shared" si="6"/>
        <v>481.20725000000004</v>
      </c>
      <c r="Q129" s="8"/>
      <c r="R129" s="9"/>
      <c r="S129" s="11">
        <f t="shared" si="7"/>
        <v>481.20725000000004</v>
      </c>
      <c r="T129" s="8"/>
      <c r="U129" s="8" t="s">
        <v>46</v>
      </c>
      <c r="V129" s="8" t="s">
        <v>245</v>
      </c>
    </row>
    <row r="130" spans="1:22" x14ac:dyDescent="0.3">
      <c r="A130" s="9" t="s">
        <v>73</v>
      </c>
      <c r="B130" s="9">
        <v>44530</v>
      </c>
      <c r="C130" s="8" t="s">
        <v>74</v>
      </c>
      <c r="D130" s="16" t="s">
        <v>45</v>
      </c>
      <c r="E130" s="1" t="s">
        <v>237</v>
      </c>
      <c r="F130" s="1" t="s">
        <v>108</v>
      </c>
      <c r="G130" s="30">
        <v>200</v>
      </c>
      <c r="H130" s="10">
        <v>19248.29</v>
      </c>
      <c r="I130" s="8">
        <v>0</v>
      </c>
      <c r="J130" s="11">
        <f t="shared" si="12"/>
        <v>0</v>
      </c>
      <c r="K130" s="10">
        <v>1000</v>
      </c>
      <c r="L130" s="11">
        <f t="shared" si="5"/>
        <v>5774.4870000000001</v>
      </c>
      <c r="M130" s="8" t="s">
        <v>238</v>
      </c>
      <c r="N130" s="11">
        <v>9154.1899999999987</v>
      </c>
      <c r="O130" s="12">
        <v>2.5000000000000001E-2</v>
      </c>
      <c r="P130" s="11">
        <f t="shared" si="6"/>
        <v>481.20725000000004</v>
      </c>
      <c r="Q130" s="8"/>
      <c r="R130" s="9"/>
      <c r="S130" s="11">
        <f t="shared" si="7"/>
        <v>481.20725000000004</v>
      </c>
      <c r="T130" s="8"/>
      <c r="U130" s="8" t="s">
        <v>46</v>
      </c>
      <c r="V130" s="8" t="s">
        <v>246</v>
      </c>
    </row>
    <row r="131" spans="1:22" x14ac:dyDescent="0.3">
      <c r="A131" s="9" t="s">
        <v>73</v>
      </c>
      <c r="B131" s="9">
        <v>44530</v>
      </c>
      <c r="C131" s="8" t="s">
        <v>74</v>
      </c>
      <c r="D131" s="16" t="s">
        <v>45</v>
      </c>
      <c r="E131" s="1" t="s">
        <v>237</v>
      </c>
      <c r="F131" s="1" t="s">
        <v>49</v>
      </c>
      <c r="G131" s="30">
        <v>200</v>
      </c>
      <c r="H131" s="10">
        <v>19248.29</v>
      </c>
      <c r="I131" s="8">
        <v>0</v>
      </c>
      <c r="J131" s="11">
        <f t="shared" si="12"/>
        <v>0</v>
      </c>
      <c r="K131" s="10">
        <v>1000</v>
      </c>
      <c r="L131" s="11">
        <f t="shared" ref="L131:L139" si="13">H131*30%</f>
        <v>5774.4870000000001</v>
      </c>
      <c r="M131" s="8" t="s">
        <v>239</v>
      </c>
      <c r="N131" s="11">
        <v>9154.1899999999987</v>
      </c>
      <c r="O131" s="12">
        <v>2.5000000000000001E-2</v>
      </c>
      <c r="P131" s="11">
        <f t="shared" ref="P131:P139" si="14">H131*O131</f>
        <v>481.20725000000004</v>
      </c>
      <c r="Q131" s="8"/>
      <c r="R131" s="9"/>
      <c r="S131" s="11">
        <f t="shared" ref="S131:S139" si="15">+P131-Q131</f>
        <v>481.20725000000004</v>
      </c>
      <c r="T131" s="8"/>
      <c r="U131" s="8" t="s">
        <v>46</v>
      </c>
      <c r="V131" s="8" t="s">
        <v>21</v>
      </c>
    </row>
    <row r="132" spans="1:22" x14ac:dyDescent="0.3">
      <c r="A132" s="9" t="s">
        <v>73</v>
      </c>
      <c r="B132" s="9">
        <v>44530</v>
      </c>
      <c r="C132" s="8" t="s">
        <v>74</v>
      </c>
      <c r="D132" s="16" t="s">
        <v>45</v>
      </c>
      <c r="E132" s="1" t="s">
        <v>237</v>
      </c>
      <c r="F132" s="1" t="s">
        <v>53</v>
      </c>
      <c r="G132" s="30">
        <v>221.07</v>
      </c>
      <c r="H132" s="10">
        <v>19248.29</v>
      </c>
      <c r="I132" s="8">
        <v>0</v>
      </c>
      <c r="J132" s="11">
        <f t="shared" si="12"/>
        <v>0</v>
      </c>
      <c r="K132" s="10">
        <v>1000</v>
      </c>
      <c r="L132" s="11">
        <f t="shared" si="13"/>
        <v>5774.4870000000001</v>
      </c>
      <c r="M132" s="8" t="s">
        <v>75</v>
      </c>
      <c r="N132" s="11">
        <v>9154.1899999999987</v>
      </c>
      <c r="O132" s="12">
        <v>2.5000000000000001E-2</v>
      </c>
      <c r="P132" s="11">
        <f t="shared" si="14"/>
        <v>481.20725000000004</v>
      </c>
      <c r="Q132" s="8"/>
      <c r="R132" s="9"/>
      <c r="S132" s="11">
        <f t="shared" si="15"/>
        <v>481.20725000000004</v>
      </c>
      <c r="T132" s="8"/>
      <c r="U132" s="8" t="s">
        <v>46</v>
      </c>
      <c r="V132" s="8" t="s">
        <v>245</v>
      </c>
    </row>
    <row r="133" spans="1:22" x14ac:dyDescent="0.3">
      <c r="A133" s="9" t="s">
        <v>73</v>
      </c>
      <c r="B133" s="9">
        <v>44530</v>
      </c>
      <c r="C133" s="8" t="s">
        <v>74</v>
      </c>
      <c r="D133" s="16" t="s">
        <v>45</v>
      </c>
      <c r="E133" s="1" t="s">
        <v>237</v>
      </c>
      <c r="F133" s="1" t="s">
        <v>162</v>
      </c>
      <c r="G133" s="30">
        <v>200.02</v>
      </c>
      <c r="H133" s="10">
        <v>19248.29</v>
      </c>
      <c r="I133" s="8">
        <v>0</v>
      </c>
      <c r="J133" s="11">
        <f t="shared" si="12"/>
        <v>0</v>
      </c>
      <c r="K133" s="10">
        <v>1000</v>
      </c>
      <c r="L133" s="11">
        <f t="shared" si="13"/>
        <v>5774.4870000000001</v>
      </c>
      <c r="M133" s="8" t="s">
        <v>75</v>
      </c>
      <c r="N133" s="11">
        <v>9154.1899999999987</v>
      </c>
      <c r="O133" s="12">
        <v>2.5000000000000001E-2</v>
      </c>
      <c r="P133" s="11">
        <f t="shared" si="14"/>
        <v>481.20725000000004</v>
      </c>
      <c r="Q133" s="8"/>
      <c r="R133" s="9"/>
      <c r="S133" s="11">
        <f t="shared" si="15"/>
        <v>481.20725000000004</v>
      </c>
      <c r="T133" s="8"/>
      <c r="U133" s="8" t="s">
        <v>46</v>
      </c>
      <c r="V133" s="8" t="s">
        <v>246</v>
      </c>
    </row>
    <row r="134" spans="1:22" x14ac:dyDescent="0.3">
      <c r="A134" s="9" t="s">
        <v>153</v>
      </c>
      <c r="B134" s="9">
        <v>44530</v>
      </c>
      <c r="C134" s="8" t="s">
        <v>74</v>
      </c>
      <c r="D134" s="16" t="s">
        <v>45</v>
      </c>
      <c r="E134" s="1" t="s">
        <v>237</v>
      </c>
      <c r="F134" s="1" t="s">
        <v>171</v>
      </c>
      <c r="G134" s="30">
        <v>200.23</v>
      </c>
      <c r="H134" s="10">
        <v>19248.29</v>
      </c>
      <c r="I134" s="8">
        <v>0</v>
      </c>
      <c r="J134" s="11">
        <f t="shared" si="12"/>
        <v>0</v>
      </c>
      <c r="K134" s="10">
        <v>1000</v>
      </c>
      <c r="L134" s="11">
        <f t="shared" si="13"/>
        <v>5774.4870000000001</v>
      </c>
      <c r="M134" s="8" t="s">
        <v>75</v>
      </c>
      <c r="N134" s="11">
        <v>9154.1933333333327</v>
      </c>
      <c r="O134" s="12">
        <v>2.5000000000000001E-2</v>
      </c>
      <c r="P134" s="11">
        <f t="shared" si="14"/>
        <v>481.20725000000004</v>
      </c>
      <c r="Q134" s="8"/>
      <c r="R134" s="9"/>
      <c r="S134" s="11">
        <f t="shared" si="15"/>
        <v>481.20725000000004</v>
      </c>
      <c r="T134" s="8"/>
      <c r="U134" s="8" t="s">
        <v>46</v>
      </c>
      <c r="V134" s="8" t="s">
        <v>21</v>
      </c>
    </row>
    <row r="135" spans="1:22" x14ac:dyDescent="0.3">
      <c r="A135" s="9" t="s">
        <v>153</v>
      </c>
      <c r="B135" s="9">
        <v>44530</v>
      </c>
      <c r="C135" s="8" t="s">
        <v>74</v>
      </c>
      <c r="D135" s="16" t="s">
        <v>45</v>
      </c>
      <c r="E135" s="1" t="s">
        <v>237</v>
      </c>
      <c r="F135" s="1" t="s">
        <v>56</v>
      </c>
      <c r="G135" s="30">
        <v>200.11</v>
      </c>
      <c r="H135" s="10">
        <v>19248.3</v>
      </c>
      <c r="I135" s="8">
        <v>0</v>
      </c>
      <c r="J135" s="11">
        <f t="shared" si="12"/>
        <v>0</v>
      </c>
      <c r="K135" s="10">
        <v>1000</v>
      </c>
      <c r="L135" s="11">
        <f t="shared" si="13"/>
        <v>5774.49</v>
      </c>
      <c r="M135" s="8" t="s">
        <v>75</v>
      </c>
      <c r="N135" s="11">
        <v>9154.2199999999993</v>
      </c>
      <c r="O135" s="12">
        <v>2.5000000000000001E-2</v>
      </c>
      <c r="P135" s="11">
        <f t="shared" si="14"/>
        <v>481.20749999999998</v>
      </c>
      <c r="Q135" s="8"/>
      <c r="R135" s="9"/>
      <c r="S135" s="11">
        <f t="shared" si="15"/>
        <v>481.20749999999998</v>
      </c>
      <c r="T135" s="8"/>
      <c r="U135" s="8" t="s">
        <v>46</v>
      </c>
      <c r="V135" s="8" t="s">
        <v>245</v>
      </c>
    </row>
    <row r="136" spans="1:22" x14ac:dyDescent="0.3">
      <c r="A136" s="9" t="s">
        <v>153</v>
      </c>
      <c r="B136" s="9">
        <v>44530</v>
      </c>
      <c r="C136" s="8" t="s">
        <v>74</v>
      </c>
      <c r="D136" s="16" t="s">
        <v>45</v>
      </c>
      <c r="E136" s="1" t="s">
        <v>237</v>
      </c>
      <c r="F136" s="1" t="s">
        <v>61</v>
      </c>
      <c r="G136" s="30">
        <v>200.11</v>
      </c>
      <c r="H136" s="10">
        <v>19248.3</v>
      </c>
      <c r="I136" s="8">
        <v>0</v>
      </c>
      <c r="J136" s="11">
        <f t="shared" si="12"/>
        <v>0</v>
      </c>
      <c r="K136" s="10">
        <v>1000</v>
      </c>
      <c r="L136" s="11">
        <f t="shared" si="13"/>
        <v>5774.49</v>
      </c>
      <c r="M136" s="8" t="s">
        <v>75</v>
      </c>
      <c r="N136" s="11">
        <v>9154.2199999999993</v>
      </c>
      <c r="O136" s="12">
        <v>2.5000000000000001E-2</v>
      </c>
      <c r="P136" s="11">
        <f t="shared" si="14"/>
        <v>481.20749999999998</v>
      </c>
      <c r="Q136" s="8"/>
      <c r="R136" s="9"/>
      <c r="S136" s="11">
        <f t="shared" si="15"/>
        <v>481.20749999999998</v>
      </c>
      <c r="T136" s="8"/>
      <c r="U136" s="8" t="s">
        <v>46</v>
      </c>
      <c r="V136" s="8" t="s">
        <v>246</v>
      </c>
    </row>
    <row r="137" spans="1:22" x14ac:dyDescent="0.3">
      <c r="A137" s="9" t="s">
        <v>153</v>
      </c>
      <c r="B137" s="9">
        <v>44530</v>
      </c>
      <c r="C137" s="8" t="s">
        <v>74</v>
      </c>
      <c r="D137" s="16" t="s">
        <v>45</v>
      </c>
      <c r="E137" s="1" t="s">
        <v>237</v>
      </c>
      <c r="F137" s="1" t="s">
        <v>69</v>
      </c>
      <c r="G137" s="30">
        <v>200.11</v>
      </c>
      <c r="H137" s="10">
        <v>19248.3</v>
      </c>
      <c r="I137" s="8">
        <v>0</v>
      </c>
      <c r="J137" s="11">
        <f t="shared" si="12"/>
        <v>0</v>
      </c>
      <c r="K137" s="10">
        <v>1000</v>
      </c>
      <c r="L137" s="11">
        <f t="shared" si="13"/>
        <v>5774.49</v>
      </c>
      <c r="M137" s="8" t="s">
        <v>75</v>
      </c>
      <c r="N137" s="11">
        <v>9154.2199999999993</v>
      </c>
      <c r="O137" s="12">
        <v>2.5000000000000001E-2</v>
      </c>
      <c r="P137" s="11">
        <f t="shared" si="14"/>
        <v>481.20749999999998</v>
      </c>
      <c r="Q137" s="8"/>
      <c r="R137" s="9"/>
      <c r="S137" s="11">
        <f t="shared" si="15"/>
        <v>481.20749999999998</v>
      </c>
      <c r="T137" s="8"/>
      <c r="U137" s="8" t="s">
        <v>46</v>
      </c>
      <c r="V137" s="8" t="s">
        <v>21</v>
      </c>
    </row>
    <row r="138" spans="1:22" x14ac:dyDescent="0.3">
      <c r="A138" s="9" t="s">
        <v>153</v>
      </c>
      <c r="B138" s="9">
        <v>44530</v>
      </c>
      <c r="C138" s="8" t="s">
        <v>74</v>
      </c>
      <c r="D138" s="16" t="s">
        <v>45</v>
      </c>
      <c r="E138" s="1" t="s">
        <v>237</v>
      </c>
      <c r="F138" s="1" t="s">
        <v>81</v>
      </c>
      <c r="G138" s="30">
        <v>200.11</v>
      </c>
      <c r="H138" s="10">
        <v>19248.3</v>
      </c>
      <c r="I138" s="8">
        <v>0</v>
      </c>
      <c r="J138" s="11">
        <f t="shared" si="12"/>
        <v>0</v>
      </c>
      <c r="K138" s="10">
        <v>1000</v>
      </c>
      <c r="L138" s="11">
        <f t="shared" si="13"/>
        <v>5774.49</v>
      </c>
      <c r="M138" s="8" t="s">
        <v>75</v>
      </c>
      <c r="N138" s="11">
        <v>9154.2199999999993</v>
      </c>
      <c r="O138" s="12">
        <v>2.5000000000000001E-2</v>
      </c>
      <c r="P138" s="11">
        <f t="shared" si="14"/>
        <v>481.20749999999998</v>
      </c>
      <c r="Q138" s="8"/>
      <c r="R138" s="9"/>
      <c r="S138" s="11">
        <f t="shared" si="15"/>
        <v>481.20749999999998</v>
      </c>
      <c r="T138" s="8"/>
      <c r="U138" s="8" t="s">
        <v>46</v>
      </c>
      <c r="V138" s="8" t="s">
        <v>245</v>
      </c>
    </row>
    <row r="139" spans="1:22" x14ac:dyDescent="0.3">
      <c r="A139" s="9" t="s">
        <v>153</v>
      </c>
      <c r="B139" s="9">
        <v>44530</v>
      </c>
      <c r="C139" s="8" t="s">
        <v>74</v>
      </c>
      <c r="D139" s="16" t="s">
        <v>45</v>
      </c>
      <c r="E139" s="1" t="s">
        <v>237</v>
      </c>
      <c r="F139" s="1" t="s">
        <v>119</v>
      </c>
      <c r="G139" s="30">
        <v>200.11</v>
      </c>
      <c r="H139" s="10">
        <v>19248.3</v>
      </c>
      <c r="I139" s="8">
        <v>0</v>
      </c>
      <c r="J139" s="11">
        <f t="shared" si="12"/>
        <v>0</v>
      </c>
      <c r="K139" s="10">
        <v>1000</v>
      </c>
      <c r="L139" s="11">
        <f t="shared" si="13"/>
        <v>5774.49</v>
      </c>
      <c r="M139" s="8" t="s">
        <v>75</v>
      </c>
      <c r="N139" s="11">
        <v>9154.2199999999993</v>
      </c>
      <c r="O139" s="12">
        <v>2.5000000000000001E-2</v>
      </c>
      <c r="P139" s="11">
        <f t="shared" si="14"/>
        <v>481.20749999999998</v>
      </c>
      <c r="Q139" s="8"/>
      <c r="R139" s="9"/>
      <c r="S139" s="11">
        <f t="shared" si="15"/>
        <v>481.20749999999998</v>
      </c>
      <c r="T139" s="8"/>
      <c r="U139" s="8" t="s">
        <v>46</v>
      </c>
      <c r="V139" s="8" t="s">
        <v>246</v>
      </c>
    </row>
    <row r="140" spans="1:22" x14ac:dyDescent="0.3">
      <c r="A140" s="19"/>
      <c r="G140" s="28"/>
      <c r="H140" s="20"/>
      <c r="J140" s="23"/>
      <c r="K140" s="23"/>
      <c r="L140" s="23"/>
      <c r="N140" s="23"/>
    </row>
    <row r="142" spans="1:22" x14ac:dyDescent="0.3">
      <c r="G142" s="28"/>
      <c r="H142" s="20"/>
      <c r="K142" s="20"/>
    </row>
    <row r="143" spans="1:22" x14ac:dyDescent="0.3">
      <c r="A143" s="21"/>
      <c r="B143" s="19"/>
      <c r="E143" s="22"/>
      <c r="F143" s="22"/>
      <c r="G143" s="28"/>
      <c r="H143" s="20"/>
      <c r="K143" s="20"/>
      <c r="L143" s="23"/>
      <c r="O143" s="24"/>
      <c r="P143" s="23"/>
      <c r="Q143" s="23"/>
      <c r="S143" s="23"/>
    </row>
    <row r="144" spans="1:22" x14ac:dyDescent="0.3">
      <c r="A144" s="21"/>
      <c r="B144" s="19"/>
      <c r="E144" s="22"/>
      <c r="F144" s="22"/>
      <c r="G144" s="28"/>
      <c r="H144" s="20"/>
      <c r="K144" s="20"/>
      <c r="L144" s="23"/>
      <c r="O144" s="24"/>
      <c r="P144" s="23"/>
      <c r="Q144" s="23"/>
      <c r="S144" s="23"/>
    </row>
  </sheetData>
  <pageMargins left="0.7" right="0.7" top="0.75" bottom="0.75" header="0.3" footer="0.3"/>
  <pageSetup scale="23" orientation="landscape" r:id="rId1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ERMEL USINA CHULDE</dc:creator>
  <cp:lastModifiedBy>Isaac Leon</cp:lastModifiedBy>
  <dcterms:created xsi:type="dcterms:W3CDTF">2024-07-18T14:20:09Z</dcterms:created>
  <dcterms:modified xsi:type="dcterms:W3CDTF">2024-07-23T16:33:35Z</dcterms:modified>
</cp:coreProperties>
</file>