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8190" tabRatio="228" activeTab="1"/>
  </bookViews>
  <sheets>
    <sheet name="Sheet1" sheetId="1" r:id="rId1"/>
    <sheet name="Sheet2" sheetId="2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9" i="2"/>
  <c r="I26"/>
  <c r="I28" s="1"/>
  <c r="H26"/>
  <c r="H28" s="1"/>
  <c r="G26"/>
  <c r="G28" s="1"/>
  <c r="F26"/>
  <c r="F28" s="1"/>
  <c r="E26"/>
  <c r="E28" s="1"/>
  <c r="D26"/>
  <c r="D28" s="1"/>
  <c r="C26"/>
  <c r="C28" s="1"/>
  <c r="B26"/>
  <c r="B28" s="1"/>
  <c r="H24"/>
  <c r="G24"/>
  <c r="F24"/>
  <c r="E24"/>
  <c r="D24"/>
  <c r="C24"/>
  <c r="B24"/>
  <c r="Q10"/>
  <c r="Q11"/>
  <c r="B6"/>
  <c r="C6"/>
  <c r="D6"/>
  <c r="E6"/>
  <c r="F6"/>
  <c r="G6"/>
  <c r="M7"/>
  <c r="N7"/>
  <c r="O7"/>
  <c r="P7"/>
  <c r="B8"/>
  <c r="C8"/>
  <c r="D8"/>
  <c r="E8"/>
  <c r="F8"/>
  <c r="G8"/>
  <c r="H8"/>
  <c r="I8"/>
  <c r="B10"/>
  <c r="C10"/>
  <c r="D10"/>
  <c r="E10"/>
  <c r="F10"/>
  <c r="G10"/>
  <c r="B12"/>
  <c r="C12"/>
  <c r="D12"/>
  <c r="E12"/>
  <c r="F12"/>
  <c r="G12"/>
  <c r="B14"/>
  <c r="C14"/>
  <c r="D14"/>
  <c r="E14"/>
  <c r="F14"/>
  <c r="G14"/>
  <c r="H14"/>
  <c r="I14"/>
  <c r="B16"/>
  <c r="C16"/>
  <c r="D16"/>
  <c r="E16"/>
  <c r="F16"/>
  <c r="G16"/>
  <c r="B18"/>
  <c r="C18"/>
  <c r="D18"/>
  <c r="E18"/>
  <c r="F18"/>
  <c r="G18"/>
  <c r="B20"/>
  <c r="C20"/>
  <c r="D20"/>
  <c r="E20"/>
  <c r="F20"/>
  <c r="G20"/>
  <c r="B22"/>
  <c r="C22"/>
  <c r="D22"/>
  <c r="E22"/>
  <c r="F22"/>
  <c r="G22"/>
  <c r="S25"/>
  <c r="S24"/>
  <c r="Q5"/>
  <c r="Q7" s="1"/>
  <c r="P5"/>
  <c r="O5"/>
  <c r="N5"/>
  <c r="M5"/>
  <c r="I4"/>
  <c r="H4"/>
  <c r="G4"/>
  <c r="F4"/>
  <c r="E4"/>
  <c r="D4"/>
  <c r="C4"/>
  <c r="B4"/>
  <c r="Q2"/>
  <c r="I42" s="1"/>
  <c r="P2"/>
  <c r="B55" s="1"/>
  <c r="O2"/>
  <c r="I40" s="1"/>
  <c r="N2"/>
  <c r="B53" s="1"/>
  <c r="M2"/>
  <c r="I38" s="1"/>
  <c r="I2"/>
  <c r="H2"/>
  <c r="G2"/>
  <c r="F2"/>
  <c r="E2"/>
  <c r="D2"/>
  <c r="C2"/>
  <c r="B2"/>
  <c r="D2" i="1"/>
  <c r="K29" i="2" l="1"/>
  <c r="O29" s="1"/>
  <c r="M29"/>
  <c r="I6"/>
  <c r="I10" s="1"/>
  <c r="I12" s="1"/>
  <c r="I16" s="1"/>
  <c r="I18" s="1"/>
  <c r="I20" s="1"/>
  <c r="I22" s="1"/>
  <c r="I24" s="1"/>
  <c r="I31"/>
  <c r="G31"/>
  <c r="E31"/>
  <c r="C31"/>
  <c r="Q8"/>
  <c r="Q9" s="1"/>
  <c r="H31"/>
  <c r="F31"/>
  <c r="D31"/>
  <c r="B31"/>
  <c r="H6"/>
  <c r="H10" s="1"/>
  <c r="H12" s="1"/>
  <c r="H16" s="1"/>
  <c r="H18" s="1"/>
  <c r="H20" s="1"/>
  <c r="H22" s="1"/>
  <c r="Q12"/>
  <c r="Q13" s="1"/>
  <c r="B32"/>
  <c r="D32"/>
  <c r="F32"/>
  <c r="I32"/>
  <c r="C33"/>
  <c r="E33"/>
  <c r="G33"/>
  <c r="B34"/>
  <c r="D34"/>
  <c r="F34"/>
  <c r="I34"/>
  <c r="C35"/>
  <c r="E35"/>
  <c r="G35"/>
  <c r="B38"/>
  <c r="D38"/>
  <c r="F38"/>
  <c r="H38"/>
  <c r="B39"/>
  <c r="D39"/>
  <c r="F39"/>
  <c r="H39"/>
  <c r="B40"/>
  <c r="D40"/>
  <c r="F40"/>
  <c r="H40"/>
  <c r="B41"/>
  <c r="D41"/>
  <c r="F41"/>
  <c r="H41"/>
  <c r="B42"/>
  <c r="D42"/>
  <c r="F42"/>
  <c r="H42"/>
  <c r="B52"/>
  <c r="B54"/>
  <c r="B56"/>
  <c r="C32"/>
  <c r="E32"/>
  <c r="G32"/>
  <c r="B33"/>
  <c r="D33"/>
  <c r="F33"/>
  <c r="I33"/>
  <c r="C34"/>
  <c r="E34"/>
  <c r="G34"/>
  <c r="B35"/>
  <c r="D35"/>
  <c r="F35"/>
  <c r="I35"/>
  <c r="C38"/>
  <c r="E38"/>
  <c r="G38"/>
  <c r="C39"/>
  <c r="E39"/>
  <c r="G39"/>
  <c r="I39"/>
  <c r="C40"/>
  <c r="E40"/>
  <c r="G40"/>
  <c r="C41"/>
  <c r="E41"/>
  <c r="G41"/>
  <c r="I41"/>
  <c r="C42"/>
  <c r="E42"/>
  <c r="G42"/>
  <c r="H32"/>
  <c r="H33"/>
  <c r="H34"/>
  <c r="H35"/>
  <c r="C49"/>
  <c r="C48"/>
  <c r="C47"/>
  <c r="C46"/>
  <c r="C45"/>
  <c r="G49"/>
  <c r="G48"/>
  <c r="G47"/>
  <c r="G46"/>
  <c r="G45"/>
  <c r="F49"/>
  <c r="F48"/>
  <c r="F47"/>
  <c r="F46"/>
  <c r="F45"/>
  <c r="H49"/>
  <c r="H48"/>
  <c r="H47"/>
  <c r="H46"/>
  <c r="H45"/>
  <c r="B49"/>
  <c r="B48"/>
  <c r="B47"/>
  <c r="B46"/>
  <c r="B45"/>
  <c r="E49"/>
  <c r="E48"/>
  <c r="E47"/>
  <c r="E46"/>
  <c r="E45"/>
  <c r="I49"/>
  <c r="I48"/>
  <c r="I47"/>
  <c r="I46"/>
  <c r="I45"/>
  <c r="D49"/>
  <c r="D48"/>
  <c r="D47"/>
  <c r="D46"/>
  <c r="D45"/>
</calcChain>
</file>

<file path=xl/sharedStrings.xml><?xml version="1.0" encoding="utf-8"?>
<sst xmlns="http://schemas.openxmlformats.org/spreadsheetml/2006/main" count="96" uniqueCount="77">
  <si>
    <t>EV spreadsheet</t>
  </si>
  <si>
    <t>Coefficient of Drag</t>
  </si>
  <si>
    <t>Frontal Area</t>
  </si>
  <si>
    <t>CdA</t>
  </si>
  <si>
    <t>Mass (lbs)</t>
  </si>
  <si>
    <t>Crw</t>
  </si>
  <si>
    <t>Wind speed (mph)</t>
  </si>
  <si>
    <t>Rolling resistance factor</t>
  </si>
  <si>
    <t>Drive efficiency</t>
  </si>
  <si>
    <t>1st gear ratio</t>
  </si>
  <si>
    <t>2nd gear ratio</t>
  </si>
  <si>
    <t>3rd gear ratio</t>
  </si>
  <si>
    <t>4th gear ratio</t>
  </si>
  <si>
    <t>5th gear ratio</t>
  </si>
  <si>
    <t>Diff ratio</t>
  </si>
  <si>
    <t>Revolutions/mile</t>
  </si>
  <si>
    <t>By Isaac Kelly</t>
  </si>
  <si>
    <t>Imperial units</t>
  </si>
  <si>
    <t>Motor efficiency (%)</t>
  </si>
  <si>
    <t>Pack voltage</t>
  </si>
  <si>
    <t>Optimum motor RPM</t>
  </si>
  <si>
    <t>Battery AH</t>
  </si>
  <si>
    <t>%DoD</t>
  </si>
  <si>
    <t>Inertia of drivetrain</t>
  </si>
  <si>
    <t>122 actual</t>
  </si>
  <si>
    <t>For 2 Volt batts</t>
  </si>
  <si>
    <t>66 for leaf</t>
  </si>
  <si>
    <t>21kwh avail, 24kwh total</t>
  </si>
  <si>
    <t>61 for single volt</t>
  </si>
  <si>
    <t>leaf battery</t>
  </si>
  <si>
    <t>Speed in mph</t>
  </si>
  <si>
    <t>Overall gear ratios</t>
  </si>
  <si>
    <t>1st</t>
  </si>
  <si>
    <t>2nd</t>
  </si>
  <si>
    <t>3rd</t>
  </si>
  <si>
    <t>4th</t>
  </si>
  <si>
    <t>5th</t>
  </si>
  <si>
    <t>Aerodynamic drag</t>
  </si>
  <si>
    <t>Wind factor</t>
  </si>
  <si>
    <t>mph/sec</t>
  </si>
  <si>
    <t>Acceleration force</t>
  </si>
  <si>
    <t>Total aerodynamic drag</t>
  </si>
  <si>
    <t>Acceleration torque</t>
  </si>
  <si>
    <t>Rolling resistance</t>
  </si>
  <si>
    <t>Motor torque for accel</t>
  </si>
  <si>
    <t>Motor hp for accel</t>
  </si>
  <si>
    <t>at speed in h</t>
  </si>
  <si>
    <t xml:space="preserve"> </t>
  </si>
  <si>
    <t>Motor kw</t>
  </si>
  <si>
    <t>Total motor hp</t>
  </si>
  <si>
    <t>Torque required (ft-lbs)</t>
  </si>
  <si>
    <t>Total motor kw</t>
  </si>
  <si>
    <t>Battery current</t>
  </si>
  <si>
    <t>Wheel RPM</t>
  </si>
  <si>
    <t>HP from motor</t>
  </si>
  <si>
    <t>Motor kW</t>
  </si>
  <si>
    <t>Battery current (estimate)</t>
  </si>
  <si>
    <t>Estimated range (miles)</t>
  </si>
  <si>
    <t>Motor RPM</t>
  </si>
  <si>
    <t xml:space="preserve">2nd </t>
  </si>
  <si>
    <t>Torque multiplication</t>
  </si>
  <si>
    <t>Motor torque required</t>
  </si>
  <si>
    <t>Optimum speed by gear</t>
  </si>
  <si>
    <t>58 ah</t>
  </si>
  <si>
    <t>Watt-hours per mile</t>
  </si>
  <si>
    <t>$ per Kw/hr</t>
  </si>
  <si>
    <t>$ per gallon of gas</t>
  </si>
  <si>
    <t>Pre-conversion MPG</t>
  </si>
  <si>
    <t>Dollars saved per mile</t>
  </si>
  <si>
    <t>Cost per mile in USD</t>
  </si>
  <si>
    <t>versus gasoline</t>
  </si>
  <si>
    <t>Cost per trip</t>
  </si>
  <si>
    <t>Distance</t>
  </si>
  <si>
    <t>Cost using gas</t>
  </si>
  <si>
    <t>Dollars saved by EV</t>
  </si>
  <si>
    <t xml:space="preserve">Days </t>
  </si>
  <si>
    <t>total yearly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</si>
</sst>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C0C0C0"/>
      </patternFill>
    </fill>
    <fill>
      <patternFill patternType="solid">
        <fgColor rgb="FFA5A5A5"/>
        <bgColor rgb="FFC0C0C0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Protection="0"/>
    <xf numFmtId="0" fontId="4" fillId="5" borderId="1" applyNumberFormat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2" fillId="3" borderId="2" xfId="1" applyFont="1" applyFill="1" applyBorder="1" applyAlignment="1" applyProtection="1">
      <alignment horizontal="center"/>
    </xf>
    <xf numFmtId="2" fontId="3" fillId="4" borderId="3" xfId="1" applyNumberFormat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/>
    <xf numFmtId="9" fontId="0" fillId="0" borderId="0" xfId="0" applyNumberFormat="1"/>
    <xf numFmtId="10" fontId="0" fillId="0" borderId="0" xfId="0" applyNumberFormat="1"/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0" fillId="0" borderId="0" xfId="0" applyFont="1" applyBorder="1" applyAlignment="1">
      <alignment horizontal="center"/>
    </xf>
    <xf numFmtId="2" fontId="1" fillId="2" borderId="1" xfId="1" applyNumberFormat="1" applyAlignment="1" applyProtection="1">
      <alignment horizontal="center"/>
    </xf>
    <xf numFmtId="0" fontId="0" fillId="0" borderId="0" xfId="0" applyAlignment="1">
      <alignment horizontal="center"/>
    </xf>
    <xf numFmtId="0" fontId="4" fillId="5" borderId="1" xfId="2"/>
    <xf numFmtId="0" fontId="5" fillId="0" borderId="0" xfId="0" applyFont="1"/>
    <xf numFmtId="0" fontId="5" fillId="0" borderId="0" xfId="0" applyFont="1" applyAlignment="1">
      <alignment horizontal="center"/>
    </xf>
    <xf numFmtId="0" fontId="4" fillId="5" borderId="1" xfId="2" applyAlignment="1">
      <alignment horizontal="center"/>
    </xf>
  </cellXfs>
  <cellStyles count="3">
    <cellStyle name="Explanatory Text" xfId="1" builtinId="53" customBuiltin="1"/>
    <cellStyle name="Normal" xfId="0" builtinId="0"/>
    <cellStyle name="Output" xfId="2" builtinId="2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zoomScale="85" zoomScaleNormal="85" workbookViewId="0">
      <selection activeCell="H6" sqref="H6"/>
    </sheetView>
  </sheetViews>
  <sheetFormatPr defaultRowHeight="15"/>
  <cols>
    <col min="1" max="1" width="15.85546875"/>
    <col min="2" max="2" width="20.140625"/>
    <col min="3" max="3" width="13.7109375"/>
    <col min="4" max="4" width="20.28515625"/>
    <col min="5" max="5" width="11"/>
    <col min="6" max="6" width="8.5703125"/>
    <col min="7" max="7" width="22.28515625" customWidth="1"/>
    <col min="8" max="8" width="24.42578125"/>
    <col min="9" max="9" width="17.28515625" customWidth="1"/>
    <col min="10" max="10" width="18.7109375" customWidth="1"/>
    <col min="11" max="14" width="13.140625"/>
    <col min="15" max="15" width="8.5703125"/>
    <col min="16" max="16" width="16.7109375"/>
    <col min="17" max="1025" width="8.570312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1" t="s">
        <v>16</v>
      </c>
      <c r="B2" s="2">
        <v>0.31</v>
      </c>
      <c r="C2" s="2">
        <v>21.3</v>
      </c>
      <c r="D2" s="3">
        <f>B2*C2</f>
        <v>6.6029999999999998</v>
      </c>
      <c r="E2" s="2">
        <v>3500</v>
      </c>
      <c r="F2" s="2">
        <v>1.4</v>
      </c>
      <c r="G2" s="2">
        <v>0</v>
      </c>
      <c r="H2" s="2">
        <v>1.7999999999999999E-2</v>
      </c>
      <c r="I2" s="2">
        <v>0.9</v>
      </c>
      <c r="J2" s="2">
        <v>3.5</v>
      </c>
      <c r="K2" s="2">
        <v>2.11</v>
      </c>
      <c r="L2" s="2">
        <v>1.43</v>
      </c>
      <c r="M2" s="2">
        <v>1.03</v>
      </c>
      <c r="N2" s="2">
        <v>1</v>
      </c>
      <c r="O2" s="2">
        <v>5.2</v>
      </c>
      <c r="P2" s="2">
        <v>808</v>
      </c>
      <c r="Q2" s="4"/>
    </row>
    <row r="3" spans="1:17">
      <c r="A3" s="1" t="s">
        <v>17</v>
      </c>
      <c r="B3" s="1"/>
      <c r="C3" s="1"/>
      <c r="D3" s="1"/>
      <c r="E3" s="1"/>
      <c r="F3" s="1"/>
      <c r="G3" s="1"/>
      <c r="H3" s="1"/>
      <c r="I3" s="1"/>
      <c r="J3" s="1">
        <v>3.5</v>
      </c>
      <c r="K3" s="1">
        <v>2.11</v>
      </c>
      <c r="L3" s="1">
        <v>1.43</v>
      </c>
      <c r="M3" s="1">
        <v>1.03</v>
      </c>
      <c r="N3" s="1">
        <v>0.8</v>
      </c>
      <c r="O3" s="1">
        <v>3.89</v>
      </c>
      <c r="P3" s="1"/>
    </row>
    <row r="4" spans="1:17">
      <c r="A4" s="1"/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1" t="s">
        <v>65</v>
      </c>
      <c r="I4" s="11" t="s">
        <v>66</v>
      </c>
      <c r="J4" s="11" t="s">
        <v>67</v>
      </c>
      <c r="K4" s="1"/>
      <c r="L4" s="1"/>
      <c r="M4" s="1"/>
      <c r="N4" s="1"/>
      <c r="O4" s="1"/>
      <c r="P4" s="1"/>
    </row>
    <row r="5" spans="1:17">
      <c r="A5" s="1"/>
      <c r="B5" s="2">
        <v>85</v>
      </c>
      <c r="C5" s="2">
        <v>360</v>
      </c>
      <c r="D5" s="2">
        <v>4500</v>
      </c>
      <c r="E5" s="2">
        <v>66</v>
      </c>
      <c r="F5" s="4">
        <v>87.5</v>
      </c>
      <c r="G5" s="2">
        <v>1.1000000000000001</v>
      </c>
      <c r="H5" s="2">
        <v>0.11</v>
      </c>
      <c r="I5" s="2">
        <v>3.59</v>
      </c>
      <c r="J5" s="2">
        <v>26</v>
      </c>
      <c r="K5" s="2"/>
      <c r="L5" s="2"/>
      <c r="M5" s="1"/>
      <c r="N5" s="1"/>
      <c r="O5" s="1"/>
      <c r="P5" s="1"/>
    </row>
    <row r="6" spans="1:17">
      <c r="F6" s="5"/>
    </row>
    <row r="7" spans="1:17">
      <c r="E7" t="s">
        <v>24</v>
      </c>
    </row>
    <row r="8" spans="1:17">
      <c r="E8" t="s">
        <v>25</v>
      </c>
      <c r="F8" s="5"/>
    </row>
    <row r="12" spans="1:17">
      <c r="E12" t="s">
        <v>26</v>
      </c>
      <c r="F12" s="6">
        <v>0.875</v>
      </c>
      <c r="G12" t="s">
        <v>27</v>
      </c>
      <c r="H12" t="s">
        <v>63</v>
      </c>
    </row>
    <row r="13" spans="1:17">
      <c r="E13" t="s">
        <v>28</v>
      </c>
    </row>
    <row r="15" spans="1:17">
      <c r="E15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56"/>
  <sheetViews>
    <sheetView tabSelected="1" topLeftCell="G13" zoomScaleNormal="100" workbookViewId="0">
      <selection activeCell="L9" sqref="L9"/>
    </sheetView>
  </sheetViews>
  <sheetFormatPr defaultRowHeight="15"/>
  <cols>
    <col min="1" max="1" width="24.85546875" style="1"/>
    <col min="2" max="2" width="9" style="1"/>
    <col min="3" max="10" width="8.85546875" style="1"/>
    <col min="11" max="11" width="12.42578125" style="1" customWidth="1"/>
    <col min="12" max="12" width="17.7109375" style="1" customWidth="1"/>
    <col min="13" max="13" width="17.28515625" style="1" customWidth="1"/>
    <col min="14" max="14" width="8.85546875" style="1"/>
    <col min="15" max="15" width="11.5703125" style="1" customWidth="1"/>
    <col min="16" max="17" width="8.85546875" style="1"/>
    <col min="18" max="18" width="19.5703125" style="1"/>
    <col min="19" max="1025" width="8.85546875" style="1"/>
  </cols>
  <sheetData>
    <row r="1" spans="1:19">
      <c r="A1" s="1" t="s">
        <v>30</v>
      </c>
      <c r="B1" s="2">
        <v>15</v>
      </c>
      <c r="C1" s="2">
        <v>25</v>
      </c>
      <c r="D1" s="2">
        <v>30</v>
      </c>
      <c r="E1" s="2">
        <v>40</v>
      </c>
      <c r="F1" s="2">
        <v>50</v>
      </c>
      <c r="G1" s="2">
        <v>60</v>
      </c>
      <c r="H1" s="2">
        <v>65</v>
      </c>
      <c r="I1" s="2">
        <v>75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/>
      <c r="S1"/>
    </row>
    <row r="2" spans="1:19">
      <c r="A2" s="1" t="s">
        <v>37</v>
      </c>
      <c r="B2" s="7">
        <f>(Sheet1!D2 * Sheet2!B1^2)/391</f>
        <v>3.7996803069053708</v>
      </c>
      <c r="C2" s="7">
        <f>(Sheet1!D2 * Sheet2!C1^2)/391</f>
        <v>10.554667519181585</v>
      </c>
      <c r="D2" s="7">
        <f>(Sheet1!D2 * Sheet2!D1^2)/391</f>
        <v>15.198721227621483</v>
      </c>
      <c r="E2" s="7">
        <f>(Sheet1!D2 * Sheet2!E1^2)/391</f>
        <v>27.019948849104857</v>
      </c>
      <c r="F2" s="7">
        <f>(Sheet1!D2 * Sheet2!F1^2)/391</f>
        <v>42.21867007672634</v>
      </c>
      <c r="G2" s="7">
        <f>(Sheet1!D2 * Sheet2!G1^2)/391</f>
        <v>60.794884910485933</v>
      </c>
      <c r="H2" s="7">
        <f>(Sheet1!D2 * Sheet2!H1^2)/391</f>
        <v>71.349552429667511</v>
      </c>
      <c r="I2" s="7">
        <f>(Sheet1!D2 * Sheet2!I1^2)/391</f>
        <v>94.992007672634273</v>
      </c>
      <c r="L2"/>
      <c r="M2" s="7">
        <f>Sheet1!J2*Sheet1!O2</f>
        <v>18.2</v>
      </c>
      <c r="N2" s="7">
        <f>Sheet1!K2*Sheet1!O2</f>
        <v>10.972</v>
      </c>
      <c r="O2" s="7">
        <f>Sheet1!L2*Sheet1!O2</f>
        <v>7.4359999999999999</v>
      </c>
      <c r="P2" s="7">
        <f>Sheet1!M2*Sheet1!O2</f>
        <v>5.3560000000000008</v>
      </c>
      <c r="Q2" s="7">
        <f>Sheet1!N2*Sheet1!O2</f>
        <v>5.2</v>
      </c>
      <c r="R2"/>
      <c r="S2"/>
    </row>
    <row r="3" spans="1:19">
      <c r="A3"/>
      <c r="B3"/>
      <c r="C3"/>
      <c r="D3"/>
      <c r="E3"/>
      <c r="F3"/>
      <c r="G3"/>
      <c r="H3"/>
      <c r="I3"/>
      <c r="L3"/>
      <c r="M3"/>
      <c r="N3"/>
      <c r="O3"/>
      <c r="P3"/>
      <c r="Q3"/>
      <c r="R3"/>
      <c r="S3"/>
    </row>
    <row r="4" spans="1:19">
      <c r="A4" s="1" t="s">
        <v>38</v>
      </c>
      <c r="B4" s="7">
        <f>(0.98*(Sheet1!G2/Sheet2!B1)^2+0.63*(Sheet1!G2/Sheet2!B1))*Sheet1!F2-0.4*(Sheet1!G2/Sheet2!B1)</f>
        <v>0</v>
      </c>
      <c r="C4" s="7">
        <f>(0.98*(Sheet1!G2/Sheet2!C1)^2+0.63*(Sheet1!G2/Sheet2!C1))*Sheet1!F2-0.4*(Sheet1!G2/Sheet2!C1)</f>
        <v>0</v>
      </c>
      <c r="D4" s="7">
        <f>(0.98*(Sheet1!G2/Sheet2!D1)^2+0.63*(Sheet1!G2/Sheet2!D1))*Sheet1!F2-0.4*(Sheet1!G2/Sheet2!D1)</f>
        <v>0</v>
      </c>
      <c r="E4" s="7">
        <f>(0.98*(Sheet1!G2/Sheet2!E1)^2+0.63*(Sheet1!G2/Sheet2!E1))*Sheet1!F2-0.4*(Sheet1!G2/Sheet2!E1)</f>
        <v>0</v>
      </c>
      <c r="F4" s="7">
        <f>(0.98*(Sheet1!G2/Sheet2!F1)^2+0.63*(Sheet1!G2/Sheet2!F1))*Sheet1!F2-0.4*(Sheet1!G2/Sheet2!F1)</f>
        <v>0</v>
      </c>
      <c r="G4" s="7">
        <f>(0.98*(Sheet1!G2/Sheet2!G1)^2+0.63*(Sheet1!G2/Sheet2!G1))*Sheet1!F2-0.4*(Sheet1!G2/Sheet2!G1)</f>
        <v>0</v>
      </c>
      <c r="H4" s="7">
        <f>(0.98*(Sheet1!G2/Sheet2!H1)^2+0.63*(Sheet1!G2/Sheet2!H1))*Sheet1!F2-0.4*(Sheet1!G2/Sheet2!H1)</f>
        <v>0</v>
      </c>
      <c r="I4" s="7">
        <f>(0.98*(Sheet1!G2/Sheet2!I1)^2+0.63*(Sheet1!G2/Sheet2!I1))*Sheet1!F2-0.4*(Sheet1!G2/Sheet2!I1)</f>
        <v>0</v>
      </c>
      <c r="L4" s="1" t="s">
        <v>39</v>
      </c>
      <c r="M4" s="2">
        <v>1</v>
      </c>
      <c r="N4" s="2">
        <v>2</v>
      </c>
      <c r="O4" s="2">
        <v>3</v>
      </c>
      <c r="P4" s="2">
        <v>4</v>
      </c>
      <c r="Q4" s="2">
        <v>9</v>
      </c>
      <c r="R4"/>
      <c r="S4"/>
    </row>
    <row r="5" spans="1:19">
      <c r="A5" s="13"/>
      <c r="B5"/>
      <c r="C5"/>
      <c r="D5"/>
      <c r="E5"/>
      <c r="F5"/>
      <c r="G5"/>
      <c r="H5"/>
      <c r="I5"/>
      <c r="L5" s="1" t="s">
        <v>40</v>
      </c>
      <c r="M5" s="7">
        <f>(Sheet1!G5 *Sheet1!E2* (M4/21.95))</f>
        <v>175.39863325740322</v>
      </c>
      <c r="N5" s="7">
        <f>(Sheet1!G5 *Sheet1!E2* (N4/21.95))</f>
        <v>350.79726651480644</v>
      </c>
      <c r="O5" s="7">
        <f>(Sheet1!G5 *Sheet1!E2* (O4/21.95))</f>
        <v>526.1958997722096</v>
      </c>
      <c r="P5" s="7">
        <f>(Sheet1!G5 *Sheet1!E2* (P4/21.95))</f>
        <v>701.59453302961288</v>
      </c>
      <c r="Q5" s="7">
        <f>(Sheet1!G5 *Sheet1!E2* (Q4/21.95))</f>
        <v>1578.5876993166289</v>
      </c>
      <c r="R5"/>
      <c r="S5"/>
    </row>
    <row r="6" spans="1:19">
      <c r="A6" s="14" t="s">
        <v>41</v>
      </c>
      <c r="B6" s="7">
        <f t="shared" ref="B6:I6" si="0">B2 * (1 + B4)</f>
        <v>3.7996803069053708</v>
      </c>
      <c r="C6" s="7">
        <f t="shared" si="0"/>
        <v>10.554667519181585</v>
      </c>
      <c r="D6" s="7">
        <f t="shared" si="0"/>
        <v>15.198721227621483</v>
      </c>
      <c r="E6" s="7">
        <f t="shared" si="0"/>
        <v>27.019948849104857</v>
      </c>
      <c r="F6" s="7">
        <f t="shared" si="0"/>
        <v>42.21867007672634</v>
      </c>
      <c r="G6" s="7">
        <f t="shared" si="0"/>
        <v>60.794884910485933</v>
      </c>
      <c r="H6" s="7">
        <f t="shared" si="0"/>
        <v>71.349552429667511</v>
      </c>
      <c r="I6" s="7">
        <f t="shared" si="0"/>
        <v>94.992007672634273</v>
      </c>
      <c r="L6"/>
      <c r="M6"/>
      <c r="N6"/>
      <c r="O6"/>
      <c r="P6"/>
      <c r="Q6"/>
      <c r="R6"/>
      <c r="S6"/>
    </row>
    <row r="7" spans="1:19">
      <c r="A7" s="13"/>
      <c r="B7"/>
      <c r="C7"/>
      <c r="D7"/>
      <c r="E7"/>
      <c r="F7"/>
      <c r="G7"/>
      <c r="H7"/>
      <c r="I7"/>
      <c r="L7" s="1" t="s">
        <v>42</v>
      </c>
      <c r="M7" s="7">
        <f>M5*(840.34/S25)</f>
        <v>182.41892013802749</v>
      </c>
      <c r="N7" s="7">
        <f>N5*(840.34/S25)</f>
        <v>364.83784027605498</v>
      </c>
      <c r="O7" s="7">
        <f>O5*(840.34/S25)</f>
        <v>547.25676041408246</v>
      </c>
      <c r="P7" s="7">
        <f>P5*(840.34/S25)</f>
        <v>729.67568055210995</v>
      </c>
      <c r="Q7" s="7">
        <f>Q5*(840.34/S25)</f>
        <v>1641.7702812422474</v>
      </c>
      <c r="S7"/>
    </row>
    <row r="8" spans="1:19">
      <c r="A8" s="14" t="s">
        <v>43</v>
      </c>
      <c r="B8" s="7">
        <f>(Sheet1!H2 *Sheet1!E2)</f>
        <v>62.999999999999993</v>
      </c>
      <c r="C8" s="7">
        <f>(Sheet1!H2 *Sheet1!E2)</f>
        <v>62.999999999999993</v>
      </c>
      <c r="D8" s="7">
        <f>(Sheet1!H2 *Sheet1!E2)</f>
        <v>62.999999999999993</v>
      </c>
      <c r="E8" s="7">
        <f>(Sheet1!H2 *Sheet1!E2)</f>
        <v>62.999999999999993</v>
      </c>
      <c r="F8" s="7">
        <f>(Sheet1!H2 *Sheet1!E2)</f>
        <v>62.999999999999993</v>
      </c>
      <c r="G8" s="7">
        <f>(Sheet1!H2 *Sheet1!E2)</f>
        <v>62.999999999999993</v>
      </c>
      <c r="H8" s="7">
        <f>(Sheet1!H2 *Sheet1!E2)</f>
        <v>62.999999999999993</v>
      </c>
      <c r="I8" s="7">
        <f>(Sheet1!H2 *Sheet1!E2)</f>
        <v>62.999999999999993</v>
      </c>
      <c r="L8"/>
      <c r="M8"/>
      <c r="P8"/>
      <c r="Q8" s="1">
        <f>Q7/Q2</f>
        <v>315.72505408504759</v>
      </c>
      <c r="R8" s="1" t="s">
        <v>44</v>
      </c>
      <c r="S8"/>
    </row>
    <row r="9" spans="1:19">
      <c r="A9" s="13"/>
      <c r="B9"/>
      <c r="C9"/>
      <c r="D9"/>
      <c r="E9"/>
      <c r="F9"/>
      <c r="G9"/>
      <c r="H9"/>
      <c r="I9"/>
      <c r="L9">
        <v>9.9999999999999895E+76</v>
      </c>
      <c r="M9"/>
      <c r="Q9" s="1">
        <f>(Q8 * H1 * S25)/(315120 *S24)</f>
        <v>58.467602608342148</v>
      </c>
      <c r="R9" s="1" t="s">
        <v>45</v>
      </c>
      <c r="S9" t="s">
        <v>46</v>
      </c>
    </row>
    <row r="10" spans="1:19">
      <c r="A10" s="14" t="s">
        <v>47</v>
      </c>
      <c r="B10" s="7">
        <f t="shared" ref="B10:I10" si="1">B6 + B8</f>
        <v>66.799680306905358</v>
      </c>
      <c r="C10" s="7">
        <f t="shared" si="1"/>
        <v>73.554667519181578</v>
      </c>
      <c r="D10" s="7">
        <f t="shared" si="1"/>
        <v>78.198721227621476</v>
      </c>
      <c r="E10" s="7">
        <f t="shared" si="1"/>
        <v>90.01994884910485</v>
      </c>
      <c r="F10" s="7">
        <f t="shared" si="1"/>
        <v>105.21867007672634</v>
      </c>
      <c r="G10" s="7">
        <f t="shared" si="1"/>
        <v>123.79488491048593</v>
      </c>
      <c r="H10" s="7">
        <f t="shared" si="1"/>
        <v>134.34955242966751</v>
      </c>
      <c r="I10" s="7">
        <f t="shared" si="1"/>
        <v>157.99200767263426</v>
      </c>
      <c r="L10"/>
      <c r="M10"/>
      <c r="Q10" s="1">
        <f>Q9*0.746</f>
        <v>43.616831545823239</v>
      </c>
      <c r="R10" s="1" t="s">
        <v>48</v>
      </c>
      <c r="S10"/>
    </row>
    <row r="11" spans="1:19">
      <c r="A11" s="13"/>
      <c r="B11"/>
      <c r="C11"/>
      <c r="D11"/>
      <c r="E11"/>
      <c r="F11"/>
      <c r="G11"/>
      <c r="H11"/>
      <c r="I11"/>
      <c r="L11"/>
      <c r="M11"/>
      <c r="Q11" s="1">
        <f>Q9+H16</f>
        <v>84.341715394061254</v>
      </c>
      <c r="R11" s="1" t="s">
        <v>49</v>
      </c>
      <c r="S11"/>
    </row>
    <row r="12" spans="1:19">
      <c r="A12" s="14" t="s">
        <v>50</v>
      </c>
      <c r="B12" s="7">
        <f>(840.3/Sheet1!P2) *Sheet2!B10</f>
        <v>69.47001406174823</v>
      </c>
      <c r="C12" s="7">
        <f>(840.3/Sheet1!P2) *Sheet2!C10</f>
        <v>76.495033559861724</v>
      </c>
      <c r="D12" s="7">
        <f>(840.3/Sheet1!P2) *Sheet2!D10</f>
        <v>81.324734464814753</v>
      </c>
      <c r="E12" s="7">
        <f>(840.3/Sheet1!P2) *Sheet2!E10</f>
        <v>93.61851858651336</v>
      </c>
      <c r="F12" s="7">
        <f>(840.3/Sheet1!P2) *Sheet2!F10</f>
        <v>109.42481245726873</v>
      </c>
      <c r="G12" s="7">
        <f>(840.3/Sheet1!P2) *Sheet2!G10</f>
        <v>128.74361607708084</v>
      </c>
      <c r="H12" s="7">
        <f>(840.3/Sheet1!P2) *Sheet2!H10</f>
        <v>139.72020904288317</v>
      </c>
      <c r="I12" s="7">
        <f>(840.3/Sheet1!P2) *Sheet2!I10</f>
        <v>164.30777728628038</v>
      </c>
      <c r="L12"/>
      <c r="M12"/>
      <c r="Q12" s="1">
        <f>Q11*0.746</f>
        <v>62.918919683969698</v>
      </c>
      <c r="R12" s="1" t="s">
        <v>51</v>
      </c>
      <c r="S12"/>
    </row>
    <row r="13" spans="1:19">
      <c r="A13" s="13"/>
      <c r="B13"/>
      <c r="C13"/>
      <c r="D13"/>
      <c r="E13"/>
      <c r="F13"/>
      <c r="G13"/>
      <c r="H13"/>
      <c r="I13"/>
      <c r="L13"/>
      <c r="M13"/>
      <c r="Q13" s="1">
        <f>((Q12 * 1000)/Sheet1!C5)/(Sheet1!B5/100)</f>
        <v>205.61738458813628</v>
      </c>
      <c r="R13" s="1" t="s">
        <v>52</v>
      </c>
      <c r="S13"/>
    </row>
    <row r="14" spans="1:19">
      <c r="A14" s="14" t="s">
        <v>53</v>
      </c>
      <c r="B14" s="7">
        <f>(B1 * Sheet1!P2) /60</f>
        <v>202</v>
      </c>
      <c r="C14" s="7">
        <f>(C1 * Sheet1!P2) /60</f>
        <v>336.66666666666669</v>
      </c>
      <c r="D14" s="7">
        <f>(D1 * Sheet1!P2) /60</f>
        <v>404</v>
      </c>
      <c r="E14" s="7">
        <f>(E1 * Sheet1!P2) /60</f>
        <v>538.66666666666663</v>
      </c>
      <c r="F14" s="7">
        <f>(F1 * Sheet1!P2) /60</f>
        <v>673.33333333333337</v>
      </c>
      <c r="G14" s="7">
        <f>(G1 * Sheet1!P2) /60</f>
        <v>808</v>
      </c>
      <c r="H14" s="7">
        <f>(H1 * Sheet1!P2) /60</f>
        <v>875.33333333333337</v>
      </c>
      <c r="I14" s="7">
        <f>(I1 * Sheet1!P2) /60</f>
        <v>1010</v>
      </c>
      <c r="L14"/>
      <c r="M14"/>
      <c r="S14"/>
    </row>
    <row r="15" spans="1:19">
      <c r="A15" s="13"/>
      <c r="B15"/>
      <c r="C15"/>
      <c r="D15"/>
      <c r="E15"/>
      <c r="F15"/>
      <c r="G15"/>
      <c r="H15"/>
      <c r="I15"/>
      <c r="L15"/>
      <c r="M15"/>
      <c r="S15"/>
    </row>
    <row r="16" spans="1:19">
      <c r="A16" s="14" t="s">
        <v>54</v>
      </c>
      <c r="B16" s="7">
        <f>(B12*B1*S25)/(315120 * S24)</f>
        <v>2.96880401973283</v>
      </c>
      <c r="C16" s="7">
        <f>(C12*C1*S25)/(315120 * S24)</f>
        <v>5.4483642136653652</v>
      </c>
      <c r="D16" s="7">
        <f>(D12*D1*S25)/(315120 * S24)</f>
        <v>6.9508320055397217</v>
      </c>
      <c r="E16" s="7">
        <f>(E12*E1*S25)/(315120 * S24)</f>
        <v>10.668777046896109</v>
      </c>
      <c r="F16" s="7">
        <f>(F12*F1*S25)/(315120 * S24)</f>
        <v>15.587580122118052</v>
      </c>
      <c r="G16" s="7">
        <f>(G12*G1*S25)/(315120 * S24)</f>
        <v>22.00745573967194</v>
      </c>
      <c r="H16" s="7">
        <f>(H12*H1*S25)/(315120 * S24)</f>
        <v>25.874112785719106</v>
      </c>
      <c r="I16" s="7">
        <f>(I12*I1*S25)/(315120 * S24)</f>
        <v>35.108499420145378</v>
      </c>
      <c r="L16"/>
      <c r="M16"/>
      <c r="S16"/>
    </row>
    <row r="17" spans="1:19">
      <c r="A17"/>
      <c r="B17"/>
      <c r="C17"/>
      <c r="D17"/>
      <c r="E17"/>
      <c r="F17"/>
      <c r="G17"/>
      <c r="H17"/>
      <c r="I17"/>
      <c r="L17"/>
      <c r="M17"/>
      <c r="S17"/>
    </row>
    <row r="18" spans="1:19">
      <c r="A18" s="1" t="s">
        <v>55</v>
      </c>
      <c r="B18" s="7">
        <f t="shared" ref="B18:I18" si="2">B16*0.746</f>
        <v>2.2147277987206913</v>
      </c>
      <c r="C18" s="7">
        <f t="shared" si="2"/>
        <v>4.0644797033943627</v>
      </c>
      <c r="D18" s="7">
        <f t="shared" si="2"/>
        <v>5.1853206761326325</v>
      </c>
      <c r="E18" s="7">
        <f t="shared" si="2"/>
        <v>7.9589076769844969</v>
      </c>
      <c r="F18" s="7">
        <f t="shared" si="2"/>
        <v>11.628334771100066</v>
      </c>
      <c r="G18" s="7">
        <f t="shared" si="2"/>
        <v>16.417561981795266</v>
      </c>
      <c r="H18" s="7">
        <f t="shared" si="2"/>
        <v>19.302088138146452</v>
      </c>
      <c r="I18" s="7">
        <f t="shared" si="2"/>
        <v>26.190940567428452</v>
      </c>
      <c r="L18"/>
      <c r="M18"/>
      <c r="S18"/>
    </row>
    <row r="19" spans="1:19">
      <c r="A19"/>
      <c r="B19"/>
      <c r="C19"/>
      <c r="D19"/>
      <c r="E19"/>
      <c r="F19"/>
      <c r="G19"/>
      <c r="H19"/>
      <c r="I19"/>
      <c r="L19"/>
      <c r="M19"/>
      <c r="S19"/>
    </row>
    <row r="20" spans="1:19">
      <c r="A20" s="1" t="s">
        <v>56</v>
      </c>
      <c r="B20" s="7">
        <f>((1000 *B18)/(Sheet1!C5))/(Sheet1!B5/100)</f>
        <v>7.237672544838861</v>
      </c>
      <c r="C20" s="7">
        <f>((1000 *C18)/Sheet1!C5)/(Sheet1!B5/100)</f>
        <v>13.282613409785499</v>
      </c>
      <c r="D20" s="7">
        <f>((1000 *D18)/Sheet1!C5)/(Sheet1!B5/100)</f>
        <v>16.945492405662197</v>
      </c>
      <c r="E20" s="7">
        <f>((1000 *E18)/Sheet1!C5)/(Sheet1!B5/100)</f>
        <v>26.009502212367639</v>
      </c>
      <c r="F20" s="7">
        <f>((1000 *F18)/Sheet1!C5)/(Sheet1!B5/100)</f>
        <v>38.001094023202832</v>
      </c>
      <c r="G20" s="7">
        <f>((1000 *G18)/Sheet1!C5)/(Sheet1!B5/100)</f>
        <v>53.652163339200214</v>
      </c>
      <c r="H20" s="7">
        <f>((1000 *H18)/Sheet1!C5)/(Sheet1!B5/100)</f>
        <v>63.078719405707368</v>
      </c>
      <c r="I20" s="7">
        <f>((1000 *I18)/Sheet1!C5)/(Sheet1!B5/100)</f>
        <v>85.59130904388384</v>
      </c>
      <c r="L20"/>
      <c r="M20"/>
      <c r="S20"/>
    </row>
    <row r="21" spans="1:19">
      <c r="A21"/>
      <c r="B21"/>
      <c r="C21"/>
      <c r="D21"/>
      <c r="E21"/>
      <c r="F21"/>
      <c r="G21"/>
      <c r="H21"/>
      <c r="I21"/>
      <c r="L21"/>
      <c r="M21"/>
      <c r="S21"/>
    </row>
    <row r="22" spans="1:19">
      <c r="A22" s="1" t="s">
        <v>57</v>
      </c>
      <c r="B22" s="7">
        <f>(Sheet1!E5*(Sheet1!F5/100))*B1/B20</f>
        <v>119.68626580346157</v>
      </c>
      <c r="C22" s="7">
        <f>(Sheet1!E5*(Sheet1!F5/100))*C1/C20</f>
        <v>108.69472410725798</v>
      </c>
      <c r="D22" s="7">
        <f>(Sheet1!E5*(Sheet1!F5/100))*D1/D20</f>
        <v>102.23957843922548</v>
      </c>
      <c r="E22" s="7">
        <f>(Sheet1!E5*(Sheet1!F5/100))*E1/E20</f>
        <v>88.813695131065757</v>
      </c>
      <c r="F22" s="7">
        <f>(Sheet1!E5*(Sheet1!F5/100))*F1/F20</f>
        <v>75.984654500655708</v>
      </c>
      <c r="G22" s="7">
        <f>(Sheet1!E5*(Sheet1!F5/100))*G1/G20</f>
        <v>64.582670750730856</v>
      </c>
      <c r="H22" s="7">
        <f>(Sheet1!E5*(Sheet1!F5/100))*H1/H20</f>
        <v>59.508976012286645</v>
      </c>
      <c r="I22" s="7">
        <f>(Sheet1!E5*(Sheet1!F5/100))*I1/I20</f>
        <v>50.603852755415957</v>
      </c>
      <c r="L22"/>
      <c r="M22"/>
      <c r="S22"/>
    </row>
    <row r="23" spans="1:19">
      <c r="A23"/>
      <c r="B23"/>
      <c r="C23"/>
      <c r="D23"/>
      <c r="E23"/>
      <c r="F23"/>
      <c r="G23"/>
      <c r="H23"/>
      <c r="I23"/>
      <c r="L23"/>
      <c r="M23"/>
      <c r="S23"/>
    </row>
    <row r="24" spans="1:19">
      <c r="A24" s="11" t="s">
        <v>64</v>
      </c>
      <c r="B24" s="12">
        <f>(Sheet1!E5*Sheet1!C5)*(Sheet1!F5/100)/B22</f>
        <v>173.70414107613266</v>
      </c>
      <c r="C24" s="12">
        <f>(Sheet1!E5*Sheet1!C5)*(Sheet1!F5/100)/C22</f>
        <v>191.26963310091119</v>
      </c>
      <c r="D24" s="12">
        <f>(Sheet1!E5*Sheet1!C5)*(Sheet1!F5/100)/D22</f>
        <v>203.34590886794638</v>
      </c>
      <c r="E24" s="12">
        <f>(Sheet1!E5*Sheet1!C5)*(Sheet1!F5/100)/E22</f>
        <v>234.08551991130878</v>
      </c>
      <c r="F24" s="12">
        <f>(Sheet1!E5*Sheet1!C5)*(Sheet1!F5/100)/F22</f>
        <v>273.60787696706041</v>
      </c>
      <c r="G24" s="12">
        <f>(Sheet1!E5*Sheet1!C5)*(Sheet1!F5/100)/G22</f>
        <v>321.91298003520131</v>
      </c>
      <c r="H24" s="12">
        <f>(Sheet1!E5*Sheet1!C5)*(Sheet1!F5/100)/H22</f>
        <v>349.35906132391773</v>
      </c>
      <c r="I24" s="12">
        <f>(Sheet1!E5*Sheet1!C5)*(Sheet1!F5/100)/I22</f>
        <v>410.83828341064242</v>
      </c>
      <c r="L24"/>
      <c r="M24"/>
      <c r="S24" s="1">
        <f>Sheet1!I2</f>
        <v>0.9</v>
      </c>
    </row>
    <row r="25" spans="1:19">
      <c r="L25"/>
      <c r="M25"/>
      <c r="S25" s="1">
        <f>Sheet1!P2</f>
        <v>808</v>
      </c>
    </row>
    <row r="26" spans="1:19">
      <c r="A26" s="11" t="s">
        <v>69</v>
      </c>
      <c r="B26" s="15">
        <f>(Sheet1!H5*(Sheet2!B24/1000))</f>
        <v>1.9107455518374592E-2</v>
      </c>
      <c r="C26" s="15">
        <f>(Sheet1!H5*(Sheet2!C24/1000))</f>
        <v>2.1039659641100231E-2</v>
      </c>
      <c r="D26" s="15">
        <f>(Sheet1!H5*(Sheet2!D24/1000))</f>
        <v>2.2368049975474102E-2</v>
      </c>
      <c r="E26" s="15">
        <f>(Sheet1!H5*(Sheet2!E24/1000))</f>
        <v>2.5749407190243965E-2</v>
      </c>
      <c r="F26" s="15">
        <f>(Sheet1!H5*(Sheet2!F24/1000))</f>
        <v>3.0096866466376646E-2</v>
      </c>
      <c r="G26" s="15">
        <f>(Sheet1!H5*(Sheet2!G24/1000))</f>
        <v>3.5410427803872144E-2</v>
      </c>
      <c r="H26" s="15">
        <f>(Sheet1!H5*(Sheet2!H24/1000))</f>
        <v>3.8429496745630953E-2</v>
      </c>
      <c r="I26" s="15">
        <f>(Sheet1!H5*(Sheet2!I24/1000))</f>
        <v>4.5192211175170666E-2</v>
      </c>
      <c r="L26"/>
      <c r="M26"/>
    </row>
    <row r="27" spans="1:19">
      <c r="L27"/>
      <c r="M27"/>
    </row>
    <row r="28" spans="1:19">
      <c r="A28" s="11" t="s">
        <v>68</v>
      </c>
      <c r="B28" s="15">
        <f>(Sheet1!I5/Sheet1!J5)-B26</f>
        <v>0.11896946755854848</v>
      </c>
      <c r="C28" s="15">
        <f>(Sheet1!I5/Sheet1!J5)-C26</f>
        <v>0.11703726343582284</v>
      </c>
      <c r="D28" s="15">
        <f>(Sheet1!I5/Sheet1!J5)-D26</f>
        <v>0.11570887310144896</v>
      </c>
      <c r="E28" s="15">
        <f>(Sheet1!I5/Sheet1!J5)-E26</f>
        <v>0.11232751588667911</v>
      </c>
      <c r="F28" s="15">
        <f>(Sheet1!I5/Sheet1!J5)-F26</f>
        <v>0.10798005661054642</v>
      </c>
      <c r="G28" s="15">
        <f>(Sheet1!I5/Sheet1!J5)-G26</f>
        <v>0.10266649527305093</v>
      </c>
      <c r="H28" s="15">
        <f>(Sheet1!I5/Sheet1!J5)-H26</f>
        <v>9.9647426331292116E-2</v>
      </c>
      <c r="I28" s="15">
        <f>(Sheet1!I5/Sheet1!J5)-I26</f>
        <v>9.2884711901752404E-2</v>
      </c>
      <c r="J28" s="11" t="s">
        <v>72</v>
      </c>
      <c r="K28" s="11" t="s">
        <v>71</v>
      </c>
      <c r="L28" t="s">
        <v>73</v>
      </c>
      <c r="M28" t="s">
        <v>74</v>
      </c>
      <c r="N28" s="11" t="s">
        <v>75</v>
      </c>
      <c r="O28" s="11" t="s">
        <v>76</v>
      </c>
    </row>
    <row r="29" spans="1:19">
      <c r="A29" s="11" t="s">
        <v>70</v>
      </c>
      <c r="J29" s="1">
        <v>40</v>
      </c>
      <c r="K29" s="1">
        <f>H26*J29</f>
        <v>1.5371798698252381</v>
      </c>
      <c r="L29">
        <f>(Sheet1!I5/Sheet1!J5)*J29</f>
        <v>5.523076923076923</v>
      </c>
      <c r="M29" s="1">
        <f>L29-K29</f>
        <v>3.9858970532516849</v>
      </c>
      <c r="N29" s="1">
        <v>188</v>
      </c>
      <c r="O29" s="1">
        <f>N29*K29</f>
        <v>288.98981552714474</v>
      </c>
    </row>
    <row r="30" spans="1:19">
      <c r="A30" s="1" t="s">
        <v>58</v>
      </c>
      <c r="L30"/>
      <c r="M30"/>
    </row>
    <row r="31" spans="1:19">
      <c r="A31" s="1" t="s">
        <v>32</v>
      </c>
      <c r="B31" s="7">
        <f>(M2 * B14)</f>
        <v>3676.3999999999996</v>
      </c>
      <c r="C31" s="7">
        <f>(M2 * C14)</f>
        <v>6127.333333333333</v>
      </c>
      <c r="D31" s="7">
        <f>(M2 * D14)</f>
        <v>7352.7999999999993</v>
      </c>
      <c r="E31" s="7">
        <f>(M2 * E14)</f>
        <v>9803.7333333333318</v>
      </c>
      <c r="F31" s="7">
        <f>(M2 * F14)</f>
        <v>12254.666666666666</v>
      </c>
      <c r="G31" s="7">
        <f>(M2 * G14)</f>
        <v>14705.599999999999</v>
      </c>
      <c r="H31" s="7">
        <f>(M2 * H14)</f>
        <v>15931.066666666668</v>
      </c>
      <c r="I31" s="7">
        <f>(M2 * I14)</f>
        <v>18382</v>
      </c>
      <c r="L31"/>
      <c r="M31"/>
    </row>
    <row r="32" spans="1:19">
      <c r="A32" s="1" t="s">
        <v>59</v>
      </c>
      <c r="B32" s="7">
        <f>N2 * B14</f>
        <v>2216.3440000000001</v>
      </c>
      <c r="C32" s="7">
        <f>N2 * C14</f>
        <v>3693.9066666666668</v>
      </c>
      <c r="D32" s="7">
        <f>N2 * D14</f>
        <v>4432.6880000000001</v>
      </c>
      <c r="E32" s="7">
        <f>N2 * E14</f>
        <v>5910.2506666666659</v>
      </c>
      <c r="F32" s="7">
        <f>N2 * F14</f>
        <v>7387.8133333333335</v>
      </c>
      <c r="G32" s="7">
        <f>N2 * G14</f>
        <v>8865.3760000000002</v>
      </c>
      <c r="H32" s="7">
        <f>N2 * H14</f>
        <v>9604.1573333333326</v>
      </c>
      <c r="I32" s="7">
        <f>N2 * I14</f>
        <v>11081.72</v>
      </c>
      <c r="L32"/>
      <c r="M32"/>
    </row>
    <row r="33" spans="1:13">
      <c r="A33" s="1" t="s">
        <v>34</v>
      </c>
      <c r="B33" s="7">
        <f>O2 * B14</f>
        <v>1502.0719999999999</v>
      </c>
      <c r="C33" s="7">
        <f>O2 * C14</f>
        <v>2503.4533333333334</v>
      </c>
      <c r="D33" s="7">
        <f>O2 * D14</f>
        <v>3004.1439999999998</v>
      </c>
      <c r="E33" s="7">
        <f>O2 * E14</f>
        <v>4005.525333333333</v>
      </c>
      <c r="F33" s="7">
        <f>O2 * F14</f>
        <v>5006.9066666666668</v>
      </c>
      <c r="G33" s="7">
        <f>O2 * G14</f>
        <v>6008.2879999999996</v>
      </c>
      <c r="H33" s="7">
        <f>O2 * H14</f>
        <v>6508.9786666666669</v>
      </c>
      <c r="I33" s="7">
        <f>O2 * I14</f>
        <v>7510.36</v>
      </c>
      <c r="L33"/>
      <c r="M33"/>
    </row>
    <row r="34" spans="1:13">
      <c r="A34" s="1" t="s">
        <v>35</v>
      </c>
      <c r="B34" s="7">
        <f>P2 * B14</f>
        <v>1081.9120000000003</v>
      </c>
      <c r="C34" s="7">
        <f>P2 * C14</f>
        <v>1803.186666666667</v>
      </c>
      <c r="D34" s="7">
        <f>P2 * D14</f>
        <v>2163.8240000000005</v>
      </c>
      <c r="E34" s="7">
        <f>P2 * E14</f>
        <v>2885.0986666666668</v>
      </c>
      <c r="F34" s="7">
        <f>P2 * F14</f>
        <v>3606.3733333333339</v>
      </c>
      <c r="G34" s="7">
        <f>P2 * G14</f>
        <v>4327.648000000001</v>
      </c>
      <c r="H34" s="7">
        <f>P2 * H14</f>
        <v>4688.2853333333342</v>
      </c>
      <c r="I34" s="7">
        <f>P2 * I14</f>
        <v>5409.56</v>
      </c>
      <c r="L34"/>
      <c r="M34"/>
    </row>
    <row r="35" spans="1:13">
      <c r="A35" s="1" t="s">
        <v>36</v>
      </c>
      <c r="B35" s="8">
        <f>Q2 * B14</f>
        <v>1050.4000000000001</v>
      </c>
      <c r="C35" s="7">
        <f>Q2 * C14</f>
        <v>1750.6666666666667</v>
      </c>
      <c r="D35" s="7">
        <f>Q2 * D14</f>
        <v>2100.8000000000002</v>
      </c>
      <c r="E35" s="7">
        <f>Q2 * E14</f>
        <v>2801.0666666666666</v>
      </c>
      <c r="F35" s="7">
        <f>Q2 * F14</f>
        <v>3501.3333333333335</v>
      </c>
      <c r="G35" s="7">
        <f>Q2 * G14</f>
        <v>4201.6000000000004</v>
      </c>
      <c r="H35" s="7">
        <f>Q2 * H14</f>
        <v>4551.7333333333336</v>
      </c>
      <c r="I35" s="7">
        <f>Q2 * I14</f>
        <v>5252</v>
      </c>
    </row>
    <row r="36" spans="1:13">
      <c r="A36"/>
      <c r="B36"/>
      <c r="C36"/>
      <c r="D36"/>
      <c r="E36"/>
      <c r="F36"/>
      <c r="G36"/>
      <c r="H36"/>
      <c r="I36"/>
    </row>
    <row r="37" spans="1:13">
      <c r="A37" s="9" t="s">
        <v>60</v>
      </c>
      <c r="B37"/>
      <c r="C37"/>
      <c r="D37"/>
      <c r="E37"/>
      <c r="F37"/>
      <c r="G37"/>
      <c r="H37"/>
      <c r="I37"/>
    </row>
    <row r="38" spans="1:13">
      <c r="A38" s="1" t="s">
        <v>32</v>
      </c>
      <c r="B38" s="7">
        <f>M2</f>
        <v>18.2</v>
      </c>
      <c r="C38" s="7">
        <f>M2</f>
        <v>18.2</v>
      </c>
      <c r="D38" s="7">
        <f>M2</f>
        <v>18.2</v>
      </c>
      <c r="E38" s="7">
        <f>M2</f>
        <v>18.2</v>
      </c>
      <c r="F38" s="7">
        <f>M2</f>
        <v>18.2</v>
      </c>
      <c r="G38" s="7">
        <f>M2</f>
        <v>18.2</v>
      </c>
      <c r="H38" s="7">
        <f>M2</f>
        <v>18.2</v>
      </c>
      <c r="I38" s="7">
        <f>M2</f>
        <v>18.2</v>
      </c>
    </row>
    <row r="39" spans="1:13">
      <c r="A39" s="1" t="s">
        <v>33</v>
      </c>
      <c r="B39" s="7">
        <f>N2</f>
        <v>10.972</v>
      </c>
      <c r="C39" s="7">
        <f>N2</f>
        <v>10.972</v>
      </c>
      <c r="D39" s="7">
        <f>N2</f>
        <v>10.972</v>
      </c>
      <c r="E39" s="7">
        <f>N2</f>
        <v>10.972</v>
      </c>
      <c r="F39" s="7">
        <f>N2</f>
        <v>10.972</v>
      </c>
      <c r="G39" s="7">
        <f>N2</f>
        <v>10.972</v>
      </c>
      <c r="H39" s="7">
        <f>N2</f>
        <v>10.972</v>
      </c>
      <c r="I39" s="7">
        <f>N2</f>
        <v>10.972</v>
      </c>
    </row>
    <row r="40" spans="1:13">
      <c r="A40" s="1" t="s">
        <v>34</v>
      </c>
      <c r="B40" s="7">
        <f>O2</f>
        <v>7.4359999999999999</v>
      </c>
      <c r="C40" s="7">
        <f>O2</f>
        <v>7.4359999999999999</v>
      </c>
      <c r="D40" s="7">
        <f>O2</f>
        <v>7.4359999999999999</v>
      </c>
      <c r="E40" s="7">
        <f>O2</f>
        <v>7.4359999999999999</v>
      </c>
      <c r="F40" s="7">
        <f>O2</f>
        <v>7.4359999999999999</v>
      </c>
      <c r="G40" s="7">
        <f>O2</f>
        <v>7.4359999999999999</v>
      </c>
      <c r="H40" s="7">
        <f>O2</f>
        <v>7.4359999999999999</v>
      </c>
      <c r="I40" s="7">
        <f>O2</f>
        <v>7.4359999999999999</v>
      </c>
    </row>
    <row r="41" spans="1:13">
      <c r="A41" s="1" t="s">
        <v>35</v>
      </c>
      <c r="B41" s="10">
        <f>P2</f>
        <v>5.3560000000000008</v>
      </c>
      <c r="C41" s="7">
        <f>P2</f>
        <v>5.3560000000000008</v>
      </c>
      <c r="D41" s="7">
        <f>P2</f>
        <v>5.3560000000000008</v>
      </c>
      <c r="E41" s="7">
        <f>P2</f>
        <v>5.3560000000000008</v>
      </c>
      <c r="F41" s="7">
        <f>P2</f>
        <v>5.3560000000000008</v>
      </c>
      <c r="G41" s="7">
        <f>P2</f>
        <v>5.3560000000000008</v>
      </c>
      <c r="H41" s="7">
        <f>P2</f>
        <v>5.3560000000000008</v>
      </c>
      <c r="I41" s="7">
        <f>P2</f>
        <v>5.3560000000000008</v>
      </c>
    </row>
    <row r="42" spans="1:13">
      <c r="A42" s="1" t="s">
        <v>36</v>
      </c>
      <c r="B42" s="7">
        <f>Q2</f>
        <v>5.2</v>
      </c>
      <c r="C42" s="7">
        <f>Q2</f>
        <v>5.2</v>
      </c>
      <c r="D42" s="7">
        <f>Q2</f>
        <v>5.2</v>
      </c>
      <c r="E42" s="7">
        <f>Q2</f>
        <v>5.2</v>
      </c>
      <c r="F42" s="7">
        <f>Q2</f>
        <v>5.2</v>
      </c>
      <c r="G42" s="7">
        <f>Q2</f>
        <v>5.2</v>
      </c>
      <c r="H42" s="7">
        <f>Q2</f>
        <v>5.2</v>
      </c>
      <c r="I42" s="7">
        <f>Q2</f>
        <v>5.2</v>
      </c>
    </row>
    <row r="43" spans="1:13">
      <c r="A43"/>
      <c r="B43"/>
      <c r="C43"/>
      <c r="D43"/>
      <c r="E43"/>
      <c r="F43"/>
      <c r="G43"/>
      <c r="H43"/>
      <c r="I43"/>
    </row>
    <row r="44" spans="1:13">
      <c r="A44" s="1" t="s">
        <v>61</v>
      </c>
      <c r="B44"/>
      <c r="C44"/>
      <c r="D44"/>
      <c r="E44"/>
      <c r="F44"/>
      <c r="G44"/>
      <c r="H44"/>
      <c r="I44"/>
    </row>
    <row r="45" spans="1:13">
      <c r="A45" s="1" t="s">
        <v>32</v>
      </c>
      <c r="B45" s="7">
        <f>B12/M2</f>
        <v>3.8170337396564964</v>
      </c>
      <c r="C45" s="7">
        <f>C12/M2</f>
        <v>4.203023821970425</v>
      </c>
      <c r="D45" s="7">
        <f>D12/M2</f>
        <v>4.4683920035612505</v>
      </c>
      <c r="E45" s="7">
        <f>E12/M2</f>
        <v>5.1438746476106241</v>
      </c>
      <c r="F45" s="7">
        <f>F12/M2</f>
        <v>6.0123523328169632</v>
      </c>
      <c r="G45" s="7">
        <f>G12/M2</f>
        <v>7.0738250591802663</v>
      </c>
      <c r="H45" s="7">
        <f>H12/M2</f>
        <v>7.676934562795779</v>
      </c>
      <c r="I45" s="7">
        <f>I12/M2</f>
        <v>9.0278998508945261</v>
      </c>
    </row>
    <row r="46" spans="1:13">
      <c r="A46" s="1" t="s">
        <v>33</v>
      </c>
      <c r="B46" s="7">
        <f>B12/N2</f>
        <v>6.3315725539325767</v>
      </c>
      <c r="C46" s="7">
        <f>C12/N2</f>
        <v>6.9718404629841162</v>
      </c>
      <c r="D46" s="7">
        <f>D12/N2</f>
        <v>7.4120246504570506</v>
      </c>
      <c r="E46" s="7">
        <f>E12/N2</f>
        <v>8.5324934912972434</v>
      </c>
      <c r="F46" s="7">
        <f>F12/N2</f>
        <v>9.9730962866632087</v>
      </c>
      <c r="G46" s="7">
        <f>G12/N2</f>
        <v>11.733833036554945</v>
      </c>
      <c r="H46" s="7">
        <f>H12/N2</f>
        <v>12.734251644447975</v>
      </c>
      <c r="I46" s="7">
        <f>I12/N2</f>
        <v>14.975189326128362</v>
      </c>
    </row>
    <row r="47" spans="1:13">
      <c r="A47" s="1" t="s">
        <v>34</v>
      </c>
      <c r="B47" s="7">
        <f>B12/O2</f>
        <v>9.3423902718865293</v>
      </c>
      <c r="C47" s="7">
        <f>C12/O2</f>
        <v>10.287121242584956</v>
      </c>
      <c r="D47" s="7">
        <f>D12/O2</f>
        <v>10.936623784940123</v>
      </c>
      <c r="E47" s="7">
        <f>E12/O2</f>
        <v>12.589902983662366</v>
      </c>
      <c r="F47" s="7">
        <f>F12/O2</f>
        <v>14.715547667733826</v>
      </c>
      <c r="G47" s="7">
        <f>G12/O2</f>
        <v>17.313557837154498</v>
      </c>
      <c r="H47" s="7">
        <f>H12/O2</f>
        <v>18.789699978870786</v>
      </c>
      <c r="I47" s="7">
        <f>I12/O2</f>
        <v>22.096258376315276</v>
      </c>
    </row>
    <row r="48" spans="1:13">
      <c r="A48" s="1" t="s">
        <v>35</v>
      </c>
      <c r="B48" s="7">
        <f>B12/P2</f>
        <v>12.970502998832751</v>
      </c>
      <c r="C48" s="7">
        <f>C12/P2</f>
        <v>14.282119783394643</v>
      </c>
      <c r="D48" s="7">
        <f>D12/P2</f>
        <v>15.183856322780946</v>
      </c>
      <c r="E48" s="7">
        <f>E12/P2</f>
        <v>17.479185695764254</v>
      </c>
      <c r="F48" s="7">
        <f>F12/P2</f>
        <v>20.430323461028511</v>
      </c>
      <c r="G48" s="7">
        <f>G12/P2</f>
        <v>24.037269618573717</v>
      </c>
      <c r="H48" s="7">
        <f>H12/P2</f>
        <v>26.086670844451671</v>
      </c>
      <c r="I48" s="7">
        <f>I12/P2</f>
        <v>30.677329590418289</v>
      </c>
    </row>
    <row r="49" spans="1:9">
      <c r="A49" s="1" t="s">
        <v>36</v>
      </c>
      <c r="B49" s="7">
        <f>B12/Q2</f>
        <v>13.359618088797736</v>
      </c>
      <c r="C49" s="7">
        <f>C12/Q2</f>
        <v>14.710583376896485</v>
      </c>
      <c r="D49" s="7">
        <f>D12/Q2</f>
        <v>15.639372012464374</v>
      </c>
      <c r="E49" s="7">
        <f>E12/Q2</f>
        <v>18.003561266637185</v>
      </c>
      <c r="F49" s="7">
        <f>F12/Q2</f>
        <v>21.04323316485937</v>
      </c>
      <c r="G49" s="7">
        <f>G12/Q2</f>
        <v>24.758387707130932</v>
      </c>
      <c r="H49" s="7">
        <f>H12/Q2</f>
        <v>26.869270969785223</v>
      </c>
      <c r="I49" s="7">
        <f>I12/Q2</f>
        <v>31.59764947813084</v>
      </c>
    </row>
    <row r="50" spans="1:9">
      <c r="A50"/>
      <c r="B50"/>
    </row>
    <row r="51" spans="1:9">
      <c r="A51" s="9" t="s">
        <v>62</v>
      </c>
      <c r="B51"/>
    </row>
    <row r="52" spans="1:9">
      <c r="A52" s="1" t="s">
        <v>32</v>
      </c>
      <c r="B52" s="7">
        <f>((Sheet1!D5 * 60) / M2)/S25</f>
        <v>18.360352518768362</v>
      </c>
    </row>
    <row r="53" spans="1:9">
      <c r="A53" s="1" t="s">
        <v>33</v>
      </c>
      <c r="B53" s="7">
        <f>((Sheet1!D5 * 60) / N2)/S25</f>
        <v>30.455561050089699</v>
      </c>
    </row>
    <row r="54" spans="1:9">
      <c r="A54" s="1" t="s">
        <v>34</v>
      </c>
      <c r="B54" s="7">
        <f>((Sheet1!D5 * 60) / O2)/S25</f>
        <v>44.937925745237244</v>
      </c>
    </row>
    <row r="55" spans="1:9">
      <c r="A55" s="1" t="s">
        <v>35</v>
      </c>
      <c r="B55" s="7">
        <f>((Sheet1!D5 * 60) / P2)/S25</f>
        <v>62.389547393873059</v>
      </c>
    </row>
    <row r="56" spans="1:9">
      <c r="A56" s="1" t="s">
        <v>36</v>
      </c>
      <c r="B56" s="7">
        <f>((Sheet1!D5 * 60) / Q2)/S25</f>
        <v>64.261233815689266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Isaac2</dc:creator>
  <dc:description/>
  <cp:lastModifiedBy>Isaac</cp:lastModifiedBy>
  <cp:revision>2</cp:revision>
  <dcterms:created xsi:type="dcterms:W3CDTF">2017-04-17T19:05:10Z</dcterms:created>
  <dcterms:modified xsi:type="dcterms:W3CDTF">2017-09-14T02:37:43Z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