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1748" windowHeight="8532"/>
  </bookViews>
  <sheets>
    <sheet name="302收支餘絀預計表" sheetId="11" r:id="rId1"/>
    <sheet name="303固定資產預計增減變動表" sheetId="12" r:id="rId2"/>
    <sheet name="305借入款預計表" sheetId="13" r:id="rId3"/>
    <sheet name="306收入預算明細表" sheetId="14" r:id="rId4"/>
    <sheet name="307支出預算明細表-經常門" sheetId="15" r:id="rId5"/>
    <sheet name="307支出預算明細表-資本門" sheetId="16" r:id="rId6"/>
  </sheets>
  <calcPr calcId="144525"/>
</workbook>
</file>

<file path=xl/calcChain.xml><?xml version="1.0" encoding="utf-8"?>
<calcChain xmlns="http://schemas.openxmlformats.org/spreadsheetml/2006/main">
  <c r="F23" i="16" l="1"/>
  <c r="G23" i="16" s="1"/>
  <c r="E22" i="16"/>
  <c r="D22" i="16"/>
  <c r="F22" i="16" s="1"/>
  <c r="G22" i="16" s="1"/>
  <c r="A22" i="16"/>
  <c r="A20" i="16"/>
  <c r="F19" i="16"/>
  <c r="G19" i="16" s="1"/>
  <c r="F18" i="16"/>
  <c r="E16" i="16"/>
  <c r="D16" i="16"/>
  <c r="F16" i="16" s="1"/>
  <c r="G16" i="16" s="1"/>
  <c r="A16" i="16"/>
  <c r="F15" i="16"/>
  <c r="G15" i="16" s="1"/>
  <c r="E14" i="16"/>
  <c r="D14" i="16"/>
  <c r="F14" i="16" s="1"/>
  <c r="G14" i="16" s="1"/>
  <c r="A14" i="16"/>
  <c r="F12" i="16"/>
  <c r="G12" i="16" s="1"/>
  <c r="E11" i="16"/>
  <c r="D11" i="16"/>
  <c r="F11" i="16" s="1"/>
  <c r="G11" i="16" s="1"/>
  <c r="A11" i="16"/>
  <c r="F10" i="16"/>
  <c r="G10" i="16" s="1"/>
  <c r="E9" i="16"/>
  <c r="D9" i="16"/>
  <c r="F9" i="16" s="1"/>
  <c r="G9" i="16" s="1"/>
  <c r="A9" i="16"/>
  <c r="F8" i="16"/>
  <c r="E7" i="16"/>
  <c r="D7" i="16"/>
  <c r="F7" i="16" s="1"/>
  <c r="F25" i="16" s="1"/>
  <c r="A7" i="16"/>
  <c r="E5" i="16"/>
  <c r="E25" i="16" s="1"/>
  <c r="D5" i="16"/>
  <c r="D25" i="16" s="1"/>
  <c r="A5" i="16"/>
  <c r="A3" i="16"/>
  <c r="A25" i="16" s="1"/>
  <c r="F41" i="15"/>
  <c r="G41" i="15" s="1"/>
  <c r="F40" i="15"/>
  <c r="G40" i="15" s="1"/>
  <c r="E39" i="15"/>
  <c r="D39" i="15"/>
  <c r="F39" i="15" s="1"/>
  <c r="G39" i="15" s="1"/>
  <c r="A39" i="15"/>
  <c r="F38" i="15"/>
  <c r="G38" i="15" s="1"/>
  <c r="E37" i="15"/>
  <c r="D37" i="15"/>
  <c r="F37" i="15" s="1"/>
  <c r="G37" i="15" s="1"/>
  <c r="A37" i="15"/>
  <c r="F36" i="15"/>
  <c r="F35" i="15"/>
  <c r="G35" i="15" s="1"/>
  <c r="F34" i="15"/>
  <c r="D33" i="15"/>
  <c r="F33" i="15" s="1"/>
  <c r="G33" i="15" s="1"/>
  <c r="F32" i="15"/>
  <c r="G32" i="15" s="1"/>
  <c r="E31" i="15"/>
  <c r="D31" i="15"/>
  <c r="F31" i="15" s="1"/>
  <c r="G31" i="15" s="1"/>
  <c r="A31" i="15"/>
  <c r="F30" i="15"/>
  <c r="G30" i="15" s="1"/>
  <c r="F29" i="15"/>
  <c r="G29" i="15" s="1"/>
  <c r="F28" i="15"/>
  <c r="G28" i="15" s="1"/>
  <c r="D27" i="15"/>
  <c r="F27" i="15" s="1"/>
  <c r="G27" i="15" s="1"/>
  <c r="F26" i="15"/>
  <c r="G26" i="15" s="1"/>
  <c r="E25" i="15"/>
  <c r="D25" i="15"/>
  <c r="F25" i="15" s="1"/>
  <c r="G25" i="15" s="1"/>
  <c r="A25" i="15"/>
  <c r="F24" i="15"/>
  <c r="G24" i="15" s="1"/>
  <c r="F23" i="15"/>
  <c r="G23" i="15" s="1"/>
  <c r="F22" i="15"/>
  <c r="G22" i="15" s="1"/>
  <c r="E21" i="15"/>
  <c r="D21" i="15"/>
  <c r="F21" i="15" s="1"/>
  <c r="G21" i="15" s="1"/>
  <c r="A21" i="15"/>
  <c r="F20" i="15"/>
  <c r="G20" i="15" s="1"/>
  <c r="F19" i="15"/>
  <c r="G19" i="15" s="1"/>
  <c r="F18" i="15"/>
  <c r="G18" i="15" s="1"/>
  <c r="F17" i="15"/>
  <c r="G17" i="15" s="1"/>
  <c r="F16" i="15"/>
  <c r="G16" i="15" s="1"/>
  <c r="E15" i="15"/>
  <c r="D15" i="15"/>
  <c r="F15" i="15" s="1"/>
  <c r="G15" i="15" s="1"/>
  <c r="A15" i="15"/>
  <c r="F14" i="15"/>
  <c r="G14" i="15" s="1"/>
  <c r="F13" i="15"/>
  <c r="G13" i="15" s="1"/>
  <c r="F12" i="15"/>
  <c r="G12" i="15" s="1"/>
  <c r="F11" i="15"/>
  <c r="G11" i="15" s="1"/>
  <c r="F10" i="15"/>
  <c r="G10" i="15" s="1"/>
  <c r="E9" i="15"/>
  <c r="D9" i="15"/>
  <c r="F9" i="15" s="1"/>
  <c r="G9" i="15" s="1"/>
  <c r="A9" i="15"/>
  <c r="F8" i="15"/>
  <c r="F7" i="15"/>
  <c r="G7" i="15" s="1"/>
  <c r="F6" i="15"/>
  <c r="G6" i="15" s="1"/>
  <c r="F5" i="15"/>
  <c r="G5" i="15" s="1"/>
  <c r="F4" i="15"/>
  <c r="G4" i="15" s="1"/>
  <c r="E3" i="15"/>
  <c r="E42" i="15" s="1"/>
  <c r="D3" i="15"/>
  <c r="D42" i="15" s="1"/>
  <c r="F42" i="15" s="1"/>
  <c r="G42" i="15" s="1"/>
  <c r="A3" i="15"/>
  <c r="A42" i="15" s="1"/>
  <c r="G25" i="16" l="1"/>
  <c r="F3" i="15"/>
  <c r="G3" i="15" s="1"/>
  <c r="F36" i="14" l="1"/>
  <c r="G36" i="14" s="1"/>
  <c r="F35" i="14"/>
  <c r="G35" i="14" s="1"/>
  <c r="F34" i="14"/>
  <c r="G34" i="14" s="1"/>
  <c r="E33" i="14"/>
  <c r="D33" i="14"/>
  <c r="F33" i="14" s="1"/>
  <c r="G33" i="14" s="1"/>
  <c r="A33" i="14"/>
  <c r="F32" i="14"/>
  <c r="G32" i="14" s="1"/>
  <c r="F31" i="14"/>
  <c r="G31" i="14" s="1"/>
  <c r="E30" i="14"/>
  <c r="D30" i="14"/>
  <c r="F30" i="14" s="1"/>
  <c r="G30" i="14" s="1"/>
  <c r="A30" i="14"/>
  <c r="F29" i="14"/>
  <c r="G29" i="14" s="1"/>
  <c r="E28" i="14"/>
  <c r="F28" i="14" s="1"/>
  <c r="G28" i="14" s="1"/>
  <c r="E27" i="14"/>
  <c r="D27" i="14"/>
  <c r="F27" i="14" s="1"/>
  <c r="G27" i="14" s="1"/>
  <c r="A27" i="14"/>
  <c r="F26" i="14"/>
  <c r="G26" i="14" s="1"/>
  <c r="E25" i="14"/>
  <c r="D25" i="14"/>
  <c r="F25" i="14" s="1"/>
  <c r="G25" i="14" s="1"/>
  <c r="A25" i="14"/>
  <c r="F24" i="14"/>
  <c r="G24" i="14" s="1"/>
  <c r="D23" i="14"/>
  <c r="F23" i="14" s="1"/>
  <c r="G23" i="14" s="1"/>
  <c r="D22" i="14"/>
  <c r="F22" i="14" s="1"/>
  <c r="G22" i="14" s="1"/>
  <c r="E21" i="14"/>
  <c r="D21" i="14"/>
  <c r="F21" i="14" s="1"/>
  <c r="G21" i="14" s="1"/>
  <c r="A21" i="14"/>
  <c r="F20" i="14"/>
  <c r="G20" i="14" s="1"/>
  <c r="F19" i="14"/>
  <c r="G19" i="14" s="1"/>
  <c r="E18" i="14"/>
  <c r="D18" i="14"/>
  <c r="F18" i="14" s="1"/>
  <c r="G18" i="14" s="1"/>
  <c r="A18" i="14"/>
  <c r="F17" i="14"/>
  <c r="G17" i="14" s="1"/>
  <c r="F16" i="14"/>
  <c r="G16" i="14" s="1"/>
  <c r="F15" i="14"/>
  <c r="G15" i="14" s="1"/>
  <c r="F14" i="14"/>
  <c r="G14" i="14" s="1"/>
  <c r="E13" i="14"/>
  <c r="D13" i="14"/>
  <c r="F13" i="14" s="1"/>
  <c r="G13" i="14" s="1"/>
  <c r="A13" i="14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G6" i="14" s="1"/>
  <c r="F5" i="14"/>
  <c r="G5" i="14" s="1"/>
  <c r="E4" i="14"/>
  <c r="D4" i="14"/>
  <c r="F4" i="14" s="1"/>
  <c r="G4" i="14" s="1"/>
  <c r="A4" i="14"/>
  <c r="E3" i="14"/>
  <c r="E37" i="14" s="1"/>
  <c r="D3" i="14"/>
  <c r="D37" i="14" s="1"/>
  <c r="F37" i="14" s="1"/>
  <c r="G37" i="14" s="1"/>
  <c r="A3" i="14"/>
  <c r="A37" i="14" s="1"/>
  <c r="F3" i="14" l="1"/>
  <c r="G3" i="14" s="1"/>
  <c r="G20" i="13" l="1"/>
  <c r="G17" i="13"/>
  <c r="B17" i="13"/>
  <c r="D16" i="13"/>
  <c r="E16" i="13" s="1"/>
  <c r="H16" i="13" s="1"/>
  <c r="D15" i="13"/>
  <c r="E15" i="13" s="1"/>
  <c r="H15" i="13" s="1"/>
  <c r="D14" i="13"/>
  <c r="E14" i="13" s="1"/>
  <c r="H14" i="13" s="1"/>
  <c r="D13" i="13"/>
  <c r="E13" i="13" s="1"/>
  <c r="H13" i="13" s="1"/>
  <c r="D12" i="13"/>
  <c r="E12" i="13" s="1"/>
  <c r="H12" i="13" s="1"/>
  <c r="D11" i="13"/>
  <c r="E11" i="13" s="1"/>
  <c r="H11" i="13" s="1"/>
  <c r="D10" i="13"/>
  <c r="E10" i="13" s="1"/>
  <c r="H10" i="13" s="1"/>
  <c r="D9" i="13"/>
  <c r="E9" i="13" s="1"/>
  <c r="H9" i="13" s="1"/>
  <c r="D8" i="13"/>
  <c r="E8" i="13" s="1"/>
  <c r="H8" i="13" s="1"/>
  <c r="D7" i="13"/>
  <c r="E7" i="13" s="1"/>
  <c r="E20" i="13" l="1"/>
  <c r="E2" i="13" s="1"/>
  <c r="H2" i="13" s="1"/>
  <c r="E17" i="13"/>
  <c r="H7" i="13"/>
  <c r="H20" i="13" l="1"/>
  <c r="H17" i="13"/>
  <c r="D22" i="12" l="1"/>
  <c r="C22" i="12"/>
  <c r="F22" i="12" s="1"/>
  <c r="E21" i="12"/>
  <c r="D21" i="12"/>
  <c r="C21" i="12"/>
  <c r="F21" i="12" s="1"/>
  <c r="C20" i="12"/>
  <c r="F20" i="12" s="1"/>
  <c r="E19" i="12"/>
  <c r="E23" i="12" s="1"/>
  <c r="D19" i="12"/>
  <c r="D23" i="12" s="1"/>
  <c r="C19" i="12"/>
  <c r="C23" i="12" s="1"/>
  <c r="F23" i="12" s="1"/>
  <c r="D17" i="12"/>
  <c r="C17" i="12"/>
  <c r="F17" i="12" s="1"/>
  <c r="D16" i="12"/>
  <c r="C16" i="12"/>
  <c r="F16" i="12" s="1"/>
  <c r="D15" i="12"/>
  <c r="C15" i="12"/>
  <c r="F15" i="12" s="1"/>
  <c r="D14" i="12"/>
  <c r="C14" i="12"/>
  <c r="F14" i="12" s="1"/>
  <c r="D13" i="12"/>
  <c r="C13" i="12"/>
  <c r="F13" i="12" s="1"/>
  <c r="E12" i="12"/>
  <c r="D12" i="12"/>
  <c r="C12" i="12"/>
  <c r="F12" i="12" s="1"/>
  <c r="C11" i="12"/>
  <c r="F11" i="12" s="1"/>
  <c r="D10" i="12"/>
  <c r="C10" i="12"/>
  <c r="F10" i="12" s="1"/>
  <c r="C9" i="12"/>
  <c r="F9" i="12" s="1"/>
  <c r="F8" i="12"/>
  <c r="F7" i="12"/>
  <c r="C6" i="12"/>
  <c r="F6" i="12" s="1"/>
  <c r="F5" i="12"/>
  <c r="F4" i="12"/>
  <c r="E3" i="12"/>
  <c r="E24" i="12" s="1"/>
  <c r="D3" i="12"/>
  <c r="D24" i="12" s="1"/>
  <c r="C3" i="12"/>
  <c r="C24" i="12" s="1"/>
  <c r="F24" i="12" s="1"/>
  <c r="F3" i="12" l="1"/>
  <c r="C18" i="12"/>
  <c r="D18" i="12"/>
  <c r="E18" i="12"/>
  <c r="F19" i="12"/>
  <c r="F18" i="12" l="1"/>
  <c r="D21" i="11" l="1"/>
  <c r="A21" i="11"/>
  <c r="E20" i="11"/>
  <c r="F20" i="11" s="1"/>
  <c r="E19" i="11"/>
  <c r="F19" i="11" s="1"/>
  <c r="C18" i="11"/>
  <c r="E18" i="11" s="1"/>
  <c r="F18" i="11" s="1"/>
  <c r="C17" i="11"/>
  <c r="C21" i="11" s="1"/>
  <c r="E21" i="11" s="1"/>
  <c r="F21" i="11" s="1"/>
  <c r="E16" i="11"/>
  <c r="F16" i="11" s="1"/>
  <c r="E15" i="11"/>
  <c r="F15" i="11" s="1"/>
  <c r="E14" i="11"/>
  <c r="F14" i="11" s="1"/>
  <c r="E13" i="11"/>
  <c r="F13" i="11" s="1"/>
  <c r="D10" i="11"/>
  <c r="D23" i="11" s="1"/>
  <c r="C10" i="11"/>
  <c r="C23" i="11" s="1"/>
  <c r="E23" i="11" s="1"/>
  <c r="F23" i="11" s="1"/>
  <c r="A10" i="11"/>
  <c r="A23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10" i="11" l="1"/>
  <c r="F10" i="11" s="1"/>
  <c r="E17" i="11"/>
  <c r="F17" i="11" s="1"/>
</calcChain>
</file>

<file path=xl/sharedStrings.xml><?xml version="1.0" encoding="utf-8"?>
<sst xmlns="http://schemas.openxmlformats.org/spreadsheetml/2006/main" count="289" uniqueCount="224">
  <si>
    <t>％</t>
  </si>
  <si>
    <t>科目</t>
  </si>
  <si>
    <t>本年度預算數</t>
  </si>
  <si>
    <t>本年度預算與上年度估計決算比較</t>
  </si>
  <si>
    <t>差異</t>
  </si>
  <si>
    <t>各項收入</t>
  </si>
  <si>
    <t xml:space="preserve">    學雜費收入</t>
  </si>
  <si>
    <t xml:space="preserve">    推廣教育收入</t>
  </si>
  <si>
    <t xml:space="preserve">    補助及捐贈收入</t>
  </si>
  <si>
    <t xml:space="preserve">    財務收入</t>
  </si>
  <si>
    <t xml:space="preserve">    其他收入</t>
  </si>
  <si>
    <t xml:space="preserve">    合        計 </t>
  </si>
  <si>
    <t>各項支出</t>
  </si>
  <si>
    <t xml:space="preserve">    董事會支出</t>
  </si>
  <si>
    <t xml:space="preserve">    行政管理支出</t>
  </si>
  <si>
    <t xml:space="preserve">    教學研究及訓輔支出</t>
  </si>
  <si>
    <t xml:space="preserve">    獎助學金支出</t>
  </si>
  <si>
    <t xml:space="preserve">    推廣教育支出</t>
  </si>
  <si>
    <t xml:space="preserve">    建教合作支出</t>
  </si>
  <si>
    <t xml:space="preserve">    財務支出</t>
  </si>
  <si>
    <t xml:space="preserve">    其他支出</t>
  </si>
  <si>
    <t xml:space="preserve">    合        計</t>
  </si>
  <si>
    <t>本年度純餘(絀)</t>
  </si>
  <si>
    <t>預計結存金額</t>
    <phoneticPr fontId="2" type="noConversion"/>
  </si>
  <si>
    <t>中、西文圖書,資料庫</t>
    <phoneticPr fontId="2" type="noConversion"/>
  </si>
  <si>
    <t xml:space="preserve">  累計折舊-其他設備</t>
    <phoneticPr fontId="2" type="noConversion"/>
  </si>
  <si>
    <t xml:space="preserve">  學費收入</t>
    <phoneticPr fontId="2" type="noConversion"/>
  </si>
  <si>
    <t xml:space="preserve">  業務費</t>
    <phoneticPr fontId="2" type="noConversion"/>
  </si>
  <si>
    <t>前年度       決算數</t>
    <phoneticPr fontId="2" type="noConversion"/>
  </si>
  <si>
    <t>上年度估計   決算數</t>
    <phoneticPr fontId="2" type="noConversion"/>
  </si>
  <si>
    <t xml:space="preserve">    建教合作收入</t>
    <phoneticPr fontId="2" type="noConversion"/>
  </si>
  <si>
    <t>會      計     科      目</t>
    <phoneticPr fontId="2" type="noConversion"/>
  </si>
  <si>
    <t>估計本年初結存金額</t>
    <phoneticPr fontId="2" type="noConversion"/>
  </si>
  <si>
    <t>本年度預計增加金額</t>
    <phoneticPr fontId="2" type="noConversion"/>
  </si>
  <si>
    <t>本年度預計減少金額</t>
    <phoneticPr fontId="2" type="noConversion"/>
  </si>
  <si>
    <t>截至本年底止</t>
    <phoneticPr fontId="2" type="noConversion"/>
  </si>
  <si>
    <t>說明</t>
    <phoneticPr fontId="2" type="noConversion"/>
  </si>
  <si>
    <r>
      <t>編</t>
    </r>
    <r>
      <rPr>
        <sz val="15"/>
        <rFont val="Times New Roman"/>
        <family val="1"/>
      </rPr>
      <t xml:space="preserve"> </t>
    </r>
    <r>
      <rPr>
        <sz val="15"/>
        <rFont val="標楷體"/>
        <family val="4"/>
        <charset val="136"/>
      </rPr>
      <t>號</t>
    </r>
    <phoneticPr fontId="2" type="noConversion"/>
  </si>
  <si>
    <r>
      <t>名</t>
    </r>
    <r>
      <rPr>
        <sz val="15"/>
        <rFont val="Times New Roman"/>
        <family val="1"/>
      </rPr>
      <t xml:space="preserve">            </t>
    </r>
    <r>
      <rPr>
        <sz val="15"/>
        <rFont val="標楷體"/>
        <family val="4"/>
        <charset val="136"/>
      </rPr>
      <t>稱</t>
    </r>
    <phoneticPr fontId="2" type="noConversion"/>
  </si>
  <si>
    <t>固定資產</t>
    <phoneticPr fontId="2" type="noConversion"/>
  </si>
  <si>
    <t xml:space="preserve">  土地</t>
    <phoneticPr fontId="2" type="noConversion"/>
  </si>
  <si>
    <t xml:space="preserve">  土地改良物</t>
    <phoneticPr fontId="2" type="noConversion"/>
  </si>
  <si>
    <t xml:space="preserve">  房屋及建築</t>
    <phoneticPr fontId="2" type="noConversion"/>
  </si>
  <si>
    <t xml:space="preserve">  機械儀器及設備</t>
    <phoneticPr fontId="2" type="noConversion"/>
  </si>
  <si>
    <t xml:space="preserve">  圖書及博物</t>
    <phoneticPr fontId="2" type="noConversion"/>
  </si>
  <si>
    <t xml:space="preserve">  其他設備</t>
    <phoneticPr fontId="2" type="noConversion"/>
  </si>
  <si>
    <t xml:space="preserve">  預付土地、工程及設備款</t>
    <phoneticPr fontId="2" type="noConversion"/>
  </si>
  <si>
    <t xml:space="preserve">  租賃權益改良物</t>
    <phoneticPr fontId="2" type="noConversion"/>
  </si>
  <si>
    <t>累計折舊</t>
    <phoneticPr fontId="2" type="noConversion"/>
  </si>
  <si>
    <t xml:space="preserve">  累計折舊-土地改良</t>
    <phoneticPr fontId="2" type="noConversion"/>
  </si>
  <si>
    <t xml:space="preserve">  累計折舊-房屋建築</t>
    <phoneticPr fontId="2" type="noConversion"/>
  </si>
  <si>
    <t xml:space="preserve">  累計折舊-機械儀器</t>
    <phoneticPr fontId="2" type="noConversion"/>
  </si>
  <si>
    <t xml:space="preserve">  累計折舊-租賃權益改良物</t>
    <phoneticPr fontId="2" type="noConversion"/>
  </si>
  <si>
    <t>固定資產淨額</t>
    <phoneticPr fontId="2" type="noConversion"/>
  </si>
  <si>
    <t>無形資產</t>
    <phoneticPr fontId="2" type="noConversion"/>
  </si>
  <si>
    <t xml:space="preserve">  電腦軟體</t>
    <phoneticPr fontId="2" type="noConversion"/>
  </si>
  <si>
    <t>累計攤銷</t>
    <phoneticPr fontId="2" type="noConversion"/>
  </si>
  <si>
    <t xml:space="preserve">  累計攤銷-電腦軟體</t>
    <phoneticPr fontId="2" type="noConversion"/>
  </si>
  <si>
    <t>無形資產淨額</t>
    <phoneticPr fontId="2" type="noConversion"/>
  </si>
  <si>
    <t>固定資產及無形資產合計</t>
    <phoneticPr fontId="2" type="noConversion"/>
  </si>
  <si>
    <t>借款用途</t>
    <phoneticPr fontId="2" type="noConversion"/>
  </si>
  <si>
    <t>預計借款期間</t>
    <phoneticPr fontId="2" type="noConversion"/>
  </si>
  <si>
    <t>期初估計決算金額</t>
    <phoneticPr fontId="2" type="noConversion"/>
  </si>
  <si>
    <t>本期預計借入金額</t>
    <phoneticPr fontId="2" type="noConversion"/>
  </si>
  <si>
    <t>本期預計償還金額</t>
    <phoneticPr fontId="2" type="noConversion"/>
  </si>
  <si>
    <t>期末預計金額</t>
    <phoneticPr fontId="2" type="noConversion"/>
  </si>
  <si>
    <t>備        註</t>
    <phoneticPr fontId="2" type="noConversion"/>
  </si>
  <si>
    <t>興建士林、桃園學生宿舍及教學大樓</t>
    <phoneticPr fontId="2" type="noConversion"/>
  </si>
  <si>
    <t>20年</t>
    <phoneticPr fontId="2" type="noConversion"/>
  </si>
  <si>
    <t>貸款金額</t>
    <phoneticPr fontId="2" type="noConversion"/>
  </si>
  <si>
    <t>撥款日期</t>
    <phoneticPr fontId="2" type="noConversion"/>
  </si>
  <si>
    <t>100.7.31止已還款</t>
    <phoneticPr fontId="2" type="noConversion"/>
  </si>
  <si>
    <t>100.7.31尚未還款金額</t>
    <phoneticPr fontId="2" type="noConversion"/>
  </si>
  <si>
    <t>預估還款金額</t>
    <phoneticPr fontId="2" type="noConversion"/>
  </si>
  <si>
    <t>教育部核准文號</t>
    <phoneticPr fontId="2" type="noConversion"/>
  </si>
  <si>
    <t>台北學生宿宿</t>
    <phoneticPr fontId="2" type="noConversion"/>
  </si>
  <si>
    <t>82.10.20</t>
    <phoneticPr fontId="2" type="noConversion"/>
  </si>
  <si>
    <t>82.2.3(82)高05422-5100萬</t>
    <phoneticPr fontId="2" type="noConversion"/>
  </si>
  <si>
    <t>82.3.8(82)高12498-8900萬</t>
    <phoneticPr fontId="2" type="noConversion"/>
  </si>
  <si>
    <t>設計大樓及一舍</t>
    <phoneticPr fontId="2" type="noConversion"/>
  </si>
  <si>
    <t>83.01.24</t>
    <phoneticPr fontId="2" type="noConversion"/>
  </si>
  <si>
    <t>82.8.28(82)高048582</t>
    <phoneticPr fontId="2" type="noConversion"/>
  </si>
  <si>
    <t>一舍</t>
    <phoneticPr fontId="2" type="noConversion"/>
  </si>
  <si>
    <t>83.10.17</t>
    <phoneticPr fontId="2" type="noConversion"/>
  </si>
  <si>
    <t>83.4.29(83)高021624</t>
    <phoneticPr fontId="2" type="noConversion"/>
  </si>
  <si>
    <t>設計大樓</t>
    <phoneticPr fontId="2" type="noConversion"/>
  </si>
  <si>
    <t>84.10.19</t>
    <phoneticPr fontId="2" type="noConversion"/>
  </si>
  <si>
    <t>綜合大樓</t>
    <phoneticPr fontId="2" type="noConversion"/>
  </si>
  <si>
    <t>85.06.19</t>
    <phoneticPr fontId="2" type="noConversion"/>
  </si>
  <si>
    <t>85.1.31(85)高一85500408</t>
    <phoneticPr fontId="2" type="noConversion"/>
  </si>
  <si>
    <t>二舍</t>
    <phoneticPr fontId="2" type="noConversion"/>
  </si>
  <si>
    <t>85.10.22</t>
    <phoneticPr fontId="2" type="noConversion"/>
  </si>
  <si>
    <t>85.1.19(85)高85003126</t>
    <phoneticPr fontId="2" type="noConversion"/>
  </si>
  <si>
    <t>圖書館體育館</t>
    <phoneticPr fontId="2" type="noConversion"/>
  </si>
  <si>
    <t>86.10.08</t>
    <phoneticPr fontId="2" type="noConversion"/>
  </si>
  <si>
    <t>86.5.6(86)高三86037782</t>
    <phoneticPr fontId="2" type="noConversion"/>
  </si>
  <si>
    <t>資管大樓</t>
    <phoneticPr fontId="2" type="noConversion"/>
  </si>
  <si>
    <t>88.04.21</t>
    <phoneticPr fontId="2" type="noConversion"/>
  </si>
  <si>
    <t>88.5.1(88)高三88044549</t>
    <phoneticPr fontId="2" type="noConversion"/>
  </si>
  <si>
    <t>三舍</t>
    <phoneticPr fontId="2" type="noConversion"/>
  </si>
  <si>
    <t>89.10.21</t>
    <phoneticPr fontId="2" type="noConversion"/>
  </si>
  <si>
    <t>89.11.15(89)高四89143408</t>
    <phoneticPr fontId="2" type="noConversion"/>
  </si>
  <si>
    <t>小計</t>
    <phoneticPr fontId="2" type="noConversion"/>
  </si>
  <si>
    <t>總     計</t>
    <phoneticPr fontId="2" type="noConversion"/>
  </si>
  <si>
    <t>註：教部補助貸款利息共四筆</t>
    <phoneticPr fontId="2" type="noConversion"/>
  </si>
  <si>
    <t>前年度決算數</t>
    <phoneticPr fontId="2" type="noConversion"/>
  </si>
  <si>
    <t>科                     目</t>
    <phoneticPr fontId="2" type="noConversion"/>
  </si>
  <si>
    <t>本年度預算數</t>
    <phoneticPr fontId="2" type="noConversion"/>
  </si>
  <si>
    <t>上年度估計決算數</t>
    <phoneticPr fontId="2" type="noConversion"/>
  </si>
  <si>
    <t>本年度預算與上年度估計決算比較</t>
    <phoneticPr fontId="2" type="noConversion"/>
  </si>
  <si>
    <t>說 明</t>
    <phoneticPr fontId="2" type="noConversion"/>
  </si>
  <si>
    <t>編  號</t>
    <phoneticPr fontId="2" type="noConversion"/>
  </si>
  <si>
    <t>名         稱</t>
    <phoneticPr fontId="2" type="noConversion"/>
  </si>
  <si>
    <t>差異</t>
    <phoneticPr fontId="2" type="noConversion"/>
  </si>
  <si>
    <t>%</t>
    <phoneticPr fontId="2" type="noConversion"/>
  </si>
  <si>
    <t>學什費收入</t>
    <phoneticPr fontId="2" type="noConversion"/>
  </si>
  <si>
    <t>詳22頁附表1</t>
    <phoneticPr fontId="2" type="noConversion"/>
  </si>
  <si>
    <t>"</t>
    <phoneticPr fontId="2" type="noConversion"/>
  </si>
  <si>
    <t xml:space="preserve">    大學日學費</t>
    <phoneticPr fontId="2" type="noConversion"/>
  </si>
  <si>
    <t xml:space="preserve">    大學夜學分學雜費 </t>
    <phoneticPr fontId="2" type="noConversion"/>
  </si>
  <si>
    <t>"</t>
    <phoneticPr fontId="2" type="noConversion"/>
  </si>
  <si>
    <t xml:space="preserve">    研究所學費</t>
    <phoneticPr fontId="2" type="noConversion"/>
  </si>
  <si>
    <t xml:space="preserve">      學分費</t>
    <phoneticPr fontId="2" type="noConversion"/>
  </si>
  <si>
    <t xml:space="preserve">      學分費-金門</t>
    <phoneticPr fontId="2" type="noConversion"/>
  </si>
  <si>
    <t xml:space="preserve">      學分費-連江</t>
    <phoneticPr fontId="2" type="noConversion"/>
  </si>
  <si>
    <t xml:space="preserve">      學分費-延修暑修</t>
    <phoneticPr fontId="2" type="noConversion"/>
  </si>
  <si>
    <t xml:space="preserve">      學分費-教程實習輔導費</t>
    <phoneticPr fontId="2" type="noConversion"/>
  </si>
  <si>
    <t xml:space="preserve">  雜費收入</t>
    <phoneticPr fontId="2" type="noConversion"/>
  </si>
  <si>
    <t xml:space="preserve">    大學日雜費</t>
    <phoneticPr fontId="2" type="noConversion"/>
  </si>
  <si>
    <t xml:space="preserve">    研究所雜費</t>
    <phoneticPr fontId="2" type="noConversion"/>
  </si>
  <si>
    <t xml:space="preserve">    職專研雜費</t>
    <phoneticPr fontId="2" type="noConversion"/>
  </si>
  <si>
    <t>"</t>
    <phoneticPr fontId="2" type="noConversion"/>
  </si>
  <si>
    <t xml:space="preserve">    職專研雜費-金門</t>
    <phoneticPr fontId="2" type="noConversion"/>
  </si>
  <si>
    <t xml:space="preserve">  實習實驗費收入</t>
    <phoneticPr fontId="2" type="noConversion"/>
  </si>
  <si>
    <t xml:space="preserve">    網路資源使用費收入</t>
    <phoneticPr fontId="2" type="noConversion"/>
  </si>
  <si>
    <t xml:space="preserve">    語言實習費收入</t>
    <phoneticPr fontId="2" type="noConversion"/>
  </si>
  <si>
    <t>推廣教育收入</t>
    <phoneticPr fontId="2" type="noConversion"/>
  </si>
  <si>
    <t>詳23頁附表2</t>
    <phoneticPr fontId="2" type="noConversion"/>
  </si>
  <si>
    <t xml:space="preserve">  推廣學費</t>
    <phoneticPr fontId="2" type="noConversion"/>
  </si>
  <si>
    <t xml:space="preserve">  推廣雜費</t>
    <phoneticPr fontId="2" type="noConversion"/>
  </si>
  <si>
    <t xml:space="preserve">  推廣其他收入</t>
    <phoneticPr fontId="2" type="noConversion"/>
  </si>
  <si>
    <t>建教合作收入</t>
    <phoneticPr fontId="2" type="noConversion"/>
  </si>
  <si>
    <t xml:space="preserve">  建教合作收入</t>
    <phoneticPr fontId="2" type="noConversion"/>
  </si>
  <si>
    <t>補助及捐贈收入</t>
    <phoneticPr fontId="2" type="noConversion"/>
  </si>
  <si>
    <t xml:space="preserve">  補助收入</t>
    <phoneticPr fontId="2" type="noConversion"/>
  </si>
  <si>
    <t xml:space="preserve">  捐贈收入</t>
    <phoneticPr fontId="2" type="noConversion"/>
  </si>
  <si>
    <t>財務收入</t>
    <phoneticPr fontId="2" type="noConversion"/>
  </si>
  <si>
    <t xml:space="preserve">  利息收入</t>
    <phoneticPr fontId="2" type="noConversion"/>
  </si>
  <si>
    <t>定期存款利息</t>
    <phoneticPr fontId="2" type="noConversion"/>
  </si>
  <si>
    <t xml:space="preserve">  基金收益</t>
    <phoneticPr fontId="2" type="noConversion"/>
  </si>
  <si>
    <t>獎學金專戶利息</t>
    <phoneticPr fontId="2" type="noConversion"/>
  </si>
  <si>
    <t>其他收入</t>
    <phoneticPr fontId="2" type="noConversion"/>
  </si>
  <si>
    <t>詳24頁附表3</t>
    <phoneticPr fontId="2" type="noConversion"/>
  </si>
  <si>
    <t xml:space="preserve">  試務費收入</t>
    <phoneticPr fontId="2" type="noConversion"/>
  </si>
  <si>
    <t xml:space="preserve">  住宿費收入</t>
    <phoneticPr fontId="2" type="noConversion"/>
  </si>
  <si>
    <t xml:space="preserve">  雜項收入</t>
    <phoneticPr fontId="2" type="noConversion"/>
  </si>
  <si>
    <t>合計</t>
    <phoneticPr fontId="2" type="noConversion"/>
  </si>
  <si>
    <r>
      <t>科</t>
    </r>
    <r>
      <rPr>
        <sz val="15"/>
        <rFont val="Times New Roman"/>
        <family val="1"/>
      </rPr>
      <t xml:space="preserve">                        </t>
    </r>
    <r>
      <rPr>
        <sz val="15"/>
        <rFont val="標楷體"/>
        <family val="4"/>
        <charset val="136"/>
      </rPr>
      <t>目</t>
    </r>
    <phoneticPr fontId="2" type="noConversion"/>
  </si>
  <si>
    <t>上年度估計決算數</t>
    <phoneticPr fontId="2" type="noConversion"/>
  </si>
  <si>
    <t>本年度預算與上年度估計決算比較</t>
    <phoneticPr fontId="2" type="noConversion"/>
  </si>
  <si>
    <r>
      <t>說</t>
    </r>
    <r>
      <rPr>
        <sz val="15"/>
        <rFont val="Times New Roman"/>
        <family val="1"/>
      </rPr>
      <t xml:space="preserve">             </t>
    </r>
    <r>
      <rPr>
        <sz val="15"/>
        <rFont val="標楷體"/>
        <family val="4"/>
        <charset val="136"/>
      </rPr>
      <t>明</t>
    </r>
    <phoneticPr fontId="2" type="noConversion"/>
  </si>
  <si>
    <r>
      <t>編</t>
    </r>
    <r>
      <rPr>
        <sz val="15"/>
        <rFont val="Times New Roman"/>
        <family val="1"/>
      </rPr>
      <t xml:space="preserve">   </t>
    </r>
    <r>
      <rPr>
        <sz val="15"/>
        <rFont val="標楷體"/>
        <family val="4"/>
        <charset val="136"/>
      </rPr>
      <t>號</t>
    </r>
    <phoneticPr fontId="2" type="noConversion"/>
  </si>
  <si>
    <r>
      <t>名</t>
    </r>
    <r>
      <rPr>
        <sz val="15"/>
        <rFont val="Times New Roman"/>
        <family val="1"/>
      </rPr>
      <t xml:space="preserve">         </t>
    </r>
    <r>
      <rPr>
        <sz val="15"/>
        <rFont val="標楷體"/>
        <family val="4"/>
        <charset val="136"/>
      </rPr>
      <t>稱</t>
    </r>
    <phoneticPr fontId="2" type="noConversion"/>
  </si>
  <si>
    <r>
      <t>差</t>
    </r>
    <r>
      <rPr>
        <sz val="15"/>
        <rFont val="Times New Roman"/>
        <family val="1"/>
      </rPr>
      <t xml:space="preserve">        </t>
    </r>
    <r>
      <rPr>
        <sz val="15"/>
        <rFont val="標楷體"/>
        <family val="4"/>
        <charset val="136"/>
      </rPr>
      <t>異</t>
    </r>
    <phoneticPr fontId="2" type="noConversion"/>
  </si>
  <si>
    <t>董事會支出</t>
    <phoneticPr fontId="2" type="noConversion"/>
  </si>
  <si>
    <t xml:space="preserve">  人事費</t>
    <phoneticPr fontId="2" type="noConversion"/>
  </si>
  <si>
    <t>董事會組員一人</t>
    <phoneticPr fontId="2" type="noConversion"/>
  </si>
  <si>
    <t xml:space="preserve">  業務費</t>
    <phoneticPr fontId="2" type="noConversion"/>
  </si>
  <si>
    <t>開董事會餐飲費</t>
    <phoneticPr fontId="2" type="noConversion"/>
  </si>
  <si>
    <t xml:space="preserve">  退休撫恤費</t>
    <phoneticPr fontId="2" type="noConversion"/>
  </si>
  <si>
    <t xml:space="preserve">  交通費</t>
    <phoneticPr fontId="2" type="noConversion"/>
  </si>
  <si>
    <t>$5000╳9人╳5次;機票$50,000╳2人╳4次</t>
    <phoneticPr fontId="2" type="noConversion"/>
  </si>
  <si>
    <t xml:space="preserve">  折舊及攤銷</t>
    <phoneticPr fontId="2" type="noConversion"/>
  </si>
  <si>
    <t>行政管理支出</t>
    <phoneticPr fontId="2" type="noConversion"/>
  </si>
  <si>
    <t>本校行政人員人事費</t>
    <phoneticPr fontId="2" type="noConversion"/>
  </si>
  <si>
    <t xml:space="preserve">  維護及報廢支出</t>
    <phoneticPr fontId="2" type="noConversion"/>
  </si>
  <si>
    <t xml:space="preserve">  退休及撫恤支出</t>
    <phoneticPr fontId="2" type="noConversion"/>
  </si>
  <si>
    <t xml:space="preserve">  折舊及攤銷</t>
    <phoneticPr fontId="2" type="noConversion"/>
  </si>
  <si>
    <t>教學研究及訓輔支出</t>
    <phoneticPr fontId="2" type="noConversion"/>
  </si>
  <si>
    <t>本校專兼任教師及軍護教師人事費</t>
    <phoneticPr fontId="2" type="noConversion"/>
  </si>
  <si>
    <t xml:space="preserve">  教學退休撫恤支出</t>
    <phoneticPr fontId="2" type="noConversion"/>
  </si>
  <si>
    <t>獎助學金支出</t>
    <phoneticPr fontId="2" type="noConversion"/>
  </si>
  <si>
    <t xml:space="preserve">  獎學金支出</t>
    <phoneticPr fontId="2" type="noConversion"/>
  </si>
  <si>
    <t>自收入提撥各類獎助學金</t>
    <phoneticPr fontId="2" type="noConversion"/>
  </si>
  <si>
    <t xml:space="preserve">  助學金支出</t>
    <phoneticPr fontId="2" type="noConversion"/>
  </si>
  <si>
    <t>政府補助各類助學金</t>
    <phoneticPr fontId="2" type="noConversion"/>
  </si>
  <si>
    <t xml:space="preserve">  民間捐贈獎助學金</t>
    <phoneticPr fontId="2" type="noConversion"/>
  </si>
  <si>
    <t>外界捐贈各類獎助學金</t>
    <phoneticPr fontId="2" type="noConversion"/>
  </si>
  <si>
    <t>推廣教育支出</t>
    <phoneticPr fontId="2" type="noConversion"/>
  </si>
  <si>
    <t>詳25頁附表4</t>
    <phoneticPr fontId="2" type="noConversion"/>
  </si>
  <si>
    <t>建教合作支出</t>
    <phoneticPr fontId="2" type="noConversion"/>
  </si>
  <si>
    <t xml:space="preserve">  建教維護及報廢</t>
    <phoneticPr fontId="2" type="noConversion"/>
  </si>
  <si>
    <t xml:space="preserve">  建教其他費</t>
    <phoneticPr fontId="2" type="noConversion"/>
  </si>
  <si>
    <t>財務支出</t>
    <phoneticPr fontId="2" type="noConversion"/>
  </si>
  <si>
    <t xml:space="preserve">  利息費用</t>
    <phoneticPr fontId="2" type="noConversion"/>
  </si>
  <si>
    <t>446,984,402╳2.8%</t>
    <phoneticPr fontId="2" type="noConversion"/>
  </si>
  <si>
    <t>51A0</t>
    <phoneticPr fontId="2" type="noConversion"/>
  </si>
  <si>
    <t>其他支出</t>
    <phoneticPr fontId="2" type="noConversion"/>
  </si>
  <si>
    <t>51A1</t>
    <phoneticPr fontId="2" type="noConversion"/>
  </si>
  <si>
    <t xml:space="preserve">  試務費支出</t>
    <phoneticPr fontId="2" type="noConversion"/>
  </si>
  <si>
    <t>51A9</t>
    <phoneticPr fontId="2" type="noConversion"/>
  </si>
  <si>
    <t xml:space="preserve">  雜項支出</t>
    <phoneticPr fontId="2" type="noConversion"/>
  </si>
  <si>
    <r>
      <t>合</t>
    </r>
    <r>
      <rPr>
        <sz val="15"/>
        <rFont val="Times New Roman"/>
        <family val="1"/>
      </rPr>
      <t xml:space="preserve">                               </t>
    </r>
    <r>
      <rPr>
        <sz val="15"/>
        <rFont val="標楷體"/>
        <family val="4"/>
        <charset val="136"/>
      </rPr>
      <t>計</t>
    </r>
    <phoneticPr fontId="2" type="noConversion"/>
  </si>
  <si>
    <r>
      <t>編</t>
    </r>
    <r>
      <rPr>
        <sz val="15"/>
        <rFont val="Times New Roman"/>
        <family val="1"/>
      </rPr>
      <t xml:space="preserve">   </t>
    </r>
    <r>
      <rPr>
        <sz val="15"/>
        <rFont val="標楷體"/>
        <family val="4"/>
        <charset val="136"/>
      </rPr>
      <t>號</t>
    </r>
    <phoneticPr fontId="2" type="noConversion"/>
  </si>
  <si>
    <t>土地</t>
    <phoneticPr fontId="2" type="noConversion"/>
  </si>
  <si>
    <t>土地改良物</t>
    <phoneticPr fontId="2" type="noConversion"/>
  </si>
  <si>
    <t>房屋及建築</t>
    <phoneticPr fontId="2" type="noConversion"/>
  </si>
  <si>
    <t xml:space="preserve">  房屋及建築</t>
    <phoneticPr fontId="2" type="noConversion"/>
  </si>
  <si>
    <t>機械儀器及設備</t>
    <phoneticPr fontId="2" type="noConversion"/>
  </si>
  <si>
    <t xml:space="preserve">  機械及設備</t>
    <phoneticPr fontId="2" type="noConversion"/>
  </si>
  <si>
    <t>圖書及博物</t>
    <phoneticPr fontId="2" type="noConversion"/>
  </si>
  <si>
    <t xml:space="preserve">  圖書</t>
    <phoneticPr fontId="2" type="noConversion"/>
  </si>
  <si>
    <t xml:space="preserve">  博物</t>
    <phoneticPr fontId="2" type="noConversion"/>
  </si>
  <si>
    <t>其他設備</t>
    <phoneticPr fontId="2" type="noConversion"/>
  </si>
  <si>
    <t xml:space="preserve">  其他設備</t>
    <phoneticPr fontId="2" type="noConversion"/>
  </si>
  <si>
    <t>預付土地工程及設備</t>
    <phoneticPr fontId="2" type="noConversion"/>
  </si>
  <si>
    <r>
      <t xml:space="preserve">    </t>
    </r>
    <r>
      <rPr>
        <sz val="14"/>
        <rFont val="標楷體"/>
        <family val="4"/>
        <charset val="136"/>
      </rPr>
      <t>預付土地款</t>
    </r>
    <phoneticPr fontId="2" type="noConversion"/>
  </si>
  <si>
    <r>
      <t xml:space="preserve">    </t>
    </r>
    <r>
      <rPr>
        <sz val="14"/>
        <rFont val="標楷體"/>
        <family val="4"/>
        <charset val="136"/>
      </rPr>
      <t>預付工程款</t>
    </r>
    <phoneticPr fontId="2" type="noConversion"/>
  </si>
  <si>
    <t xml:space="preserve">  未完工程  </t>
    <phoneticPr fontId="2" type="noConversion"/>
  </si>
  <si>
    <t>租賃權益改良物</t>
    <phoneticPr fontId="2" type="noConversion"/>
  </si>
  <si>
    <t xml:space="preserve">  租賃權益改良物</t>
    <phoneticPr fontId="2" type="noConversion"/>
  </si>
  <si>
    <t>電腦軟體</t>
    <phoneticPr fontId="2" type="noConversion"/>
  </si>
  <si>
    <t xml:space="preserve">  電腦軟體</t>
    <phoneticPr fontId="2" type="noConversion"/>
  </si>
  <si>
    <r>
      <t xml:space="preserve">       </t>
    </r>
    <r>
      <rPr>
        <sz val="15"/>
        <rFont val="標楷體"/>
        <family val="4"/>
        <charset val="136"/>
      </rPr>
      <t>合            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</si>
</sst>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#,##0_);[Red]\(#,##0\)"/>
  </numFmts>
  <fonts count="1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5"/>
      <name val="標楷體"/>
      <family val="4"/>
      <charset val="136"/>
    </font>
    <font>
      <sz val="14"/>
      <name val="標楷體"/>
      <family val="4"/>
      <charset val="136"/>
    </font>
    <font>
      <sz val="15"/>
      <name val="新細明體"/>
      <family val="1"/>
      <charset val="136"/>
    </font>
    <font>
      <sz val="15"/>
      <name val="華康楷書體W5(P)"/>
      <family val="4"/>
      <charset val="136"/>
    </font>
    <font>
      <sz val="15"/>
      <name val="Times New Roman"/>
      <family val="1"/>
    </font>
    <font>
      <b/>
      <sz val="14"/>
      <name val="標楷體"/>
      <family val="4"/>
      <charset val="136"/>
    </font>
    <font>
      <sz val="16"/>
      <name val="新細明體"/>
      <family val="1"/>
      <charset val="136"/>
      <scheme val="minor"/>
    </font>
    <font>
      <sz val="16"/>
      <name val="新細明體"/>
      <family val="1"/>
      <charset val="136"/>
    </font>
    <font>
      <sz val="14"/>
      <name val="新細明體"/>
      <family val="1"/>
      <charset val="136"/>
    </font>
    <font>
      <sz val="15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wrapText="1"/>
    </xf>
    <xf numFmtId="0" fontId="5" fillId="0" borderId="15" xfId="0" applyFont="1" applyBorder="1" applyAlignment="1">
      <alignment horizontal="left" vertical="top" wrapText="1"/>
    </xf>
    <xf numFmtId="41" fontId="1" fillId="2" borderId="3" xfId="1" applyFill="1" applyBorder="1" applyAlignment="1"/>
    <xf numFmtId="41" fontId="1" fillId="0" borderId="3" xfId="1" applyBorder="1" applyAlignment="1"/>
    <xf numFmtId="0" fontId="5" fillId="0" borderId="11" xfId="0" applyFont="1" applyBorder="1" applyAlignment="1">
      <alignment shrinkToFit="1"/>
    </xf>
    <xf numFmtId="41" fontId="1" fillId="0" borderId="5" xfId="1" applyBorder="1" applyAlignment="1"/>
    <xf numFmtId="176" fontId="0" fillId="0" borderId="12" xfId="0" applyNumberFormat="1" applyBorder="1" applyAlignment="1">
      <alignment horizontal="right" vertical="center"/>
    </xf>
    <xf numFmtId="0" fontId="3" fillId="0" borderId="2" xfId="0" applyFont="1" applyBorder="1" applyAlignment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1" xfId="0" applyFont="1" applyBorder="1" applyAlignment="1">
      <alignment horizontal="left" vertical="top" wrapText="1"/>
    </xf>
    <xf numFmtId="0" fontId="0" fillId="0" borderId="0" xfId="0" applyAlignment="1"/>
    <xf numFmtId="176" fontId="0" fillId="0" borderId="0" xfId="0" applyNumberFormat="1" applyAlignment="1"/>
    <xf numFmtId="0" fontId="3" fillId="0" borderId="3" xfId="0" applyFont="1" applyBorder="1" applyAlignment="1"/>
    <xf numFmtId="176" fontId="0" fillId="0" borderId="3" xfId="0" applyNumberFormat="1" applyBorder="1" applyAlignment="1"/>
    <xf numFmtId="176" fontId="0" fillId="0" borderId="2" xfId="0" applyNumberFormat="1" applyBorder="1" applyAlignment="1"/>
    <xf numFmtId="0" fontId="0" fillId="0" borderId="3" xfId="0" applyBorder="1" applyAlignment="1"/>
    <xf numFmtId="0" fontId="3" fillId="0" borderId="0" xfId="0" applyFont="1" applyFill="1" applyAlignment="1"/>
    <xf numFmtId="0" fontId="0" fillId="0" borderId="0" xfId="0" applyFill="1" applyAlignment="1"/>
    <xf numFmtId="176" fontId="0" fillId="0" borderId="14" xfId="0" applyNumberFormat="1" applyBorder="1" applyAlignment="1"/>
    <xf numFmtId="0" fontId="6" fillId="0" borderId="2" xfId="0" applyFont="1" applyBorder="1" applyAlignment="1"/>
    <xf numFmtId="176" fontId="3" fillId="0" borderId="2" xfId="0" applyNumberFormat="1" applyFont="1" applyBorder="1" applyAlignment="1"/>
    <xf numFmtId="176" fontId="3" fillId="0" borderId="16" xfId="0" applyNumberFormat="1" applyFont="1" applyBorder="1" applyAlignment="1"/>
    <xf numFmtId="0" fontId="3" fillId="2" borderId="11" xfId="0" applyFont="1" applyFill="1" applyBorder="1" applyAlignment="1"/>
    <xf numFmtId="176" fontId="0" fillId="2" borderId="3" xfId="0" applyNumberFormat="1" applyFill="1" applyBorder="1" applyAlignment="1"/>
    <xf numFmtId="176" fontId="0" fillId="2" borderId="14" xfId="0" applyNumberFormat="1" applyFill="1" applyBorder="1" applyAlignment="1"/>
    <xf numFmtId="0" fontId="3" fillId="0" borderId="11" xfId="0" applyFont="1" applyBorder="1" applyAlignment="1"/>
    <xf numFmtId="176" fontId="0" fillId="0" borderId="3" xfId="0" applyNumberFormat="1" applyFill="1" applyBorder="1" applyAlignment="1"/>
    <xf numFmtId="176" fontId="0" fillId="2" borderId="0" xfId="0" applyNumberFormat="1" applyFill="1" applyAlignment="1"/>
    <xf numFmtId="176" fontId="0" fillId="0" borderId="5" xfId="0" applyNumberFormat="1" applyBorder="1" applyAlignment="1"/>
    <xf numFmtId="0" fontId="0" fillId="0" borderId="11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14" xfId="0" applyBorder="1" applyAlignment="1"/>
    <xf numFmtId="0" fontId="3" fillId="0" borderId="0" xfId="0" applyFont="1" applyAlignment="1">
      <alignment horizontal="left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5" fillId="0" borderId="1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77" fontId="9" fillId="0" borderId="3" xfId="0" applyNumberFormat="1" applyFont="1" applyBorder="1" applyAlignment="1"/>
    <xf numFmtId="0" fontId="7" fillId="0" borderId="3" xfId="0" applyFont="1" applyBorder="1" applyAlignment="1"/>
    <xf numFmtId="176" fontId="9" fillId="0" borderId="3" xfId="0" applyNumberFormat="1" applyFont="1" applyBorder="1" applyAlignment="1"/>
    <xf numFmtId="177" fontId="9" fillId="0" borderId="4" xfId="0" applyNumberFormat="1" applyFont="1" applyBorder="1" applyAlignment="1"/>
    <xf numFmtId="10" fontId="9" fillId="0" borderId="4" xfId="0" applyNumberFormat="1" applyFont="1" applyBorder="1" applyAlignment="1"/>
    <xf numFmtId="0" fontId="9" fillId="0" borderId="0" xfId="0" applyFont="1" applyAlignment="1"/>
    <xf numFmtId="10" fontId="9" fillId="0" borderId="3" xfId="0" applyNumberFormat="1" applyFont="1" applyBorder="1" applyAlignment="1"/>
    <xf numFmtId="177" fontId="9" fillId="0" borderId="2" xfId="0" applyNumberFormat="1" applyFont="1" applyBorder="1" applyAlignment="1"/>
    <xf numFmtId="176" fontId="9" fillId="0" borderId="2" xfId="0" applyNumberFormat="1" applyFont="1" applyBorder="1" applyAlignment="1"/>
    <xf numFmtId="10" fontId="9" fillId="0" borderId="2" xfId="0" applyNumberFormat="1" applyFont="1" applyBorder="1" applyAlignment="1"/>
    <xf numFmtId="0" fontId="7" fillId="0" borderId="3" xfId="0" applyFont="1" applyBorder="1" applyAlignment="1">
      <alignment horizontal="left" wrapText="1"/>
    </xf>
    <xf numFmtId="10" fontId="9" fillId="0" borderId="5" xfId="0" applyNumberFormat="1" applyFont="1" applyBorder="1" applyAlignment="1"/>
    <xf numFmtId="0" fontId="7" fillId="0" borderId="2" xfId="0" applyFont="1" applyBorder="1" applyAlignment="1"/>
    <xf numFmtId="0" fontId="10" fillId="0" borderId="0" xfId="0" applyFont="1" applyAlignment="1">
      <alignment horizontal="left"/>
    </xf>
    <xf numFmtId="0" fontId="7" fillId="0" borderId="0" xfId="0" applyFont="1" applyAlignment="1"/>
    <xf numFmtId="176" fontId="9" fillId="0" borderId="0" xfId="0" applyNumberFormat="1" applyFont="1" applyAlignment="1"/>
    <xf numFmtId="10" fontId="9" fillId="0" borderId="0" xfId="0" applyNumberFormat="1" applyFont="1" applyAlignme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 wrapText="1"/>
    </xf>
    <xf numFmtId="41" fontId="13" fillId="0" borderId="2" xfId="0" applyNumberFormat="1" applyFont="1" applyBorder="1" applyAlignment="1">
      <alignment horizontal="center"/>
    </xf>
    <xf numFmtId="41" fontId="14" fillId="0" borderId="5" xfId="1" applyFont="1" applyBorder="1" applyAlignment="1"/>
    <xf numFmtId="0" fontId="7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41" fontId="14" fillId="0" borderId="2" xfId="1" applyFont="1" applyBorder="1" applyAlignment="1"/>
    <xf numFmtId="41" fontId="9" fillId="0" borderId="2" xfId="1" applyFont="1" applyBorder="1" applyAlignment="1"/>
    <xf numFmtId="0" fontId="8" fillId="0" borderId="2" xfId="0" applyFont="1" applyBorder="1" applyAlignment="1">
      <alignment vertical="center" wrapText="1"/>
    </xf>
    <xf numFmtId="41" fontId="7" fillId="0" borderId="2" xfId="1" applyFont="1" applyBorder="1" applyAlignment="1">
      <alignment wrapText="1"/>
    </xf>
    <xf numFmtId="41" fontId="8" fillId="0" borderId="2" xfId="1" applyFont="1" applyBorder="1" applyAlignment="1">
      <alignment horizontal="left" vertical="top" wrapText="1"/>
    </xf>
    <xf numFmtId="41" fontId="9" fillId="0" borderId="2" xfId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41" fontId="7" fillId="0" borderId="2" xfId="1" applyFont="1" applyBorder="1" applyAlignment="1">
      <alignment vertical="center"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8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41" fontId="9" fillId="0" borderId="0" xfId="0" applyNumberFormat="1" applyFont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shrinkToFit="1"/>
    </xf>
    <xf numFmtId="0" fontId="7" fillId="0" borderId="0" xfId="0" applyFont="1" applyBorder="1" applyAlignment="1"/>
    <xf numFmtId="0" fontId="7" fillId="0" borderId="2" xfId="0" applyFont="1" applyBorder="1" applyAlignment="1">
      <alignment horizontal="center" vertical="center"/>
    </xf>
    <xf numFmtId="41" fontId="9" fillId="0" borderId="2" xfId="0" applyNumberFormat="1" applyFont="1" applyBorder="1" applyAlignment="1"/>
    <xf numFmtId="0" fontId="15" fillId="0" borderId="2" xfId="0" applyFont="1" applyBorder="1" applyAlignment="1">
      <alignment horizontal="left"/>
    </xf>
    <xf numFmtId="41" fontId="16" fillId="0" borderId="2" xfId="0" applyNumberFormat="1" applyFont="1" applyBorder="1" applyAlignment="1"/>
    <xf numFmtId="177" fontId="16" fillId="0" borderId="2" xfId="0" applyNumberFormat="1" applyFont="1" applyBorder="1" applyAlignment="1">
      <alignment horizontal="right"/>
    </xf>
    <xf numFmtId="10" fontId="17" fillId="0" borderId="2" xfId="0" applyNumberFormat="1" applyFont="1" applyBorder="1" applyAlignment="1"/>
    <xf numFmtId="41" fontId="16" fillId="0" borderId="2" xfId="1" applyFont="1" applyBorder="1" applyAlignment="1"/>
    <xf numFmtId="0" fontId="8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right"/>
    </xf>
    <xf numFmtId="177" fontId="16" fillId="0" borderId="2" xfId="1" applyNumberFormat="1" applyFont="1" applyBorder="1" applyAlignment="1">
      <alignment horizontal="right"/>
    </xf>
    <xf numFmtId="0" fontId="8" fillId="0" borderId="2" xfId="0" applyFont="1" applyBorder="1" applyAlignment="1">
      <alignment horizontal="left" wrapText="1" shrinkToFit="1"/>
    </xf>
    <xf numFmtId="41" fontId="16" fillId="0" borderId="2" xfId="1" applyFont="1" applyFill="1" applyBorder="1" applyAlignment="1"/>
    <xf numFmtId="177" fontId="16" fillId="0" borderId="2" xfId="1" applyNumberFormat="1" applyFont="1" applyFill="1" applyBorder="1" applyAlignment="1">
      <alignment horizontal="right"/>
    </xf>
    <xf numFmtId="41" fontId="9" fillId="0" borderId="2" xfId="1" applyFont="1" applyBorder="1" applyAlignment="1">
      <alignment horizontal="center"/>
    </xf>
    <xf numFmtId="0" fontId="8" fillId="0" borderId="2" xfId="0" applyFont="1" applyBorder="1" applyAlignment="1">
      <alignment horizontal="left" wrapText="1"/>
    </xf>
    <xf numFmtId="41" fontId="16" fillId="0" borderId="2" xfId="1" applyFont="1" applyBorder="1" applyAlignment="1">
      <alignment horizontal="center"/>
    </xf>
    <xf numFmtId="10" fontId="17" fillId="0" borderId="2" xfId="0" applyNumberFormat="1" applyFont="1" applyBorder="1" applyAlignment="1">
      <alignment horizontal="center"/>
    </xf>
    <xf numFmtId="0" fontId="15" fillId="0" borderId="2" xfId="0" applyFont="1" applyBorder="1" applyAlignment="1"/>
    <xf numFmtId="177" fontId="16" fillId="0" borderId="2" xfId="1" applyNumberFormat="1" applyFont="1" applyBorder="1" applyAlignment="1"/>
    <xf numFmtId="41" fontId="9" fillId="0" borderId="2" xfId="1" applyFont="1" applyFill="1" applyBorder="1" applyAlignment="1"/>
    <xf numFmtId="176" fontId="9" fillId="0" borderId="2" xfId="1" applyNumberFormat="1" applyFont="1" applyFill="1" applyBorder="1" applyAlignment="1"/>
    <xf numFmtId="41" fontId="9" fillId="0" borderId="2" xfId="1" applyFont="1" applyFill="1" applyBorder="1" applyAlignment="1">
      <alignment horizontal="center"/>
    </xf>
    <xf numFmtId="41" fontId="9" fillId="0" borderId="4" xfId="1" applyFont="1" applyFill="1" applyBorder="1" applyAlignment="1"/>
    <xf numFmtId="0" fontId="15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wrapText="1"/>
    </xf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177" fontId="7" fillId="0" borderId="2" xfId="0" applyNumberFormat="1" applyFont="1" applyBorder="1" applyAlignment="1">
      <alignment horizontal="center" vertical="center"/>
    </xf>
    <xf numFmtId="10" fontId="15" fillId="0" borderId="2" xfId="0" applyNumberFormat="1" applyFont="1" applyBorder="1" applyAlignment="1"/>
    <xf numFmtId="0" fontId="8" fillId="0" borderId="2" xfId="0" applyFont="1" applyFill="1" applyBorder="1" applyAlignment="1">
      <alignment wrapText="1" shrinkToFit="1"/>
    </xf>
    <xf numFmtId="3" fontId="8" fillId="0" borderId="2" xfId="0" applyNumberFormat="1" applyFont="1" applyBorder="1" applyAlignment="1">
      <alignment wrapText="1"/>
    </xf>
    <xf numFmtId="177" fontId="9" fillId="0" borderId="0" xfId="0" applyNumberFormat="1" applyFont="1" applyAlignment="1"/>
    <xf numFmtId="0" fontId="8" fillId="0" borderId="2" xfId="0" applyFont="1" applyBorder="1" applyAlignment="1"/>
    <xf numFmtId="177" fontId="9" fillId="0" borderId="2" xfId="1" applyNumberFormat="1" applyFont="1" applyBorder="1" applyAlignment="1"/>
    <xf numFmtId="0" fontId="7" fillId="0" borderId="2" xfId="0" applyFont="1" applyBorder="1" applyAlignment="1">
      <alignment horizontal="left"/>
    </xf>
    <xf numFmtId="0" fontId="8" fillId="0" borderId="2" xfId="0" applyFont="1" applyFill="1" applyBorder="1" applyAlignment="1"/>
    <xf numFmtId="0" fontId="18" fillId="0" borderId="2" xfId="0" applyFont="1" applyBorder="1" applyAlignment="1"/>
    <xf numFmtId="0" fontId="18" fillId="0" borderId="2" xfId="0" applyFont="1" applyFill="1" applyBorder="1" applyAlignment="1"/>
    <xf numFmtId="0" fontId="9" fillId="0" borderId="2" xfId="0" applyFont="1" applyBorder="1" applyAlignment="1">
      <alignment horizontal="center"/>
    </xf>
    <xf numFmtId="0" fontId="7" fillId="0" borderId="2" xfId="0" applyFont="1" applyFill="1" applyBorder="1" applyAlignment="1"/>
    <xf numFmtId="0" fontId="11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view="pageBreakPreview" zoomScale="60" zoomScaleNormal="100" workbookViewId="0">
      <selection activeCell="D11" sqref="D11"/>
    </sheetView>
  </sheetViews>
  <sheetFormatPr defaultRowHeight="21"/>
  <cols>
    <col min="1" max="1" width="17.6640625" style="67" customWidth="1"/>
    <col min="2" max="2" width="33.33203125" style="76" customWidth="1"/>
    <col min="3" max="4" width="18.6640625" style="77" customWidth="1"/>
    <col min="5" max="5" width="19.6640625" style="67" customWidth="1"/>
    <col min="6" max="6" width="10.77734375" style="78" customWidth="1"/>
    <col min="7" max="16384" width="8.88671875" style="67"/>
  </cols>
  <sheetData>
    <row r="1" spans="1:6" s="55" customFormat="1">
      <c r="A1" s="49" t="s">
        <v>28</v>
      </c>
      <c r="B1" s="50" t="s">
        <v>1</v>
      </c>
      <c r="C1" s="51" t="s">
        <v>2</v>
      </c>
      <c r="D1" s="52" t="s">
        <v>29</v>
      </c>
      <c r="E1" s="53" t="s">
        <v>3</v>
      </c>
      <c r="F1" s="54"/>
    </row>
    <row r="2" spans="1:6" s="55" customFormat="1">
      <c r="A2" s="56"/>
      <c r="B2" s="57"/>
      <c r="C2" s="58"/>
      <c r="D2" s="59"/>
      <c r="E2" s="60" t="s">
        <v>4</v>
      </c>
      <c r="F2" s="61" t="s">
        <v>0</v>
      </c>
    </row>
    <row r="3" spans="1:6">
      <c r="A3" s="62"/>
      <c r="B3" s="63" t="s">
        <v>5</v>
      </c>
      <c r="C3" s="64"/>
      <c r="D3" s="64"/>
      <c r="E3" s="65"/>
      <c r="F3" s="66"/>
    </row>
    <row r="4" spans="1:6">
      <c r="A4" s="62">
        <v>1781307728</v>
      </c>
      <c r="B4" s="63" t="s">
        <v>6</v>
      </c>
      <c r="C4" s="64">
        <v>1801329426</v>
      </c>
      <c r="D4" s="64">
        <v>1811870036</v>
      </c>
      <c r="E4" s="62">
        <f t="shared" ref="E4:E10" si="0">C4-D4</f>
        <v>-10540610</v>
      </c>
      <c r="F4" s="68">
        <f>E4/D4</f>
        <v>-5.8175309434831896E-3</v>
      </c>
    </row>
    <row r="5" spans="1:6">
      <c r="A5" s="62">
        <v>41473834</v>
      </c>
      <c r="B5" s="63" t="s">
        <v>7</v>
      </c>
      <c r="C5" s="64">
        <v>45976278</v>
      </c>
      <c r="D5" s="64">
        <v>42495566</v>
      </c>
      <c r="E5" s="62">
        <f t="shared" si="0"/>
        <v>3480712</v>
      </c>
      <c r="F5" s="68">
        <f t="shared" ref="F5:F10" si="1">E5/D5</f>
        <v>8.1907651259427866E-2</v>
      </c>
    </row>
    <row r="6" spans="1:6">
      <c r="A6" s="62">
        <v>120506018</v>
      </c>
      <c r="B6" s="63" t="s">
        <v>30</v>
      </c>
      <c r="C6" s="64">
        <v>127411980</v>
      </c>
      <c r="D6" s="64">
        <v>121831632</v>
      </c>
      <c r="E6" s="62">
        <f t="shared" si="0"/>
        <v>5580348</v>
      </c>
      <c r="F6" s="68">
        <f t="shared" si="1"/>
        <v>4.580376958259904E-2</v>
      </c>
    </row>
    <row r="7" spans="1:6" ht="18" customHeight="1">
      <c r="A7" s="62">
        <v>471108550</v>
      </c>
      <c r="B7" s="63" t="s">
        <v>8</v>
      </c>
      <c r="C7" s="64">
        <v>290060835</v>
      </c>
      <c r="D7" s="64">
        <v>255450959</v>
      </c>
      <c r="E7" s="62">
        <f t="shared" si="0"/>
        <v>34609876</v>
      </c>
      <c r="F7" s="68">
        <f t="shared" si="1"/>
        <v>0.13548540250342142</v>
      </c>
    </row>
    <row r="8" spans="1:6" ht="18" customHeight="1">
      <c r="A8" s="62">
        <v>5044153</v>
      </c>
      <c r="B8" s="63" t="s">
        <v>9</v>
      </c>
      <c r="C8" s="64">
        <v>4180000</v>
      </c>
      <c r="D8" s="64">
        <v>8807053</v>
      </c>
      <c r="E8" s="62">
        <f t="shared" si="0"/>
        <v>-4627053</v>
      </c>
      <c r="F8" s="68">
        <f t="shared" si="1"/>
        <v>-0.52538039682513549</v>
      </c>
    </row>
    <row r="9" spans="1:6" ht="18" customHeight="1">
      <c r="A9" s="62">
        <v>121226376</v>
      </c>
      <c r="B9" s="63" t="s">
        <v>10</v>
      </c>
      <c r="C9" s="64">
        <v>82115300</v>
      </c>
      <c r="D9" s="64">
        <v>96917774</v>
      </c>
      <c r="E9" s="62">
        <f t="shared" si="0"/>
        <v>-14802474</v>
      </c>
      <c r="F9" s="68">
        <f t="shared" si="1"/>
        <v>-0.15273229449120448</v>
      </c>
    </row>
    <row r="10" spans="1:6" ht="18" customHeight="1">
      <c r="A10" s="69">
        <f>SUM(A4:A9)</f>
        <v>2540666659</v>
      </c>
      <c r="B10" s="63" t="s">
        <v>11</v>
      </c>
      <c r="C10" s="70">
        <f>SUM(C4:C9)</f>
        <v>2351073819</v>
      </c>
      <c r="D10" s="70">
        <f>SUM(D4:D9)</f>
        <v>2337373020</v>
      </c>
      <c r="E10" s="69">
        <f t="shared" si="0"/>
        <v>13700799</v>
      </c>
      <c r="F10" s="71">
        <f t="shared" si="1"/>
        <v>5.8616228059310792E-3</v>
      </c>
    </row>
    <row r="11" spans="1:6" ht="18" customHeight="1">
      <c r="A11" s="62"/>
      <c r="B11" s="63"/>
      <c r="C11" s="64"/>
      <c r="D11" s="64"/>
      <c r="E11" s="62"/>
      <c r="F11" s="68"/>
    </row>
    <row r="12" spans="1:6" ht="18" customHeight="1">
      <c r="A12" s="62"/>
      <c r="B12" s="63" t="s">
        <v>12</v>
      </c>
      <c r="C12" s="64"/>
      <c r="D12" s="64"/>
      <c r="E12" s="62"/>
      <c r="F12" s="68"/>
    </row>
    <row r="13" spans="1:6" ht="18" customHeight="1">
      <c r="A13" s="62">
        <v>849728</v>
      </c>
      <c r="B13" s="63" t="s">
        <v>13</v>
      </c>
      <c r="C13" s="64">
        <v>1309900</v>
      </c>
      <c r="D13" s="64">
        <v>948889</v>
      </c>
      <c r="E13" s="62">
        <f t="shared" ref="E13:E23" si="2">C13-D13</f>
        <v>361011</v>
      </c>
      <c r="F13" s="68">
        <f t="shared" ref="F13:F23" si="3">E13/D13</f>
        <v>0.38045651282710624</v>
      </c>
    </row>
    <row r="14" spans="1:6" ht="18" customHeight="1">
      <c r="A14" s="62">
        <v>500909682</v>
      </c>
      <c r="B14" s="63" t="s">
        <v>14</v>
      </c>
      <c r="C14" s="64">
        <v>500320290</v>
      </c>
      <c r="D14" s="64">
        <v>477812404</v>
      </c>
      <c r="E14" s="62">
        <f t="shared" si="2"/>
        <v>22507886</v>
      </c>
      <c r="F14" s="68">
        <f t="shared" si="3"/>
        <v>4.7106114892739366E-2</v>
      </c>
    </row>
    <row r="15" spans="1:6" ht="18" customHeight="1">
      <c r="A15" s="62">
        <v>1368672643</v>
      </c>
      <c r="B15" s="72" t="s">
        <v>15</v>
      </c>
      <c r="C15" s="64">
        <v>1345126640</v>
      </c>
      <c r="D15" s="64">
        <v>1311524518</v>
      </c>
      <c r="E15" s="62">
        <f t="shared" si="2"/>
        <v>33602122</v>
      </c>
      <c r="F15" s="68">
        <f t="shared" si="3"/>
        <v>2.5620658660076991E-2</v>
      </c>
    </row>
    <row r="16" spans="1:6" ht="18" customHeight="1">
      <c r="A16" s="62">
        <v>175604018</v>
      </c>
      <c r="B16" s="63" t="s">
        <v>16</v>
      </c>
      <c r="C16" s="64">
        <v>154674250</v>
      </c>
      <c r="D16" s="64">
        <v>169560950</v>
      </c>
      <c r="E16" s="62">
        <f t="shared" si="2"/>
        <v>-14886700</v>
      </c>
      <c r="F16" s="68">
        <f t="shared" si="3"/>
        <v>-8.7795568496166126E-2</v>
      </c>
    </row>
    <row r="17" spans="1:7" ht="42.6" customHeight="1">
      <c r="A17" s="62">
        <v>32025444</v>
      </c>
      <c r="B17" s="63" t="s">
        <v>17</v>
      </c>
      <c r="C17" s="64">
        <f>25093130+7000000</f>
        <v>32093130</v>
      </c>
      <c r="D17" s="64">
        <v>34582144</v>
      </c>
      <c r="E17" s="62">
        <f t="shared" si="2"/>
        <v>-2489014</v>
      </c>
      <c r="F17" s="68">
        <f t="shared" si="3"/>
        <v>-7.1973964367275781E-2</v>
      </c>
    </row>
    <row r="18" spans="1:7" ht="42.6" customHeight="1">
      <c r="A18" s="62">
        <v>123534675</v>
      </c>
      <c r="B18" s="63" t="s">
        <v>18</v>
      </c>
      <c r="C18" s="64">
        <f>120733240-7000000</f>
        <v>113733240</v>
      </c>
      <c r="D18" s="64">
        <v>119970890</v>
      </c>
      <c r="E18" s="62">
        <f t="shared" si="2"/>
        <v>-6237650</v>
      </c>
      <c r="F18" s="68">
        <f t="shared" si="3"/>
        <v>-5.1993029309026551E-2</v>
      </c>
    </row>
    <row r="19" spans="1:7" ht="42.6" customHeight="1">
      <c r="A19" s="62">
        <v>11019426</v>
      </c>
      <c r="B19" s="63" t="s">
        <v>19</v>
      </c>
      <c r="C19" s="64">
        <v>12515563</v>
      </c>
      <c r="D19" s="64">
        <v>10090556</v>
      </c>
      <c r="E19" s="62">
        <f t="shared" si="2"/>
        <v>2425007</v>
      </c>
      <c r="F19" s="68">
        <f t="shared" si="3"/>
        <v>0.24032441819856112</v>
      </c>
    </row>
    <row r="20" spans="1:7" ht="42.6" customHeight="1">
      <c r="A20" s="62">
        <v>14386970</v>
      </c>
      <c r="B20" s="63" t="s">
        <v>20</v>
      </c>
      <c r="C20" s="64">
        <v>36298748</v>
      </c>
      <c r="D20" s="64">
        <v>14122808</v>
      </c>
      <c r="E20" s="62">
        <f t="shared" si="2"/>
        <v>22175940</v>
      </c>
      <c r="F20" s="73">
        <f t="shared" si="3"/>
        <v>1.5702217292765008</v>
      </c>
    </row>
    <row r="21" spans="1:7" ht="42.6" customHeight="1">
      <c r="A21" s="69">
        <f>SUM(A13:A20)</f>
        <v>2227002586</v>
      </c>
      <c r="B21" s="63" t="s">
        <v>21</v>
      </c>
      <c r="C21" s="70">
        <f>SUM(C13:C20)</f>
        <v>2196071761</v>
      </c>
      <c r="D21" s="70">
        <f>SUM(D13:D20)</f>
        <v>2138613159</v>
      </c>
      <c r="E21" s="69">
        <f t="shared" si="2"/>
        <v>57458602</v>
      </c>
      <c r="F21" s="71">
        <f t="shared" si="3"/>
        <v>2.6867225499943723E-2</v>
      </c>
    </row>
    <row r="22" spans="1:7" ht="42.6" customHeight="1">
      <c r="A22" s="62"/>
      <c r="B22" s="63"/>
      <c r="C22" s="64"/>
      <c r="D22" s="64"/>
      <c r="E22" s="62"/>
      <c r="F22" s="71"/>
    </row>
    <row r="23" spans="1:7" ht="42.6" customHeight="1">
      <c r="A23" s="69">
        <f>A10-A21</f>
        <v>313664073</v>
      </c>
      <c r="B23" s="74" t="s">
        <v>22</v>
      </c>
      <c r="C23" s="69">
        <f>C10-C21</f>
        <v>155002058</v>
      </c>
      <c r="D23" s="69">
        <f>D10-D21</f>
        <v>198759861</v>
      </c>
      <c r="E23" s="69">
        <f t="shared" si="2"/>
        <v>-43757803</v>
      </c>
      <c r="F23" s="71">
        <f t="shared" si="3"/>
        <v>-0.22015412357327016</v>
      </c>
    </row>
    <row r="24" spans="1:7" ht="42.6" customHeight="1">
      <c r="A24" s="75"/>
      <c r="B24" s="75"/>
      <c r="C24" s="75"/>
      <c r="D24" s="75"/>
      <c r="E24" s="75"/>
      <c r="F24" s="75"/>
      <c r="G24" s="75"/>
    </row>
    <row r="25" spans="1:7" ht="42.6" customHeight="1"/>
    <row r="26" spans="1:7" ht="42.6" customHeight="1"/>
    <row r="27" spans="1:7" ht="42.6" customHeight="1"/>
    <row r="28" spans="1:7" ht="42.6" customHeight="1"/>
  </sheetData>
  <mergeCells count="5">
    <mergeCell ref="A1:A2"/>
    <mergeCell ref="B1:B2"/>
    <mergeCell ref="C1:C2"/>
    <mergeCell ref="D1:D2"/>
    <mergeCell ref="E1:F1"/>
  </mergeCells>
  <phoneticPr fontId="2" type="noConversion"/>
  <pageMargins left="0.75" right="0.75" top="1" bottom="1" header="0.5" footer="0.5"/>
  <pageSetup paperSize="9"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view="pageBreakPreview" zoomScale="60" zoomScaleNormal="100" workbookViewId="0">
      <selection sqref="A1:XFD1048576"/>
    </sheetView>
  </sheetViews>
  <sheetFormatPr defaultRowHeight="21"/>
  <cols>
    <col min="1" max="1" width="9.44140625" style="67" customWidth="1"/>
    <col min="2" max="2" width="26.33203125" style="105" customWidth="1"/>
    <col min="3" max="5" width="20.109375" style="67" customWidth="1"/>
    <col min="6" max="6" width="19.88671875" style="67" customWidth="1"/>
    <col min="7" max="7" width="17.5546875" style="67" customWidth="1"/>
    <col min="8" max="16384" width="8.88671875" style="67"/>
  </cols>
  <sheetData>
    <row r="1" spans="1:7" ht="24.6" customHeight="1">
      <c r="A1" s="79" t="s">
        <v>31</v>
      </c>
      <c r="B1" s="79"/>
      <c r="C1" s="80" t="s">
        <v>32</v>
      </c>
      <c r="D1" s="80" t="s">
        <v>33</v>
      </c>
      <c r="E1" s="81" t="s">
        <v>34</v>
      </c>
      <c r="F1" s="82" t="s">
        <v>35</v>
      </c>
      <c r="G1" s="50" t="s">
        <v>36</v>
      </c>
    </row>
    <row r="2" spans="1:7" ht="24.6" customHeight="1">
      <c r="A2" s="83" t="s">
        <v>37</v>
      </c>
      <c r="B2" s="84" t="s">
        <v>38</v>
      </c>
      <c r="C2" s="80"/>
      <c r="D2" s="80"/>
      <c r="E2" s="81"/>
      <c r="F2" s="85" t="s">
        <v>23</v>
      </c>
      <c r="G2" s="57"/>
    </row>
    <row r="3" spans="1:7" ht="44.4" customHeight="1">
      <c r="A3" s="86"/>
      <c r="B3" s="87" t="s">
        <v>39</v>
      </c>
      <c r="C3" s="88">
        <f>SUM(C4:C11)</f>
        <v>7046515906</v>
      </c>
      <c r="D3" s="88">
        <f>SUM(D4:D11)</f>
        <v>266898249</v>
      </c>
      <c r="E3" s="88">
        <f>SUM(E4:E11)</f>
        <v>106043916</v>
      </c>
      <c r="F3" s="89">
        <f t="shared" ref="F3:F24" si="0">C3+D3-E3</f>
        <v>7207370239</v>
      </c>
      <c r="G3" s="90"/>
    </row>
    <row r="4" spans="1:7" ht="44.4" customHeight="1">
      <c r="A4" s="91">
        <v>131000</v>
      </c>
      <c r="B4" s="92" t="s">
        <v>40</v>
      </c>
      <c r="C4" s="93">
        <v>894755052</v>
      </c>
      <c r="D4" s="93">
        <v>0</v>
      </c>
      <c r="E4" s="93"/>
      <c r="F4" s="89">
        <f t="shared" si="0"/>
        <v>894755052</v>
      </c>
      <c r="G4" s="94"/>
    </row>
    <row r="5" spans="1:7" ht="44.4" customHeight="1">
      <c r="A5" s="91">
        <v>132000</v>
      </c>
      <c r="B5" s="92" t="s">
        <v>41</v>
      </c>
      <c r="C5" s="93">
        <v>188442690</v>
      </c>
      <c r="D5" s="93"/>
      <c r="E5" s="93"/>
      <c r="F5" s="89">
        <f t="shared" si="0"/>
        <v>188442690</v>
      </c>
      <c r="G5" s="94"/>
    </row>
    <row r="6" spans="1:7" ht="44.4" customHeight="1">
      <c r="A6" s="91">
        <v>133000</v>
      </c>
      <c r="B6" s="95" t="s">
        <v>42</v>
      </c>
      <c r="C6" s="93">
        <f>3549975997-D6</f>
        <v>3500661633</v>
      </c>
      <c r="D6" s="93">
        <v>49314364</v>
      </c>
      <c r="E6" s="93"/>
      <c r="F6" s="93">
        <f t="shared" si="0"/>
        <v>3549975997</v>
      </c>
      <c r="G6" s="96"/>
    </row>
    <row r="7" spans="1:7" ht="44.4" customHeight="1">
      <c r="A7" s="91">
        <v>134000</v>
      </c>
      <c r="B7" s="92" t="s">
        <v>43</v>
      </c>
      <c r="C7" s="93">
        <v>1420400134</v>
      </c>
      <c r="D7" s="93">
        <v>59062370</v>
      </c>
      <c r="E7" s="93">
        <v>39020851</v>
      </c>
      <c r="F7" s="89">
        <f t="shared" si="0"/>
        <v>1440441653</v>
      </c>
      <c r="G7" s="94"/>
    </row>
    <row r="8" spans="1:7" ht="44.4" customHeight="1">
      <c r="A8" s="91">
        <v>135000</v>
      </c>
      <c r="B8" s="92" t="s">
        <v>44</v>
      </c>
      <c r="C8" s="93">
        <v>580433518</v>
      </c>
      <c r="D8" s="93">
        <v>53053736</v>
      </c>
      <c r="E8" s="93">
        <v>1114062</v>
      </c>
      <c r="F8" s="89">
        <f t="shared" si="0"/>
        <v>632373192</v>
      </c>
      <c r="G8" s="97" t="s">
        <v>24</v>
      </c>
    </row>
    <row r="9" spans="1:7" ht="44.4" customHeight="1">
      <c r="A9" s="91">
        <v>136000</v>
      </c>
      <c r="B9" s="92" t="s">
        <v>45</v>
      </c>
      <c r="C9" s="93">
        <f>225384606+2037717</f>
        <v>227422323</v>
      </c>
      <c r="D9" s="93">
        <v>23482916</v>
      </c>
      <c r="E9" s="93">
        <v>25670577</v>
      </c>
      <c r="F9" s="89">
        <f t="shared" si="0"/>
        <v>225234662</v>
      </c>
      <c r="G9" s="98"/>
    </row>
    <row r="10" spans="1:7" ht="44.4" customHeight="1">
      <c r="A10" s="99">
        <v>137000</v>
      </c>
      <c r="B10" s="95" t="s">
        <v>46</v>
      </c>
      <c r="C10" s="93">
        <f>225299041+3540000</f>
        <v>228839041</v>
      </c>
      <c r="D10" s="93">
        <f>81334863+650000</f>
        <v>81984863</v>
      </c>
      <c r="E10" s="93">
        <v>40238426</v>
      </c>
      <c r="F10" s="89">
        <f t="shared" si="0"/>
        <v>270585478</v>
      </c>
      <c r="G10" s="100"/>
    </row>
    <row r="11" spans="1:7" ht="44.4" customHeight="1">
      <c r="A11" s="91">
        <v>139000</v>
      </c>
      <c r="B11" s="101" t="s">
        <v>47</v>
      </c>
      <c r="C11" s="93">
        <f>5561515</f>
        <v>5561515</v>
      </c>
      <c r="D11" s="93"/>
      <c r="E11" s="93"/>
      <c r="F11" s="89">
        <f t="shared" si="0"/>
        <v>5561515</v>
      </c>
      <c r="G11" s="102"/>
    </row>
    <row r="12" spans="1:7" ht="44.4" customHeight="1">
      <c r="A12" s="91"/>
      <c r="B12" s="101" t="s">
        <v>48</v>
      </c>
      <c r="C12" s="93">
        <f>SUM(C13:C17)</f>
        <v>1867484297</v>
      </c>
      <c r="D12" s="93">
        <f>SUM(D13:D17)</f>
        <v>167588364</v>
      </c>
      <c r="E12" s="93">
        <f>SUM(E13:E17)</f>
        <v>53550012</v>
      </c>
      <c r="F12" s="89">
        <f t="shared" si="0"/>
        <v>1981522649</v>
      </c>
      <c r="G12" s="102"/>
    </row>
    <row r="13" spans="1:7" ht="44.4" customHeight="1">
      <c r="A13" s="91">
        <v>132900</v>
      </c>
      <c r="B13" s="92" t="s">
        <v>49</v>
      </c>
      <c r="C13" s="93">
        <f>69662881+557830*2</f>
        <v>70778541</v>
      </c>
      <c r="D13" s="93">
        <f>557830*12</f>
        <v>6693960</v>
      </c>
      <c r="E13" s="93"/>
      <c r="F13" s="89">
        <f t="shared" si="0"/>
        <v>77472501</v>
      </c>
      <c r="G13" s="94"/>
    </row>
    <row r="14" spans="1:7" ht="44.4" customHeight="1">
      <c r="A14" s="91">
        <v>133900</v>
      </c>
      <c r="B14" s="92" t="s">
        <v>50</v>
      </c>
      <c r="C14" s="93">
        <f>736738634+6308768*2</f>
        <v>749356170</v>
      </c>
      <c r="D14" s="93">
        <f>6308768*12</f>
        <v>75705216</v>
      </c>
      <c r="E14" s="93"/>
      <c r="F14" s="89">
        <f t="shared" si="0"/>
        <v>825061386</v>
      </c>
      <c r="G14" s="94"/>
    </row>
    <row r="15" spans="1:7" ht="44.4" customHeight="1">
      <c r="A15" s="91">
        <v>134900</v>
      </c>
      <c r="B15" s="92" t="s">
        <v>51</v>
      </c>
      <c r="C15" s="93">
        <f>650419068+5098926*2</f>
        <v>660616920</v>
      </c>
      <c r="D15" s="93">
        <f>5098926*12</f>
        <v>61187112</v>
      </c>
      <c r="E15" s="93">
        <v>32003749</v>
      </c>
      <c r="F15" s="89">
        <f t="shared" si="0"/>
        <v>689800283</v>
      </c>
      <c r="G15" s="94"/>
    </row>
    <row r="16" spans="1:7" ht="44.4" customHeight="1">
      <c r="A16" s="91">
        <v>136900</v>
      </c>
      <c r="B16" s="92" t="s">
        <v>25</v>
      </c>
      <c r="C16" s="93">
        <f>380115911+1922930*2</f>
        <v>383961771</v>
      </c>
      <c r="D16" s="93">
        <f>1922930*12</f>
        <v>23075160</v>
      </c>
      <c r="E16" s="93">
        <v>21546263</v>
      </c>
      <c r="F16" s="89">
        <f t="shared" si="0"/>
        <v>385490668</v>
      </c>
      <c r="G16" s="90"/>
    </row>
    <row r="17" spans="1:7" ht="44.4" customHeight="1">
      <c r="A17" s="91">
        <v>139900</v>
      </c>
      <c r="B17" s="101" t="s">
        <v>52</v>
      </c>
      <c r="C17" s="93">
        <f>2616409+77243*2</f>
        <v>2770895</v>
      </c>
      <c r="D17" s="93">
        <f>77243*12</f>
        <v>926916</v>
      </c>
      <c r="E17" s="93"/>
      <c r="F17" s="89">
        <f t="shared" si="0"/>
        <v>3697811</v>
      </c>
      <c r="G17" s="102"/>
    </row>
    <row r="18" spans="1:7" ht="44.4" customHeight="1">
      <c r="A18" s="91"/>
      <c r="B18" s="101" t="s">
        <v>53</v>
      </c>
      <c r="C18" s="93">
        <f>C3-C12</f>
        <v>5179031609</v>
      </c>
      <c r="D18" s="93">
        <f>D3-D12</f>
        <v>99309885</v>
      </c>
      <c r="E18" s="93">
        <f>E3-E12</f>
        <v>52493904</v>
      </c>
      <c r="F18" s="89">
        <f t="shared" si="0"/>
        <v>5225847590</v>
      </c>
      <c r="G18" s="102"/>
    </row>
    <row r="19" spans="1:7" ht="44.4" customHeight="1">
      <c r="A19" s="103"/>
      <c r="B19" s="104" t="s">
        <v>54</v>
      </c>
      <c r="C19" s="93">
        <f>SUM(C20)</f>
        <v>28923985</v>
      </c>
      <c r="D19" s="93">
        <f>SUM(D20)</f>
        <v>11439235</v>
      </c>
      <c r="E19" s="93">
        <f>SUM(E20)</f>
        <v>121300</v>
      </c>
      <c r="F19" s="89">
        <f t="shared" si="0"/>
        <v>40241920</v>
      </c>
      <c r="G19" s="102"/>
    </row>
    <row r="20" spans="1:7" ht="44.4" customHeight="1">
      <c r="A20" s="91">
        <v>142000</v>
      </c>
      <c r="B20" s="101" t="s">
        <v>55</v>
      </c>
      <c r="C20" s="93">
        <f>25938319+2985666</f>
        <v>28923985</v>
      </c>
      <c r="D20" s="93">
        <v>11439235</v>
      </c>
      <c r="E20" s="93">
        <v>121300</v>
      </c>
      <c r="F20" s="89">
        <f t="shared" si="0"/>
        <v>40241920</v>
      </c>
      <c r="G20" s="102"/>
    </row>
    <row r="21" spans="1:7" ht="44.4" customHeight="1">
      <c r="A21" s="91"/>
      <c r="B21" s="101" t="s">
        <v>56</v>
      </c>
      <c r="C21" s="93">
        <f>SUM(C22)</f>
        <v>11942546</v>
      </c>
      <c r="D21" s="93">
        <f>SUM(D22)</f>
        <v>5923692</v>
      </c>
      <c r="E21" s="93">
        <f>SUM(E22)</f>
        <v>72305</v>
      </c>
      <c r="F21" s="89">
        <f t="shared" si="0"/>
        <v>17793933</v>
      </c>
      <c r="G21" s="102"/>
    </row>
    <row r="22" spans="1:7" ht="44.4" customHeight="1">
      <c r="A22" s="91">
        <v>142900</v>
      </c>
      <c r="B22" s="101" t="s">
        <v>57</v>
      </c>
      <c r="C22" s="93">
        <f>10955264+493641*2</f>
        <v>11942546</v>
      </c>
      <c r="D22" s="93">
        <f>493641*12</f>
        <v>5923692</v>
      </c>
      <c r="E22" s="93">
        <v>72305</v>
      </c>
      <c r="F22" s="89">
        <f t="shared" si="0"/>
        <v>17793933</v>
      </c>
      <c r="G22" s="102"/>
    </row>
    <row r="23" spans="1:7" ht="44.4" customHeight="1">
      <c r="A23" s="91"/>
      <c r="B23" s="101" t="s">
        <v>58</v>
      </c>
      <c r="C23" s="93">
        <f>C19-C21</f>
        <v>16981439</v>
      </c>
      <c r="D23" s="93">
        <f>D19-D21</f>
        <v>5515543</v>
      </c>
      <c r="E23" s="93">
        <f>E19-E21</f>
        <v>48995</v>
      </c>
      <c r="F23" s="89">
        <f t="shared" si="0"/>
        <v>22447987</v>
      </c>
      <c r="G23" s="102"/>
    </row>
    <row r="24" spans="1:7" ht="44.4" customHeight="1">
      <c r="A24" s="91"/>
      <c r="B24" s="104" t="s">
        <v>59</v>
      </c>
      <c r="C24" s="93">
        <f>C3+C19</f>
        <v>7075439891</v>
      </c>
      <c r="D24" s="93">
        <f>D3+D19</f>
        <v>278337484</v>
      </c>
      <c r="E24" s="93">
        <f>E3+E19</f>
        <v>106165216</v>
      </c>
      <c r="F24" s="89">
        <f t="shared" si="0"/>
        <v>7247612159</v>
      </c>
      <c r="G24" s="102"/>
    </row>
    <row r="25" spans="1:7" ht="47.4" customHeight="1"/>
    <row r="26" spans="1:7" ht="47.4" customHeight="1"/>
    <row r="27" spans="1:7" ht="47.4" customHeight="1"/>
    <row r="28" spans="1:7" ht="47.4" customHeight="1"/>
    <row r="29" spans="1:7" ht="47.4" customHeight="1"/>
    <row r="30" spans="1:7" ht="47.4" customHeight="1"/>
    <row r="31" spans="1:7" ht="47.4" customHeight="1"/>
    <row r="32" spans="1:7" ht="47.4" customHeight="1"/>
    <row r="33" spans="2:5" ht="47.4" customHeight="1">
      <c r="B33" s="67"/>
    </row>
    <row r="34" spans="2:5" ht="47.4" customHeight="1">
      <c r="B34" s="67"/>
    </row>
    <row r="41" spans="2:5" ht="47.4" customHeight="1">
      <c r="B41" s="67"/>
      <c r="E41" s="106"/>
    </row>
    <row r="51" s="67" customFormat="1"/>
  </sheetData>
  <mergeCells count="5">
    <mergeCell ref="A1:B1"/>
    <mergeCell ref="C1:C2"/>
    <mergeCell ref="D1:D2"/>
    <mergeCell ref="E1:E2"/>
    <mergeCell ref="G1:G2"/>
  </mergeCells>
  <phoneticPr fontId="2" type="noConversion"/>
  <pageMargins left="0.75" right="0.75" top="1" bottom="1" header="0.5" footer="0.5"/>
  <pageSetup paperSize="9"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view="pageBreakPreview" zoomScale="60" zoomScaleNormal="100" workbookViewId="0">
      <selection activeCell="I16" sqref="I16"/>
    </sheetView>
  </sheetViews>
  <sheetFormatPr defaultColWidth="16" defaultRowHeight="16.2"/>
  <cols>
    <col min="1" max="4" width="16" style="21"/>
    <col min="5" max="8" width="16" style="22"/>
    <col min="9" max="9" width="26.21875" style="21" customWidth="1"/>
    <col min="10" max="16384" width="16" style="28"/>
  </cols>
  <sheetData>
    <row r="1" spans="1:10" s="18" customFormat="1" ht="33.75" customHeight="1">
      <c r="A1" s="3" t="s">
        <v>60</v>
      </c>
      <c r="B1" s="4" t="s">
        <v>61</v>
      </c>
      <c r="C1" s="4"/>
      <c r="D1" s="4"/>
      <c r="E1" s="5" t="s">
        <v>62</v>
      </c>
      <c r="F1" s="9" t="s">
        <v>63</v>
      </c>
      <c r="G1" s="5" t="s">
        <v>64</v>
      </c>
      <c r="H1" s="5" t="s">
        <v>65</v>
      </c>
      <c r="I1" s="6" t="s">
        <v>66</v>
      </c>
    </row>
    <row r="2" spans="1:10">
      <c r="A2" s="47" t="s">
        <v>67</v>
      </c>
      <c r="B2" s="1" t="s">
        <v>68</v>
      </c>
      <c r="C2" s="1"/>
      <c r="D2" s="24"/>
      <c r="E2" s="24">
        <f>E20</f>
        <v>446984402</v>
      </c>
      <c r="G2" s="24">
        <v>92298750</v>
      </c>
      <c r="H2" s="24">
        <f>E2+F4-G2</f>
        <v>354685652</v>
      </c>
      <c r="I2" s="10"/>
    </row>
    <row r="3" spans="1:10">
      <c r="A3" s="48"/>
      <c r="B3" s="26"/>
      <c r="C3" s="26"/>
      <c r="D3" s="24"/>
      <c r="E3" s="24"/>
      <c r="F3" s="24"/>
      <c r="G3" s="24"/>
      <c r="H3" s="24"/>
      <c r="I3" s="10"/>
    </row>
    <row r="4" spans="1:10">
      <c r="A4" s="48"/>
      <c r="B4" s="26"/>
      <c r="C4" s="26"/>
      <c r="D4" s="24"/>
      <c r="E4" s="24"/>
      <c r="F4" s="24"/>
      <c r="G4" s="24"/>
      <c r="H4" s="24"/>
      <c r="I4" s="29"/>
    </row>
    <row r="5" spans="1:10" s="27" customFormat="1">
      <c r="A5" s="20"/>
      <c r="B5" s="23"/>
      <c r="C5" s="22"/>
      <c r="D5" s="24"/>
      <c r="E5" s="22"/>
      <c r="F5" s="24"/>
      <c r="G5" s="24"/>
      <c r="H5" s="24"/>
      <c r="I5" s="29"/>
      <c r="J5" s="28"/>
    </row>
    <row r="6" spans="1:10" s="27" customFormat="1">
      <c r="A6" s="11"/>
      <c r="B6" s="17" t="s">
        <v>69</v>
      </c>
      <c r="C6" s="17" t="s">
        <v>70</v>
      </c>
      <c r="D6" s="30" t="s">
        <v>71</v>
      </c>
      <c r="E6" s="30" t="s">
        <v>72</v>
      </c>
      <c r="F6" s="25"/>
      <c r="G6" s="31" t="s">
        <v>73</v>
      </c>
      <c r="H6" s="31" t="s">
        <v>65</v>
      </c>
      <c r="I6" s="32" t="s">
        <v>74</v>
      </c>
      <c r="J6" s="28"/>
    </row>
    <row r="7" spans="1:10">
      <c r="A7" s="33" t="s">
        <v>75</v>
      </c>
      <c r="B7" s="12">
        <v>51000000</v>
      </c>
      <c r="C7" s="45" t="s">
        <v>76</v>
      </c>
      <c r="D7" s="34">
        <f>43031250+(G7)</f>
        <v>46218750</v>
      </c>
      <c r="E7" s="34">
        <f>B7-D7</f>
        <v>4781250</v>
      </c>
      <c r="F7" s="34"/>
      <c r="G7" s="34">
        <v>3187500</v>
      </c>
      <c r="H7" s="34">
        <f t="shared" ref="H7:H16" si="0">E7-G7</f>
        <v>1593750</v>
      </c>
      <c r="I7" s="35" t="s">
        <v>77</v>
      </c>
    </row>
    <row r="8" spans="1:10">
      <c r="A8" s="36"/>
      <c r="B8" s="13">
        <v>89000000</v>
      </c>
      <c r="C8" s="46"/>
      <c r="D8" s="24">
        <f>75093750+G8</f>
        <v>80656250</v>
      </c>
      <c r="E8" s="37">
        <f>B8-D8</f>
        <v>8343750</v>
      </c>
      <c r="G8" s="24">
        <v>5562500</v>
      </c>
      <c r="H8" s="22">
        <f t="shared" si="0"/>
        <v>2781250</v>
      </c>
      <c r="I8" s="29" t="s">
        <v>78</v>
      </c>
    </row>
    <row r="9" spans="1:10">
      <c r="A9" s="14" t="s">
        <v>79</v>
      </c>
      <c r="B9" s="13">
        <v>143280000</v>
      </c>
      <c r="C9" s="24" t="s">
        <v>80</v>
      </c>
      <c r="D9" s="24">
        <f>111937500+G9</f>
        <v>120892500</v>
      </c>
      <c r="E9" s="24">
        <f t="shared" ref="E9:E16" si="1">B9-D9</f>
        <v>22387500</v>
      </c>
      <c r="G9" s="24">
        <v>8955000</v>
      </c>
      <c r="H9" s="22">
        <f t="shared" si="0"/>
        <v>13432500</v>
      </c>
      <c r="I9" s="29" t="s">
        <v>81</v>
      </c>
    </row>
    <row r="10" spans="1:10">
      <c r="A10" s="33" t="s">
        <v>82</v>
      </c>
      <c r="B10" s="12">
        <v>49000000</v>
      </c>
      <c r="C10" s="34" t="s">
        <v>83</v>
      </c>
      <c r="D10" s="34">
        <f>38281250+G10</f>
        <v>41343750</v>
      </c>
      <c r="E10" s="34">
        <f t="shared" si="1"/>
        <v>7656250</v>
      </c>
      <c r="F10" s="38"/>
      <c r="G10" s="34">
        <v>3062500</v>
      </c>
      <c r="H10" s="38">
        <f t="shared" si="0"/>
        <v>4593750</v>
      </c>
      <c r="I10" s="35" t="s">
        <v>84</v>
      </c>
    </row>
    <row r="11" spans="1:10">
      <c r="A11" s="33" t="s">
        <v>85</v>
      </c>
      <c r="B11" s="12">
        <v>75000000</v>
      </c>
      <c r="C11" s="34" t="s">
        <v>86</v>
      </c>
      <c r="D11" s="34">
        <f>53906250+G11</f>
        <v>58593750</v>
      </c>
      <c r="E11" s="34">
        <f t="shared" si="1"/>
        <v>16406250</v>
      </c>
      <c r="F11" s="34"/>
      <c r="G11" s="34">
        <v>4687500</v>
      </c>
      <c r="H11" s="34">
        <f t="shared" si="0"/>
        <v>11718750</v>
      </c>
      <c r="I11" s="35" t="s">
        <v>81</v>
      </c>
    </row>
    <row r="12" spans="1:10">
      <c r="A12" s="36" t="s">
        <v>87</v>
      </c>
      <c r="B12" s="13">
        <v>215500000</v>
      </c>
      <c r="C12" s="24" t="s">
        <v>88</v>
      </c>
      <c r="D12" s="24">
        <f>134687500+G12</f>
        <v>148156250</v>
      </c>
      <c r="E12" s="24">
        <f t="shared" si="1"/>
        <v>67343750</v>
      </c>
      <c r="F12" s="24"/>
      <c r="G12" s="24">
        <v>13468750</v>
      </c>
      <c r="H12" s="24">
        <f t="shared" si="0"/>
        <v>53875000</v>
      </c>
      <c r="I12" s="29" t="s">
        <v>89</v>
      </c>
    </row>
    <row r="13" spans="1:10">
      <c r="A13" s="33" t="s">
        <v>90</v>
      </c>
      <c r="B13" s="12">
        <v>90000000</v>
      </c>
      <c r="C13" s="34" t="s">
        <v>91</v>
      </c>
      <c r="D13" s="34">
        <f>59062500+G13</f>
        <v>64687500</v>
      </c>
      <c r="E13" s="34">
        <f t="shared" si="1"/>
        <v>25312500</v>
      </c>
      <c r="F13" s="34"/>
      <c r="G13" s="34">
        <v>5625000</v>
      </c>
      <c r="H13" s="34">
        <f t="shared" si="0"/>
        <v>19687500</v>
      </c>
      <c r="I13" s="35" t="s">
        <v>92</v>
      </c>
    </row>
    <row r="14" spans="1:10">
      <c r="A14" s="36" t="s">
        <v>93</v>
      </c>
      <c r="B14" s="13">
        <v>320000000</v>
      </c>
      <c r="C14" s="24" t="s">
        <v>94</v>
      </c>
      <c r="D14" s="24">
        <f>180000000+G14</f>
        <v>200000000</v>
      </c>
      <c r="E14" s="24">
        <f t="shared" si="1"/>
        <v>120000000</v>
      </c>
      <c r="G14" s="24">
        <v>20000000</v>
      </c>
      <c r="H14" s="22">
        <f t="shared" si="0"/>
        <v>100000000</v>
      </c>
      <c r="I14" s="29" t="s">
        <v>95</v>
      </c>
    </row>
    <row r="15" spans="1:10">
      <c r="A15" s="36" t="s">
        <v>96</v>
      </c>
      <c r="B15" s="13">
        <v>202045827</v>
      </c>
      <c r="C15" s="24" t="s">
        <v>97</v>
      </c>
      <c r="D15" s="24">
        <f>89250000+G15</f>
        <v>102000000</v>
      </c>
      <c r="E15" s="24">
        <f t="shared" si="1"/>
        <v>100045827</v>
      </c>
      <c r="G15" s="24">
        <v>12750000</v>
      </c>
      <c r="H15" s="22">
        <f t="shared" si="0"/>
        <v>87295827</v>
      </c>
      <c r="I15" s="29" t="s">
        <v>98</v>
      </c>
    </row>
    <row r="16" spans="1:10">
      <c r="A16" s="36" t="s">
        <v>99</v>
      </c>
      <c r="B16" s="15">
        <v>179707325</v>
      </c>
      <c r="C16" s="24" t="s">
        <v>100</v>
      </c>
      <c r="D16" s="24">
        <f>90000000+G16</f>
        <v>105000000</v>
      </c>
      <c r="E16" s="39">
        <f t="shared" si="1"/>
        <v>74707325</v>
      </c>
      <c r="G16" s="39">
        <v>15000000</v>
      </c>
      <c r="H16" s="39">
        <f t="shared" si="0"/>
        <v>59707325</v>
      </c>
      <c r="I16" s="29" t="s">
        <v>101</v>
      </c>
    </row>
    <row r="17" spans="1:9">
      <c r="A17" s="36" t="s">
        <v>102</v>
      </c>
      <c r="B17" s="13">
        <f>SUM(B7:B16)</f>
        <v>1414533152</v>
      </c>
      <c r="C17" s="13"/>
      <c r="D17" s="13"/>
      <c r="E17" s="24">
        <f>SUM(E7:E16)</f>
        <v>446984402</v>
      </c>
      <c r="F17" s="24"/>
      <c r="G17" s="24">
        <f>SUM(G7:G16)</f>
        <v>92298750</v>
      </c>
      <c r="H17" s="22">
        <f>SUM(H7:H16)</f>
        <v>354685652</v>
      </c>
      <c r="I17" s="29"/>
    </row>
    <row r="18" spans="1:9">
      <c r="A18" s="40"/>
      <c r="B18" s="26"/>
      <c r="C18" s="26"/>
      <c r="D18" s="26"/>
      <c r="E18" s="24"/>
      <c r="F18" s="24"/>
      <c r="G18" s="24"/>
      <c r="I18" s="29"/>
    </row>
    <row r="19" spans="1:9">
      <c r="A19" s="41"/>
      <c r="B19" s="42"/>
      <c r="C19" s="42"/>
      <c r="D19" s="42"/>
      <c r="E19" s="39"/>
      <c r="F19" s="39"/>
      <c r="G19" s="39"/>
      <c r="H19" s="39"/>
      <c r="I19" s="43"/>
    </row>
    <row r="20" spans="1:9" s="19" customFormat="1" ht="16.8" thickBot="1">
      <c r="A20" s="2" t="s">
        <v>103</v>
      </c>
      <c r="B20" s="7"/>
      <c r="C20" s="7"/>
      <c r="D20" s="7"/>
      <c r="E20" s="16">
        <f>SUM(E7:E16)</f>
        <v>446984402</v>
      </c>
      <c r="F20" s="16"/>
      <c r="G20" s="16">
        <f>SUM(G7:G16)</f>
        <v>92298750</v>
      </c>
      <c r="H20" s="16">
        <f>SUM(H7:H16)</f>
        <v>354685652</v>
      </c>
      <c r="I20" s="8"/>
    </row>
    <row r="22" spans="1:9">
      <c r="A22" s="44" t="s">
        <v>104</v>
      </c>
      <c r="B22" s="44"/>
      <c r="C22" s="44"/>
      <c r="D22" s="44"/>
      <c r="E22" s="44"/>
      <c r="F22" s="44"/>
      <c r="G22" s="44"/>
      <c r="H22" s="44"/>
      <c r="I22" s="44"/>
    </row>
    <row r="24" spans="1:9" ht="32.25" customHeight="1"/>
  </sheetData>
  <mergeCells count="3">
    <mergeCell ref="A2:A4"/>
    <mergeCell ref="C7:C8"/>
    <mergeCell ref="A22:I22"/>
  </mergeCells>
  <phoneticPr fontId="2" type="noConversion"/>
  <pageMargins left="0.75" right="0.75" top="1" bottom="1" header="0.5" footer="0.5"/>
  <pageSetup paperSize="9"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view="pageBreakPreview" zoomScale="60" zoomScaleNormal="100" workbookViewId="0">
      <selection activeCell="G5" sqref="G5"/>
    </sheetView>
  </sheetViews>
  <sheetFormatPr defaultColWidth="9" defaultRowHeight="21"/>
  <cols>
    <col min="1" max="1" width="18.109375" style="76" customWidth="1"/>
    <col min="2" max="2" width="9.33203125" style="76" customWidth="1"/>
    <col min="3" max="3" width="29.6640625" style="138" customWidth="1"/>
    <col min="4" max="4" width="18" style="76" customWidth="1"/>
    <col min="5" max="5" width="18.109375" style="76" customWidth="1"/>
    <col min="6" max="6" width="16.109375" style="76" customWidth="1"/>
    <col min="7" max="7" width="10.6640625" style="76" customWidth="1"/>
    <col min="8" max="8" width="12.21875" style="138" customWidth="1"/>
    <col min="9" max="16384" width="9" style="109"/>
  </cols>
  <sheetData>
    <row r="1" spans="1:8" ht="18.600000000000001" customHeight="1">
      <c r="A1" s="107" t="s">
        <v>105</v>
      </c>
      <c r="B1" s="79" t="s">
        <v>106</v>
      </c>
      <c r="C1" s="79"/>
      <c r="D1" s="107" t="s">
        <v>107</v>
      </c>
      <c r="E1" s="49" t="s">
        <v>108</v>
      </c>
      <c r="F1" s="108" t="s">
        <v>109</v>
      </c>
      <c r="G1" s="108"/>
      <c r="H1" s="80" t="s">
        <v>110</v>
      </c>
    </row>
    <row r="2" spans="1:8" ht="17.399999999999999" customHeight="1">
      <c r="A2" s="107"/>
      <c r="B2" s="83" t="s">
        <v>111</v>
      </c>
      <c r="C2" s="84" t="s">
        <v>112</v>
      </c>
      <c r="D2" s="107"/>
      <c r="E2" s="56"/>
      <c r="F2" s="110" t="s">
        <v>113</v>
      </c>
      <c r="G2" s="110" t="s">
        <v>114</v>
      </c>
      <c r="H2" s="80"/>
    </row>
    <row r="3" spans="1:8" ht="42" customHeight="1">
      <c r="A3" s="111">
        <f>A4+A13+A18</f>
        <v>1781307728</v>
      </c>
      <c r="B3" s="112">
        <v>411000</v>
      </c>
      <c r="C3" s="92" t="s">
        <v>115</v>
      </c>
      <c r="D3" s="113">
        <f>D4+D13+D18</f>
        <v>1801329426</v>
      </c>
      <c r="E3" s="113">
        <f>E4+E13+E18</f>
        <v>1811870036</v>
      </c>
      <c r="F3" s="114">
        <f t="shared" ref="F3:F8" si="0">D3-E3</f>
        <v>-10540610</v>
      </c>
      <c r="G3" s="115">
        <f t="shared" ref="G3:G37" si="1">F3/E3</f>
        <v>-5.8175309434831896E-3</v>
      </c>
      <c r="H3" s="92" t="s">
        <v>116</v>
      </c>
    </row>
    <row r="4" spans="1:8" ht="42" customHeight="1">
      <c r="A4" s="94">
        <f>SUM(A5:A12)</f>
        <v>1390088893</v>
      </c>
      <c r="B4" s="91">
        <v>411100</v>
      </c>
      <c r="C4" s="92" t="s">
        <v>26</v>
      </c>
      <c r="D4" s="116">
        <f>SUM(D5:D12)</f>
        <v>1405257768</v>
      </c>
      <c r="E4" s="116">
        <f>SUM(E5:E12)</f>
        <v>1412148794</v>
      </c>
      <c r="F4" s="114">
        <f t="shared" si="0"/>
        <v>-6891026</v>
      </c>
      <c r="G4" s="115">
        <f t="shared" si="1"/>
        <v>-4.8798158021866357E-3</v>
      </c>
      <c r="H4" s="117" t="s">
        <v>117</v>
      </c>
    </row>
    <row r="5" spans="1:8" ht="42" customHeight="1">
      <c r="A5" s="94">
        <v>1209120917</v>
      </c>
      <c r="B5" s="118">
        <v>411101</v>
      </c>
      <c r="C5" s="92" t="s">
        <v>118</v>
      </c>
      <c r="D5" s="116">
        <v>1225857620</v>
      </c>
      <c r="E5" s="116">
        <v>1234139832</v>
      </c>
      <c r="F5" s="119">
        <f t="shared" si="0"/>
        <v>-8282212</v>
      </c>
      <c r="G5" s="115">
        <f t="shared" si="1"/>
        <v>-6.710918637621608E-3</v>
      </c>
      <c r="H5" s="117" t="s">
        <v>117</v>
      </c>
    </row>
    <row r="6" spans="1:8" ht="42" customHeight="1">
      <c r="A6" s="94">
        <v>13875300</v>
      </c>
      <c r="B6" s="118">
        <v>411102</v>
      </c>
      <c r="C6" s="120" t="s">
        <v>119</v>
      </c>
      <c r="D6" s="121">
        <v>3353664</v>
      </c>
      <c r="E6" s="121">
        <v>7944337</v>
      </c>
      <c r="F6" s="122">
        <f t="shared" si="0"/>
        <v>-4590673</v>
      </c>
      <c r="G6" s="115">
        <f t="shared" si="1"/>
        <v>-0.5778547662315936</v>
      </c>
      <c r="H6" s="117" t="s">
        <v>120</v>
      </c>
    </row>
    <row r="7" spans="1:8" ht="42" customHeight="1">
      <c r="A7" s="94">
        <v>61127157</v>
      </c>
      <c r="B7" s="118">
        <v>411103</v>
      </c>
      <c r="C7" s="92" t="s">
        <v>121</v>
      </c>
      <c r="D7" s="116">
        <v>57941754</v>
      </c>
      <c r="E7" s="116">
        <v>58499165</v>
      </c>
      <c r="F7" s="119">
        <f t="shared" si="0"/>
        <v>-557411</v>
      </c>
      <c r="G7" s="115">
        <f t="shared" si="1"/>
        <v>-9.5285291678949609E-3</v>
      </c>
      <c r="H7" s="117" t="s">
        <v>120</v>
      </c>
    </row>
    <row r="8" spans="1:8" ht="42" customHeight="1">
      <c r="A8" s="123">
        <v>72198447</v>
      </c>
      <c r="B8" s="118">
        <v>411104</v>
      </c>
      <c r="C8" s="124" t="s">
        <v>122</v>
      </c>
      <c r="D8" s="125">
        <v>88508250</v>
      </c>
      <c r="E8" s="125">
        <v>82035580</v>
      </c>
      <c r="F8" s="119">
        <f t="shared" si="0"/>
        <v>6472670</v>
      </c>
      <c r="G8" s="126">
        <f t="shared" si="1"/>
        <v>7.8900764765727258E-2</v>
      </c>
      <c r="H8" s="117" t="s">
        <v>120</v>
      </c>
    </row>
    <row r="9" spans="1:8" ht="42" customHeight="1">
      <c r="A9" s="94">
        <v>4951936</v>
      </c>
      <c r="B9" s="127">
        <v>411105</v>
      </c>
      <c r="C9" s="92" t="s">
        <v>123</v>
      </c>
      <c r="D9" s="116">
        <v>2079360</v>
      </c>
      <c r="E9" s="116">
        <v>2936576</v>
      </c>
      <c r="F9" s="128">
        <f>D9-E9</f>
        <v>-857216</v>
      </c>
      <c r="G9" s="115">
        <f t="shared" si="1"/>
        <v>-0.29191003399877952</v>
      </c>
      <c r="H9" s="117" t="s">
        <v>120</v>
      </c>
    </row>
    <row r="10" spans="1:8" ht="42" customHeight="1">
      <c r="A10" s="94">
        <v>1678080</v>
      </c>
      <c r="B10" s="127">
        <v>411106</v>
      </c>
      <c r="C10" s="92" t="s">
        <v>124</v>
      </c>
      <c r="D10" s="116">
        <v>2188800</v>
      </c>
      <c r="E10" s="116">
        <v>2340800</v>
      </c>
      <c r="F10" s="128">
        <f>D10-E10</f>
        <v>-152000</v>
      </c>
      <c r="G10" s="115">
        <f t="shared" si="1"/>
        <v>-6.4935064935064929E-2</v>
      </c>
      <c r="H10" s="117" t="s">
        <v>120</v>
      </c>
    </row>
    <row r="11" spans="1:8" ht="42" customHeight="1">
      <c r="A11" s="94">
        <v>26803264</v>
      </c>
      <c r="B11" s="127">
        <v>411107</v>
      </c>
      <c r="C11" s="92" t="s">
        <v>125</v>
      </c>
      <c r="D11" s="116">
        <v>25000000</v>
      </c>
      <c r="E11" s="116">
        <v>24000792</v>
      </c>
      <c r="F11" s="114">
        <f>D11-E11</f>
        <v>999208</v>
      </c>
      <c r="G11" s="115">
        <f t="shared" si="1"/>
        <v>4.1632292801004236E-2</v>
      </c>
      <c r="H11" s="117" t="s">
        <v>120</v>
      </c>
    </row>
    <row r="12" spans="1:8" ht="42" customHeight="1">
      <c r="A12" s="94">
        <v>333792</v>
      </c>
      <c r="B12" s="127">
        <v>411108</v>
      </c>
      <c r="C12" s="92" t="s">
        <v>126</v>
      </c>
      <c r="D12" s="116">
        <v>328320</v>
      </c>
      <c r="E12" s="116">
        <v>251712</v>
      </c>
      <c r="F12" s="114">
        <f t="shared" ref="F12:F37" si="2">D12-E12</f>
        <v>76608</v>
      </c>
      <c r="G12" s="115">
        <f t="shared" si="1"/>
        <v>0.30434782608695654</v>
      </c>
      <c r="H12" s="117" t="s">
        <v>120</v>
      </c>
    </row>
    <row r="13" spans="1:8" ht="42" customHeight="1">
      <c r="A13" s="94">
        <f>SUM(A14:A17)</f>
        <v>339565914</v>
      </c>
      <c r="B13" s="91">
        <v>411200</v>
      </c>
      <c r="C13" s="92" t="s">
        <v>127</v>
      </c>
      <c r="D13" s="116">
        <f>SUM(D14:D17)</f>
        <v>346191658</v>
      </c>
      <c r="E13" s="116">
        <f>SUM(E14:E17)</f>
        <v>347948796</v>
      </c>
      <c r="F13" s="114">
        <f t="shared" si="2"/>
        <v>-1757138</v>
      </c>
      <c r="G13" s="115">
        <f t="shared" si="1"/>
        <v>-5.049990171542367E-3</v>
      </c>
      <c r="H13" s="117" t="s">
        <v>120</v>
      </c>
    </row>
    <row r="14" spans="1:8" ht="42" customHeight="1">
      <c r="A14" s="94">
        <v>315159401</v>
      </c>
      <c r="B14" s="118">
        <v>411201</v>
      </c>
      <c r="C14" s="92" t="s">
        <v>128</v>
      </c>
      <c r="D14" s="113">
        <v>320857040</v>
      </c>
      <c r="E14" s="113">
        <v>323398015</v>
      </c>
      <c r="F14" s="114">
        <f t="shared" si="2"/>
        <v>-2540975</v>
      </c>
      <c r="G14" s="115">
        <f t="shared" si="1"/>
        <v>-7.8571137797490802E-3</v>
      </c>
      <c r="H14" s="117" t="s">
        <v>117</v>
      </c>
    </row>
    <row r="15" spans="1:8" ht="42" customHeight="1">
      <c r="A15" s="94">
        <v>15885742</v>
      </c>
      <c r="B15" s="118">
        <v>411203</v>
      </c>
      <c r="C15" s="92" t="s">
        <v>129</v>
      </c>
      <c r="D15" s="113">
        <v>15166458</v>
      </c>
      <c r="E15" s="113">
        <v>15221739</v>
      </c>
      <c r="F15" s="114">
        <f t="shared" si="2"/>
        <v>-55281</v>
      </c>
      <c r="G15" s="115">
        <f t="shared" si="1"/>
        <v>-3.6317138271783531E-3</v>
      </c>
      <c r="H15" s="117" t="s">
        <v>117</v>
      </c>
    </row>
    <row r="16" spans="1:8" ht="42" customHeight="1">
      <c r="A16" s="94">
        <v>7916111</v>
      </c>
      <c r="B16" s="118">
        <v>411204</v>
      </c>
      <c r="C16" s="124" t="s">
        <v>130</v>
      </c>
      <c r="D16" s="113">
        <v>9933700</v>
      </c>
      <c r="E16" s="113">
        <v>8907425</v>
      </c>
      <c r="F16" s="114">
        <f t="shared" si="2"/>
        <v>1026275</v>
      </c>
      <c r="G16" s="115">
        <f t="shared" si="1"/>
        <v>0.11521567680895432</v>
      </c>
      <c r="H16" s="117" t="s">
        <v>131</v>
      </c>
    </row>
    <row r="17" spans="1:8" ht="42" customHeight="1">
      <c r="A17" s="94">
        <v>604660</v>
      </c>
      <c r="B17" s="127">
        <v>411205</v>
      </c>
      <c r="C17" s="92" t="s">
        <v>132</v>
      </c>
      <c r="D17" s="113">
        <v>234460</v>
      </c>
      <c r="E17" s="113">
        <v>421617</v>
      </c>
      <c r="F17" s="114">
        <f t="shared" si="2"/>
        <v>-187157</v>
      </c>
      <c r="G17" s="115">
        <f t="shared" si="1"/>
        <v>-0.44390287867899064</v>
      </c>
      <c r="H17" s="117" t="s">
        <v>117</v>
      </c>
    </row>
    <row r="18" spans="1:8" ht="42" customHeight="1">
      <c r="A18" s="129">
        <f>SUM(A19:A20)</f>
        <v>51652921</v>
      </c>
      <c r="B18" s="91">
        <v>411300</v>
      </c>
      <c r="C18" s="101" t="s">
        <v>133</v>
      </c>
      <c r="D18" s="113">
        <f>SUM(D19:D20)</f>
        <v>49880000</v>
      </c>
      <c r="E18" s="113">
        <f>SUM(E19:E20)</f>
        <v>51772446</v>
      </c>
      <c r="F18" s="114">
        <f t="shared" si="2"/>
        <v>-1892446</v>
      </c>
      <c r="G18" s="115">
        <f t="shared" si="1"/>
        <v>-3.655315029929241E-2</v>
      </c>
      <c r="H18" s="117" t="s">
        <v>120</v>
      </c>
    </row>
    <row r="19" spans="1:8" ht="42" customHeight="1">
      <c r="A19" s="129">
        <v>29796921</v>
      </c>
      <c r="B19" s="118">
        <v>411301</v>
      </c>
      <c r="C19" s="101" t="s">
        <v>134</v>
      </c>
      <c r="D19" s="113">
        <v>28880000</v>
      </c>
      <c r="E19" s="113">
        <v>29858696</v>
      </c>
      <c r="F19" s="114">
        <f t="shared" si="2"/>
        <v>-978696</v>
      </c>
      <c r="G19" s="115">
        <f t="shared" si="1"/>
        <v>-3.2777586804192654E-2</v>
      </c>
      <c r="H19" s="117" t="s">
        <v>120</v>
      </c>
    </row>
    <row r="20" spans="1:8" ht="42" customHeight="1">
      <c r="A20" s="129">
        <v>21856000</v>
      </c>
      <c r="B20" s="118">
        <v>411302</v>
      </c>
      <c r="C20" s="101" t="s">
        <v>135</v>
      </c>
      <c r="D20" s="113">
        <v>21000000</v>
      </c>
      <c r="E20" s="113">
        <v>21913750</v>
      </c>
      <c r="F20" s="114">
        <f t="shared" si="2"/>
        <v>-913750</v>
      </c>
      <c r="G20" s="115">
        <f t="shared" si="1"/>
        <v>-4.1697564314642631E-2</v>
      </c>
      <c r="H20" s="117" t="s">
        <v>120</v>
      </c>
    </row>
    <row r="21" spans="1:8" ht="42" customHeight="1">
      <c r="A21" s="130">
        <f>SUM(A22:A24)</f>
        <v>41473834</v>
      </c>
      <c r="B21" s="112">
        <v>412000</v>
      </c>
      <c r="C21" s="101" t="s">
        <v>136</v>
      </c>
      <c r="D21" s="113">
        <f>SUM(D22:D24)</f>
        <v>45976278</v>
      </c>
      <c r="E21" s="113">
        <f>SUM(E22:E24)</f>
        <v>42495566</v>
      </c>
      <c r="F21" s="114">
        <f t="shared" si="2"/>
        <v>3480712</v>
      </c>
      <c r="G21" s="115">
        <f t="shared" si="1"/>
        <v>8.1907651259427866E-2</v>
      </c>
      <c r="H21" s="101" t="s">
        <v>137</v>
      </c>
    </row>
    <row r="22" spans="1:8" ht="42" customHeight="1">
      <c r="A22" s="129">
        <v>21680736</v>
      </c>
      <c r="B22" s="91">
        <v>412100</v>
      </c>
      <c r="C22" s="101" t="s">
        <v>138</v>
      </c>
      <c r="D22" s="121">
        <f>41976278-9300000-1472278</f>
        <v>31204000</v>
      </c>
      <c r="E22" s="121">
        <v>30004550</v>
      </c>
      <c r="F22" s="114">
        <f t="shared" si="2"/>
        <v>1199450</v>
      </c>
      <c r="G22" s="115">
        <f t="shared" si="1"/>
        <v>3.9975603700105486E-2</v>
      </c>
      <c r="H22" s="117" t="s">
        <v>120</v>
      </c>
    </row>
    <row r="23" spans="1:8" ht="42" customHeight="1">
      <c r="A23" s="129">
        <v>12070831</v>
      </c>
      <c r="B23" s="91">
        <v>412200</v>
      </c>
      <c r="C23" s="101" t="s">
        <v>139</v>
      </c>
      <c r="D23" s="121">
        <f>9300000+1472278</f>
        <v>10772278</v>
      </c>
      <c r="E23" s="121">
        <v>6144032</v>
      </c>
      <c r="F23" s="114">
        <f t="shared" si="2"/>
        <v>4628246</v>
      </c>
      <c r="G23" s="115">
        <f t="shared" si="1"/>
        <v>0.75329132400352083</v>
      </c>
      <c r="H23" s="117" t="s">
        <v>120</v>
      </c>
    </row>
    <row r="24" spans="1:8" ht="42" customHeight="1">
      <c r="A24" s="129">
        <v>7722267</v>
      </c>
      <c r="B24" s="91">
        <v>412300</v>
      </c>
      <c r="C24" s="101" t="s">
        <v>140</v>
      </c>
      <c r="D24" s="121">
        <v>4000000</v>
      </c>
      <c r="E24" s="121">
        <v>6346984</v>
      </c>
      <c r="F24" s="114">
        <f t="shared" si="2"/>
        <v>-2346984</v>
      </c>
      <c r="G24" s="115">
        <f t="shared" si="1"/>
        <v>-0.36977941018915439</v>
      </c>
      <c r="H24" s="117" t="s">
        <v>120</v>
      </c>
    </row>
    <row r="25" spans="1:8" ht="42" customHeight="1">
      <c r="A25" s="129">
        <f>A26</f>
        <v>120506018</v>
      </c>
      <c r="B25" s="112">
        <v>413000</v>
      </c>
      <c r="C25" s="124" t="s">
        <v>141</v>
      </c>
      <c r="D25" s="121">
        <f>D26</f>
        <v>127411980</v>
      </c>
      <c r="E25" s="121">
        <f>E26</f>
        <v>121831632</v>
      </c>
      <c r="F25" s="114">
        <f t="shared" si="2"/>
        <v>5580348</v>
      </c>
      <c r="G25" s="115">
        <f t="shared" si="1"/>
        <v>4.580376958259904E-2</v>
      </c>
      <c r="H25" s="117" t="s">
        <v>120</v>
      </c>
    </row>
    <row r="26" spans="1:8" ht="42" customHeight="1">
      <c r="A26" s="129">
        <v>120506018</v>
      </c>
      <c r="B26" s="91">
        <v>413100</v>
      </c>
      <c r="C26" s="124" t="s">
        <v>142</v>
      </c>
      <c r="D26" s="121">
        <v>127411980</v>
      </c>
      <c r="E26" s="121">
        <v>121831632</v>
      </c>
      <c r="F26" s="114">
        <f t="shared" si="2"/>
        <v>5580348</v>
      </c>
      <c r="G26" s="115">
        <f t="shared" si="1"/>
        <v>4.580376958259904E-2</v>
      </c>
      <c r="H26" s="117" t="s">
        <v>120</v>
      </c>
    </row>
    <row r="27" spans="1:8" ht="42" customHeight="1">
      <c r="A27" s="129">
        <f>A28+A29</f>
        <v>471108550</v>
      </c>
      <c r="B27" s="112">
        <v>415000</v>
      </c>
      <c r="C27" s="124" t="s">
        <v>143</v>
      </c>
      <c r="D27" s="121">
        <f>D28+D29</f>
        <v>290060835</v>
      </c>
      <c r="E27" s="121">
        <f>E28+E29</f>
        <v>255450959</v>
      </c>
      <c r="F27" s="114">
        <f t="shared" si="2"/>
        <v>34609876</v>
      </c>
      <c r="G27" s="115">
        <f t="shared" si="1"/>
        <v>0.13548540250342142</v>
      </c>
      <c r="H27" s="117" t="s">
        <v>120</v>
      </c>
    </row>
    <row r="28" spans="1:8" ht="42" customHeight="1">
      <c r="A28" s="129">
        <v>458542624</v>
      </c>
      <c r="B28" s="91">
        <v>415100</v>
      </c>
      <c r="C28" s="124" t="s">
        <v>144</v>
      </c>
      <c r="D28" s="121">
        <v>283060835</v>
      </c>
      <c r="E28" s="121">
        <f>111676935+133450959</f>
        <v>245127894</v>
      </c>
      <c r="F28" s="114">
        <f t="shared" si="2"/>
        <v>37932941</v>
      </c>
      <c r="G28" s="115">
        <f t="shared" si="1"/>
        <v>0.15474754986472491</v>
      </c>
      <c r="H28" s="117" t="s">
        <v>120</v>
      </c>
    </row>
    <row r="29" spans="1:8" ht="42" customHeight="1">
      <c r="A29" s="129">
        <v>12565926</v>
      </c>
      <c r="B29" s="91">
        <v>415200</v>
      </c>
      <c r="C29" s="124" t="s">
        <v>145</v>
      </c>
      <c r="D29" s="121">
        <v>7000000</v>
      </c>
      <c r="E29" s="121">
        <v>10323065</v>
      </c>
      <c r="F29" s="114">
        <f t="shared" si="2"/>
        <v>-3323065</v>
      </c>
      <c r="G29" s="115">
        <f t="shared" si="1"/>
        <v>-0.32190681740355215</v>
      </c>
      <c r="H29" s="117" t="s">
        <v>120</v>
      </c>
    </row>
    <row r="30" spans="1:8" ht="42" customHeight="1">
      <c r="A30" s="129">
        <f>SUM(A31:A32)</f>
        <v>5044153</v>
      </c>
      <c r="B30" s="112">
        <v>417000</v>
      </c>
      <c r="C30" s="101" t="s">
        <v>146</v>
      </c>
      <c r="D30" s="121">
        <f>SUM(D31:D32)</f>
        <v>4180000</v>
      </c>
      <c r="E30" s="121">
        <f>SUM(E31:E32)</f>
        <v>8807053</v>
      </c>
      <c r="F30" s="114">
        <f t="shared" si="2"/>
        <v>-4627053</v>
      </c>
      <c r="G30" s="115">
        <f t="shared" si="1"/>
        <v>-0.52538039682513549</v>
      </c>
      <c r="H30" s="101"/>
    </row>
    <row r="31" spans="1:8" ht="42" customHeight="1">
      <c r="A31" s="129">
        <v>4646674</v>
      </c>
      <c r="B31" s="91">
        <v>417100</v>
      </c>
      <c r="C31" s="101" t="s">
        <v>147</v>
      </c>
      <c r="D31" s="121">
        <v>4000000</v>
      </c>
      <c r="E31" s="121">
        <v>8615263</v>
      </c>
      <c r="F31" s="114">
        <f t="shared" si="2"/>
        <v>-4615263</v>
      </c>
      <c r="G31" s="115">
        <f t="shared" si="1"/>
        <v>-0.53570773173146313</v>
      </c>
      <c r="H31" s="101" t="s">
        <v>148</v>
      </c>
    </row>
    <row r="32" spans="1:8" ht="42" customHeight="1">
      <c r="A32" s="129">
        <v>397479</v>
      </c>
      <c r="B32" s="91">
        <v>417300</v>
      </c>
      <c r="C32" s="101" t="s">
        <v>149</v>
      </c>
      <c r="D32" s="121">
        <v>180000</v>
      </c>
      <c r="E32" s="121">
        <v>191790</v>
      </c>
      <c r="F32" s="114">
        <f t="shared" si="2"/>
        <v>-11790</v>
      </c>
      <c r="G32" s="115">
        <f t="shared" si="1"/>
        <v>-6.1473486625997185E-2</v>
      </c>
      <c r="H32" s="101" t="s">
        <v>150</v>
      </c>
    </row>
    <row r="33" spans="1:8" ht="42" customHeight="1">
      <c r="A33" s="129">
        <f>SUM(A34:A36)</f>
        <v>121226376</v>
      </c>
      <c r="B33" s="112">
        <v>419000</v>
      </c>
      <c r="C33" s="101" t="s">
        <v>151</v>
      </c>
      <c r="D33" s="121">
        <f>SUM(D34:D36)</f>
        <v>82115300</v>
      </c>
      <c r="E33" s="121">
        <f>SUM(E34:E36)</f>
        <v>96917774</v>
      </c>
      <c r="F33" s="114">
        <f t="shared" si="2"/>
        <v>-14802474</v>
      </c>
      <c r="G33" s="115">
        <f t="shared" si="1"/>
        <v>-0.15273229449120448</v>
      </c>
      <c r="H33" s="101" t="s">
        <v>152</v>
      </c>
    </row>
    <row r="34" spans="1:8" ht="42" customHeight="1">
      <c r="A34" s="131">
        <v>15387469</v>
      </c>
      <c r="B34" s="91">
        <v>419200</v>
      </c>
      <c r="C34" s="101" t="s">
        <v>153</v>
      </c>
      <c r="D34" s="121">
        <v>10400000</v>
      </c>
      <c r="E34" s="121">
        <v>14688786</v>
      </c>
      <c r="F34" s="114">
        <f t="shared" si="2"/>
        <v>-4288786</v>
      </c>
      <c r="G34" s="115">
        <f t="shared" si="1"/>
        <v>-0.29197688631313712</v>
      </c>
      <c r="H34" s="117" t="s">
        <v>120</v>
      </c>
    </row>
    <row r="35" spans="1:8" ht="42" customHeight="1">
      <c r="A35" s="132">
        <v>54812306</v>
      </c>
      <c r="B35" s="133">
        <v>419300</v>
      </c>
      <c r="C35" s="134" t="s">
        <v>154</v>
      </c>
      <c r="D35" s="121">
        <v>52730000</v>
      </c>
      <c r="E35" s="121">
        <v>54206644</v>
      </c>
      <c r="F35" s="114">
        <f t="shared" si="2"/>
        <v>-1476644</v>
      </c>
      <c r="G35" s="115">
        <f t="shared" si="1"/>
        <v>-2.7241014957502259E-2</v>
      </c>
      <c r="H35" s="117" t="s">
        <v>120</v>
      </c>
    </row>
    <row r="36" spans="1:8" ht="42" customHeight="1">
      <c r="A36" s="129">
        <v>51026601</v>
      </c>
      <c r="B36" s="91">
        <v>419900</v>
      </c>
      <c r="C36" s="101" t="s">
        <v>155</v>
      </c>
      <c r="D36" s="121">
        <v>18985300</v>
      </c>
      <c r="E36" s="121">
        <v>28022344</v>
      </c>
      <c r="F36" s="114">
        <f t="shared" si="2"/>
        <v>-9037044</v>
      </c>
      <c r="G36" s="115">
        <f t="shared" si="1"/>
        <v>-0.32249422104018138</v>
      </c>
      <c r="H36" s="117" t="s">
        <v>120</v>
      </c>
    </row>
    <row r="37" spans="1:8" ht="42" customHeight="1">
      <c r="A37" s="129">
        <f>A3+A21+A30+A33+A27+A25</f>
        <v>2540666659</v>
      </c>
      <c r="B37" s="127"/>
      <c r="C37" s="92" t="s">
        <v>156</v>
      </c>
      <c r="D37" s="121">
        <f>D3+D21+D30+D33+D27+D25</f>
        <v>2351073819</v>
      </c>
      <c r="E37" s="121">
        <f>E3+E21+E30+E33+E27+E25</f>
        <v>2337373020</v>
      </c>
      <c r="F37" s="114">
        <f t="shared" si="2"/>
        <v>13700799</v>
      </c>
      <c r="G37" s="115">
        <f t="shared" si="1"/>
        <v>5.8616228059310792E-3</v>
      </c>
      <c r="H37" s="117"/>
    </row>
    <row r="38" spans="1:8">
      <c r="A38" s="109"/>
      <c r="B38" s="135"/>
      <c r="C38" s="136"/>
      <c r="D38" s="109"/>
      <c r="E38" s="109"/>
      <c r="F38" s="109"/>
      <c r="G38" s="135"/>
      <c r="H38" s="137"/>
    </row>
    <row r="39" spans="1:8">
      <c r="A39" s="109"/>
      <c r="B39" s="135"/>
      <c r="C39" s="136"/>
      <c r="D39" s="109"/>
      <c r="E39" s="109"/>
      <c r="F39" s="109"/>
      <c r="G39" s="109"/>
      <c r="H39" s="137"/>
    </row>
    <row r="40" spans="1:8">
      <c r="A40" s="109"/>
      <c r="B40" s="109"/>
      <c r="C40" s="137"/>
      <c r="D40" s="109"/>
      <c r="E40" s="109"/>
      <c r="F40" s="109"/>
      <c r="G40" s="109"/>
      <c r="H40" s="137"/>
    </row>
    <row r="41" spans="1:8">
      <c r="A41" s="109"/>
      <c r="B41" s="109"/>
      <c r="C41" s="137"/>
      <c r="D41" s="109"/>
      <c r="E41" s="109"/>
      <c r="F41" s="109"/>
      <c r="G41" s="109"/>
      <c r="H41" s="137"/>
    </row>
    <row r="42" spans="1:8">
      <c r="A42" s="109"/>
      <c r="B42" s="109"/>
      <c r="C42" s="137"/>
      <c r="D42" s="109"/>
      <c r="E42" s="109"/>
      <c r="F42" s="109"/>
      <c r="G42" s="109"/>
      <c r="H42" s="137"/>
    </row>
    <row r="43" spans="1:8">
      <c r="A43" s="109"/>
      <c r="B43" s="109"/>
      <c r="C43" s="137"/>
      <c r="D43" s="109"/>
      <c r="E43" s="109"/>
      <c r="F43" s="109"/>
      <c r="G43" s="109"/>
      <c r="H43" s="137"/>
    </row>
    <row r="44" spans="1:8">
      <c r="A44" s="109"/>
      <c r="B44" s="109"/>
      <c r="C44" s="137"/>
      <c r="D44" s="109"/>
      <c r="E44" s="109"/>
      <c r="F44" s="109"/>
      <c r="G44" s="109"/>
      <c r="H44" s="137"/>
    </row>
    <row r="45" spans="1:8">
      <c r="A45" s="109"/>
      <c r="B45" s="109"/>
      <c r="C45" s="137"/>
      <c r="D45" s="109"/>
      <c r="E45" s="109"/>
      <c r="F45" s="109"/>
      <c r="G45" s="109"/>
      <c r="H45" s="137"/>
    </row>
    <row r="46" spans="1:8">
      <c r="A46" s="109"/>
      <c r="B46" s="109"/>
      <c r="C46" s="137"/>
      <c r="D46" s="109"/>
      <c r="E46" s="109"/>
      <c r="F46" s="109"/>
      <c r="G46" s="109"/>
      <c r="H46" s="137"/>
    </row>
    <row r="47" spans="1:8">
      <c r="A47" s="109"/>
      <c r="B47" s="109"/>
      <c r="C47" s="137"/>
      <c r="D47" s="109"/>
      <c r="E47" s="109"/>
      <c r="F47" s="109"/>
      <c r="G47" s="109"/>
      <c r="H47" s="137"/>
    </row>
    <row r="48" spans="1:8">
      <c r="A48" s="109"/>
      <c r="B48" s="109"/>
      <c r="C48" s="137"/>
      <c r="D48" s="109"/>
      <c r="E48" s="109"/>
      <c r="F48" s="109"/>
      <c r="G48" s="109"/>
      <c r="H48" s="137"/>
    </row>
    <row r="49" spans="1:8">
      <c r="A49" s="109"/>
      <c r="B49" s="109"/>
      <c r="C49" s="137"/>
      <c r="D49" s="109"/>
      <c r="E49" s="109"/>
      <c r="F49" s="109"/>
      <c r="G49" s="109"/>
      <c r="H49" s="137"/>
    </row>
    <row r="50" spans="1:8">
      <c r="A50" s="109"/>
      <c r="B50" s="109"/>
      <c r="C50" s="137"/>
      <c r="D50" s="109"/>
      <c r="E50" s="109"/>
      <c r="F50" s="109"/>
      <c r="G50" s="109"/>
      <c r="H50" s="137"/>
    </row>
    <row r="51" spans="1:8">
      <c r="A51" s="109"/>
      <c r="B51" s="109"/>
      <c r="C51" s="137"/>
      <c r="D51" s="109"/>
      <c r="E51" s="109"/>
      <c r="F51" s="109"/>
      <c r="G51" s="109"/>
      <c r="H51" s="137"/>
    </row>
    <row r="52" spans="1:8">
      <c r="A52" s="109"/>
      <c r="B52" s="109"/>
      <c r="C52" s="137"/>
      <c r="D52" s="109"/>
      <c r="E52" s="109"/>
      <c r="F52" s="109"/>
      <c r="G52" s="109"/>
      <c r="H52" s="137"/>
    </row>
    <row r="53" spans="1:8">
      <c r="A53" s="109"/>
      <c r="B53" s="109"/>
      <c r="C53" s="137"/>
      <c r="D53" s="109"/>
      <c r="E53" s="109"/>
      <c r="F53" s="109"/>
      <c r="G53" s="109"/>
      <c r="H53" s="137"/>
    </row>
    <row r="54" spans="1:8">
      <c r="A54" s="109"/>
      <c r="B54" s="109"/>
      <c r="C54" s="137"/>
      <c r="D54" s="109"/>
      <c r="E54" s="109"/>
      <c r="F54" s="109"/>
      <c r="G54" s="109"/>
      <c r="H54" s="137"/>
    </row>
    <row r="55" spans="1:8">
      <c r="A55" s="109"/>
      <c r="B55" s="109"/>
      <c r="C55" s="137"/>
      <c r="D55" s="109"/>
      <c r="E55" s="109"/>
      <c r="F55" s="109"/>
      <c r="G55" s="109"/>
      <c r="H55" s="137"/>
    </row>
    <row r="56" spans="1:8">
      <c r="A56" s="109"/>
      <c r="B56" s="109"/>
      <c r="C56" s="137"/>
      <c r="D56" s="109"/>
      <c r="E56" s="109"/>
      <c r="F56" s="109"/>
      <c r="G56" s="109"/>
      <c r="H56" s="137"/>
    </row>
    <row r="57" spans="1:8">
      <c r="A57" s="109"/>
      <c r="B57" s="109"/>
      <c r="C57" s="137"/>
      <c r="D57" s="109"/>
      <c r="E57" s="109"/>
      <c r="F57" s="109"/>
      <c r="G57" s="109"/>
      <c r="H57" s="137"/>
    </row>
    <row r="58" spans="1:8">
      <c r="A58" s="109"/>
      <c r="B58" s="109"/>
      <c r="C58" s="137"/>
      <c r="D58" s="109"/>
      <c r="E58" s="109"/>
      <c r="F58" s="109"/>
      <c r="G58" s="109"/>
      <c r="H58" s="137"/>
    </row>
    <row r="59" spans="1:8">
      <c r="A59" s="109"/>
      <c r="B59" s="109"/>
      <c r="C59" s="137"/>
      <c r="D59" s="109"/>
      <c r="E59" s="109"/>
      <c r="F59" s="109"/>
      <c r="G59" s="109"/>
      <c r="H59" s="137"/>
    </row>
    <row r="60" spans="1:8">
      <c r="A60" s="109"/>
      <c r="B60" s="109"/>
      <c r="C60" s="137"/>
      <c r="D60" s="109"/>
      <c r="E60" s="109"/>
      <c r="F60" s="109"/>
      <c r="G60" s="109"/>
      <c r="H60" s="137"/>
    </row>
    <row r="61" spans="1:8">
      <c r="A61" s="109"/>
      <c r="B61" s="109"/>
      <c r="C61" s="137"/>
      <c r="D61" s="109"/>
      <c r="E61" s="109"/>
      <c r="F61" s="109"/>
      <c r="G61" s="109"/>
      <c r="H61" s="137"/>
    </row>
    <row r="62" spans="1:8">
      <c r="A62" s="109"/>
      <c r="B62" s="109"/>
      <c r="C62" s="137"/>
      <c r="D62" s="109"/>
      <c r="E62" s="109"/>
      <c r="F62" s="109"/>
      <c r="G62" s="109"/>
      <c r="H62" s="137"/>
    </row>
  </sheetData>
  <mergeCells count="6">
    <mergeCell ref="E1:E2"/>
    <mergeCell ref="F1:G1"/>
    <mergeCell ref="H1:H2"/>
    <mergeCell ref="A1:A2"/>
    <mergeCell ref="B1:C1"/>
    <mergeCell ref="D1:D2"/>
  </mergeCells>
  <phoneticPr fontId="2" type="noConversion"/>
  <pageMargins left="0.75" right="0.75" top="1" bottom="1" header="0.5" footer="0.5"/>
  <pageSetup paperSize="9"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view="pageBreakPreview" zoomScale="60" zoomScaleNormal="100" workbookViewId="0">
      <selection activeCell="C7" sqref="C7"/>
    </sheetView>
  </sheetViews>
  <sheetFormatPr defaultRowHeight="21"/>
  <cols>
    <col min="1" max="1" width="17.88671875" style="67" customWidth="1"/>
    <col min="2" max="2" width="6.6640625" style="67" customWidth="1"/>
    <col min="3" max="3" width="20.6640625" style="67" customWidth="1"/>
    <col min="4" max="4" width="18.88671875" style="67" customWidth="1"/>
    <col min="5" max="5" width="18.33203125" style="67" customWidth="1"/>
    <col min="6" max="6" width="15.5546875" style="147" customWidth="1"/>
    <col min="7" max="7" width="11" style="67" customWidth="1"/>
    <col min="8" max="8" width="23.109375" style="67" customWidth="1"/>
    <col min="9" max="16384" width="8.88671875" style="67"/>
  </cols>
  <sheetData>
    <row r="1" spans="1:8" ht="18.600000000000001" customHeight="1">
      <c r="A1" s="49" t="s">
        <v>105</v>
      </c>
      <c r="B1" s="139" t="s">
        <v>157</v>
      </c>
      <c r="C1" s="140"/>
      <c r="D1" s="50" t="s">
        <v>107</v>
      </c>
      <c r="E1" s="49" t="s">
        <v>158</v>
      </c>
      <c r="F1" s="141" t="s">
        <v>159</v>
      </c>
      <c r="G1" s="142"/>
      <c r="H1" s="50" t="s">
        <v>160</v>
      </c>
    </row>
    <row r="2" spans="1:8" ht="17.399999999999999" customHeight="1">
      <c r="A2" s="56"/>
      <c r="B2" s="60" t="s">
        <v>161</v>
      </c>
      <c r="C2" s="83" t="s">
        <v>162</v>
      </c>
      <c r="D2" s="57"/>
      <c r="E2" s="56"/>
      <c r="F2" s="143" t="s">
        <v>163</v>
      </c>
      <c r="G2" s="110" t="s">
        <v>114</v>
      </c>
      <c r="H2" s="57"/>
    </row>
    <row r="3" spans="1:8" ht="42" customHeight="1">
      <c r="A3" s="94">
        <f>SUM(A4:A7)</f>
        <v>849728</v>
      </c>
      <c r="B3" s="91">
        <v>5110</v>
      </c>
      <c r="C3" s="92" t="s">
        <v>164</v>
      </c>
      <c r="D3" s="94">
        <f>SUM(D4:D7)</f>
        <v>1309900</v>
      </c>
      <c r="E3" s="94">
        <f>SUM(E4:E7)</f>
        <v>948889</v>
      </c>
      <c r="F3" s="69">
        <f t="shared" ref="F3:F42" si="0">D3-E3</f>
        <v>361011</v>
      </c>
      <c r="G3" s="144">
        <f>F3/E3</f>
        <v>0.38045651282710624</v>
      </c>
      <c r="H3" s="92"/>
    </row>
    <row r="4" spans="1:8" ht="42" customHeight="1">
      <c r="A4" s="94">
        <v>586578</v>
      </c>
      <c r="B4" s="91">
        <v>5111</v>
      </c>
      <c r="C4" s="92" t="s">
        <v>165</v>
      </c>
      <c r="D4" s="94">
        <v>634500</v>
      </c>
      <c r="E4" s="94">
        <v>606353</v>
      </c>
      <c r="F4" s="69">
        <f t="shared" si="0"/>
        <v>28147</v>
      </c>
      <c r="G4" s="144">
        <f>F4/E4</f>
        <v>4.6420154596414957E-2</v>
      </c>
      <c r="H4" s="92" t="s">
        <v>166</v>
      </c>
    </row>
    <row r="5" spans="1:8" ht="42" customHeight="1">
      <c r="A5" s="94">
        <v>28150</v>
      </c>
      <c r="B5" s="91">
        <v>5112</v>
      </c>
      <c r="C5" s="101" t="s">
        <v>167</v>
      </c>
      <c r="D5" s="94">
        <v>30000</v>
      </c>
      <c r="E5" s="94">
        <v>25000</v>
      </c>
      <c r="F5" s="69">
        <f t="shared" si="0"/>
        <v>5000</v>
      </c>
      <c r="G5" s="144">
        <f>F5/E5</f>
        <v>0.2</v>
      </c>
      <c r="H5" s="92" t="s">
        <v>168</v>
      </c>
    </row>
    <row r="6" spans="1:8" ht="42" customHeight="1">
      <c r="A6" s="94"/>
      <c r="B6" s="91">
        <v>5114</v>
      </c>
      <c r="C6" s="101" t="s">
        <v>169</v>
      </c>
      <c r="D6" s="94">
        <v>20400</v>
      </c>
      <c r="E6" s="94">
        <v>17536</v>
      </c>
      <c r="F6" s="69">
        <f t="shared" si="0"/>
        <v>2864</v>
      </c>
      <c r="G6" s="144">
        <f>F6/E6</f>
        <v>0.16332116788321169</v>
      </c>
      <c r="H6" s="92"/>
    </row>
    <row r="7" spans="1:8" ht="42" customHeight="1">
      <c r="A7" s="94">
        <v>235000</v>
      </c>
      <c r="B7" s="91">
        <v>5115</v>
      </c>
      <c r="C7" s="101" t="s">
        <v>170</v>
      </c>
      <c r="D7" s="94">
        <v>625000</v>
      </c>
      <c r="E7" s="94">
        <v>300000</v>
      </c>
      <c r="F7" s="69">
        <f t="shared" si="0"/>
        <v>325000</v>
      </c>
      <c r="G7" s="144">
        <f>F7/E7</f>
        <v>1.0833333333333333</v>
      </c>
      <c r="H7" s="92" t="s">
        <v>171</v>
      </c>
    </row>
    <row r="8" spans="1:8" ht="42" customHeight="1">
      <c r="A8" s="94"/>
      <c r="B8" s="91">
        <v>5116</v>
      </c>
      <c r="C8" s="101" t="s">
        <v>172</v>
      </c>
      <c r="D8" s="94"/>
      <c r="E8" s="94"/>
      <c r="F8" s="69">
        <f t="shared" si="0"/>
        <v>0</v>
      </c>
      <c r="G8" s="144"/>
      <c r="H8" s="92"/>
    </row>
    <row r="9" spans="1:8" ht="42" customHeight="1">
      <c r="A9" s="94">
        <f>SUM(A10:A14)</f>
        <v>500909682</v>
      </c>
      <c r="B9" s="91">
        <v>5120</v>
      </c>
      <c r="C9" s="101" t="s">
        <v>173</v>
      </c>
      <c r="D9" s="94">
        <f>SUM(D10:D14)</f>
        <v>500320290</v>
      </c>
      <c r="E9" s="94">
        <f>SUM(E10:E14)</f>
        <v>477812404</v>
      </c>
      <c r="F9" s="69">
        <f t="shared" si="0"/>
        <v>22507886</v>
      </c>
      <c r="G9" s="144">
        <f t="shared" ref="G9:G42" si="1">F9/E9</f>
        <v>4.7106114892739366E-2</v>
      </c>
      <c r="H9" s="92"/>
    </row>
    <row r="10" spans="1:8" ht="42" customHeight="1">
      <c r="A10" s="94">
        <v>353576846</v>
      </c>
      <c r="B10" s="91">
        <v>5121</v>
      </c>
      <c r="C10" s="101" t="s">
        <v>165</v>
      </c>
      <c r="D10" s="94">
        <v>376768190</v>
      </c>
      <c r="E10" s="94">
        <v>355118229</v>
      </c>
      <c r="F10" s="69">
        <f t="shared" si="0"/>
        <v>21649961</v>
      </c>
      <c r="G10" s="144">
        <f t="shared" si="1"/>
        <v>6.0965501717457599E-2</v>
      </c>
      <c r="H10" s="92" t="s">
        <v>174</v>
      </c>
    </row>
    <row r="11" spans="1:8" ht="42" customHeight="1">
      <c r="A11" s="94">
        <v>62060960</v>
      </c>
      <c r="B11" s="91">
        <v>5122</v>
      </c>
      <c r="C11" s="101" t="s">
        <v>27</v>
      </c>
      <c r="D11" s="94">
        <v>60000000</v>
      </c>
      <c r="E11" s="94">
        <v>63309850</v>
      </c>
      <c r="F11" s="69">
        <f t="shared" si="0"/>
        <v>-3309850</v>
      </c>
      <c r="G11" s="144">
        <f t="shared" si="1"/>
        <v>-5.2280174412038569E-2</v>
      </c>
      <c r="H11" s="92"/>
    </row>
    <row r="12" spans="1:8" ht="42" customHeight="1">
      <c r="A12" s="94">
        <v>12882488</v>
      </c>
      <c r="B12" s="91">
        <v>5123</v>
      </c>
      <c r="C12" s="101" t="s">
        <v>175</v>
      </c>
      <c r="D12" s="94">
        <v>18000000</v>
      </c>
      <c r="E12" s="94">
        <v>17028881</v>
      </c>
      <c r="F12" s="69">
        <f t="shared" si="0"/>
        <v>971119</v>
      </c>
      <c r="G12" s="144">
        <f t="shared" si="1"/>
        <v>5.7027763597619831E-2</v>
      </c>
      <c r="H12" s="92"/>
    </row>
    <row r="13" spans="1:8" ht="42" customHeight="1">
      <c r="A13" s="94">
        <v>17128121</v>
      </c>
      <c r="B13" s="91">
        <v>5124</v>
      </c>
      <c r="C13" s="101" t="s">
        <v>176</v>
      </c>
      <c r="D13" s="94">
        <v>18652100</v>
      </c>
      <c r="E13" s="94">
        <v>15500500</v>
      </c>
      <c r="F13" s="69">
        <f t="shared" si="0"/>
        <v>3151600</v>
      </c>
      <c r="G13" s="144">
        <f t="shared" si="1"/>
        <v>0.20332247346859778</v>
      </c>
      <c r="H13" s="92"/>
    </row>
    <row r="14" spans="1:8" ht="42" customHeight="1">
      <c r="A14" s="94">
        <v>55261267</v>
      </c>
      <c r="B14" s="91">
        <v>5125</v>
      </c>
      <c r="C14" s="101" t="s">
        <v>177</v>
      </c>
      <c r="D14" s="94">
        <v>26900000</v>
      </c>
      <c r="E14" s="94">
        <v>26854944</v>
      </c>
      <c r="F14" s="69">
        <f t="shared" si="0"/>
        <v>45056</v>
      </c>
      <c r="G14" s="144">
        <f t="shared" si="1"/>
        <v>1.6777543829545874E-3</v>
      </c>
      <c r="H14" s="92"/>
    </row>
    <row r="15" spans="1:8" ht="42" customHeight="1">
      <c r="A15" s="94">
        <f>SUM(A16:A20)</f>
        <v>1368672643</v>
      </c>
      <c r="B15" s="91">
        <v>5130</v>
      </c>
      <c r="C15" s="101" t="s">
        <v>178</v>
      </c>
      <c r="D15" s="94">
        <f>SUM(D16:D20)</f>
        <v>1345126640</v>
      </c>
      <c r="E15" s="94">
        <f>SUM(E16:E20)</f>
        <v>1311524518</v>
      </c>
      <c r="F15" s="69">
        <f t="shared" si="0"/>
        <v>33602122</v>
      </c>
      <c r="G15" s="144">
        <f t="shared" si="1"/>
        <v>2.5620658660076991E-2</v>
      </c>
      <c r="H15" s="92"/>
    </row>
    <row r="16" spans="1:8" ht="42" customHeight="1">
      <c r="A16" s="94">
        <v>925923321</v>
      </c>
      <c r="B16" s="91">
        <v>5131</v>
      </c>
      <c r="C16" s="101" t="s">
        <v>165</v>
      </c>
      <c r="D16" s="94">
        <v>903726640</v>
      </c>
      <c r="E16" s="94">
        <v>882784620</v>
      </c>
      <c r="F16" s="69">
        <f t="shared" si="0"/>
        <v>20942020</v>
      </c>
      <c r="G16" s="144">
        <f t="shared" si="1"/>
        <v>2.372268334262552E-2</v>
      </c>
      <c r="H16" s="92" t="s">
        <v>179</v>
      </c>
    </row>
    <row r="17" spans="1:8" ht="42" customHeight="1">
      <c r="A17" s="94">
        <v>247333377</v>
      </c>
      <c r="B17" s="91">
        <v>5132</v>
      </c>
      <c r="C17" s="101" t="s">
        <v>167</v>
      </c>
      <c r="D17" s="94">
        <v>200000000</v>
      </c>
      <c r="E17" s="94">
        <v>205897364</v>
      </c>
      <c r="F17" s="69">
        <f t="shared" si="0"/>
        <v>-5897364</v>
      </c>
      <c r="G17" s="144">
        <f t="shared" si="1"/>
        <v>-2.864225109749341E-2</v>
      </c>
      <c r="H17" s="92"/>
    </row>
    <row r="18" spans="1:8" ht="42" customHeight="1">
      <c r="A18" s="94">
        <v>27850322</v>
      </c>
      <c r="B18" s="91">
        <v>5133</v>
      </c>
      <c r="C18" s="101" t="s">
        <v>175</v>
      </c>
      <c r="D18" s="94">
        <v>32000000</v>
      </c>
      <c r="E18" s="94">
        <v>31000500</v>
      </c>
      <c r="F18" s="69">
        <f t="shared" si="0"/>
        <v>999500</v>
      </c>
      <c r="G18" s="144">
        <f t="shared" si="1"/>
        <v>3.2241415461040951E-2</v>
      </c>
      <c r="H18" s="92"/>
    </row>
    <row r="19" spans="1:8" ht="42" customHeight="1">
      <c r="A19" s="94">
        <v>29207747</v>
      </c>
      <c r="B19" s="91">
        <v>5134</v>
      </c>
      <c r="C19" s="101" t="s">
        <v>180</v>
      </c>
      <c r="D19" s="94">
        <v>29100000</v>
      </c>
      <c r="E19" s="94">
        <v>29529566</v>
      </c>
      <c r="F19" s="69">
        <f t="shared" si="0"/>
        <v>-429566</v>
      </c>
      <c r="G19" s="144">
        <f t="shared" si="1"/>
        <v>-1.4546979796452138E-2</v>
      </c>
      <c r="H19" s="92"/>
    </row>
    <row r="20" spans="1:8" ht="42" customHeight="1">
      <c r="A20" s="94">
        <v>138357876</v>
      </c>
      <c r="B20" s="91">
        <v>5135</v>
      </c>
      <c r="C20" s="101" t="s">
        <v>177</v>
      </c>
      <c r="D20" s="94">
        <v>180300000</v>
      </c>
      <c r="E20" s="94">
        <v>162312468</v>
      </c>
      <c r="F20" s="69">
        <f t="shared" si="0"/>
        <v>17987532</v>
      </c>
      <c r="G20" s="144">
        <f t="shared" si="1"/>
        <v>0.11082039612631607</v>
      </c>
      <c r="H20" s="92"/>
    </row>
    <row r="21" spans="1:8" ht="42" customHeight="1">
      <c r="A21" s="94">
        <f>SUM(A22:A23)+A24</f>
        <v>175604018</v>
      </c>
      <c r="B21" s="91">
        <v>5140</v>
      </c>
      <c r="C21" s="101" t="s">
        <v>181</v>
      </c>
      <c r="D21" s="94">
        <f>SUM(D22:D23)+D24</f>
        <v>154674250</v>
      </c>
      <c r="E21" s="94">
        <f>SUM(E22:E23)+E24</f>
        <v>169560950</v>
      </c>
      <c r="F21" s="69">
        <f t="shared" si="0"/>
        <v>-14886700</v>
      </c>
      <c r="G21" s="144">
        <f t="shared" si="1"/>
        <v>-8.7795568496166126E-2</v>
      </c>
      <c r="H21" s="92"/>
    </row>
    <row r="22" spans="1:8" ht="42" customHeight="1">
      <c r="A22" s="94">
        <v>72118181</v>
      </c>
      <c r="B22" s="91">
        <v>5141</v>
      </c>
      <c r="C22" s="101" t="s">
        <v>182</v>
      </c>
      <c r="D22" s="94">
        <v>70000000</v>
      </c>
      <c r="E22" s="94">
        <v>70500000</v>
      </c>
      <c r="F22" s="69">
        <f t="shared" si="0"/>
        <v>-500000</v>
      </c>
      <c r="G22" s="144">
        <f t="shared" si="1"/>
        <v>-7.0921985815602835E-3</v>
      </c>
      <c r="H22" s="92" t="s">
        <v>183</v>
      </c>
    </row>
    <row r="23" spans="1:8" ht="42" customHeight="1">
      <c r="A23" s="94">
        <v>101773497</v>
      </c>
      <c r="B23" s="91">
        <v>5142</v>
      </c>
      <c r="C23" s="101" t="s">
        <v>184</v>
      </c>
      <c r="D23" s="94">
        <v>82674250</v>
      </c>
      <c r="E23" s="94">
        <v>97364980</v>
      </c>
      <c r="F23" s="69">
        <f t="shared" si="0"/>
        <v>-14690730</v>
      </c>
      <c r="G23" s="144">
        <f t="shared" si="1"/>
        <v>-0.15088309985787499</v>
      </c>
      <c r="H23" s="92" t="s">
        <v>185</v>
      </c>
    </row>
    <row r="24" spans="1:8" ht="42" customHeight="1">
      <c r="A24" s="94">
        <v>1712340</v>
      </c>
      <c r="B24" s="91">
        <v>5143</v>
      </c>
      <c r="C24" s="101" t="s">
        <v>186</v>
      </c>
      <c r="D24" s="94">
        <v>2000000</v>
      </c>
      <c r="E24" s="94">
        <v>1695970</v>
      </c>
      <c r="F24" s="69">
        <f t="shared" si="0"/>
        <v>304030</v>
      </c>
      <c r="G24" s="144">
        <f t="shared" si="1"/>
        <v>0.1792661426794106</v>
      </c>
      <c r="H24" s="92" t="s">
        <v>187</v>
      </c>
    </row>
    <row r="25" spans="1:8" ht="42" customHeight="1">
      <c r="A25" s="94">
        <f>SUM(A26:A30)</f>
        <v>32025444</v>
      </c>
      <c r="B25" s="91">
        <v>5150</v>
      </c>
      <c r="C25" s="145" t="s">
        <v>188</v>
      </c>
      <c r="D25" s="94">
        <f>SUM(D26:D30)</f>
        <v>32093130</v>
      </c>
      <c r="E25" s="94">
        <f>SUM(E26:E30)</f>
        <v>34582144</v>
      </c>
      <c r="F25" s="69">
        <f t="shared" si="0"/>
        <v>-2489014</v>
      </c>
      <c r="G25" s="144">
        <f t="shared" si="1"/>
        <v>-7.1973964367275781E-2</v>
      </c>
      <c r="H25" s="92" t="s">
        <v>189</v>
      </c>
    </row>
    <row r="26" spans="1:8" ht="42" customHeight="1">
      <c r="A26" s="94">
        <v>20723133</v>
      </c>
      <c r="B26" s="91">
        <v>5151</v>
      </c>
      <c r="C26" s="92" t="s">
        <v>165</v>
      </c>
      <c r="D26" s="94">
        <v>16310550</v>
      </c>
      <c r="E26" s="94">
        <v>25970740</v>
      </c>
      <c r="F26" s="69">
        <f t="shared" si="0"/>
        <v>-9660190</v>
      </c>
      <c r="G26" s="144">
        <f t="shared" si="1"/>
        <v>-0.37196437221272866</v>
      </c>
      <c r="H26" s="117" t="s">
        <v>120</v>
      </c>
    </row>
    <row r="27" spans="1:8" ht="42" customHeight="1">
      <c r="A27" s="94">
        <v>8448086</v>
      </c>
      <c r="B27" s="91">
        <v>5152</v>
      </c>
      <c r="C27" s="92" t="s">
        <v>167</v>
      </c>
      <c r="D27" s="94">
        <f>5924580+7000000</f>
        <v>12924580</v>
      </c>
      <c r="E27" s="94">
        <v>5368516</v>
      </c>
      <c r="F27" s="69">
        <f t="shared" si="0"/>
        <v>7556064</v>
      </c>
      <c r="G27" s="144">
        <f t="shared" si="1"/>
        <v>1.4074772246184979</v>
      </c>
      <c r="H27" s="117" t="s">
        <v>120</v>
      </c>
    </row>
    <row r="28" spans="1:8" ht="42" customHeight="1">
      <c r="A28" s="94">
        <v>33864</v>
      </c>
      <c r="B28" s="91">
        <v>5153</v>
      </c>
      <c r="C28" s="101" t="s">
        <v>175</v>
      </c>
      <c r="D28" s="94">
        <v>60000</v>
      </c>
      <c r="E28" s="94">
        <v>560528</v>
      </c>
      <c r="F28" s="69">
        <f t="shared" si="0"/>
        <v>-500528</v>
      </c>
      <c r="G28" s="144">
        <f t="shared" si="1"/>
        <v>-0.89295806810721323</v>
      </c>
      <c r="H28" s="117" t="s">
        <v>120</v>
      </c>
    </row>
    <row r="29" spans="1:8" ht="42" customHeight="1">
      <c r="A29" s="94">
        <v>488214</v>
      </c>
      <c r="B29" s="91">
        <v>5154</v>
      </c>
      <c r="C29" s="101" t="s">
        <v>169</v>
      </c>
      <c r="D29" s="94">
        <v>485000</v>
      </c>
      <c r="E29" s="94">
        <v>362126</v>
      </c>
      <c r="F29" s="69">
        <f t="shared" si="0"/>
        <v>122874</v>
      </c>
      <c r="G29" s="144">
        <f t="shared" si="1"/>
        <v>0.33931283586376015</v>
      </c>
      <c r="H29" s="117" t="s">
        <v>120</v>
      </c>
    </row>
    <row r="30" spans="1:8" ht="42" customHeight="1">
      <c r="A30" s="94">
        <v>2332147</v>
      </c>
      <c r="B30" s="91">
        <v>5155</v>
      </c>
      <c r="C30" s="101" t="s">
        <v>177</v>
      </c>
      <c r="D30" s="94">
        <v>2313000</v>
      </c>
      <c r="E30" s="94">
        <v>2320234</v>
      </c>
      <c r="F30" s="69">
        <f t="shared" si="0"/>
        <v>-7234</v>
      </c>
      <c r="G30" s="144">
        <f t="shared" si="1"/>
        <v>-3.1177889816285773E-3</v>
      </c>
      <c r="H30" s="117" t="s">
        <v>120</v>
      </c>
    </row>
    <row r="31" spans="1:8" ht="42" customHeight="1">
      <c r="A31" s="94">
        <f>SUM(A32:A36)</f>
        <v>123534675</v>
      </c>
      <c r="B31" s="91">
        <v>5160</v>
      </c>
      <c r="C31" s="101" t="s">
        <v>190</v>
      </c>
      <c r="D31" s="94">
        <f>SUM(D32:D36)</f>
        <v>113733240</v>
      </c>
      <c r="E31" s="94">
        <f>SUM(E32:E36)</f>
        <v>119970890</v>
      </c>
      <c r="F31" s="69">
        <f t="shared" si="0"/>
        <v>-6237650</v>
      </c>
      <c r="G31" s="144">
        <f t="shared" si="1"/>
        <v>-5.1993029309026551E-2</v>
      </c>
      <c r="H31" s="117" t="s">
        <v>120</v>
      </c>
    </row>
    <row r="32" spans="1:8" ht="42" customHeight="1">
      <c r="A32" s="94">
        <v>75127885</v>
      </c>
      <c r="B32" s="91">
        <v>5161</v>
      </c>
      <c r="C32" s="101" t="s">
        <v>165</v>
      </c>
      <c r="D32" s="94">
        <v>61573950</v>
      </c>
      <c r="E32" s="94">
        <v>77022018</v>
      </c>
      <c r="F32" s="69">
        <f t="shared" si="0"/>
        <v>-15448068</v>
      </c>
      <c r="G32" s="144">
        <f t="shared" si="1"/>
        <v>-0.20056690802362515</v>
      </c>
      <c r="H32" s="117" t="s">
        <v>120</v>
      </c>
    </row>
    <row r="33" spans="1:8" ht="42" customHeight="1">
      <c r="A33" s="94">
        <v>48027509</v>
      </c>
      <c r="B33" s="91">
        <v>5162</v>
      </c>
      <c r="C33" s="101" t="s">
        <v>167</v>
      </c>
      <c r="D33" s="94">
        <f>58736790-7000000</f>
        <v>51736790</v>
      </c>
      <c r="E33" s="94">
        <v>42443300</v>
      </c>
      <c r="F33" s="69">
        <f t="shared" si="0"/>
        <v>9293490</v>
      </c>
      <c r="G33" s="144">
        <f t="shared" si="1"/>
        <v>0.21896247464264088</v>
      </c>
      <c r="H33" s="117" t="s">
        <v>120</v>
      </c>
    </row>
    <row r="34" spans="1:8" ht="42" customHeight="1">
      <c r="A34" s="94">
        <v>50400</v>
      </c>
      <c r="B34" s="91">
        <v>5163</v>
      </c>
      <c r="C34" s="101" t="s">
        <v>191</v>
      </c>
      <c r="D34" s="94">
        <v>100000</v>
      </c>
      <c r="E34" s="94">
        <v>0</v>
      </c>
      <c r="F34" s="69">
        <f t="shared" si="0"/>
        <v>100000</v>
      </c>
      <c r="G34" s="144"/>
      <c r="H34" s="117" t="s">
        <v>120</v>
      </c>
    </row>
    <row r="35" spans="1:8" ht="42" customHeight="1">
      <c r="A35" s="94">
        <v>258531</v>
      </c>
      <c r="B35" s="91">
        <v>5164</v>
      </c>
      <c r="C35" s="101" t="s">
        <v>169</v>
      </c>
      <c r="D35" s="94">
        <v>242500</v>
      </c>
      <c r="E35" s="94">
        <v>505572</v>
      </c>
      <c r="F35" s="69">
        <f t="shared" si="0"/>
        <v>-263072</v>
      </c>
      <c r="G35" s="144">
        <f t="shared" si="1"/>
        <v>-0.52034527228564875</v>
      </c>
      <c r="H35" s="117" t="s">
        <v>120</v>
      </c>
    </row>
    <row r="36" spans="1:8" ht="42" customHeight="1">
      <c r="A36" s="94">
        <v>70350</v>
      </c>
      <c r="B36" s="91">
        <v>5166</v>
      </c>
      <c r="C36" s="101" t="s">
        <v>192</v>
      </c>
      <c r="D36" s="94">
        <v>80000</v>
      </c>
      <c r="E36" s="94">
        <v>0</v>
      </c>
      <c r="F36" s="69">
        <f t="shared" si="0"/>
        <v>80000</v>
      </c>
      <c r="G36" s="144"/>
      <c r="H36" s="117" t="s">
        <v>120</v>
      </c>
    </row>
    <row r="37" spans="1:8" ht="42" customHeight="1">
      <c r="A37" s="94">
        <f>SUM(A38)</f>
        <v>11019426</v>
      </c>
      <c r="B37" s="91">
        <v>5190</v>
      </c>
      <c r="C37" s="101" t="s">
        <v>193</v>
      </c>
      <c r="D37" s="94">
        <f>SUM(D38)</f>
        <v>12515563</v>
      </c>
      <c r="E37" s="94">
        <f>SUM(E38)</f>
        <v>10090556</v>
      </c>
      <c r="F37" s="69">
        <f t="shared" si="0"/>
        <v>2425007</v>
      </c>
      <c r="G37" s="144">
        <f t="shared" si="1"/>
        <v>0.24032441819856112</v>
      </c>
      <c r="H37" s="92"/>
    </row>
    <row r="38" spans="1:8" ht="39.6">
      <c r="A38" s="94">
        <v>11019426</v>
      </c>
      <c r="B38" s="91">
        <v>5191</v>
      </c>
      <c r="C38" s="101" t="s">
        <v>194</v>
      </c>
      <c r="D38" s="94">
        <v>12515563</v>
      </c>
      <c r="E38" s="94">
        <v>10090556</v>
      </c>
      <c r="F38" s="69">
        <f t="shared" si="0"/>
        <v>2425007</v>
      </c>
      <c r="G38" s="144">
        <f t="shared" si="1"/>
        <v>0.24032441819856112</v>
      </c>
      <c r="H38" s="146" t="s">
        <v>195</v>
      </c>
    </row>
    <row r="39" spans="1:8">
      <c r="A39" s="94">
        <f>SUM(A40:A41)</f>
        <v>14386970</v>
      </c>
      <c r="B39" s="91" t="s">
        <v>196</v>
      </c>
      <c r="C39" s="101" t="s">
        <v>197</v>
      </c>
      <c r="D39" s="94">
        <f>SUM(D40:D41)</f>
        <v>36298748</v>
      </c>
      <c r="E39" s="94">
        <f>SUM(E40:E41)</f>
        <v>14122808</v>
      </c>
      <c r="F39" s="69">
        <f t="shared" si="0"/>
        <v>22175940</v>
      </c>
      <c r="G39" s="144">
        <f t="shared" si="1"/>
        <v>1.5702217292765008</v>
      </c>
      <c r="H39" s="92"/>
    </row>
    <row r="40" spans="1:8">
      <c r="A40" s="94">
        <v>12232157</v>
      </c>
      <c r="B40" s="91" t="s">
        <v>198</v>
      </c>
      <c r="C40" s="101" t="s">
        <v>199</v>
      </c>
      <c r="D40" s="94">
        <v>9500000</v>
      </c>
      <c r="E40" s="94">
        <v>11103113</v>
      </c>
      <c r="F40" s="69">
        <f t="shared" si="0"/>
        <v>-1603113</v>
      </c>
      <c r="G40" s="144">
        <f t="shared" si="1"/>
        <v>-0.14438410200814852</v>
      </c>
      <c r="H40" s="92"/>
    </row>
    <row r="41" spans="1:8">
      <c r="A41" s="94">
        <v>2154813</v>
      </c>
      <c r="B41" s="91" t="s">
        <v>200</v>
      </c>
      <c r="C41" s="92" t="s">
        <v>201</v>
      </c>
      <c r="D41" s="94">
        <v>26798748</v>
      </c>
      <c r="E41" s="94">
        <v>3019695</v>
      </c>
      <c r="F41" s="69">
        <f t="shared" si="0"/>
        <v>23779053</v>
      </c>
      <c r="G41" s="144">
        <f t="shared" si="1"/>
        <v>7.8746538971651114</v>
      </c>
      <c r="H41" s="92"/>
    </row>
    <row r="42" spans="1:8">
      <c r="A42" s="111">
        <f>A3+A9+A15+A21+A25+A31+A37+A39</f>
        <v>2227002586</v>
      </c>
      <c r="B42" s="139" t="s">
        <v>202</v>
      </c>
      <c r="C42" s="140"/>
      <c r="D42" s="94">
        <f>D3+D9+D15+D21+D25+D31+D37+D39</f>
        <v>2196071761</v>
      </c>
      <c r="E42" s="94">
        <f>E3+E9+E15+E21+E25+E31+E37+E39</f>
        <v>2138613159</v>
      </c>
      <c r="F42" s="69">
        <f t="shared" si="0"/>
        <v>57458602</v>
      </c>
      <c r="G42" s="144">
        <f t="shared" si="1"/>
        <v>2.6867225499943723E-2</v>
      </c>
      <c r="H42" s="92"/>
    </row>
    <row r="49" spans="6:6">
      <c r="F49" s="67"/>
    </row>
    <row r="50" spans="6:6">
      <c r="F50" s="67"/>
    </row>
    <row r="51" spans="6:6">
      <c r="F51" s="67"/>
    </row>
    <row r="52" spans="6:6">
      <c r="F52" s="67"/>
    </row>
    <row r="53" spans="6:6">
      <c r="F53" s="67"/>
    </row>
    <row r="54" spans="6:6">
      <c r="F54" s="67"/>
    </row>
    <row r="55" spans="6:6">
      <c r="F55" s="67"/>
    </row>
    <row r="56" spans="6:6">
      <c r="F56" s="67"/>
    </row>
    <row r="57" spans="6:6">
      <c r="F57" s="67"/>
    </row>
    <row r="58" spans="6:6">
      <c r="F58" s="67"/>
    </row>
    <row r="59" spans="6:6">
      <c r="F59" s="67"/>
    </row>
    <row r="60" spans="6:6">
      <c r="F60" s="67"/>
    </row>
    <row r="61" spans="6:6">
      <c r="F61" s="67"/>
    </row>
    <row r="62" spans="6:6">
      <c r="F62" s="67"/>
    </row>
    <row r="63" spans="6:6">
      <c r="F63" s="67"/>
    </row>
    <row r="64" spans="6:6">
      <c r="F64" s="67"/>
    </row>
    <row r="65" spans="6:6">
      <c r="F65" s="67"/>
    </row>
    <row r="66" spans="6:6">
      <c r="F66" s="67"/>
    </row>
    <row r="67" spans="6:6">
      <c r="F67" s="67"/>
    </row>
    <row r="68" spans="6:6">
      <c r="F68" s="67"/>
    </row>
    <row r="69" spans="6:6">
      <c r="F69" s="67"/>
    </row>
    <row r="70" spans="6:6">
      <c r="F70" s="67"/>
    </row>
    <row r="71" spans="6:6">
      <c r="F71" s="67"/>
    </row>
    <row r="72" spans="6:6">
      <c r="F72" s="67"/>
    </row>
    <row r="73" spans="6:6">
      <c r="F73" s="67"/>
    </row>
    <row r="74" spans="6:6">
      <c r="F74" s="67"/>
    </row>
    <row r="75" spans="6:6">
      <c r="F75" s="67"/>
    </row>
    <row r="78" spans="6:6">
      <c r="F78" s="67"/>
    </row>
    <row r="79" spans="6:6">
      <c r="F79" s="67"/>
    </row>
    <row r="80" spans="6:6">
      <c r="F80" s="67"/>
    </row>
    <row r="81" spans="6:6">
      <c r="F81" s="67"/>
    </row>
    <row r="82" spans="6:6">
      <c r="F82" s="67"/>
    </row>
    <row r="83" spans="6:6">
      <c r="F83" s="67"/>
    </row>
    <row r="84" spans="6:6">
      <c r="F84" s="67"/>
    </row>
    <row r="85" spans="6:6">
      <c r="F85" s="67"/>
    </row>
    <row r="86" spans="6:6">
      <c r="F86" s="67"/>
    </row>
    <row r="87" spans="6:6">
      <c r="F87" s="67"/>
    </row>
    <row r="88" spans="6:6">
      <c r="F88" s="67"/>
    </row>
    <row r="89" spans="6:6">
      <c r="F89" s="67"/>
    </row>
    <row r="90" spans="6:6">
      <c r="F90" s="67"/>
    </row>
    <row r="91" spans="6:6">
      <c r="F91" s="67"/>
    </row>
    <row r="92" spans="6:6">
      <c r="F92" s="67"/>
    </row>
    <row r="93" spans="6:6">
      <c r="F93" s="67"/>
    </row>
    <row r="94" spans="6:6">
      <c r="F94" s="67"/>
    </row>
  </sheetData>
  <mergeCells count="7">
    <mergeCell ref="H1:H2"/>
    <mergeCell ref="B42:C42"/>
    <mergeCell ref="A1:A2"/>
    <mergeCell ref="B1:C1"/>
    <mergeCell ref="D1:D2"/>
    <mergeCell ref="E1:E2"/>
    <mergeCell ref="F1:G1"/>
  </mergeCells>
  <phoneticPr fontId="2" type="noConversion"/>
  <pageMargins left="0.75" right="0.75" top="1" bottom="1" header="0.5" footer="0.5"/>
  <pageSetup paperSize="9" scale="6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6" sqref="C6"/>
    </sheetView>
  </sheetViews>
  <sheetFormatPr defaultRowHeight="21"/>
  <cols>
    <col min="1" max="1" width="18.88671875" style="67" customWidth="1"/>
    <col min="2" max="2" width="7.44140625" style="67" customWidth="1"/>
    <col min="3" max="3" width="25" style="67" customWidth="1"/>
    <col min="4" max="4" width="17.6640625" style="67" customWidth="1"/>
    <col min="5" max="5" width="16.88671875" style="67" customWidth="1"/>
    <col min="6" max="6" width="17.6640625" style="67" customWidth="1"/>
    <col min="7" max="7" width="9.5546875" style="67" customWidth="1"/>
    <col min="8" max="8" width="19.33203125" style="67" customWidth="1"/>
    <col min="9" max="16384" width="8.88671875" style="67"/>
  </cols>
  <sheetData>
    <row r="1" spans="1:8" ht="18" customHeight="1">
      <c r="A1" s="49" t="s">
        <v>105</v>
      </c>
      <c r="B1" s="140" t="s">
        <v>157</v>
      </c>
      <c r="C1" s="79"/>
      <c r="D1" s="107" t="s">
        <v>107</v>
      </c>
      <c r="E1" s="49" t="s">
        <v>158</v>
      </c>
      <c r="F1" s="108" t="s">
        <v>159</v>
      </c>
      <c r="G1" s="108"/>
      <c r="H1" s="107" t="s">
        <v>160</v>
      </c>
    </row>
    <row r="2" spans="1:8" ht="18" customHeight="1">
      <c r="A2" s="56"/>
      <c r="B2" s="60" t="s">
        <v>203</v>
      </c>
      <c r="C2" s="83" t="s">
        <v>162</v>
      </c>
      <c r="D2" s="107"/>
      <c r="E2" s="56"/>
      <c r="F2" s="143" t="s">
        <v>163</v>
      </c>
      <c r="G2" s="110" t="s">
        <v>114</v>
      </c>
      <c r="H2" s="107"/>
    </row>
    <row r="3" spans="1:8" ht="40.200000000000003" customHeight="1">
      <c r="A3" s="94">
        <f>SUM(A4)</f>
        <v>0</v>
      </c>
      <c r="B3" s="91">
        <v>1310</v>
      </c>
      <c r="C3" s="148" t="s">
        <v>204</v>
      </c>
      <c r="D3" s="94"/>
      <c r="E3" s="102"/>
      <c r="F3" s="149"/>
      <c r="G3" s="144"/>
      <c r="H3" s="102"/>
    </row>
    <row r="4" spans="1:8" ht="40.200000000000003" customHeight="1">
      <c r="A4" s="94"/>
      <c r="B4" s="91">
        <v>1311</v>
      </c>
      <c r="C4" s="148" t="s">
        <v>40</v>
      </c>
      <c r="D4" s="94"/>
      <c r="E4" s="102"/>
      <c r="F4" s="149"/>
      <c r="G4" s="144"/>
      <c r="H4" s="102"/>
    </row>
    <row r="5" spans="1:8" ht="40.200000000000003" customHeight="1">
      <c r="A5" s="94">
        <f>SUM(A6)</f>
        <v>5880000</v>
      </c>
      <c r="B5" s="91">
        <v>1320</v>
      </c>
      <c r="C5" s="148" t="s">
        <v>205</v>
      </c>
      <c r="D5" s="111">
        <f>SUM(D6)</f>
        <v>0</v>
      </c>
      <c r="E5" s="111">
        <f>SUM(E6)</f>
        <v>0</v>
      </c>
      <c r="F5" s="149"/>
      <c r="G5" s="144"/>
      <c r="H5" s="102"/>
    </row>
    <row r="6" spans="1:8" ht="40.200000000000003" customHeight="1">
      <c r="A6" s="94">
        <v>5880000</v>
      </c>
      <c r="B6" s="91">
        <v>1321</v>
      </c>
      <c r="C6" s="148" t="s">
        <v>41</v>
      </c>
      <c r="D6" s="94"/>
      <c r="E6" s="102"/>
      <c r="F6" s="149"/>
      <c r="G6" s="144"/>
      <c r="H6" s="102"/>
    </row>
    <row r="7" spans="1:8" ht="40.200000000000003" customHeight="1">
      <c r="A7" s="94">
        <f>SUM(A8)</f>
        <v>16230000</v>
      </c>
      <c r="B7" s="91">
        <v>1330</v>
      </c>
      <c r="C7" s="148" t="s">
        <v>206</v>
      </c>
      <c r="D7" s="111">
        <f>SUM(D8)</f>
        <v>0</v>
      </c>
      <c r="E7" s="111">
        <f>SUM(E8)</f>
        <v>49314364</v>
      </c>
      <c r="F7" s="149">
        <f t="shared" ref="F7:F23" si="0">D7-E7</f>
        <v>-49314364</v>
      </c>
      <c r="G7" s="144"/>
      <c r="H7" s="102"/>
    </row>
    <row r="8" spans="1:8" ht="40.200000000000003" customHeight="1">
      <c r="A8" s="94">
        <v>16230000</v>
      </c>
      <c r="B8" s="91">
        <v>1331</v>
      </c>
      <c r="C8" s="148" t="s">
        <v>207</v>
      </c>
      <c r="D8" s="94"/>
      <c r="E8" s="94">
        <v>49314364</v>
      </c>
      <c r="F8" s="149">
        <f t="shared" si="0"/>
        <v>-49314364</v>
      </c>
      <c r="G8" s="144"/>
      <c r="H8" s="150"/>
    </row>
    <row r="9" spans="1:8" ht="40.200000000000003" customHeight="1">
      <c r="A9" s="94">
        <f>SUM(A10)</f>
        <v>74388992</v>
      </c>
      <c r="B9" s="91">
        <v>1340</v>
      </c>
      <c r="C9" s="151" t="s">
        <v>208</v>
      </c>
      <c r="D9" s="94">
        <f>SUM(D10)</f>
        <v>101919681</v>
      </c>
      <c r="E9" s="94">
        <f>SUM(E10)</f>
        <v>59062370</v>
      </c>
      <c r="F9" s="149">
        <f t="shared" si="0"/>
        <v>42857311</v>
      </c>
      <c r="G9" s="144">
        <f t="shared" ref="G9:G23" si="1">F9/E9</f>
        <v>0.72562802677914884</v>
      </c>
      <c r="H9" s="102"/>
    </row>
    <row r="10" spans="1:8" ht="40.200000000000003" customHeight="1">
      <c r="A10" s="94">
        <v>74388992</v>
      </c>
      <c r="B10" s="91">
        <v>1341</v>
      </c>
      <c r="C10" s="151" t="s">
        <v>209</v>
      </c>
      <c r="D10" s="94">
        <v>101919681</v>
      </c>
      <c r="E10" s="94">
        <v>59062370</v>
      </c>
      <c r="F10" s="149">
        <f t="shared" si="0"/>
        <v>42857311</v>
      </c>
      <c r="G10" s="144">
        <f t="shared" si="1"/>
        <v>0.72562802677914884</v>
      </c>
      <c r="H10" s="102"/>
    </row>
    <row r="11" spans="1:8" ht="40.200000000000003" customHeight="1">
      <c r="A11" s="94">
        <f>SUM(A12:A13)</f>
        <v>59679041</v>
      </c>
      <c r="B11" s="91">
        <v>1350</v>
      </c>
      <c r="C11" s="151" t="s">
        <v>210</v>
      </c>
      <c r="D11" s="94">
        <f>SUM(D12)</f>
        <v>50500000</v>
      </c>
      <c r="E11" s="94">
        <f>SUM(E12)</f>
        <v>53053736</v>
      </c>
      <c r="F11" s="149">
        <f t="shared" si="0"/>
        <v>-2553736</v>
      </c>
      <c r="G11" s="144">
        <f t="shared" si="1"/>
        <v>-4.8134894779134872E-2</v>
      </c>
      <c r="H11" s="102"/>
    </row>
    <row r="12" spans="1:8" ht="40.200000000000003" customHeight="1">
      <c r="A12" s="94">
        <v>59679041</v>
      </c>
      <c r="B12" s="91">
        <v>1351</v>
      </c>
      <c r="C12" s="151" t="s">
        <v>211</v>
      </c>
      <c r="D12" s="94">
        <v>50500000</v>
      </c>
      <c r="E12" s="94">
        <v>53053736</v>
      </c>
      <c r="F12" s="149">
        <f t="shared" si="0"/>
        <v>-2553736</v>
      </c>
      <c r="G12" s="144">
        <f t="shared" si="1"/>
        <v>-4.8134894779134872E-2</v>
      </c>
      <c r="H12" s="102"/>
    </row>
    <row r="13" spans="1:8" ht="40.200000000000003" customHeight="1">
      <c r="A13" s="94">
        <v>0</v>
      </c>
      <c r="B13" s="91">
        <v>1352</v>
      </c>
      <c r="C13" s="151" t="s">
        <v>212</v>
      </c>
      <c r="D13" s="94"/>
      <c r="E13" s="94"/>
      <c r="F13" s="149"/>
      <c r="G13" s="144"/>
      <c r="H13" s="102"/>
    </row>
    <row r="14" spans="1:8" ht="40.200000000000003" customHeight="1">
      <c r="A14" s="94">
        <f>SUM(A15)</f>
        <v>19494520</v>
      </c>
      <c r="B14" s="91">
        <v>1360</v>
      </c>
      <c r="C14" s="151" t="s">
        <v>213</v>
      </c>
      <c r="D14" s="94">
        <f>SUM(D15)</f>
        <v>36019052</v>
      </c>
      <c r="E14" s="94">
        <f>SUM(E15)</f>
        <v>23482916</v>
      </c>
      <c r="F14" s="149">
        <f t="shared" si="0"/>
        <v>12536136</v>
      </c>
      <c r="G14" s="144">
        <f t="shared" si="1"/>
        <v>0.53384068656550154</v>
      </c>
      <c r="H14" s="102"/>
    </row>
    <row r="15" spans="1:8" ht="40.200000000000003" customHeight="1">
      <c r="A15" s="94">
        <v>19494520</v>
      </c>
      <c r="B15" s="91">
        <v>1361</v>
      </c>
      <c r="C15" s="151" t="s">
        <v>214</v>
      </c>
      <c r="D15" s="94">
        <v>36019052</v>
      </c>
      <c r="E15" s="94">
        <v>23482916</v>
      </c>
      <c r="F15" s="149">
        <f t="shared" si="0"/>
        <v>12536136</v>
      </c>
      <c r="G15" s="144">
        <f t="shared" si="1"/>
        <v>0.53384068656550154</v>
      </c>
      <c r="H15" s="102"/>
    </row>
    <row r="16" spans="1:8" ht="40.200000000000003" customHeight="1">
      <c r="A16" s="94">
        <f>SUM(A17:A19)</f>
        <v>8640106</v>
      </c>
      <c r="B16" s="91">
        <v>1370</v>
      </c>
      <c r="C16" s="148" t="s">
        <v>215</v>
      </c>
      <c r="D16" s="111">
        <f>SUM(D17:D19)</f>
        <v>164000000</v>
      </c>
      <c r="E16" s="94">
        <f>SUM(E18:E19)</f>
        <v>81984863</v>
      </c>
      <c r="F16" s="149">
        <f t="shared" si="0"/>
        <v>82015137</v>
      </c>
      <c r="G16" s="144">
        <f t="shared" si="1"/>
        <v>1.0003692632870533</v>
      </c>
      <c r="H16" s="102"/>
    </row>
    <row r="17" spans="1:8" ht="40.200000000000003" customHeight="1">
      <c r="A17" s="94"/>
      <c r="B17" s="91">
        <v>1371</v>
      </c>
      <c r="C17" s="152" t="s">
        <v>216</v>
      </c>
      <c r="D17" s="94"/>
      <c r="E17" s="102"/>
      <c r="F17" s="149"/>
      <c r="G17" s="144"/>
      <c r="H17" s="102"/>
    </row>
    <row r="18" spans="1:8" ht="40.200000000000003" customHeight="1">
      <c r="A18" s="94"/>
      <c r="B18" s="91">
        <v>1372</v>
      </c>
      <c r="C18" s="153" t="s">
        <v>217</v>
      </c>
      <c r="D18" s="102"/>
      <c r="E18" s="94">
        <v>650000</v>
      </c>
      <c r="F18" s="149">
        <f t="shared" si="0"/>
        <v>-650000</v>
      </c>
      <c r="G18" s="144"/>
      <c r="H18" s="102"/>
    </row>
    <row r="19" spans="1:8" ht="40.200000000000003" customHeight="1">
      <c r="A19" s="94">
        <v>8640106</v>
      </c>
      <c r="B19" s="91">
        <v>1373</v>
      </c>
      <c r="C19" s="151" t="s">
        <v>218</v>
      </c>
      <c r="D19" s="94">
        <v>164000000</v>
      </c>
      <c r="E19" s="94">
        <v>81334863</v>
      </c>
      <c r="F19" s="149">
        <f t="shared" si="0"/>
        <v>82665137</v>
      </c>
      <c r="G19" s="144">
        <f t="shared" si="1"/>
        <v>1.0163555202644161</v>
      </c>
      <c r="H19" s="102"/>
    </row>
    <row r="20" spans="1:8" ht="40.200000000000003" customHeight="1">
      <c r="A20" s="94">
        <f>SUM(A21)</f>
        <v>0</v>
      </c>
      <c r="B20" s="91">
        <v>1390</v>
      </c>
      <c r="C20" s="151" t="s">
        <v>219</v>
      </c>
      <c r="D20" s="102"/>
      <c r="E20" s="94"/>
      <c r="F20" s="149"/>
      <c r="G20" s="144"/>
      <c r="H20" s="102"/>
    </row>
    <row r="21" spans="1:8" ht="40.200000000000003" customHeight="1">
      <c r="A21" s="94"/>
      <c r="B21" s="91">
        <v>1391</v>
      </c>
      <c r="C21" s="151" t="s">
        <v>220</v>
      </c>
      <c r="D21" s="102"/>
      <c r="E21" s="94"/>
      <c r="F21" s="149"/>
      <c r="G21" s="144"/>
      <c r="H21" s="102"/>
    </row>
    <row r="22" spans="1:8" ht="40.200000000000003" customHeight="1">
      <c r="A22" s="94">
        <f>SUM(A23)</f>
        <v>8785866</v>
      </c>
      <c r="B22" s="91">
        <v>1420</v>
      </c>
      <c r="C22" s="151" t="s">
        <v>221</v>
      </c>
      <c r="D22" s="111">
        <f>SUM(D23)</f>
        <v>12076325</v>
      </c>
      <c r="E22" s="111">
        <f>SUM(E23)</f>
        <v>11439235</v>
      </c>
      <c r="F22" s="149">
        <f t="shared" si="0"/>
        <v>637090</v>
      </c>
      <c r="G22" s="144">
        <f t="shared" si="1"/>
        <v>5.5693409568034924E-2</v>
      </c>
      <c r="H22" s="102"/>
    </row>
    <row r="23" spans="1:8" ht="40.200000000000003" customHeight="1">
      <c r="A23" s="94">
        <v>8785866</v>
      </c>
      <c r="B23" s="91">
        <v>1421</v>
      </c>
      <c r="C23" s="151" t="s">
        <v>222</v>
      </c>
      <c r="D23" s="94">
        <v>12076325</v>
      </c>
      <c r="E23" s="94">
        <v>11439235</v>
      </c>
      <c r="F23" s="149">
        <f t="shared" si="0"/>
        <v>637090</v>
      </c>
      <c r="G23" s="144">
        <f t="shared" si="1"/>
        <v>5.5693409568034924E-2</v>
      </c>
      <c r="H23" s="102"/>
    </row>
    <row r="24" spans="1:8" ht="40.200000000000003" customHeight="1">
      <c r="A24" s="94"/>
      <c r="B24" s="154"/>
      <c r="C24" s="155"/>
      <c r="D24" s="102"/>
      <c r="E24" s="102"/>
      <c r="F24" s="69"/>
      <c r="G24" s="127"/>
      <c r="H24" s="102"/>
    </row>
    <row r="25" spans="1:8" ht="40.200000000000003" customHeight="1">
      <c r="A25" s="94">
        <f>A3+A5+A7+A9+A11+A14+A16+A20+A22</f>
        <v>193098525</v>
      </c>
      <c r="B25" s="156" t="s">
        <v>223</v>
      </c>
      <c r="C25" s="157"/>
      <c r="D25" s="111">
        <f>D3+D5+D7+D9+D11+D14+D16+D22</f>
        <v>364515058</v>
      </c>
      <c r="E25" s="111">
        <f>E3+E5+E7+E9+E11+E14+E16+E22</f>
        <v>278337484</v>
      </c>
      <c r="F25" s="69">
        <f>F3+F5+F7+F9+F11+F14+F16+F22</f>
        <v>86177574</v>
      </c>
      <c r="G25" s="144">
        <f>F25/E25</f>
        <v>0.30961540918434111</v>
      </c>
      <c r="H25" s="102"/>
    </row>
    <row r="26" spans="1:8">
      <c r="F26" s="147"/>
    </row>
  </sheetData>
  <mergeCells count="7">
    <mergeCell ref="B25:C25"/>
    <mergeCell ref="A1:A2"/>
    <mergeCell ref="B1:C1"/>
    <mergeCell ref="D1:D2"/>
    <mergeCell ref="E1:E2"/>
    <mergeCell ref="F1:G1"/>
    <mergeCell ref="H1:H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302收支餘絀預計表</vt:lpstr>
      <vt:lpstr>303固定資產預計增減變動表</vt:lpstr>
      <vt:lpstr>305借入款預計表</vt:lpstr>
      <vt:lpstr>306收入預算明細表</vt:lpstr>
      <vt:lpstr>307支出預算明細表-經常門</vt:lpstr>
      <vt:lpstr>307支出預算明細表-資本門</vt:lpstr>
    </vt:vector>
  </TitlesOfParts>
  <Company>MCU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2011-09-02T01:09:07Z</cp:lastPrinted>
  <dcterms:created xsi:type="dcterms:W3CDTF">2005-09-22T06:37:49Z</dcterms:created>
  <dcterms:modified xsi:type="dcterms:W3CDTF">2011-09-02T01:10:36Z</dcterms:modified>
</cp:coreProperties>
</file>