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esktop\"/>
    </mc:Choice>
  </mc:AlternateContent>
  <xr:revisionPtr revIDLastSave="0" documentId="13_ncr:1_{D78F0E02-98E0-4D0A-917A-9C6485E84B3C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GRADEAMENTO" sheetId="1" r:id="rId1"/>
    <sheet name="CALHA PARSHAL" sheetId="2" r:id="rId2"/>
    <sheet name="CAIXA DE AREIA" sheetId="3" r:id="rId3"/>
    <sheet name="UASB+Lag. aer. ar sup.+lag. de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7" i="4" l="1"/>
  <c r="T36" i="4"/>
  <c r="M66" i="4"/>
  <c r="E124" i="4"/>
  <c r="E49" i="4"/>
  <c r="E33" i="4"/>
  <c r="F31" i="4"/>
  <c r="H29" i="4"/>
  <c r="E10" i="4"/>
  <c r="B10" i="4"/>
  <c r="F43" i="3"/>
  <c r="F35" i="3"/>
  <c r="F6" i="3"/>
  <c r="F18" i="2"/>
  <c r="F6" i="2"/>
  <c r="C12" i="3"/>
  <c r="F7" i="2"/>
  <c r="F5" i="2"/>
  <c r="M59" i="1"/>
  <c r="M60" i="1"/>
  <c r="H59" i="1"/>
  <c r="F59" i="1"/>
  <c r="F50" i="1"/>
  <c r="F46" i="1"/>
  <c r="F29" i="1"/>
  <c r="F8" i="1"/>
  <c r="M80" i="4"/>
  <c r="S9" i="4"/>
  <c r="M86" i="4"/>
  <c r="B14" i="4"/>
  <c r="E134" i="4"/>
  <c r="M9" i="4"/>
  <c r="M18" i="4" s="1"/>
  <c r="M29" i="4" s="1"/>
  <c r="N35" i="4" s="1"/>
  <c r="E59" i="4"/>
  <c r="B12" i="4"/>
  <c r="E18" i="4" s="1"/>
  <c r="E27" i="4" s="1"/>
  <c r="E75" i="4" l="1"/>
  <c r="M72" i="4"/>
  <c r="T15" i="4" s="1"/>
  <c r="T19" i="4" s="1"/>
  <c r="S25" i="4" s="1"/>
  <c r="S34" i="4" s="1"/>
  <c r="B23" i="4" s="1"/>
  <c r="M88" i="4"/>
  <c r="M94" i="4" s="1"/>
  <c r="M101" i="4" s="1"/>
  <c r="M102" i="4" s="1"/>
  <c r="M114" i="4" s="1"/>
  <c r="M115" i="4" s="1"/>
  <c r="O117" i="4" s="1"/>
  <c r="O118" i="4" s="1"/>
  <c r="N36" i="4"/>
  <c r="N38" i="4"/>
  <c r="N39" i="4" s="1"/>
  <c r="M50" i="4" s="1"/>
  <c r="F87" i="4"/>
  <c r="F24" i="3"/>
  <c r="F12" i="2"/>
  <c r="F16" i="2" s="1"/>
  <c r="O27" i="1"/>
  <c r="N27" i="1"/>
  <c r="H27" i="1"/>
  <c r="G27" i="1"/>
  <c r="M54" i="1"/>
  <c r="F54" i="1"/>
  <c r="M42" i="1"/>
  <c r="F42" i="1"/>
  <c r="M37" i="1"/>
  <c r="F37" i="1"/>
  <c r="M27" i="1"/>
  <c r="F27" i="1"/>
  <c r="F13" i="1"/>
  <c r="M13" i="1"/>
  <c r="M8" i="1"/>
  <c r="M46" i="1" s="1"/>
  <c r="H29" i="1"/>
  <c r="H32" i="1" s="1"/>
  <c r="B21" i="4" l="1"/>
  <c r="O29" i="1"/>
  <c r="O32" i="1" s="1"/>
  <c r="G29" i="1"/>
  <c r="G32" i="1" s="1"/>
  <c r="N29" i="1"/>
  <c r="N32" i="1" s="1"/>
  <c r="F17" i="2"/>
  <c r="F93" i="4"/>
  <c r="F94" i="4" s="1"/>
  <c r="E100" i="4"/>
  <c r="E50" i="4"/>
  <c r="E66" i="4" s="1"/>
  <c r="N50" i="4"/>
  <c r="N51" i="4" s="1"/>
  <c r="M125" i="4"/>
  <c r="M49" i="4"/>
  <c r="M51" i="4"/>
  <c r="F32" i="1"/>
  <c r="M29" i="1"/>
  <c r="M32" i="1" s="1"/>
  <c r="M18" i="1"/>
  <c r="M23" i="1" s="1"/>
  <c r="M50" i="1"/>
  <c r="M55" i="1"/>
  <c r="F18" i="1"/>
  <c r="F23" i="1" s="1"/>
  <c r="N49" i="4" l="1"/>
  <c r="N48" i="4" s="1"/>
  <c r="E106" i="4"/>
  <c r="E114" i="4" s="1"/>
  <c r="M48" i="4"/>
  <c r="F55" i="1"/>
  <c r="B22" i="4" l="1"/>
  <c r="M58" i="4"/>
  <c r="F11" i="3"/>
  <c r="H11" i="3" s="1"/>
  <c r="F14" i="3" l="1"/>
  <c r="F18" i="3" s="1"/>
  <c r="F29" i="3"/>
  <c r="F40" i="3"/>
  <c r="H43" i="3" s="1"/>
  <c r="F16" i="3"/>
  <c r="F20" i="3" s="1"/>
  <c r="F15" i="3"/>
  <c r="F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N13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Entre 2,5 e 5m</t>
        </r>
      </text>
    </comment>
    <comment ref="E18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De 500 a 200m³</t>
        </r>
      </text>
    </comment>
    <comment ref="F22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De 3,5 a 5,5m
</t>
        </r>
      </text>
    </comment>
    <comment ref="H44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Entre 2 e 3m²</t>
        </r>
      </text>
    </comment>
    <comment ref="M58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Típico: 1000 a 3000 KgDBO/há dia
</t>
        </r>
      </text>
    </comment>
    <comment ref="E66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Inferior a 0,2m/s</t>
        </r>
      </text>
    </comment>
    <comment ref="E75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Típico entre 0,5 e 0,7 m/h
</t>
        </r>
      </text>
    </comment>
    <comment ref="F81" authorId="0" shapeId="0" xr:uid="{00000000-0006-0000-0300-000008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2,5 a 3,5m</t>
        </r>
      </text>
    </comment>
    <comment ref="E114" authorId="0" shapeId="0" xr:uid="{00000000-0006-0000-0300-000009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&lt;2,3m/h</t>
        </r>
      </text>
    </comment>
    <comment ref="M125" authorId="0" shapeId="0" xr:uid="{00000000-0006-0000-0300-00000A000000}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&gt;3W/m³</t>
        </r>
      </text>
    </comment>
  </commentList>
</comments>
</file>

<file path=xl/sharedStrings.xml><?xml version="1.0" encoding="utf-8"?>
<sst xmlns="http://schemas.openxmlformats.org/spreadsheetml/2006/main" count="306" uniqueCount="239">
  <si>
    <t>SISTEMA DE GRADEAMENTO</t>
  </si>
  <si>
    <t>DADOS:</t>
  </si>
  <si>
    <t>Seção de cada barra [mm]:</t>
  </si>
  <si>
    <t>8x40</t>
  </si>
  <si>
    <t>GROSSA:</t>
  </si>
  <si>
    <t>MÉDIA:</t>
  </si>
  <si>
    <t>Velocidade de passagem [m/s]:</t>
  </si>
  <si>
    <t>t:</t>
  </si>
  <si>
    <t>Obstrução máxima permitida:</t>
  </si>
  <si>
    <t>Limpeza Manual:</t>
  </si>
  <si>
    <t>Limpeza Mecanizada:</t>
  </si>
  <si>
    <t>Espaçamento entre barras (a) [cm]</t>
  </si>
  <si>
    <t>1°) EFICIÊNCIA (pela fórmula):</t>
  </si>
  <si>
    <t>E=</t>
  </si>
  <si>
    <t>Perda de carga mínima [m]</t>
  </si>
  <si>
    <t>2°) ÁREA ÚTIL:</t>
  </si>
  <si>
    <t>Au [m^2]=</t>
  </si>
  <si>
    <t>3°) ÁREA TOTAL DA SEÇÃO DO CANAL:</t>
  </si>
  <si>
    <t>A_T [m^2]=</t>
  </si>
  <si>
    <t>4°) LARGURA DO CANAL DA GRADE:</t>
  </si>
  <si>
    <t>b [m]=</t>
  </si>
  <si>
    <t>Arredondamento:</t>
  </si>
  <si>
    <t>5° Verificação da velocidade na grade:</t>
  </si>
  <si>
    <t>A_T [m^2] =</t>
  </si>
  <si>
    <t>v [m/s]=</t>
  </si>
  <si>
    <t>6°) Cálculo do número de barras:</t>
  </si>
  <si>
    <t>N [barras]=</t>
  </si>
  <si>
    <t>GRADE GROSSA</t>
  </si>
  <si>
    <t>GRADE MÉDIA</t>
  </si>
  <si>
    <t>Barras grossas</t>
  </si>
  <si>
    <t>Barras médias</t>
  </si>
  <si>
    <t>e [cm] =</t>
  </si>
  <si>
    <t>8°) Perda de carga:</t>
  </si>
  <si>
    <t>7°) Distância entre barra extrema e lateral do canal:</t>
  </si>
  <si>
    <t>V_0 [m/s]=</t>
  </si>
  <si>
    <t>deltaH [m] =</t>
  </si>
  <si>
    <t>Grade limpa</t>
  </si>
  <si>
    <t>Grade 50% suja</t>
  </si>
  <si>
    <t>v [m/s] =</t>
  </si>
  <si>
    <t>Limpeza mecanizada</t>
  </si>
  <si>
    <t>9°) Quantidade de material retido nas grades:</t>
  </si>
  <si>
    <t>Vazão máx (Q) [L/s]:</t>
  </si>
  <si>
    <t>Vazão méd [L/s]:</t>
  </si>
  <si>
    <t>Mat. Retido [L/dia]=</t>
  </si>
  <si>
    <t xml:space="preserve">CAIXA DE AREIA </t>
  </si>
  <si>
    <t>Vazão mín [L/s]:</t>
  </si>
  <si>
    <t>Altura d'água máx (h0) [m]:</t>
  </si>
  <si>
    <t>Altura d'água méd [m]:</t>
  </si>
  <si>
    <t>Altura d'água mín [m]:</t>
  </si>
  <si>
    <t>MÉDIO</t>
  </si>
  <si>
    <t>MÍNIMO</t>
  </si>
  <si>
    <t>CALHA PARSHAL</t>
  </si>
  <si>
    <t>A [m^2] =</t>
  </si>
  <si>
    <t>Calha</t>
  </si>
  <si>
    <t>Largura nominal [in]:</t>
  </si>
  <si>
    <t>N:</t>
  </si>
  <si>
    <t>K:</t>
  </si>
  <si>
    <t>1°) Altura:</t>
  </si>
  <si>
    <t>Hmín [m]:</t>
  </si>
  <si>
    <t>Hméd [m]:</t>
  </si>
  <si>
    <t>Hmáx [m]:</t>
  </si>
  <si>
    <t>2°) Rebaixo:</t>
  </si>
  <si>
    <t>Z [m]:</t>
  </si>
  <si>
    <t>3°) h:</t>
  </si>
  <si>
    <t>hmín [m]:</t>
  </si>
  <si>
    <t>hméd [m]:</t>
  </si>
  <si>
    <t>hmáx [m]:</t>
  </si>
  <si>
    <t>B [m]=</t>
  </si>
  <si>
    <t>Calha Parshal:</t>
  </si>
  <si>
    <t xml:space="preserve">3°) Verificação da velocidade: </t>
  </si>
  <si>
    <t>1°) Cálculo da área da seção transversal:</t>
  </si>
  <si>
    <t>2°) Largura da caixa de areia:</t>
  </si>
  <si>
    <t>Amín [m^2]=</t>
  </si>
  <si>
    <t>Améd [m^2]=</t>
  </si>
  <si>
    <t>Amáx [m^2]=</t>
  </si>
  <si>
    <t>vmín [m/s]=</t>
  </si>
  <si>
    <t>vméd [m/s]=</t>
  </si>
  <si>
    <t>vmáx [m/s]=</t>
  </si>
  <si>
    <t>4°) Comprimento:</t>
  </si>
  <si>
    <t>L [m]=</t>
  </si>
  <si>
    <t>5°) Verificação da caixa de aplicação superficial:</t>
  </si>
  <si>
    <t>TAS [m^3/m^2*d]=</t>
  </si>
  <si>
    <t>6°) Rebaixo:</t>
  </si>
  <si>
    <t>Pc [L/m^3]:</t>
  </si>
  <si>
    <t xml:space="preserve">Volume diário de areia retido na caixa: </t>
  </si>
  <si>
    <t>Vol [m^3/d] =</t>
  </si>
  <si>
    <t xml:space="preserve">Altura diária de areia acumulada: </t>
  </si>
  <si>
    <t>Intervalo de limpeza em dias:</t>
  </si>
  <si>
    <t>Arredondando:</t>
  </si>
  <si>
    <t>CAIXA DE AREIA</t>
  </si>
  <si>
    <t>UASB + Lagoa aerada com sistema de ar superficial + Lagoa de decantação de lodo</t>
  </si>
  <si>
    <t>Dados</t>
  </si>
  <si>
    <t>Concentração de DBO [mg/L]:</t>
  </si>
  <si>
    <t>Concentração de DQO [mg/L]:</t>
  </si>
  <si>
    <t>Carga de DQO (Kg/d):</t>
  </si>
  <si>
    <t>Tempo de retenção [h]:</t>
  </si>
  <si>
    <t>Tempo de retenção [d]:</t>
  </si>
  <si>
    <t>2) Calculo do volume unitário dos reatores (V):</t>
  </si>
  <si>
    <t>3) Cálculo da área unitária (A):</t>
  </si>
  <si>
    <t>Escolha de altura útil (h) [m] =</t>
  </si>
  <si>
    <t>UASB</t>
  </si>
  <si>
    <t>Aproximadamente [m]:</t>
  </si>
  <si>
    <t>Sistema de distribuição do esgoto:</t>
  </si>
  <si>
    <t>No sistema de distribuição do esgoto afluente, o esgoto afluirá a uma caixa de distribuição no topo de cada reator, de onde partem os tubos de distribuição, até uma distância de 0,15 m do fundo do tanque</t>
  </si>
  <si>
    <t>4) Calculo do numero de tubos (n):</t>
  </si>
  <si>
    <r>
      <t>Área de influência de cada tubo, fixado (A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 [m²/tubo]:</t>
    </r>
  </si>
  <si>
    <t>A [m²]=</t>
  </si>
  <si>
    <t>V [m³]=</t>
  </si>
  <si>
    <t>n [tubos]=</t>
  </si>
  <si>
    <t>5) Cálculo da seção de cada tudo (S):</t>
  </si>
  <si>
    <t>Os tubos serão de PVC e com um diâmetro de [mm]:</t>
  </si>
  <si>
    <t>S [m²]=</t>
  </si>
  <si>
    <t>6) Verificação da velocidade descendente (v):</t>
  </si>
  <si>
    <t>Sistema de digestão do lodo</t>
  </si>
  <si>
    <t>Sistema de decantação:</t>
  </si>
  <si>
    <t>Compartimento de decantação:</t>
  </si>
  <si>
    <t>Coletor de gás adjacente a cada 2 compartimentos de decantação:</t>
  </si>
  <si>
    <r>
      <t>L</t>
    </r>
    <r>
      <rPr>
        <vertAlign val="subscript"/>
        <sz val="11"/>
        <color theme="1"/>
        <rFont val="Calibri"/>
        <family val="2"/>
        <scheme val="minor"/>
      </rPr>
      <t>coletor</t>
    </r>
    <r>
      <rPr>
        <sz val="11"/>
        <color theme="1"/>
        <rFont val="Calibri"/>
        <family val="2"/>
        <scheme val="minor"/>
      </rPr>
      <t xml:space="preserve"> [m]=</t>
    </r>
  </si>
  <si>
    <r>
      <t>L</t>
    </r>
    <r>
      <rPr>
        <vertAlign val="subscript"/>
        <sz val="11"/>
        <color theme="1"/>
        <rFont val="Calibri"/>
        <family val="2"/>
        <scheme val="minor"/>
      </rPr>
      <t>compartimento</t>
    </r>
    <r>
      <rPr>
        <sz val="11"/>
        <color theme="1"/>
        <rFont val="Calibri"/>
        <family val="2"/>
        <scheme val="minor"/>
      </rPr>
      <t xml:space="preserve"> [m]=</t>
    </r>
  </si>
  <si>
    <r>
      <t>A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[m²]=</t>
    </r>
  </si>
  <si>
    <t>Lodo:</t>
  </si>
  <si>
    <t>12) Cálculo da massa gerada de lodo (M):</t>
  </si>
  <si>
    <t>Admitindo-se a produção de [Kg SST/Kg DQO afluente]:</t>
  </si>
  <si>
    <t>M [KgSST/d]=</t>
  </si>
  <si>
    <t>Teor de sólidos admitido:</t>
  </si>
  <si>
    <t>Densidade típica [Kg SST/m³]:</t>
  </si>
  <si>
    <t>Lagoa aerada com sistema de ar superficial</t>
  </si>
  <si>
    <t>1) Cálculo do volume da lagoa (V):</t>
  </si>
  <si>
    <t>Escolha do numero de reatores:</t>
  </si>
  <si>
    <t>Tempo de retenção hidráulico para lagoa aerada (THR) [dias]:</t>
  </si>
  <si>
    <t>2) Cálculo da área da lagoa (A):</t>
  </si>
  <si>
    <t>Adotando profundidade da lagoa de [m]:</t>
  </si>
  <si>
    <t>Relação L/B = 2</t>
  </si>
  <si>
    <t>Calculando as dimensões da lagoa (L e B):</t>
  </si>
  <si>
    <t>Calculando a área de cada lagoa:</t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</si>
  <si>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LA </t>
    </r>
    <r>
      <rPr>
        <sz val="11"/>
        <color theme="1"/>
        <rFont val="Calibri"/>
        <family val="2"/>
        <scheme val="minor"/>
      </rPr>
      <t>[m²]=</t>
    </r>
  </si>
  <si>
    <t>B aproximado [m]=</t>
  </si>
  <si>
    <t>L aproximado [m]=</t>
  </si>
  <si>
    <t>Escolha do número de lagoas em paralelo:</t>
  </si>
  <si>
    <t>Calculando as principais dimensões de cada lagoa:</t>
  </si>
  <si>
    <t>Dimensão</t>
  </si>
  <si>
    <t>Comprimento [m]</t>
  </si>
  <si>
    <t>Largura [m]</t>
  </si>
  <si>
    <t>Meia profundidade</t>
  </si>
  <si>
    <t>Considerando uma borda livre de [m]:</t>
  </si>
  <si>
    <t>Terreno</t>
  </si>
  <si>
    <t>Espelho de água</t>
  </si>
  <si>
    <t>Meia Profundidade</t>
  </si>
  <si>
    <t>Fundo</t>
  </si>
  <si>
    <t>3) Cálculo da taxa de aplicação superficial de DBO (TAS):</t>
  </si>
  <si>
    <t>Carga de DBO (Kg/d):</t>
  </si>
  <si>
    <t>4) Cálculo da DBO de saída do efluente (Se):</t>
  </si>
  <si>
    <t>Considerando uma eficiência de:</t>
  </si>
  <si>
    <t>5) Estimativa da produção de sólidos suspensos:</t>
  </si>
  <si>
    <t>P [Kg/d)=</t>
  </si>
  <si>
    <r>
      <t>Y</t>
    </r>
    <r>
      <rPr>
        <vertAlign val="subscript"/>
        <sz val="11"/>
        <rFont val="Calibri"/>
        <family val="2"/>
        <scheme val="minor"/>
      </rPr>
      <t>obs</t>
    </r>
    <r>
      <rPr>
        <sz val="11"/>
        <rFont val="Calibri"/>
        <family val="2"/>
        <scheme val="minor"/>
      </rPr>
      <t xml:space="preserve"> [dia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]:</t>
    </r>
  </si>
  <si>
    <t>TAS [Kg DBO/ha*d]=</t>
  </si>
  <si>
    <t>6) Correção da DBO com a temperatura:</t>
  </si>
  <si>
    <t>Na entrada da lagoa:</t>
  </si>
  <si>
    <t>Na saída da lagoa:</t>
  </si>
  <si>
    <t>DBOremovida [Kg/m³]=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</si>
  <si>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O2 </t>
    </r>
    <r>
      <rPr>
        <sz val="11"/>
        <color theme="1"/>
        <rFont val="Calibri"/>
        <family val="2"/>
        <scheme val="minor"/>
      </rPr>
      <t>[KgO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/h]=</t>
    </r>
  </si>
  <si>
    <t>9) Calculo da potência dos aeradores mecânicos (Pot):</t>
  </si>
  <si>
    <t>Adotando aeradores de baixa rotação, de [CV]:</t>
  </si>
  <si>
    <t>Capacidade de tranferência de oxigênio [Kg O2/CVh]:</t>
  </si>
  <si>
    <t>Diâmetro de influência da mistura [m]:</t>
  </si>
  <si>
    <t>Profundidade de alcance [m]:</t>
  </si>
  <si>
    <t>Pot [CV]=</t>
  </si>
  <si>
    <t>Pot para cada lagoa [CV]=</t>
  </si>
  <si>
    <t>Numero de aeradores por lagoa:</t>
  </si>
  <si>
    <t>Numero de aeradores por lagoa (arredondando):</t>
  </si>
  <si>
    <t>10) Verificação da densidade de potência resultante (dp):</t>
  </si>
  <si>
    <t>dp [W/m³]=</t>
  </si>
  <si>
    <t>Lagoa de decantação</t>
  </si>
  <si>
    <t>Tempo de retenção da lagoa de decantação [dias]:</t>
  </si>
  <si>
    <t>ΔX [Kg/ano]=</t>
  </si>
  <si>
    <t>Tempo de retirada do lodo da lagoa de decantação [anos]:</t>
  </si>
  <si>
    <t>3) Cálculo do volume de lodo (Vlodo):</t>
  </si>
  <si>
    <t>Concentração de sólidos totais no lodo adensado [Kg/m³]</t>
  </si>
  <si>
    <t>Admitindo uma profunfidade de [m]:</t>
  </si>
  <si>
    <t>Área necessaria</t>
  </si>
  <si>
    <r>
      <t>V</t>
    </r>
    <r>
      <rPr>
        <vertAlign val="subscript"/>
        <sz val="11"/>
        <color theme="1"/>
        <rFont val="Calibri"/>
        <family val="2"/>
        <scheme val="minor"/>
      </rPr>
      <t>dec</t>
    </r>
    <r>
      <rPr>
        <sz val="11"/>
        <color theme="1"/>
        <rFont val="Calibri"/>
        <family val="2"/>
        <scheme val="minor"/>
      </rPr>
      <t xml:space="preserve"> [m³]=</t>
    </r>
  </si>
  <si>
    <r>
      <t>V</t>
    </r>
    <r>
      <rPr>
        <vertAlign val="subscript"/>
        <sz val="11"/>
        <color theme="1"/>
        <rFont val="Calibri"/>
        <family val="2"/>
        <scheme val="minor"/>
      </rPr>
      <t>lodo</t>
    </r>
    <r>
      <rPr>
        <sz val="11"/>
        <color theme="1"/>
        <rFont val="Calibri"/>
        <family val="2"/>
        <scheme val="minor"/>
      </rPr>
      <t xml:space="preserve"> [m³]=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</si>
  <si>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[m³]=</t>
    </r>
  </si>
  <si>
    <t>UASB [m²]:</t>
  </si>
  <si>
    <t>Lagoa aerada com sistema de ar superficial [m²]:</t>
  </si>
  <si>
    <t>Lagoa de decantação [m²]:</t>
  </si>
  <si>
    <r>
      <t>1) Calculo do volume total dos reatores (V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color theme="1"/>
        <rFont val="Calibri"/>
        <family val="2"/>
        <scheme val="minor"/>
      </rPr>
      <t>):</t>
    </r>
  </si>
  <si>
    <r>
      <t>7) Verificação da velocidade ascencional (v</t>
    </r>
    <r>
      <rPr>
        <b/>
        <vertAlign val="subscript"/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>) do lodo na câmara de digestão:</t>
    </r>
  </si>
  <si>
    <r>
      <t>8) Cálculo do numero de compartimentos de decantação (n</t>
    </r>
    <r>
      <rPr>
        <b/>
        <vertAlign val="subscript"/>
        <sz val="12"/>
        <color theme="1"/>
        <rFont val="Calibri"/>
        <family val="2"/>
        <scheme val="minor"/>
      </rPr>
      <t>d</t>
    </r>
    <r>
      <rPr>
        <b/>
        <sz val="12"/>
        <color theme="1"/>
        <rFont val="Calibri"/>
        <family val="2"/>
        <scheme val="minor"/>
      </rPr>
      <t>):</t>
    </r>
  </si>
  <si>
    <r>
      <t>n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[compartimentos]=</t>
    </r>
  </si>
  <si>
    <r>
      <t>9) Cálculo da área superficial de cada compartimento (A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>):</t>
    </r>
  </si>
  <si>
    <r>
      <t>10) Cálculo da área de decantação por reator (A</t>
    </r>
    <r>
      <rPr>
        <b/>
        <vertAlign val="subscript"/>
        <sz val="12"/>
        <color theme="1"/>
        <rFont val="Calibri"/>
        <family val="2"/>
        <scheme val="minor"/>
      </rPr>
      <t>d</t>
    </r>
    <r>
      <rPr>
        <b/>
        <sz val="12"/>
        <color theme="1"/>
        <rFont val="Calibri"/>
        <family val="2"/>
        <scheme val="minor"/>
      </rPr>
      <t>):</t>
    </r>
  </si>
  <si>
    <r>
      <t>11) Verificação da velocidade ascensional do esgoto nos compartimentos de decantação (v</t>
    </r>
    <r>
      <rPr>
        <b/>
        <vertAlign val="subscript"/>
        <sz val="12"/>
        <color theme="1"/>
        <rFont val="Calibri"/>
        <family val="2"/>
        <scheme val="minor"/>
      </rPr>
      <t>d</t>
    </r>
    <r>
      <rPr>
        <b/>
        <sz val="12"/>
        <color theme="1"/>
        <rFont val="Calibri"/>
        <family val="2"/>
        <scheme val="minor"/>
      </rPr>
      <t>):</t>
    </r>
  </si>
  <si>
    <r>
      <t>13) Cálculo do volume gerado de lodo (V</t>
    </r>
    <r>
      <rPr>
        <b/>
        <vertAlign val="subscript"/>
        <sz val="12"/>
        <color theme="1"/>
        <rFont val="Calibri"/>
        <family val="2"/>
        <scheme val="minor"/>
      </rPr>
      <t>L</t>
    </r>
    <r>
      <rPr>
        <b/>
        <sz val="12"/>
        <color theme="1"/>
        <rFont val="Calibri"/>
        <family val="2"/>
        <scheme val="minor"/>
      </rPr>
      <t>):</t>
    </r>
  </si>
  <si>
    <t>Legenda</t>
  </si>
  <si>
    <t>Valores arbitrados:</t>
  </si>
  <si>
    <t>Resultado de cada etapa dos calculos:</t>
  </si>
  <si>
    <r>
      <t>V</t>
    </r>
    <r>
      <rPr>
        <b/>
        <vertAlign val="subscript"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 [m³]=</t>
    </r>
  </si>
  <si>
    <r>
      <t>v</t>
    </r>
    <r>
      <rPr>
        <b/>
        <vertAlign val="subscript"/>
        <sz val="11"/>
        <rFont val="Calibri"/>
        <family val="2"/>
        <scheme val="minor"/>
      </rPr>
      <t>a</t>
    </r>
    <r>
      <rPr>
        <b/>
        <sz val="11"/>
        <rFont val="Calibri"/>
        <family val="2"/>
        <scheme val="minor"/>
      </rPr>
      <t xml:space="preserve"> [m/h]=</t>
    </r>
  </si>
  <si>
    <r>
      <t>n</t>
    </r>
    <r>
      <rPr>
        <b/>
        <vertAlign val="subscript"/>
        <sz val="11"/>
        <rFont val="Calibri"/>
        <family val="2"/>
        <scheme val="minor"/>
      </rPr>
      <t>d</t>
    </r>
    <r>
      <rPr>
        <b/>
        <sz val="11"/>
        <rFont val="Calibri"/>
        <family val="2"/>
        <scheme val="minor"/>
      </rPr>
      <t xml:space="preserve"> [compartimentos]=</t>
    </r>
  </si>
  <si>
    <r>
      <t>A</t>
    </r>
    <r>
      <rPr>
        <b/>
        <vertAlign val="subscript"/>
        <sz val="11"/>
        <rFont val="Calibri"/>
        <family val="2"/>
        <scheme val="minor"/>
      </rPr>
      <t>s</t>
    </r>
    <r>
      <rPr>
        <b/>
        <sz val="11"/>
        <rFont val="Calibri"/>
        <family val="2"/>
        <scheme val="minor"/>
      </rPr>
      <t xml:space="preserve"> [m²]=</t>
    </r>
  </si>
  <si>
    <r>
      <t>A</t>
    </r>
    <r>
      <rPr>
        <b/>
        <vertAlign val="subscript"/>
        <sz val="11"/>
        <rFont val="Calibri"/>
        <family val="2"/>
        <scheme val="minor"/>
      </rPr>
      <t>d</t>
    </r>
    <r>
      <rPr>
        <b/>
        <sz val="11"/>
        <rFont val="Calibri"/>
        <family val="2"/>
        <scheme val="minor"/>
      </rPr>
      <t xml:space="preserve"> [m²]=</t>
    </r>
  </si>
  <si>
    <r>
      <t>v</t>
    </r>
    <r>
      <rPr>
        <b/>
        <vertAlign val="subscript"/>
        <sz val="11"/>
        <rFont val="Calibri"/>
        <family val="2"/>
        <scheme val="minor"/>
      </rPr>
      <t>d</t>
    </r>
    <r>
      <rPr>
        <b/>
        <sz val="11"/>
        <rFont val="Calibri"/>
        <family val="2"/>
        <scheme val="minor"/>
      </rPr>
      <t xml:space="preserve"> [m/h]=</t>
    </r>
  </si>
  <si>
    <r>
      <t>V</t>
    </r>
    <r>
      <rPr>
        <b/>
        <vertAlign val="subscript"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 xml:space="preserve"> [m³/d]=</t>
    </r>
  </si>
  <si>
    <t>Eficiência UASB:</t>
  </si>
  <si>
    <r>
      <t>7) Cálculo da carga de DBO diária removida (Carga</t>
    </r>
    <r>
      <rPr>
        <b/>
        <vertAlign val="subscript"/>
        <sz val="12"/>
        <color theme="1"/>
        <rFont val="Calibri"/>
        <family val="2"/>
        <scheme val="minor"/>
      </rPr>
      <t>DBOd</t>
    </r>
    <r>
      <rPr>
        <b/>
        <sz val="12"/>
        <color theme="1"/>
        <rFont val="Calibri"/>
        <family val="2"/>
        <scheme val="minor"/>
      </rPr>
      <t>):</t>
    </r>
  </si>
  <si>
    <r>
      <t>8) Cálculo da necessidade total de 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(Q</t>
    </r>
    <r>
      <rPr>
        <b/>
        <vertAlign val="subscript"/>
        <sz val="12"/>
        <color theme="1"/>
        <rFont val="Calibri"/>
        <family val="2"/>
        <scheme val="minor"/>
      </rPr>
      <t>O2</t>
    </r>
    <r>
      <rPr>
        <b/>
        <sz val="12"/>
        <color theme="1"/>
        <rFont val="Calibri"/>
        <family val="2"/>
        <scheme val="minor"/>
      </rPr>
      <t>):</t>
    </r>
  </si>
  <si>
    <r>
      <t>S</t>
    </r>
    <r>
      <rPr>
        <vertAlign val="subscript"/>
        <sz val="11"/>
        <rFont val="Calibri"/>
        <family val="2"/>
        <scheme val="minor"/>
      </rPr>
      <t>e</t>
    </r>
    <r>
      <rPr>
        <sz val="11"/>
        <rFont val="Calibri"/>
        <family val="2"/>
        <scheme val="minor"/>
      </rPr>
      <t xml:space="preserve"> [Kg/m³]=</t>
    </r>
  </si>
  <si>
    <r>
      <t>DBO</t>
    </r>
    <r>
      <rPr>
        <vertAlign val="subscript"/>
        <sz val="11"/>
        <rFont val="Calibri"/>
        <family val="2"/>
        <scheme val="minor"/>
      </rPr>
      <t>25°C</t>
    </r>
    <r>
      <rPr>
        <sz val="11"/>
        <rFont val="Calibri"/>
        <family val="2"/>
        <scheme val="minor"/>
      </rPr>
      <t xml:space="preserve"> [Kg/m³]=</t>
    </r>
  </si>
  <si>
    <r>
      <t>Carga</t>
    </r>
    <r>
      <rPr>
        <vertAlign val="subscript"/>
        <sz val="11"/>
        <rFont val="Calibri"/>
        <family val="2"/>
        <scheme val="minor"/>
      </rPr>
      <t>DBOd</t>
    </r>
    <r>
      <rPr>
        <sz val="11"/>
        <rFont val="Calibri"/>
        <family val="2"/>
        <scheme val="minor"/>
      </rPr>
      <t xml:space="preserve"> [KgDBO/d]=</t>
    </r>
  </si>
  <si>
    <r>
      <t>Q</t>
    </r>
    <r>
      <rPr>
        <vertAlign val="subscript"/>
        <sz val="11"/>
        <rFont val="Calibri"/>
        <family val="2"/>
        <scheme val="minor"/>
      </rPr>
      <t xml:space="preserve">O2 </t>
    </r>
    <r>
      <rPr>
        <sz val="11"/>
        <rFont val="Calibri"/>
        <family val="2"/>
        <scheme val="minor"/>
      </rPr>
      <t>[KgO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/d]=</t>
    </r>
  </si>
  <si>
    <r>
      <t>1) Cálculo do volume de decantação (V</t>
    </r>
    <r>
      <rPr>
        <b/>
        <vertAlign val="subscript"/>
        <sz val="12"/>
        <color theme="1"/>
        <rFont val="Calibri"/>
        <family val="2"/>
        <scheme val="minor"/>
      </rPr>
      <t>dec</t>
    </r>
    <r>
      <rPr>
        <b/>
        <sz val="12"/>
        <color theme="1"/>
        <rFont val="Calibri"/>
        <family val="2"/>
        <scheme val="minor"/>
      </rPr>
      <t>):</t>
    </r>
  </si>
  <si>
    <r>
      <t>2)  Cálculo do lodo retido anualmente (</t>
    </r>
    <r>
      <rPr>
        <b/>
        <sz val="12"/>
        <color theme="1"/>
        <rFont val="Calibri"/>
        <family val="2"/>
      </rPr>
      <t>ΔX):</t>
    </r>
  </si>
  <si>
    <r>
      <t>4) Cálculo do volume da lagoa (V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>):</t>
    </r>
  </si>
  <si>
    <r>
      <t>5) Calculo da área total da lagoa (A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b/>
        <sz val="12"/>
        <color theme="1"/>
        <rFont val="Calibri"/>
        <family val="2"/>
        <scheme val="minor"/>
      </rPr>
      <t>):</t>
    </r>
  </si>
  <si>
    <t>Máxima</t>
  </si>
  <si>
    <t>m</t>
  </si>
  <si>
    <t>Quantidade</t>
  </si>
  <si>
    <t>Abertura</t>
  </si>
  <si>
    <t>Qtd</t>
  </si>
  <si>
    <t>Vazão máx (Q) [m³/s]:</t>
  </si>
  <si>
    <t>Vazão méd [m³/s]:</t>
  </si>
  <si>
    <t>Vazão mín [m³/s]:</t>
  </si>
  <si>
    <t>Ad [m/d] =</t>
  </si>
  <si>
    <t>A14 [m] =</t>
  </si>
  <si>
    <t>Altura do Rebaixo [m]</t>
  </si>
  <si>
    <t>Considerando um reator de seção circular, diâmetro [m]:</t>
  </si>
  <si>
    <t>Largura do reator (L) [m]=</t>
  </si>
  <si>
    <t>Número de lagoas</t>
  </si>
  <si>
    <t>Área unitária [m²]</t>
  </si>
  <si>
    <t>Dimensões [m]</t>
  </si>
  <si>
    <t>Resumo UASB</t>
  </si>
  <si>
    <t>Altura [m]</t>
  </si>
  <si>
    <t>Diâmetro [m]</t>
  </si>
  <si>
    <t>Resumo Lagoa Aerada</t>
  </si>
  <si>
    <t>Resumo Lagoa de Decantação</t>
  </si>
  <si>
    <t>Quantidade [m]</t>
  </si>
  <si>
    <t>Profundidade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</si>
</sst>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7" formatCode="0.000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vertAlign val="sub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11" xfId="0" applyBorder="1"/>
    <xf numFmtId="0" fontId="3" fillId="7" borderId="7" xfId="0" applyFont="1" applyFill="1" applyBorder="1" applyAlignment="1">
      <alignment horizontal="center" vertical="center"/>
    </xf>
    <xf numFmtId="0" fontId="0" fillId="4" borderId="7" xfId="0" applyFill="1" applyBorder="1"/>
    <xf numFmtId="0" fontId="0" fillId="0" borderId="4" xfId="0" applyBorder="1" applyAlignment="1">
      <alignment horizontal="center" vertical="center"/>
    </xf>
    <xf numFmtId="0" fontId="12" fillId="0" borderId="3" xfId="0" applyFont="1" applyBorder="1"/>
    <xf numFmtId="0" fontId="5" fillId="7" borderId="7" xfId="0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0" borderId="0" xfId="0" applyFont="1"/>
    <xf numFmtId="9" fontId="2" fillId="0" borderId="4" xfId="0" applyNumberFormat="1" applyFont="1" applyBorder="1" applyAlignment="1">
      <alignment horizontal="center" vertical="center"/>
    </xf>
    <xf numFmtId="0" fontId="12" fillId="0" borderId="1" xfId="0" applyFont="1" applyBorder="1"/>
    <xf numFmtId="0" fontId="0" fillId="0" borderId="12" xfId="0" applyBorder="1"/>
    <xf numFmtId="0" fontId="2" fillId="0" borderId="0" xfId="0" applyFont="1" applyAlignment="1">
      <alignment vertical="center"/>
    </xf>
    <xf numFmtId="0" fontId="2" fillId="0" borderId="0" xfId="0" applyFont="1"/>
    <xf numFmtId="164" fontId="2" fillId="5" borderId="7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7" fontId="2" fillId="5" borderId="7" xfId="0" applyNumberFormat="1" applyFont="1" applyFill="1" applyBorder="1" applyAlignment="1">
      <alignment horizontal="center" vertical="center"/>
    </xf>
    <xf numFmtId="168" fontId="2" fillId="5" borderId="7" xfId="0" applyNumberFormat="1" applyFont="1" applyFill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14" fillId="0" borderId="11" xfId="0" applyNumberFormat="1" applyFont="1" applyBorder="1" applyAlignment="1">
      <alignment horizontal="center" vertical="center"/>
    </xf>
    <xf numFmtId="168" fontId="2" fillId="0" borderId="4" xfId="0" applyNumberFormat="1" applyFont="1" applyBorder="1" applyAlignment="1">
      <alignment horizontal="center" vertical="center"/>
    </xf>
    <xf numFmtId="167" fontId="0" fillId="5" borderId="7" xfId="0" applyNumberFormat="1" applyFill="1" applyBorder="1"/>
    <xf numFmtId="2" fontId="0" fillId="5" borderId="7" xfId="0" applyNumberFormat="1" applyFill="1" applyBorder="1" applyAlignment="1">
      <alignment horizontal="center"/>
    </xf>
    <xf numFmtId="2" fontId="0" fillId="0" borderId="6" xfId="0" applyNumberFormat="1" applyBorder="1"/>
    <xf numFmtId="2" fontId="14" fillId="5" borderId="7" xfId="0" applyNumberFormat="1" applyFont="1" applyFill="1" applyBorder="1" applyAlignment="1">
      <alignment horizontal="center" vertical="center"/>
    </xf>
    <xf numFmtId="168" fontId="0" fillId="0" borderId="4" xfId="0" applyNumberFormat="1" applyBorder="1" applyAlignment="1">
      <alignment vertical="center"/>
    </xf>
    <xf numFmtId="2" fontId="0" fillId="0" borderId="0" xfId="0" applyNumberFormat="1"/>
    <xf numFmtId="0" fontId="2" fillId="0" borderId="7" xfId="0" applyFont="1" applyFill="1" applyBorder="1" applyAlignment="1">
      <alignment horizontal="center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745034995625548"/>
                  <c:y val="2.0570866141732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GRADEAMENTO!$E$64:$E$67</c:f>
              <c:numCache>
                <c:formatCode>General</c:formatCode>
                <c:ptCount val="4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</c:v>
                </c:pt>
              </c:numCache>
            </c:numRef>
          </c:xVal>
          <c:yVal>
            <c:numRef>
              <c:f>GRADEAMENTO!$F$64:$F$67</c:f>
              <c:numCache>
                <c:formatCode>General</c:formatCode>
                <c:ptCount val="4"/>
                <c:pt idx="0">
                  <c:v>3.7999999999999999E-2</c:v>
                </c:pt>
                <c:pt idx="1">
                  <c:v>2.3E-2</c:v>
                </c:pt>
                <c:pt idx="2">
                  <c:v>1.2E-2</c:v>
                </c:pt>
                <c:pt idx="3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C-4A03-9C76-4A4416AD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355967"/>
        <c:axId val="1844356383"/>
      </c:scatterChart>
      <c:valAx>
        <c:axId val="18443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356383"/>
        <c:crosses val="autoZero"/>
        <c:crossBetween val="midCat"/>
      </c:valAx>
      <c:valAx>
        <c:axId val="18443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3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5</xdr:row>
      <xdr:rowOff>19050</xdr:rowOff>
    </xdr:from>
    <xdr:ext cx="1743075" cy="2927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EB4537C-FCAB-4F5A-967A-10C1219599C1}"/>
                </a:ext>
              </a:extLst>
            </xdr:cNvPr>
            <xdr:cNvSpPr txBox="1"/>
          </xdr:nvSpPr>
          <xdr:spPr>
            <a:xfrm>
              <a:off x="2705100" y="857250"/>
              <a:ext cx="1743075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EB4537C-FCAB-4F5A-967A-10C1219599C1}"/>
                </a:ext>
              </a:extLst>
            </xdr:cNvPr>
            <xdr:cNvSpPr txBox="1"/>
          </xdr:nvSpPr>
          <xdr:spPr>
            <a:xfrm>
              <a:off x="2705100" y="857250"/>
              <a:ext cx="1743075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𝐸=𝑎/(𝑎+𝑡)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603218</xdr:colOff>
      <xdr:row>10</xdr:row>
      <xdr:rowOff>22701</xdr:rowOff>
    </xdr:from>
    <xdr:ext cx="47891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49991BA-7041-4E13-BE0F-D604C1E522FC}"/>
                </a:ext>
              </a:extLst>
            </xdr:cNvPr>
            <xdr:cNvSpPr txBox="1"/>
          </xdr:nvSpPr>
          <xdr:spPr>
            <a:xfrm>
              <a:off x="3289268" y="1813401"/>
              <a:ext cx="47891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49991BA-7041-4E13-BE0F-D604C1E522FC}"/>
                </a:ext>
              </a:extLst>
            </xdr:cNvPr>
            <xdr:cNvSpPr txBox="1"/>
          </xdr:nvSpPr>
          <xdr:spPr>
            <a:xfrm>
              <a:off x="3289268" y="1813401"/>
              <a:ext cx="47891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𝐴_𝑢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𝑄/𝑣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50768</xdr:colOff>
      <xdr:row>15</xdr:row>
      <xdr:rowOff>32226</xdr:rowOff>
    </xdr:from>
    <xdr:ext cx="53892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B701366-FF32-496C-81CA-5B33694EEB9D}"/>
                </a:ext>
              </a:extLst>
            </xdr:cNvPr>
            <xdr:cNvSpPr txBox="1"/>
          </xdr:nvSpPr>
          <xdr:spPr>
            <a:xfrm>
              <a:off x="3346418" y="2775426"/>
              <a:ext cx="53892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B701366-FF32-496C-81CA-5B33694EEB9D}"/>
                </a:ext>
              </a:extLst>
            </xdr:cNvPr>
            <xdr:cNvSpPr txBox="1"/>
          </xdr:nvSpPr>
          <xdr:spPr>
            <a:xfrm>
              <a:off x="3346418" y="2775426"/>
              <a:ext cx="53892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𝐴_𝑇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𝐴_𝑢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t-BR" sz="1100" b="0" i="0">
                  <a:latin typeface="Cambria Math" panose="02040503050406030204" pitchFamily="18" charset="0"/>
                </a:rPr>
                <a:t>𝐸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47625</xdr:colOff>
      <xdr:row>20</xdr:row>
      <xdr:rowOff>4762</xdr:rowOff>
    </xdr:from>
    <xdr:ext cx="47346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626F62C-E265-4110-9763-0B9FC61F661F}"/>
                </a:ext>
              </a:extLst>
            </xdr:cNvPr>
            <xdr:cNvSpPr txBox="1"/>
          </xdr:nvSpPr>
          <xdr:spPr>
            <a:xfrm>
              <a:off x="3343275" y="3700462"/>
              <a:ext cx="47346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626F62C-E265-4110-9763-0B9FC61F661F}"/>
                </a:ext>
              </a:extLst>
            </xdr:cNvPr>
            <xdr:cNvSpPr txBox="1"/>
          </xdr:nvSpPr>
          <xdr:spPr>
            <a:xfrm>
              <a:off x="3343275" y="3700462"/>
              <a:ext cx="47346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𝑏=𝐴_𝑇/ℎ_0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25</xdr:row>
      <xdr:rowOff>19050</xdr:rowOff>
    </xdr:from>
    <xdr:ext cx="5970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9D2B9D2-A3C6-4C69-9D62-03F6C872DE69}"/>
                </a:ext>
              </a:extLst>
            </xdr:cNvPr>
            <xdr:cNvSpPr txBox="1"/>
          </xdr:nvSpPr>
          <xdr:spPr>
            <a:xfrm>
              <a:off x="3295650" y="4857750"/>
              <a:ext cx="597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79D2B9D2-A3C6-4C69-9D62-03F6C872DE69}"/>
                </a:ext>
              </a:extLst>
            </xdr:cNvPr>
            <xdr:cNvSpPr txBox="1"/>
          </xdr:nvSpPr>
          <xdr:spPr>
            <a:xfrm>
              <a:off x="3295650" y="4857750"/>
              <a:ext cx="597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𝐴_𝑇</a:t>
              </a:r>
              <a:r>
                <a:rPr lang="pt-BR" sz="1100" b="0" i="0">
                  <a:latin typeface="Cambria Math" panose="02040503050406030204" pitchFamily="18" charset="0"/>
                </a:rPr>
                <a:t>=𝑏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27</xdr:row>
      <xdr:rowOff>9525</xdr:rowOff>
    </xdr:from>
    <xdr:ext cx="605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96E67789-F56E-4A34-9BD5-3F504E907900}"/>
                </a:ext>
              </a:extLst>
            </xdr:cNvPr>
            <xdr:cNvSpPr txBox="1"/>
          </xdr:nvSpPr>
          <xdr:spPr>
            <a:xfrm>
              <a:off x="3295650" y="5229225"/>
              <a:ext cx="605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sub>
                  </m:sSub>
                </m:oMath>
              </a14:m>
              <a:r>
                <a:rPr lang="pt-BR" sz="1100"/>
                <a:t>E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96E67789-F56E-4A34-9BD5-3F504E907900}"/>
                </a:ext>
              </a:extLst>
            </xdr:cNvPr>
            <xdr:cNvSpPr txBox="1"/>
          </xdr:nvSpPr>
          <xdr:spPr>
            <a:xfrm>
              <a:off x="3295650" y="5229225"/>
              <a:ext cx="605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t-BR" sz="1100" b="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pt-BR" sz="1100"/>
                <a:t>E</a:t>
              </a:r>
            </a:p>
          </xdr:txBody>
        </xdr:sp>
      </mc:Fallback>
    </mc:AlternateContent>
    <xdr:clientData/>
  </xdr:oneCellAnchor>
  <xdr:oneCellAnchor>
    <xdr:from>
      <xdr:col>4</xdr:col>
      <xdr:colOff>0</xdr:colOff>
      <xdr:row>29</xdr:row>
      <xdr:rowOff>9525</xdr:rowOff>
    </xdr:from>
    <xdr:ext cx="460254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AFA8CA56-E8DE-41D2-8C86-D0D0D6C61BE3}"/>
                </a:ext>
              </a:extLst>
            </xdr:cNvPr>
            <xdr:cNvSpPr txBox="1"/>
          </xdr:nvSpPr>
          <xdr:spPr>
            <a:xfrm>
              <a:off x="3295650" y="5610225"/>
              <a:ext cx="46025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AFA8CA56-E8DE-41D2-8C86-D0D0D6C61BE3}"/>
                </a:ext>
              </a:extLst>
            </xdr:cNvPr>
            <xdr:cNvSpPr txBox="1"/>
          </xdr:nvSpPr>
          <xdr:spPr>
            <a:xfrm>
              <a:off x="3295650" y="5610225"/>
              <a:ext cx="46025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𝑄/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𝐴_𝑢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600075</xdr:colOff>
      <xdr:row>34</xdr:row>
      <xdr:rowOff>4762</xdr:rowOff>
    </xdr:from>
    <xdr:ext cx="631711" cy="3241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8115A3B-60EE-45C3-9A38-4F2B8C024AE4}"/>
                </a:ext>
              </a:extLst>
            </xdr:cNvPr>
            <xdr:cNvSpPr txBox="1"/>
          </xdr:nvSpPr>
          <xdr:spPr>
            <a:xfrm>
              <a:off x="3286125" y="6557962"/>
              <a:ext cx="631711" cy="324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8115A3B-60EE-45C3-9A38-4F2B8C024AE4}"/>
                </a:ext>
              </a:extLst>
            </xdr:cNvPr>
            <xdr:cNvSpPr txBox="1"/>
          </xdr:nvSpPr>
          <xdr:spPr>
            <a:xfrm>
              <a:off x="3286125" y="6557962"/>
              <a:ext cx="631711" cy="324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𝑁=𝑏/(𝑡+𝑎)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19050</xdr:colOff>
      <xdr:row>5</xdr:row>
      <xdr:rowOff>19050</xdr:rowOff>
    </xdr:from>
    <xdr:ext cx="1743075" cy="2927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E0C64A38-A821-40EF-BE6F-07E817B57EF9}"/>
                </a:ext>
              </a:extLst>
            </xdr:cNvPr>
            <xdr:cNvSpPr txBox="1"/>
          </xdr:nvSpPr>
          <xdr:spPr>
            <a:xfrm>
              <a:off x="2705100" y="1047750"/>
              <a:ext cx="1743075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E0C64A38-A821-40EF-BE6F-07E817B57EF9}"/>
                </a:ext>
              </a:extLst>
            </xdr:cNvPr>
            <xdr:cNvSpPr txBox="1"/>
          </xdr:nvSpPr>
          <xdr:spPr>
            <a:xfrm>
              <a:off x="2705100" y="1047750"/>
              <a:ext cx="1743075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𝐸=𝑎/(𝑎+𝑡)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603218</xdr:colOff>
      <xdr:row>10</xdr:row>
      <xdr:rowOff>22701</xdr:rowOff>
    </xdr:from>
    <xdr:ext cx="478914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D4C88928-79D9-40D1-A710-3EE974A0C389}"/>
                </a:ext>
              </a:extLst>
            </xdr:cNvPr>
            <xdr:cNvSpPr txBox="1"/>
          </xdr:nvSpPr>
          <xdr:spPr>
            <a:xfrm>
              <a:off x="3289268" y="2003901"/>
              <a:ext cx="47891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D4C88928-79D9-40D1-A710-3EE974A0C389}"/>
                </a:ext>
              </a:extLst>
            </xdr:cNvPr>
            <xdr:cNvSpPr txBox="1"/>
          </xdr:nvSpPr>
          <xdr:spPr>
            <a:xfrm>
              <a:off x="3289268" y="2003901"/>
              <a:ext cx="478914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𝐴_𝑢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𝑄/𝑣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50768</xdr:colOff>
      <xdr:row>15</xdr:row>
      <xdr:rowOff>32226</xdr:rowOff>
    </xdr:from>
    <xdr:ext cx="53892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2C2A18F0-CA5D-4161-B7F2-E5BC8CDE244E}"/>
                </a:ext>
              </a:extLst>
            </xdr:cNvPr>
            <xdr:cNvSpPr txBox="1"/>
          </xdr:nvSpPr>
          <xdr:spPr>
            <a:xfrm>
              <a:off x="3346418" y="2965926"/>
              <a:ext cx="53892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2C2A18F0-CA5D-4161-B7F2-E5BC8CDE244E}"/>
                </a:ext>
              </a:extLst>
            </xdr:cNvPr>
            <xdr:cNvSpPr txBox="1"/>
          </xdr:nvSpPr>
          <xdr:spPr>
            <a:xfrm>
              <a:off x="3346418" y="2965926"/>
              <a:ext cx="53892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𝐴_𝑇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𝐴_𝑢/</a:t>
              </a:r>
              <a:r>
                <a:rPr lang="pt-BR" sz="1100" b="0" i="0">
                  <a:latin typeface="Cambria Math" panose="02040503050406030204" pitchFamily="18" charset="0"/>
                </a:rPr>
                <a:t>𝐸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47625</xdr:colOff>
      <xdr:row>20</xdr:row>
      <xdr:rowOff>4762</xdr:rowOff>
    </xdr:from>
    <xdr:ext cx="47346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C7C726E-4354-45B5-A987-6A9C721E8A89}"/>
                </a:ext>
              </a:extLst>
            </xdr:cNvPr>
            <xdr:cNvSpPr txBox="1"/>
          </xdr:nvSpPr>
          <xdr:spPr>
            <a:xfrm>
              <a:off x="3343275" y="3890962"/>
              <a:ext cx="47346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C7C726E-4354-45B5-A987-6A9C721E8A89}"/>
                </a:ext>
              </a:extLst>
            </xdr:cNvPr>
            <xdr:cNvSpPr txBox="1"/>
          </xdr:nvSpPr>
          <xdr:spPr>
            <a:xfrm>
              <a:off x="3343275" y="3890962"/>
              <a:ext cx="47346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𝑏=𝐴_𝑇/ℎ_0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25</xdr:row>
      <xdr:rowOff>19050</xdr:rowOff>
    </xdr:from>
    <xdr:ext cx="5970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6A0426E-FEE8-4670-A7BF-9900B37838FA}"/>
                </a:ext>
              </a:extLst>
            </xdr:cNvPr>
            <xdr:cNvSpPr txBox="1"/>
          </xdr:nvSpPr>
          <xdr:spPr>
            <a:xfrm>
              <a:off x="3295650" y="4857750"/>
              <a:ext cx="597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𝑏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6A0426E-FEE8-4670-A7BF-9900B37838FA}"/>
                </a:ext>
              </a:extLst>
            </xdr:cNvPr>
            <xdr:cNvSpPr txBox="1"/>
          </xdr:nvSpPr>
          <xdr:spPr>
            <a:xfrm>
              <a:off x="3295650" y="4857750"/>
              <a:ext cx="5970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𝐴_𝑇</a:t>
              </a:r>
              <a:r>
                <a:rPr lang="pt-BR" sz="1100" b="0" i="0">
                  <a:latin typeface="Cambria Math" panose="02040503050406030204" pitchFamily="18" charset="0"/>
                </a:rPr>
                <a:t>=𝑏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ℎ_0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27</xdr:row>
      <xdr:rowOff>9525</xdr:rowOff>
    </xdr:from>
    <xdr:ext cx="605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FAC8CC9-2754-4E1D-98CF-A19D73947A5E}"/>
                </a:ext>
              </a:extLst>
            </xdr:cNvPr>
            <xdr:cNvSpPr txBox="1"/>
          </xdr:nvSpPr>
          <xdr:spPr>
            <a:xfrm>
              <a:off x="3295650" y="5229225"/>
              <a:ext cx="605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pt-B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pt-B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sub>
                  </m:sSub>
                </m:oMath>
              </a14:m>
              <a:r>
                <a:rPr lang="pt-BR" sz="1100"/>
                <a:t>E</a:t>
              </a:r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FAC8CC9-2754-4E1D-98CF-A19D73947A5E}"/>
                </a:ext>
              </a:extLst>
            </xdr:cNvPr>
            <xdr:cNvSpPr txBox="1"/>
          </xdr:nvSpPr>
          <xdr:spPr>
            <a:xfrm>
              <a:off x="3295650" y="5229225"/>
              <a:ext cx="605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𝐴_(𝑢 )</a:t>
              </a:r>
              <a:r>
                <a:rPr lang="pt-BR" sz="1100" b="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𝐴_𝑇</a:t>
              </a:r>
              <a:r>
                <a:rPr lang="pt-BR" sz="1100"/>
                <a:t>E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29</xdr:row>
      <xdr:rowOff>9525</xdr:rowOff>
    </xdr:from>
    <xdr:ext cx="460254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471F1D46-AA34-41D5-9964-FF5C08D531F4}"/>
                </a:ext>
              </a:extLst>
            </xdr:cNvPr>
            <xdr:cNvSpPr txBox="1"/>
          </xdr:nvSpPr>
          <xdr:spPr>
            <a:xfrm>
              <a:off x="3295650" y="5610225"/>
              <a:ext cx="46025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sSub>
                          <m:sSub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471F1D46-AA34-41D5-9964-FF5C08D531F4}"/>
                </a:ext>
              </a:extLst>
            </xdr:cNvPr>
            <xdr:cNvSpPr txBox="1"/>
          </xdr:nvSpPr>
          <xdr:spPr>
            <a:xfrm>
              <a:off x="3295650" y="5610225"/>
              <a:ext cx="46025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</a:t>
              </a:r>
              <a:r>
                <a:rPr lang="pt-BR" sz="1100" i="0">
                  <a:latin typeface="Cambria Math" panose="02040503050406030204" pitchFamily="18" charset="0"/>
                </a:rPr>
                <a:t>=</a:t>
              </a:r>
              <a:r>
                <a:rPr lang="pt-BR" sz="1100" b="0" i="0">
                  <a:latin typeface="Cambria Math" panose="02040503050406030204" pitchFamily="18" charset="0"/>
                </a:rPr>
                <a:t>𝑄/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𝐴_𝑢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600075</xdr:colOff>
      <xdr:row>34</xdr:row>
      <xdr:rowOff>4762</xdr:rowOff>
    </xdr:from>
    <xdr:ext cx="631711" cy="3241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44476514-E0C3-4902-B2B2-32B6A5C35EAC}"/>
                </a:ext>
              </a:extLst>
            </xdr:cNvPr>
            <xdr:cNvSpPr txBox="1"/>
          </xdr:nvSpPr>
          <xdr:spPr>
            <a:xfrm>
              <a:off x="3286125" y="6557962"/>
              <a:ext cx="631711" cy="324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44476514-E0C3-4902-B2B2-32B6A5C35EAC}"/>
                </a:ext>
              </a:extLst>
            </xdr:cNvPr>
            <xdr:cNvSpPr txBox="1"/>
          </xdr:nvSpPr>
          <xdr:spPr>
            <a:xfrm>
              <a:off x="3286125" y="6557962"/>
              <a:ext cx="631711" cy="324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𝑁=𝑏/(𝑡+𝑎)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39</xdr:row>
      <xdr:rowOff>23812</xdr:rowOff>
    </xdr:from>
    <xdr:ext cx="1917833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5268F70A-0780-4E65-8518-0E41D3DD2019}"/>
                </a:ext>
              </a:extLst>
            </xdr:cNvPr>
            <xdr:cNvSpPr txBox="1"/>
          </xdr:nvSpPr>
          <xdr:spPr>
            <a:xfrm>
              <a:off x="3295650" y="7529512"/>
              <a:ext cx="1917833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5268F70A-0780-4E65-8518-0E41D3DD2019}"/>
                </a:ext>
              </a:extLst>
            </xdr:cNvPr>
            <xdr:cNvSpPr txBox="1"/>
          </xdr:nvSpPr>
          <xdr:spPr>
            <a:xfrm>
              <a:off x="3295650" y="7529512"/>
              <a:ext cx="1917833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𝑒=((𝑏−(𝑁∗𝑡+(𝑁−1)∗𝑎)))/2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66675</xdr:colOff>
      <xdr:row>39</xdr:row>
      <xdr:rowOff>28575</xdr:rowOff>
    </xdr:from>
    <xdr:ext cx="1917833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290A14DC-1F74-4302-91B9-6534AE4C6152}"/>
                </a:ext>
              </a:extLst>
            </xdr:cNvPr>
            <xdr:cNvSpPr txBox="1"/>
          </xdr:nvSpPr>
          <xdr:spPr>
            <a:xfrm>
              <a:off x="8553450" y="7534275"/>
              <a:ext cx="1917833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290A14DC-1F74-4302-91B9-6534AE4C6152}"/>
                </a:ext>
              </a:extLst>
            </xdr:cNvPr>
            <xdr:cNvSpPr txBox="1"/>
          </xdr:nvSpPr>
          <xdr:spPr>
            <a:xfrm>
              <a:off x="8553450" y="7534275"/>
              <a:ext cx="1917833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𝑒=((𝑏−(𝑁∗𝑡+(𝑁−1)∗𝑎)))/2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44</xdr:row>
      <xdr:rowOff>4762</xdr:rowOff>
    </xdr:from>
    <xdr:ext cx="661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CB9F4E3B-9BB0-4326-ACD2-ACF5AAF3C165}"/>
                </a:ext>
              </a:extLst>
            </xdr:cNvPr>
            <xdr:cNvSpPr txBox="1"/>
          </xdr:nvSpPr>
          <xdr:spPr>
            <a:xfrm>
              <a:off x="3295650" y="8462962"/>
              <a:ext cx="661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CB9F4E3B-9BB0-4326-ACD2-ACF5AAF3C165}"/>
                </a:ext>
              </a:extLst>
            </xdr:cNvPr>
            <xdr:cNvSpPr txBox="1"/>
          </xdr:nvSpPr>
          <xdr:spPr>
            <a:xfrm>
              <a:off x="3295650" y="8462962"/>
              <a:ext cx="661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𝑣_0=𝑣∗𝐸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44</xdr:row>
      <xdr:rowOff>4762</xdr:rowOff>
    </xdr:from>
    <xdr:ext cx="661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7114234D-D689-4C34-9277-D54C294116FC}"/>
                </a:ext>
              </a:extLst>
            </xdr:cNvPr>
            <xdr:cNvSpPr txBox="1"/>
          </xdr:nvSpPr>
          <xdr:spPr>
            <a:xfrm>
              <a:off x="3295650" y="8462962"/>
              <a:ext cx="661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7114234D-D689-4C34-9277-D54C294116FC}"/>
                </a:ext>
              </a:extLst>
            </xdr:cNvPr>
            <xdr:cNvSpPr txBox="1"/>
          </xdr:nvSpPr>
          <xdr:spPr>
            <a:xfrm>
              <a:off x="3295650" y="8462962"/>
              <a:ext cx="661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𝑣_0=𝑣∗𝐸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28575</xdr:colOff>
      <xdr:row>46</xdr:row>
      <xdr:rowOff>71437</xdr:rowOff>
    </xdr:from>
    <xdr:ext cx="1386470" cy="372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FB97E64A-F24A-42A7-B0F0-2DF626E9A3B9}"/>
                </a:ext>
              </a:extLst>
            </xdr:cNvPr>
            <xdr:cNvSpPr txBox="1"/>
          </xdr:nvSpPr>
          <xdr:spPr>
            <a:xfrm>
              <a:off x="3324225" y="8910637"/>
              <a:ext cx="1386470" cy="372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1,43∗(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FB97E64A-F24A-42A7-B0F0-2DF626E9A3B9}"/>
                </a:ext>
              </a:extLst>
            </xdr:cNvPr>
            <xdr:cNvSpPr txBox="1"/>
          </xdr:nvSpPr>
          <xdr:spPr>
            <a:xfrm>
              <a:off x="3324225" y="8910637"/>
              <a:ext cx="1386470" cy="372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𝐻=(1,43∗(𝑣^2−𝑣_0^2))/(2∗𝑔)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46</xdr:row>
      <xdr:rowOff>71437</xdr:rowOff>
    </xdr:from>
    <xdr:ext cx="1386470" cy="372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100ABC61-8D86-4CF4-8F21-FA269D9ABF3C}"/>
                </a:ext>
              </a:extLst>
            </xdr:cNvPr>
            <xdr:cNvSpPr txBox="1"/>
          </xdr:nvSpPr>
          <xdr:spPr>
            <a:xfrm>
              <a:off x="3324225" y="8910637"/>
              <a:ext cx="1386470" cy="372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1,43∗(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Sup>
                          <m:sSubSup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100ABC61-8D86-4CF4-8F21-FA269D9ABF3C}"/>
                </a:ext>
              </a:extLst>
            </xdr:cNvPr>
            <xdr:cNvSpPr txBox="1"/>
          </xdr:nvSpPr>
          <xdr:spPr>
            <a:xfrm>
              <a:off x="3324225" y="8910637"/>
              <a:ext cx="1386470" cy="372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𝐻=(1,43∗(𝑣^2−𝑣_0^2))/(2∗𝑔)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52</xdr:row>
      <xdr:rowOff>14287</xdr:rowOff>
    </xdr:from>
    <xdr:ext cx="5862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6F309ED3-E32F-4301-BDF2-C0A8C1EDD680}"/>
                </a:ext>
              </a:extLst>
            </xdr:cNvPr>
            <xdr:cNvSpPr txBox="1"/>
          </xdr:nvSpPr>
          <xdr:spPr>
            <a:xfrm>
              <a:off x="3305175" y="9996487"/>
              <a:ext cx="586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=2∗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6F309ED3-E32F-4301-BDF2-C0A8C1EDD680}"/>
                </a:ext>
              </a:extLst>
            </xdr:cNvPr>
            <xdr:cNvSpPr txBox="1"/>
          </xdr:nvSpPr>
          <xdr:spPr>
            <a:xfrm>
              <a:off x="3305175" y="9996487"/>
              <a:ext cx="586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𝑣=2∗𝑣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9525</xdr:colOff>
      <xdr:row>52</xdr:row>
      <xdr:rowOff>14287</xdr:rowOff>
    </xdr:from>
    <xdr:ext cx="5862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61111E72-ECFE-43F1-B9BA-A86FFA625F78}"/>
                </a:ext>
              </a:extLst>
            </xdr:cNvPr>
            <xdr:cNvSpPr txBox="1"/>
          </xdr:nvSpPr>
          <xdr:spPr>
            <a:xfrm>
              <a:off x="3305175" y="9996487"/>
              <a:ext cx="586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=2∗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61111E72-ECFE-43F1-B9BA-A86FFA625F78}"/>
                </a:ext>
              </a:extLst>
            </xdr:cNvPr>
            <xdr:cNvSpPr txBox="1"/>
          </xdr:nvSpPr>
          <xdr:spPr>
            <a:xfrm>
              <a:off x="3305175" y="9996487"/>
              <a:ext cx="5862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𝑣=2∗𝑣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57</xdr:row>
      <xdr:rowOff>42862</xdr:rowOff>
    </xdr:from>
    <xdr:ext cx="24067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FA367458-2384-4A00-B9D0-95B670930069}"/>
                </a:ext>
              </a:extLst>
            </xdr:cNvPr>
            <xdr:cNvSpPr txBox="1"/>
          </xdr:nvSpPr>
          <xdr:spPr>
            <a:xfrm>
              <a:off x="8743950" y="10977562"/>
              <a:ext cx="2406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𝑀𝑎𝑡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𝑟𝑒𝑡𝑖𝑑𝑜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𝑞𝑢𝑎𝑛𝑡𝑖𝑑𝑎𝑑𝑒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∗86400</m:t>
                    </m:r>
                  </m:oMath>
                </m:oMathPara>
              </a14:m>
              <a:endParaRPr lang="pt-BR" sz="1100" b="0"/>
            </a:p>
          </xdr:txBody>
        </xdr:sp>
      </mc:Choice>
      <mc:Fallback xmlns="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FA367458-2384-4A00-B9D0-95B670930069}"/>
                </a:ext>
              </a:extLst>
            </xdr:cNvPr>
            <xdr:cNvSpPr txBox="1"/>
          </xdr:nvSpPr>
          <xdr:spPr>
            <a:xfrm>
              <a:off x="8743950" y="10977562"/>
              <a:ext cx="24067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𝑀𝑎𝑡. 𝑟𝑒𝑡𝑖𝑑𝑜=𝑞𝑢𝑎𝑛𝑡𝑖𝑑𝑎𝑑𝑒∗𝑄∗86400</a:t>
              </a:r>
              <a:endParaRPr lang="pt-BR" sz="1100" b="0"/>
            </a:p>
          </xdr:txBody>
        </xdr:sp>
      </mc:Fallback>
    </mc:AlternateContent>
    <xdr:clientData/>
  </xdr:oneCellAnchor>
  <xdr:twoCellAnchor>
    <xdr:from>
      <xdr:col>3</xdr:col>
      <xdr:colOff>210059</xdr:colOff>
      <xdr:row>61</xdr:row>
      <xdr:rowOff>14627</xdr:rowOff>
    </xdr:from>
    <xdr:to>
      <xdr:col>8</xdr:col>
      <xdr:colOff>580854</xdr:colOff>
      <xdr:row>75</xdr:row>
      <xdr:rowOff>138452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1C7D0EE-41AF-E6FF-543A-E7B5C5DF0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3</xdr:row>
      <xdr:rowOff>14287</xdr:rowOff>
    </xdr:from>
    <xdr:ext cx="741678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7D4BC47-BB42-416D-BE19-8A1CC991F228}"/>
                </a:ext>
              </a:extLst>
            </xdr:cNvPr>
            <xdr:cNvSpPr txBox="1"/>
          </xdr:nvSpPr>
          <xdr:spPr>
            <a:xfrm>
              <a:off x="2657475" y="395287"/>
              <a:ext cx="741678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7D4BC47-BB42-416D-BE19-8A1CC991F228}"/>
                </a:ext>
              </a:extLst>
            </xdr:cNvPr>
            <xdr:cNvSpPr txBox="1"/>
          </xdr:nvSpPr>
          <xdr:spPr>
            <a:xfrm>
              <a:off x="2657475" y="395287"/>
              <a:ext cx="741678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𝑄=𝐾∗𝐻^𝑁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9</xdr:row>
      <xdr:rowOff>4762</xdr:rowOff>
    </xdr:from>
    <xdr:ext cx="2134494" cy="357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643A9BB-761C-4E95-AD29-DF69442D20FF}"/>
                </a:ext>
              </a:extLst>
            </xdr:cNvPr>
            <xdr:cNvSpPr txBox="1"/>
          </xdr:nvSpPr>
          <xdr:spPr>
            <a:xfrm>
              <a:off x="2628900" y="1528762"/>
              <a:ext cx="2134494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á</m:t>
                                </m:r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í</m:t>
                                </m:r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−(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í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á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á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í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643A9BB-761C-4E95-AD29-DF69442D20FF}"/>
                </a:ext>
              </a:extLst>
            </xdr:cNvPr>
            <xdr:cNvSpPr txBox="1"/>
          </xdr:nvSpPr>
          <xdr:spPr>
            <a:xfrm>
              <a:off x="2628900" y="1528762"/>
              <a:ext cx="2134494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𝑍=((𝑄_𝑚á𝑥∗𝐻_𝑚í𝑛 )−(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𝑄_𝑚í𝑛∗𝐻_𝑚á𝑥))/(𝑄_𝑚á𝑥−𝑄_𝑚í𝑛 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14</xdr:row>
      <xdr:rowOff>14287</xdr:rowOff>
    </xdr:from>
    <xdr:ext cx="6582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DD50B82-40B3-460A-A541-571829EC5102}"/>
                </a:ext>
              </a:extLst>
            </xdr:cNvPr>
            <xdr:cNvSpPr txBox="1"/>
          </xdr:nvSpPr>
          <xdr:spPr>
            <a:xfrm>
              <a:off x="2647950" y="2490787"/>
              <a:ext cx="658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𝑍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DD50B82-40B3-460A-A541-571829EC5102}"/>
                </a:ext>
              </a:extLst>
            </xdr:cNvPr>
            <xdr:cNvSpPr txBox="1"/>
          </xdr:nvSpPr>
          <xdr:spPr>
            <a:xfrm>
              <a:off x="2647950" y="2490787"/>
              <a:ext cx="6582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ℎ=𝐻−𝑍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3</xdr:row>
      <xdr:rowOff>33337</xdr:rowOff>
    </xdr:from>
    <xdr:ext cx="668196" cy="322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37691A3-31A6-4A2D-869C-830127564667}"/>
                </a:ext>
              </a:extLst>
            </xdr:cNvPr>
            <xdr:cNvSpPr txBox="1"/>
          </xdr:nvSpPr>
          <xdr:spPr>
            <a:xfrm>
              <a:off x="2724150" y="414337"/>
              <a:ext cx="668196" cy="322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𝑄𝑚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á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37691A3-31A6-4A2D-869C-830127564667}"/>
                </a:ext>
              </a:extLst>
            </xdr:cNvPr>
            <xdr:cNvSpPr txBox="1"/>
          </xdr:nvSpPr>
          <xdr:spPr>
            <a:xfrm>
              <a:off x="2724150" y="414337"/>
              <a:ext cx="668196" cy="322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𝑄𝑚á𝑥/</a:t>
              </a:r>
              <a:r>
                <a:rPr lang="pt-BR" sz="1100" b="0" i="0">
                  <a:latin typeface="Cambria Math" panose="02040503050406030204" pitchFamily="18" charset="0"/>
                </a:rPr>
                <a:t>𝑣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28575</xdr:colOff>
      <xdr:row>8</xdr:row>
      <xdr:rowOff>14287</xdr:rowOff>
    </xdr:from>
    <xdr:ext cx="936347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61CAC59-642C-4950-88EF-CE4248AB7651}"/>
                </a:ext>
              </a:extLst>
            </xdr:cNvPr>
            <xdr:cNvSpPr txBox="1"/>
          </xdr:nvSpPr>
          <xdr:spPr>
            <a:xfrm>
              <a:off x="2724150" y="1347787"/>
              <a:ext cx="93634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𝐻𝑚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61CAC59-642C-4950-88EF-CE4248AB7651}"/>
                </a:ext>
              </a:extLst>
            </xdr:cNvPr>
            <xdr:cNvSpPr txBox="1"/>
          </xdr:nvSpPr>
          <xdr:spPr>
            <a:xfrm>
              <a:off x="2724150" y="1347787"/>
              <a:ext cx="93634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𝐵=𝐴/(𝐻𝑚á𝑥−𝑍)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22</xdr:row>
      <xdr:rowOff>23812</xdr:rowOff>
    </xdr:from>
    <xdr:ext cx="8747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D0D19A6-AE67-4DC2-9C11-9F71E545DD12}"/>
                </a:ext>
              </a:extLst>
            </xdr:cNvPr>
            <xdr:cNvSpPr txBox="1"/>
          </xdr:nvSpPr>
          <xdr:spPr>
            <a:xfrm>
              <a:off x="2819400" y="4024312"/>
              <a:ext cx="874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=25∗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D0D19A6-AE67-4DC2-9C11-9F71E545DD12}"/>
                </a:ext>
              </a:extLst>
            </xdr:cNvPr>
            <xdr:cNvSpPr txBox="1"/>
          </xdr:nvSpPr>
          <xdr:spPr>
            <a:xfrm>
              <a:off x="2819400" y="4024312"/>
              <a:ext cx="8747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𝐿=25∗ℎ_𝑚á𝑥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19050</xdr:colOff>
      <xdr:row>25</xdr:row>
      <xdr:rowOff>157162</xdr:rowOff>
    </xdr:from>
    <xdr:ext cx="77322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53503D-19CE-459C-B54B-211D676A1E2F}"/>
                </a:ext>
              </a:extLst>
            </xdr:cNvPr>
            <xdr:cNvSpPr txBox="1"/>
          </xdr:nvSpPr>
          <xdr:spPr>
            <a:xfrm>
              <a:off x="2847975" y="4729162"/>
              <a:ext cx="77322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𝑇𝐴𝑆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á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53503D-19CE-459C-B54B-211D676A1E2F}"/>
                </a:ext>
              </a:extLst>
            </xdr:cNvPr>
            <xdr:cNvSpPr txBox="1"/>
          </xdr:nvSpPr>
          <xdr:spPr>
            <a:xfrm>
              <a:off x="2847975" y="4729162"/>
              <a:ext cx="77322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𝑇𝐴𝑆=𝑄_𝑚á𝑥/(𝐿∗𝐵)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9525</xdr:colOff>
      <xdr:row>33</xdr:row>
      <xdr:rowOff>33337</xdr:rowOff>
    </xdr:from>
    <xdr:ext cx="10280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4E00CE8E-35F5-4F13-BCE7-D99A4B6A6C5B}"/>
                </a:ext>
              </a:extLst>
            </xdr:cNvPr>
            <xdr:cNvSpPr txBox="1"/>
          </xdr:nvSpPr>
          <xdr:spPr>
            <a:xfrm>
              <a:off x="2838450" y="6129337"/>
              <a:ext cx="1028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𝑉𝑜𝑙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𝑃𝑐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4E00CE8E-35F5-4F13-BCE7-D99A4B6A6C5B}"/>
                </a:ext>
              </a:extLst>
            </xdr:cNvPr>
            <xdr:cNvSpPr txBox="1"/>
          </xdr:nvSpPr>
          <xdr:spPr>
            <a:xfrm>
              <a:off x="2838450" y="6129337"/>
              <a:ext cx="10280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𝑉𝑜𝑙=𝑄_𝑚é𝑑∗𝑃𝑐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36</xdr:row>
      <xdr:rowOff>176212</xdr:rowOff>
    </xdr:from>
    <xdr:ext cx="698204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D023BAB-DFCB-4FBC-845C-ECF5FB8D4C3C}"/>
                </a:ext>
              </a:extLst>
            </xdr:cNvPr>
            <xdr:cNvSpPr txBox="1"/>
          </xdr:nvSpPr>
          <xdr:spPr>
            <a:xfrm>
              <a:off x="2828925" y="6843712"/>
              <a:ext cx="69820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𝑄𝑎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𝑉𝑜𝑙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D023BAB-DFCB-4FBC-845C-ECF5FB8D4C3C}"/>
                </a:ext>
              </a:extLst>
            </xdr:cNvPr>
            <xdr:cNvSpPr txBox="1"/>
          </xdr:nvSpPr>
          <xdr:spPr>
            <a:xfrm>
              <a:off x="2828925" y="6843712"/>
              <a:ext cx="698204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𝑄𝑎=𝑉𝑜𝑙/(𝐿∗𝐵)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19050</xdr:colOff>
      <xdr:row>41</xdr:row>
      <xdr:rowOff>14287</xdr:rowOff>
    </xdr:from>
    <xdr:ext cx="77053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2B085C1F-65C2-4D9D-AAE2-930360394AEF}"/>
                </a:ext>
              </a:extLst>
            </xdr:cNvPr>
            <xdr:cNvSpPr txBox="1"/>
          </xdr:nvSpPr>
          <xdr:spPr>
            <a:xfrm>
              <a:off x="2850573" y="8023946"/>
              <a:ext cx="770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𝑄𝑑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∗14</m:t>
                    </m:r>
                  </m:oMath>
                </m:oMathPara>
              </a14:m>
              <a:endParaRPr lang="pt-BR" sz="1100" b="0"/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2B085C1F-65C2-4D9D-AAE2-930360394AEF}"/>
                </a:ext>
              </a:extLst>
            </xdr:cNvPr>
            <xdr:cNvSpPr txBox="1"/>
          </xdr:nvSpPr>
          <xdr:spPr>
            <a:xfrm>
              <a:off x="2850573" y="8023946"/>
              <a:ext cx="7705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𝑑=𝑄𝑑∗14</a:t>
              </a:r>
              <a:endParaRPr lang="pt-BR" sz="1100" b="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</xdr:colOff>
      <xdr:row>5</xdr:row>
      <xdr:rowOff>180975</xdr:rowOff>
    </xdr:from>
    <xdr:ext cx="657616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3209925" y="790575"/>
              <a:ext cx="65761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3209925" y="790575"/>
              <a:ext cx="65761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𝑄_𝑚é𝑑=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𝑉_𝑡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t-BR" sz="1100" b="0" i="0">
                  <a:latin typeface="Cambria Math" panose="02040503050406030204" pitchFamily="18" charset="0"/>
                </a:rPr>
                <a:t>𝑡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133350</xdr:colOff>
      <xdr:row>14</xdr:row>
      <xdr:rowOff>76200</xdr:rowOff>
    </xdr:from>
    <xdr:ext cx="438004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3257550" y="2438400"/>
              <a:ext cx="43800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3257550" y="2438400"/>
              <a:ext cx="438004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𝑉=𝑉_𝑡/𝑛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23</xdr:row>
      <xdr:rowOff>19050</xdr:rowOff>
    </xdr:from>
    <xdr:ext cx="39901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3171825" y="4476750"/>
              <a:ext cx="39901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3171825" y="4476750"/>
              <a:ext cx="39901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𝐴=𝑉/ℎ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76200</xdr:colOff>
      <xdr:row>45</xdr:row>
      <xdr:rowOff>0</xdr:rowOff>
    </xdr:from>
    <xdr:ext cx="433773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3200400" y="8686800"/>
              <a:ext cx="433773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3200400" y="8686800"/>
              <a:ext cx="433773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𝑛=𝐴/𝐴_𝑖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55</xdr:row>
      <xdr:rowOff>28575</xdr:rowOff>
    </xdr:from>
    <xdr:ext cx="546816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3162300" y="10620375"/>
              <a:ext cx="546816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3162300" y="10620375"/>
              <a:ext cx="546816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𝑆=(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𝜋𝐷^2)/</a:t>
              </a:r>
              <a:r>
                <a:rPr lang="pt-BR" sz="1100" b="0" i="0">
                  <a:latin typeface="Cambria Math" panose="02040503050406030204" pitchFamily="18" charset="0"/>
                </a:rPr>
                <a:t>4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</xdr:col>
      <xdr:colOff>600075</xdr:colOff>
      <xdr:row>62</xdr:row>
      <xdr:rowOff>47625</xdr:rowOff>
    </xdr:from>
    <xdr:ext cx="60882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3114675" y="11972925"/>
              <a:ext cx="60882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é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/>
            <xdr:cNvSpPr txBox="1"/>
          </xdr:nvSpPr>
          <xdr:spPr>
            <a:xfrm>
              <a:off x="3114675" y="11972925"/>
              <a:ext cx="60882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𝑣=𝑄_𝑚é𝑑/(𝑆∗𝑛)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71</xdr:row>
      <xdr:rowOff>38100</xdr:rowOff>
    </xdr:from>
    <xdr:ext cx="66909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3162300" y="13716000"/>
              <a:ext cx="66909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é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/>
            <xdr:cNvSpPr txBox="1"/>
          </xdr:nvSpPr>
          <xdr:spPr>
            <a:xfrm>
              <a:off x="3162300" y="13716000"/>
              <a:ext cx="66909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𝑣_𝑎=𝑄_𝑚é𝑑/𝐴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90</xdr:row>
      <xdr:rowOff>19050</xdr:rowOff>
    </xdr:from>
    <xdr:ext cx="2440796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3124200" y="17468850"/>
              <a:ext cx="2440796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𝑐𝑜𝑚𝑝𝑎𝑟𝑡𝑖𝑚𝑒𝑛𝑡𝑜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𝑐𝑜𝑙𝑒𝑡𝑜𝑟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/>
            <xdr:cNvSpPr txBox="1"/>
          </xdr:nvSpPr>
          <xdr:spPr>
            <a:xfrm>
              <a:off x="3124200" y="17468850"/>
              <a:ext cx="2440796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𝐿=𝐿_𝑐𝑜𝑚𝑝𝑎𝑟𝑡𝑖𝑚𝑒𝑛𝑡𝑜∗𝑛_𝑑+𝐿_𝑐𝑜𝑙𝑒𝑡𝑜𝑟∗𝑛_𝑐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97</xdr:row>
      <xdr:rowOff>19050</xdr:rowOff>
    </xdr:from>
    <xdr:ext cx="6678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3171825" y="18840450"/>
              <a:ext cx="6678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/>
            <xdr:cNvSpPr txBox="1"/>
          </xdr:nvSpPr>
          <xdr:spPr>
            <a:xfrm>
              <a:off x="3171825" y="18840450"/>
              <a:ext cx="6678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𝐴_𝑠=𝐵∗𝐿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103</xdr:row>
      <xdr:rowOff>0</xdr:rowOff>
    </xdr:from>
    <xdr:ext cx="8391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3171825" y="20040600"/>
              <a:ext cx="8391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/>
            <xdr:cNvSpPr txBox="1"/>
          </xdr:nvSpPr>
          <xdr:spPr>
            <a:xfrm>
              <a:off x="3171825" y="20040600"/>
              <a:ext cx="8391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𝐴_𝑑=𝐴_𝑠∗𝑛_𝑑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66675</xdr:colOff>
      <xdr:row>110</xdr:row>
      <xdr:rowOff>9525</xdr:rowOff>
    </xdr:from>
    <xdr:ext cx="678263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3190875" y="21459825"/>
              <a:ext cx="67826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é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3" name="CaixaDeTexto 12"/>
            <xdr:cNvSpPr txBox="1"/>
          </xdr:nvSpPr>
          <xdr:spPr>
            <a:xfrm>
              <a:off x="3190875" y="21459825"/>
              <a:ext cx="678263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𝑣_𝑑=𝑄_𝑚é𝑑/𝐴_𝑑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121</xdr:row>
      <xdr:rowOff>9525</xdr:rowOff>
    </xdr:from>
    <xdr:ext cx="2200987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3181350" y="23593425"/>
              <a:ext cx="2200987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𝑃𝑟𝑜𝑑𝑢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çã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𝐷𝑄𝑂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𝐶𝑎𝑟𝑔𝑎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𝐷𝑄𝑂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/>
            <xdr:cNvSpPr txBox="1"/>
          </xdr:nvSpPr>
          <xdr:spPr>
            <a:xfrm>
              <a:off x="3181350" y="23593425"/>
              <a:ext cx="2200987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𝑀=𝑃𝑟𝑜𝑑𝑢çã𝑜 𝑑𝑒 𝐷𝑄𝑂∗〖𝐶𝑎𝑟𝑔𝑎〗_𝐷𝑄𝑂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130</xdr:row>
      <xdr:rowOff>28575</xdr:rowOff>
    </xdr:from>
    <xdr:ext cx="1409360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3171825" y="25326975"/>
              <a:ext cx="1409360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𝑡𝑒𝑜𝑟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𝑑𝑒𝑛𝑠𝑖𝑑𝑎𝑑𝑒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/>
            <xdr:cNvSpPr txBox="1"/>
          </xdr:nvSpPr>
          <xdr:spPr>
            <a:xfrm>
              <a:off x="3171825" y="25326975"/>
              <a:ext cx="1409360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𝑉_𝐿=𝑀/(𝑡𝑒𝑜𝑟∗𝑑𝑒𝑛𝑠𝑖𝑑𝑎𝑑𝑒)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95250</xdr:colOff>
      <xdr:row>5</xdr:row>
      <xdr:rowOff>180975</xdr:rowOff>
    </xdr:from>
    <xdr:ext cx="10321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8477250" y="1171575"/>
              <a:ext cx="1032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𝑇𝐻𝑅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6" name="CaixaDeTexto 15"/>
            <xdr:cNvSpPr txBox="1"/>
          </xdr:nvSpPr>
          <xdr:spPr>
            <a:xfrm>
              <a:off x="8477250" y="1171575"/>
              <a:ext cx="10321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𝑉=𝑇𝐻𝑅∗𝑄_𝑚é𝑑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314325</xdr:colOff>
      <xdr:row>14</xdr:row>
      <xdr:rowOff>19050</xdr:rowOff>
    </xdr:from>
    <xdr:ext cx="39901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8696325" y="2381250"/>
              <a:ext cx="39901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7" name="CaixaDeTexto 16"/>
            <xdr:cNvSpPr txBox="1"/>
          </xdr:nvSpPr>
          <xdr:spPr>
            <a:xfrm>
              <a:off x="8696325" y="2381250"/>
              <a:ext cx="39901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𝐴=𝑉/ℎ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10</xdr:col>
      <xdr:colOff>600075</xdr:colOff>
      <xdr:row>25</xdr:row>
      <xdr:rowOff>28575</xdr:rowOff>
    </xdr:from>
    <xdr:ext cx="1579728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8372475" y="4867275"/>
              <a:ext cx="157972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𝐿𝐴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𝑛𝑢𝑚𝑒𝑟𝑜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𝑙𝑎𝑔𝑜𝑎𝑠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8" name="CaixaDeTexto 17"/>
            <xdr:cNvSpPr txBox="1"/>
          </xdr:nvSpPr>
          <xdr:spPr>
            <a:xfrm>
              <a:off x="8372475" y="4867275"/>
              <a:ext cx="157972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𝐴_𝐿𝐴=𝐴/(𝑛𝑢𝑚𝑒𝑟𝑜 𝑑𝑒 𝑙𝑎𝑔𝑜𝑎𝑠)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76200</xdr:colOff>
      <xdr:row>31</xdr:row>
      <xdr:rowOff>171450</xdr:rowOff>
    </xdr:from>
    <xdr:ext cx="175041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 txBox="1"/>
          </xdr:nvSpPr>
          <xdr:spPr>
            <a:xfrm>
              <a:off x="8458200" y="6191250"/>
              <a:ext cx="17504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𝐿𝐴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∗2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=2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9" name="CaixaDeTexto 18"/>
            <xdr:cNvSpPr txBox="1"/>
          </xdr:nvSpPr>
          <xdr:spPr>
            <a:xfrm>
              <a:off x="8458200" y="6191250"/>
              <a:ext cx="175041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𝐴_𝐿𝐴=𝐵∗𝐿=𝐵∗2𝐵=2𝐵^2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152400</xdr:colOff>
      <xdr:row>53</xdr:row>
      <xdr:rowOff>28575</xdr:rowOff>
    </xdr:from>
    <xdr:ext cx="1289071" cy="357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 txBox="1"/>
          </xdr:nvSpPr>
          <xdr:spPr>
            <a:xfrm>
              <a:off x="11934825" y="10801350"/>
              <a:ext cx="1289071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𝑇𝐴𝑆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𝐶𝑎𝑟𝑔𝑎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𝐷𝐵𝑂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𝑟𝑒𝑎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𝑒𝑠𝑝𝑒𝑙h𝑜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0" name="CaixaDeTexto 19"/>
            <xdr:cNvSpPr txBox="1"/>
          </xdr:nvSpPr>
          <xdr:spPr>
            <a:xfrm>
              <a:off x="11934825" y="10801350"/>
              <a:ext cx="1289071" cy="357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𝑇𝐴𝑆=〖𝐶𝑎𝑟𝑔𝑎 〗_𝐷𝐵𝑂/(Á𝑟𝑒𝑎 𝑒𝑠𝑝𝑒𝑙ℎ𝑜)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114300</xdr:colOff>
      <xdr:row>63</xdr:row>
      <xdr:rowOff>28575</xdr:rowOff>
    </xdr:from>
    <xdr:ext cx="16271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 txBox="1"/>
          </xdr:nvSpPr>
          <xdr:spPr>
            <a:xfrm>
              <a:off x="10267950" y="12182475"/>
              <a:ext cx="16271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𝑒𝑓𝑖𝑐𝑖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ê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𝑛𝑐𝑖𝑎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1" name="CaixaDeTexto 20"/>
            <xdr:cNvSpPr txBox="1"/>
          </xdr:nvSpPr>
          <xdr:spPr>
            <a:xfrm>
              <a:off x="10267950" y="12182475"/>
              <a:ext cx="16271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𝑆_𝑒=(1−𝑒𝑓𝑖𝑐𝑖ê𝑛𝑐𝑖𝑎)∗𝑆_𝑎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133350</xdr:colOff>
      <xdr:row>69</xdr:row>
      <xdr:rowOff>9525</xdr:rowOff>
    </xdr:from>
    <xdr:ext cx="1712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 txBox="1"/>
          </xdr:nvSpPr>
          <xdr:spPr>
            <a:xfrm>
              <a:off x="10287000" y="13306425"/>
              <a:ext cx="1712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𝑜𝑏𝑠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∗(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2" name="CaixaDeTexto 21"/>
            <xdr:cNvSpPr txBox="1"/>
          </xdr:nvSpPr>
          <xdr:spPr>
            <a:xfrm>
              <a:off x="10287000" y="13306425"/>
              <a:ext cx="1712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𝑃= 𝑌_𝑜𝑏𝑠∗𝑄_𝑚é𝑑∗(𝑆_𝑎−𝑆_𝑒)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19050</xdr:colOff>
      <xdr:row>76</xdr:row>
      <xdr:rowOff>161925</xdr:rowOff>
    </xdr:from>
    <xdr:ext cx="2745623" cy="1965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10172700" y="14944725"/>
              <a:ext cx="2745623" cy="196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𝐷𝐵𝑂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25°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𝐷𝐵𝑂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20°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𝑒𝑛𝑡𝑟𝑎𝑑𝑎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1,047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(25−20)°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3" name="CaixaDeTexto 22"/>
            <xdr:cNvSpPr txBox="1"/>
          </xdr:nvSpPr>
          <xdr:spPr>
            <a:xfrm>
              <a:off x="10172700" y="14944725"/>
              <a:ext cx="2745623" cy="196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</a:t>
              </a:r>
              <a:r>
                <a:rPr lang="pt-BR" sz="1100" b="0" i="0">
                  <a:latin typeface="Cambria Math" panose="02040503050406030204" pitchFamily="18" charset="0"/>
                </a:rPr>
                <a:t>𝐷𝐵𝑂〗_(25°𝐶)=〖𝐷𝐵𝑂〗_(20°𝐶 (𝑒𝑛𝑡𝑟𝑎𝑑𝑎))∗〖1,047〗^((25−20)°𝐶)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82</xdr:row>
      <xdr:rowOff>171450</xdr:rowOff>
    </xdr:from>
    <xdr:ext cx="2616101" cy="1965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 txBox="1"/>
          </xdr:nvSpPr>
          <xdr:spPr>
            <a:xfrm>
              <a:off x="10153650" y="16135350"/>
              <a:ext cx="2616101" cy="196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𝐷𝐵𝑂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25°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𝐷𝐵𝑂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20°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𝑆𝑎𝑖𝑑𝑎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1,047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(25−20)°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4" name="CaixaDeTexto 23"/>
            <xdr:cNvSpPr txBox="1"/>
          </xdr:nvSpPr>
          <xdr:spPr>
            <a:xfrm>
              <a:off x="10153650" y="16135350"/>
              <a:ext cx="2616101" cy="196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</a:t>
              </a:r>
              <a:r>
                <a:rPr lang="pt-BR" sz="1100" b="0" i="0">
                  <a:latin typeface="Cambria Math" panose="02040503050406030204" pitchFamily="18" charset="0"/>
                </a:rPr>
                <a:t>𝐷𝐵𝑂〗_(25°𝐶)=〖𝐷𝐵𝑂〗_(20°𝐶 (𝑆𝑎𝑖𝑑𝑎))∗〖1,047〗^((25−20)°𝐶)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209550</xdr:colOff>
      <xdr:row>91</xdr:row>
      <xdr:rowOff>0</xdr:rowOff>
    </xdr:from>
    <xdr:ext cx="19624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 txBox="1"/>
          </xdr:nvSpPr>
          <xdr:spPr>
            <a:xfrm>
              <a:off x="10363200" y="17830800"/>
              <a:ext cx="19624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𝐶𝑎𝑟𝑔𝑎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𝐷𝐵𝑂𝑑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𝐶𝑎𝑟𝑔𝑎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𝐷𝐵𝑂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5" name="CaixaDeTexto 24"/>
            <xdr:cNvSpPr txBox="1"/>
          </xdr:nvSpPr>
          <xdr:spPr>
            <a:xfrm>
              <a:off x="10363200" y="17830800"/>
              <a:ext cx="19624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</a:t>
              </a:r>
              <a:r>
                <a:rPr lang="pt-BR" sz="1100" b="0" i="0">
                  <a:latin typeface="Cambria Math" panose="02040503050406030204" pitchFamily="18" charset="0"/>
                </a:rPr>
                <a:t>𝐶𝑎𝑟𝑔𝑎〗_𝐷𝐵𝑂𝑑=〖𝐶𝑎𝑟𝑔𝑎〗_𝐷𝐵𝑂∗𝑄_𝑚é𝑑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161925</xdr:colOff>
      <xdr:row>97</xdr:row>
      <xdr:rowOff>19050</xdr:rowOff>
    </xdr:from>
    <xdr:ext cx="1876026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 txBox="1"/>
          </xdr:nvSpPr>
          <xdr:spPr>
            <a:xfrm>
              <a:off x="10315575" y="19107150"/>
              <a:ext cx="1876026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=2∗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𝐾𝑔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𝐾𝑔𝐷𝐵𝑂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𝐶𝑎𝑟𝑔𝑎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𝐷𝐵𝑂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6" name="CaixaDeTexto 25"/>
            <xdr:cNvSpPr txBox="1"/>
          </xdr:nvSpPr>
          <xdr:spPr>
            <a:xfrm>
              <a:off x="10315575" y="19107150"/>
              <a:ext cx="1876026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𝑄_𝑂2=2∗(𝐾𝑔𝑂_2)/𝐾𝑔𝐷𝐵𝑂∗〖𝐶𝑎𝑟𝑔𝑎〗_𝐷𝐵𝑂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66675</xdr:colOff>
      <xdr:row>110</xdr:row>
      <xdr:rowOff>9525</xdr:rowOff>
    </xdr:from>
    <xdr:ext cx="1219308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 txBox="1"/>
          </xdr:nvSpPr>
          <xdr:spPr>
            <a:xfrm>
              <a:off x="10220325" y="21764625"/>
              <a:ext cx="12193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𝑃𝑜𝑡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𝑜𝑥𝑖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𝐶𝑎𝑝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𝑇𝑟𝑎𝑛𝑠𝑓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7" name="CaixaDeTexto 26"/>
            <xdr:cNvSpPr txBox="1"/>
          </xdr:nvSpPr>
          <xdr:spPr>
            <a:xfrm>
              <a:off x="10220325" y="21764625"/>
              <a:ext cx="121930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𝑃𝑜𝑡=𝑄_𝑜𝑥𝑖/(𝐶𝑎𝑝. 𝑇𝑟𝑎𝑛𝑠𝑓.)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11</xdr:col>
      <xdr:colOff>266700</xdr:colOff>
      <xdr:row>121</xdr:row>
      <xdr:rowOff>38100</xdr:rowOff>
    </xdr:from>
    <xdr:ext cx="956159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 txBox="1"/>
          </xdr:nvSpPr>
          <xdr:spPr>
            <a:xfrm>
              <a:off x="10420350" y="23926800"/>
              <a:ext cx="956159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𝑃𝑜𝑡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∗735</m:t>
                        </m:r>
                      </m:num>
                      <m:den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8" name="CaixaDeTexto 27"/>
            <xdr:cNvSpPr txBox="1"/>
          </xdr:nvSpPr>
          <xdr:spPr>
            <a:xfrm>
              <a:off x="10420350" y="23926800"/>
              <a:ext cx="956159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𝑑_𝑝=(𝑃𝑜𝑡∗735)/𝑉_𝑡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228600</xdr:colOff>
      <xdr:row>5</xdr:row>
      <xdr:rowOff>180975</xdr:rowOff>
    </xdr:from>
    <xdr:ext cx="13117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 txBox="1"/>
          </xdr:nvSpPr>
          <xdr:spPr>
            <a:xfrm>
              <a:off x="15840075" y="1171575"/>
              <a:ext cx="1311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𝑑𝑒𝑐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𝑡𝑒𝑚𝑝𝑜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9" name="CaixaDeTexto 28"/>
            <xdr:cNvSpPr txBox="1"/>
          </xdr:nvSpPr>
          <xdr:spPr>
            <a:xfrm>
              <a:off x="15840075" y="1171575"/>
              <a:ext cx="13117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𝑉_𝑑𝑒𝑐=𝑄_𝑚é𝑑∗𝑡𝑒𝑚𝑝𝑜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276225</xdr:colOff>
      <xdr:row>12</xdr:row>
      <xdr:rowOff>19050</xdr:rowOff>
    </xdr:from>
    <xdr:ext cx="8009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15887700" y="2381250"/>
              <a:ext cx="8009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=0,5∗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0" name="CaixaDeTexto 29"/>
            <xdr:cNvSpPr txBox="1"/>
          </xdr:nvSpPr>
          <xdr:spPr>
            <a:xfrm>
              <a:off x="15887700" y="2381250"/>
              <a:ext cx="8009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𝑋=0,5∗𝑃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142875</xdr:colOff>
      <xdr:row>22</xdr:row>
      <xdr:rowOff>0</xdr:rowOff>
    </xdr:from>
    <xdr:ext cx="10499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15754350" y="4343400"/>
              <a:ext cx="10499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𝑑𝑒𝑐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𝑙𝑜𝑑𝑜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2" name="CaixaDeTexto 31"/>
            <xdr:cNvSpPr txBox="1"/>
          </xdr:nvSpPr>
          <xdr:spPr>
            <a:xfrm>
              <a:off x="15754350" y="4343400"/>
              <a:ext cx="10499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𝑉_𝑠=𝑉_𝑑𝑒𝑐+𝑉_𝑙𝑜𝑑𝑜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17</xdr:col>
      <xdr:colOff>133350</xdr:colOff>
      <xdr:row>30</xdr:row>
      <xdr:rowOff>28575</xdr:rowOff>
    </xdr:from>
    <xdr:ext cx="492378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 txBox="1"/>
          </xdr:nvSpPr>
          <xdr:spPr>
            <a:xfrm>
              <a:off x="15744825" y="5934075"/>
              <a:ext cx="492378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3" name="CaixaDeTexto 32"/>
            <xdr:cNvSpPr txBox="1"/>
          </xdr:nvSpPr>
          <xdr:spPr>
            <a:xfrm>
              <a:off x="15744825" y="5934075"/>
              <a:ext cx="492378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𝐴_𝑠=𝑉_𝑠/ℎ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1"/>
  <sheetViews>
    <sheetView showGridLines="0" topLeftCell="A6" zoomScale="112" zoomScaleNormal="130" workbookViewId="0">
      <selection activeCell="F23" sqref="F23"/>
    </sheetView>
  </sheetViews>
  <sheetFormatPr defaultRowHeight="15" x14ac:dyDescent="0.25"/>
  <cols>
    <col min="1" max="1" width="3.42578125" customWidth="1"/>
    <col min="2" max="2" width="31.85546875" bestFit="1" customWidth="1"/>
    <col min="3" max="3" width="5" bestFit="1" customWidth="1"/>
    <col min="5" max="5" width="11.85546875" bestFit="1" customWidth="1"/>
    <col min="6" max="6" width="12.140625" bestFit="1" customWidth="1"/>
    <col min="7" max="7" width="19.42578125" bestFit="1" customWidth="1"/>
    <col min="8" max="8" width="13.42578125" bestFit="1" customWidth="1"/>
    <col min="12" max="12" width="18.85546875" bestFit="1" customWidth="1"/>
    <col min="13" max="13" width="12" bestFit="1" customWidth="1"/>
    <col min="14" max="14" width="19.42578125" bestFit="1" customWidth="1"/>
    <col min="15" max="15" width="13.42578125" bestFit="1" customWidth="1"/>
  </cols>
  <sheetData>
    <row r="1" spans="1:21" ht="21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2"/>
    </row>
    <row r="2" spans="1:2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1"/>
    </row>
    <row r="3" spans="1:21" ht="21" x14ac:dyDescent="0.25">
      <c r="A3" s="4"/>
      <c r="B3" s="51" t="s">
        <v>1</v>
      </c>
      <c r="C3" s="5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4" spans="1:21" ht="21" x14ac:dyDescent="0.25">
      <c r="A4" s="4"/>
      <c r="B4" s="5" t="s">
        <v>46</v>
      </c>
      <c r="C4" s="6">
        <v>0.51</v>
      </c>
      <c r="D4" s="40"/>
      <c r="E4" s="52" t="s">
        <v>27</v>
      </c>
      <c r="F4" s="53"/>
      <c r="G4" s="53"/>
      <c r="H4" s="53"/>
      <c r="I4" s="54"/>
      <c r="J4" s="4"/>
      <c r="K4" s="4"/>
      <c r="L4" s="52" t="s">
        <v>28</v>
      </c>
      <c r="M4" s="53"/>
      <c r="N4" s="53"/>
      <c r="O4" s="53"/>
      <c r="P4" s="54"/>
      <c r="Q4" s="40"/>
      <c r="R4" s="40"/>
      <c r="S4" s="40"/>
      <c r="T4" s="40"/>
      <c r="U4" s="40"/>
    </row>
    <row r="5" spans="1:21" ht="15.75" x14ac:dyDescent="0.25">
      <c r="A5" s="4"/>
      <c r="B5" s="5" t="s">
        <v>47</v>
      </c>
      <c r="C5" s="95">
        <v>0.3</v>
      </c>
      <c r="D5" s="4"/>
      <c r="E5" s="45" t="s">
        <v>12</v>
      </c>
      <c r="F5" s="46"/>
      <c r="G5" s="46"/>
      <c r="H5" s="46"/>
      <c r="I5" s="47"/>
      <c r="J5" s="4"/>
      <c r="K5" s="4"/>
      <c r="L5" s="45" t="s">
        <v>12</v>
      </c>
      <c r="M5" s="46"/>
      <c r="N5" s="46"/>
      <c r="O5" s="46"/>
      <c r="P5" s="47"/>
      <c r="Q5" s="4"/>
      <c r="R5" s="4"/>
      <c r="S5" s="4"/>
      <c r="T5" s="4"/>
      <c r="U5" s="41"/>
    </row>
    <row r="6" spans="1:21" x14ac:dyDescent="0.25">
      <c r="A6" s="4"/>
      <c r="B6" s="5" t="s">
        <v>48</v>
      </c>
      <c r="C6" s="6">
        <v>0.18</v>
      </c>
      <c r="D6" s="4"/>
      <c r="E6" s="5"/>
      <c r="F6" s="4"/>
      <c r="G6" s="4"/>
      <c r="H6" s="4"/>
      <c r="I6" s="6"/>
      <c r="J6" s="4"/>
      <c r="K6" s="4"/>
      <c r="L6" s="5"/>
      <c r="M6" s="4"/>
      <c r="N6" s="4"/>
      <c r="O6" s="4"/>
      <c r="P6" s="6"/>
      <c r="Q6" s="4"/>
      <c r="R6" s="4"/>
      <c r="S6" s="4"/>
      <c r="T6" s="4"/>
      <c r="U6" s="41"/>
    </row>
    <row r="7" spans="1:21" x14ac:dyDescent="0.25">
      <c r="A7" s="4"/>
      <c r="B7" s="5" t="s">
        <v>45</v>
      </c>
      <c r="C7" s="6">
        <v>60</v>
      </c>
      <c r="D7" s="4"/>
      <c r="E7" s="5"/>
      <c r="F7" s="4"/>
      <c r="G7" s="4"/>
      <c r="H7" s="4"/>
      <c r="I7" s="6"/>
      <c r="J7" s="4"/>
      <c r="K7" s="4"/>
      <c r="L7" s="5"/>
      <c r="M7" s="4"/>
      <c r="N7" s="4"/>
      <c r="O7" s="4"/>
      <c r="P7" s="6"/>
      <c r="Q7" s="4"/>
      <c r="R7" s="4"/>
      <c r="S7" s="4"/>
      <c r="T7" s="4"/>
      <c r="U7" s="41"/>
    </row>
    <row r="8" spans="1:21" x14ac:dyDescent="0.25">
      <c r="A8" s="4"/>
      <c r="B8" s="5" t="s">
        <v>42</v>
      </c>
      <c r="C8" s="6">
        <v>80</v>
      </c>
      <c r="D8" s="4"/>
      <c r="E8" s="25" t="s">
        <v>13</v>
      </c>
      <c r="F8" s="96">
        <f>C14/(C14+C11)</f>
        <v>0.94202898550724634</v>
      </c>
      <c r="G8" s="4"/>
      <c r="H8" s="4"/>
      <c r="I8" s="6"/>
      <c r="J8" s="4"/>
      <c r="K8" s="4"/>
      <c r="L8" s="25" t="s">
        <v>13</v>
      </c>
      <c r="M8" s="25">
        <f>C15/(C11+C15)</f>
        <v>0.83333333333333337</v>
      </c>
      <c r="N8" s="4"/>
      <c r="O8" s="4"/>
      <c r="P8" s="6"/>
      <c r="Q8" s="4"/>
      <c r="R8" s="4"/>
      <c r="S8" s="4"/>
      <c r="T8" s="4"/>
      <c r="U8" s="41"/>
    </row>
    <row r="9" spans="1:21" x14ac:dyDescent="0.25">
      <c r="A9" s="4"/>
      <c r="B9" s="5" t="s">
        <v>41</v>
      </c>
      <c r="C9" s="6">
        <v>120</v>
      </c>
      <c r="D9" s="4"/>
      <c r="E9" s="5"/>
      <c r="F9" s="4"/>
      <c r="G9" s="4"/>
      <c r="H9" s="4"/>
      <c r="I9" s="6"/>
      <c r="J9" s="4"/>
      <c r="K9" s="4"/>
      <c r="L9" s="5"/>
      <c r="M9" s="4"/>
      <c r="N9" s="4"/>
      <c r="O9" s="4"/>
      <c r="P9" s="6"/>
      <c r="Q9" s="4"/>
      <c r="R9" s="4"/>
      <c r="S9" s="4"/>
      <c r="T9" s="4"/>
      <c r="U9" s="41"/>
    </row>
    <row r="10" spans="1:21" ht="15.75" x14ac:dyDescent="0.25">
      <c r="A10" s="4"/>
      <c r="B10" s="5" t="s">
        <v>2</v>
      </c>
      <c r="C10" s="6" t="s">
        <v>3</v>
      </c>
      <c r="D10" s="4"/>
      <c r="E10" s="45" t="s">
        <v>15</v>
      </c>
      <c r="F10" s="46"/>
      <c r="G10" s="46"/>
      <c r="H10" s="46"/>
      <c r="I10" s="47"/>
      <c r="J10" s="4"/>
      <c r="K10" s="4"/>
      <c r="L10" s="45" t="s">
        <v>15</v>
      </c>
      <c r="M10" s="46"/>
      <c r="N10" s="46"/>
      <c r="O10" s="46"/>
      <c r="P10" s="47"/>
      <c r="Q10" s="4"/>
      <c r="R10" s="4"/>
      <c r="S10" s="4"/>
      <c r="T10" s="4"/>
      <c r="U10" s="41"/>
    </row>
    <row r="11" spans="1:21" x14ac:dyDescent="0.25">
      <c r="A11" s="4"/>
      <c r="B11" s="5" t="s">
        <v>7</v>
      </c>
      <c r="C11" s="6">
        <v>0.8</v>
      </c>
      <c r="D11" s="4"/>
      <c r="E11" s="5"/>
      <c r="F11" s="4"/>
      <c r="G11" s="4"/>
      <c r="H11" s="4"/>
      <c r="I11" s="6"/>
      <c r="J11" s="4"/>
      <c r="K11" s="4"/>
      <c r="L11" s="5"/>
      <c r="M11" s="4"/>
      <c r="N11" s="4"/>
      <c r="O11" s="4"/>
      <c r="P11" s="6"/>
      <c r="Q11" s="4"/>
      <c r="R11" s="4"/>
      <c r="S11" s="4"/>
      <c r="T11" s="4"/>
      <c r="U11" s="41"/>
    </row>
    <row r="12" spans="1:21" x14ac:dyDescent="0.25">
      <c r="A12" s="4"/>
      <c r="B12" s="5"/>
      <c r="C12" s="6"/>
      <c r="D12" s="4"/>
      <c r="E12" s="5"/>
      <c r="F12" s="4"/>
      <c r="G12" s="4"/>
      <c r="H12" s="4"/>
      <c r="I12" s="6"/>
      <c r="J12" s="4"/>
      <c r="K12" s="4"/>
      <c r="L12" s="5"/>
      <c r="M12" s="4"/>
      <c r="N12" s="4"/>
      <c r="O12" s="4"/>
      <c r="P12" s="6"/>
      <c r="Q12" s="4"/>
      <c r="R12" s="4"/>
      <c r="S12" s="4"/>
      <c r="T12" s="4"/>
      <c r="U12" s="41"/>
    </row>
    <row r="13" spans="1:21" x14ac:dyDescent="0.25">
      <c r="A13" s="4"/>
      <c r="B13" s="5" t="s">
        <v>11</v>
      </c>
      <c r="C13" s="6"/>
      <c r="D13" s="4"/>
      <c r="E13" s="25" t="s">
        <v>16</v>
      </c>
      <c r="F13" s="25">
        <f>(C9/1000)/C17</f>
        <v>0.16</v>
      </c>
      <c r="G13" s="4"/>
      <c r="H13" s="4"/>
      <c r="I13" s="6"/>
      <c r="J13" s="4"/>
      <c r="K13" s="4"/>
      <c r="L13" s="25" t="s">
        <v>16</v>
      </c>
      <c r="M13" s="25">
        <f>(C9/1000)/C17</f>
        <v>0.16</v>
      </c>
      <c r="N13" s="4"/>
      <c r="O13" s="4"/>
      <c r="P13" s="6"/>
      <c r="Q13" s="4"/>
      <c r="R13" s="4"/>
      <c r="S13" s="4"/>
      <c r="T13" s="4"/>
      <c r="U13" s="41"/>
    </row>
    <row r="14" spans="1:21" x14ac:dyDescent="0.25">
      <c r="A14" s="4"/>
      <c r="B14" s="5" t="s">
        <v>4</v>
      </c>
      <c r="C14" s="6">
        <v>13</v>
      </c>
      <c r="D14" s="4"/>
      <c r="E14" s="5"/>
      <c r="F14" s="4"/>
      <c r="G14" s="4"/>
      <c r="H14" s="4"/>
      <c r="I14" s="6"/>
      <c r="J14" s="4"/>
      <c r="K14" s="4"/>
      <c r="L14" s="5"/>
      <c r="M14" s="4"/>
      <c r="N14" s="4"/>
      <c r="O14" s="4"/>
      <c r="P14" s="6"/>
      <c r="Q14" s="4"/>
      <c r="R14" s="4"/>
      <c r="S14" s="4"/>
      <c r="T14" s="4"/>
      <c r="U14" s="41"/>
    </row>
    <row r="15" spans="1:21" ht="15.75" x14ac:dyDescent="0.25">
      <c r="A15" s="4"/>
      <c r="B15" s="5" t="s">
        <v>5</v>
      </c>
      <c r="C15" s="6">
        <v>4</v>
      </c>
      <c r="D15" s="4"/>
      <c r="E15" s="45" t="s">
        <v>17</v>
      </c>
      <c r="F15" s="46"/>
      <c r="G15" s="46"/>
      <c r="H15" s="46"/>
      <c r="I15" s="47"/>
      <c r="J15" s="4"/>
      <c r="K15" s="4"/>
      <c r="L15" s="45" t="s">
        <v>17</v>
      </c>
      <c r="M15" s="46"/>
      <c r="N15" s="46"/>
      <c r="O15" s="46"/>
      <c r="P15" s="47"/>
      <c r="Q15" s="4"/>
      <c r="R15" s="4"/>
      <c r="S15" s="4"/>
      <c r="T15" s="4"/>
      <c r="U15" s="41"/>
    </row>
    <row r="16" spans="1:21" x14ac:dyDescent="0.25">
      <c r="A16" s="4"/>
      <c r="B16" s="5"/>
      <c r="C16" s="6"/>
      <c r="D16" s="4"/>
      <c r="E16" s="5"/>
      <c r="F16" s="4"/>
      <c r="G16" s="4"/>
      <c r="H16" s="4"/>
      <c r="I16" s="6"/>
      <c r="J16" s="4"/>
      <c r="K16" s="4"/>
      <c r="L16" s="5"/>
      <c r="M16" s="4"/>
      <c r="N16" s="4"/>
      <c r="O16" s="4"/>
      <c r="P16" s="6"/>
      <c r="Q16" s="4"/>
      <c r="R16" s="4"/>
      <c r="S16" s="4"/>
      <c r="T16" s="4"/>
      <c r="U16" s="41"/>
    </row>
    <row r="17" spans="1:21" x14ac:dyDescent="0.25">
      <c r="A17" s="4"/>
      <c r="B17" s="5" t="s">
        <v>6</v>
      </c>
      <c r="C17" s="6">
        <v>0.75</v>
      </c>
      <c r="D17" s="4"/>
      <c r="E17" s="5"/>
      <c r="F17" s="4"/>
      <c r="G17" s="4"/>
      <c r="H17" s="4"/>
      <c r="I17" s="6"/>
      <c r="J17" s="4"/>
      <c r="K17" s="4"/>
      <c r="L17" s="5"/>
      <c r="M17" s="4"/>
      <c r="N17" s="4"/>
      <c r="O17" s="4"/>
      <c r="P17" s="6"/>
      <c r="Q17" s="4"/>
      <c r="R17" s="4"/>
      <c r="S17" s="4"/>
      <c r="T17" s="4"/>
      <c r="U17" s="41"/>
    </row>
    <row r="18" spans="1:21" x14ac:dyDescent="0.25">
      <c r="A18" s="4"/>
      <c r="B18" s="5" t="s">
        <v>8</v>
      </c>
      <c r="C18" s="37">
        <v>0.5</v>
      </c>
      <c r="D18" s="4"/>
      <c r="E18" s="25" t="s">
        <v>18</v>
      </c>
      <c r="F18" s="25">
        <f>F13/F8</f>
        <v>0.16984615384615387</v>
      </c>
      <c r="G18" s="4"/>
      <c r="H18" s="4"/>
      <c r="I18" s="6"/>
      <c r="J18" s="4"/>
      <c r="K18" s="4"/>
      <c r="L18" s="25" t="s">
        <v>18</v>
      </c>
      <c r="M18" s="25">
        <f>M13/M8</f>
        <v>0.192</v>
      </c>
      <c r="N18" s="4"/>
      <c r="O18" s="4"/>
      <c r="P18" s="6"/>
      <c r="Q18" s="4"/>
      <c r="R18" s="4"/>
      <c r="S18" s="4"/>
      <c r="T18" s="4"/>
      <c r="U18" s="41"/>
    </row>
    <row r="19" spans="1:21" x14ac:dyDescent="0.25">
      <c r="A19" s="4"/>
      <c r="B19" s="5"/>
      <c r="C19" s="6"/>
      <c r="D19" s="4"/>
      <c r="E19" s="5"/>
      <c r="F19" s="4"/>
      <c r="G19" s="4"/>
      <c r="H19" s="4"/>
      <c r="I19" s="6"/>
      <c r="J19" s="4"/>
      <c r="K19" s="4"/>
      <c r="L19" s="5"/>
      <c r="M19" s="4"/>
      <c r="N19" s="4"/>
      <c r="O19" s="4"/>
      <c r="P19" s="6"/>
      <c r="Q19" s="4"/>
      <c r="R19" s="4"/>
      <c r="S19" s="4"/>
      <c r="T19" s="4"/>
      <c r="U19" s="41"/>
    </row>
    <row r="20" spans="1:21" ht="15.75" x14ac:dyDescent="0.25">
      <c r="A20" s="4"/>
      <c r="B20" s="5" t="s">
        <v>14</v>
      </c>
      <c r="C20" s="6"/>
      <c r="D20" s="4"/>
      <c r="E20" s="45" t="s">
        <v>19</v>
      </c>
      <c r="F20" s="46"/>
      <c r="G20" s="46"/>
      <c r="H20" s="46"/>
      <c r="I20" s="47"/>
      <c r="J20" s="4"/>
      <c r="K20" s="4"/>
      <c r="L20" s="45" t="s">
        <v>19</v>
      </c>
      <c r="M20" s="46"/>
      <c r="N20" s="46"/>
      <c r="O20" s="46"/>
      <c r="P20" s="47"/>
      <c r="Q20" s="4"/>
      <c r="R20" s="4"/>
      <c r="S20" s="4"/>
      <c r="T20" s="4"/>
      <c r="U20" s="41"/>
    </row>
    <row r="21" spans="1:21" x14ac:dyDescent="0.25">
      <c r="A21" s="4"/>
      <c r="B21" s="5" t="s">
        <v>9</v>
      </c>
      <c r="C21" s="6">
        <v>0.15</v>
      </c>
      <c r="D21" s="4"/>
      <c r="E21" s="5"/>
      <c r="F21" s="4"/>
      <c r="G21" s="4"/>
      <c r="H21" s="4"/>
      <c r="I21" s="6"/>
      <c r="J21" s="4"/>
      <c r="K21" s="4"/>
      <c r="L21" s="5"/>
      <c r="M21" s="4"/>
      <c r="N21" s="4"/>
      <c r="O21" s="4"/>
      <c r="P21" s="6"/>
      <c r="Q21" s="4"/>
      <c r="R21" s="4"/>
      <c r="S21" s="4"/>
      <c r="T21" s="4"/>
      <c r="U21" s="41"/>
    </row>
    <row r="22" spans="1:21" x14ac:dyDescent="0.25">
      <c r="A22" s="4"/>
      <c r="B22" s="8" t="s">
        <v>10</v>
      </c>
      <c r="C22" s="31">
        <v>0.1</v>
      </c>
      <c r="D22" s="4"/>
      <c r="E22" s="5"/>
      <c r="F22" s="4"/>
      <c r="G22" s="4"/>
      <c r="H22" s="4"/>
      <c r="I22" s="6"/>
      <c r="J22" s="4"/>
      <c r="K22" s="4"/>
      <c r="L22" s="5"/>
      <c r="M22" s="4"/>
      <c r="N22" s="4"/>
      <c r="O22" s="4"/>
      <c r="P22" s="6"/>
      <c r="Q22" s="4"/>
      <c r="R22" s="4"/>
      <c r="S22" s="4"/>
      <c r="T22" s="4"/>
      <c r="U22" s="41"/>
    </row>
    <row r="23" spans="1:21" x14ac:dyDescent="0.25">
      <c r="A23" s="4"/>
      <c r="B23" s="4"/>
      <c r="C23" s="4"/>
      <c r="D23" s="4"/>
      <c r="E23" s="25" t="s">
        <v>20</v>
      </c>
      <c r="F23" s="97">
        <f>F18/C4</f>
        <v>0.33303167420814483</v>
      </c>
      <c r="G23" s="4" t="s">
        <v>21</v>
      </c>
      <c r="H23" s="4">
        <v>0.4</v>
      </c>
      <c r="I23" s="6"/>
      <c r="J23" s="4"/>
      <c r="K23" s="4"/>
      <c r="L23" s="25" t="s">
        <v>20</v>
      </c>
      <c r="M23" s="97">
        <f>M18/C4</f>
        <v>0.37647058823529411</v>
      </c>
      <c r="N23" s="4" t="s">
        <v>21</v>
      </c>
      <c r="O23" s="4">
        <v>0.4</v>
      </c>
      <c r="P23" s="6"/>
      <c r="Q23" s="4"/>
      <c r="R23" s="4"/>
      <c r="S23" s="4"/>
      <c r="T23" s="4"/>
      <c r="U23" s="41"/>
    </row>
    <row r="24" spans="1:21" x14ac:dyDescent="0.25">
      <c r="A24" s="4"/>
      <c r="B24" s="4"/>
      <c r="C24" s="4"/>
      <c r="D24" s="4"/>
      <c r="E24" s="5"/>
      <c r="F24" s="4"/>
      <c r="G24" s="4"/>
      <c r="H24" s="4"/>
      <c r="I24" s="6"/>
      <c r="J24" s="4"/>
      <c r="K24" s="4"/>
      <c r="L24" s="5"/>
      <c r="M24" s="4"/>
      <c r="N24" s="4"/>
      <c r="O24" s="4"/>
      <c r="P24" s="6"/>
      <c r="Q24" s="4"/>
      <c r="R24" s="4"/>
      <c r="S24" s="4"/>
      <c r="T24" s="4"/>
      <c r="U24" s="41"/>
    </row>
    <row r="25" spans="1:21" ht="15.75" x14ac:dyDescent="0.25">
      <c r="A25" s="4"/>
      <c r="B25" s="4"/>
      <c r="C25" s="4"/>
      <c r="D25" s="4"/>
      <c r="E25" s="45" t="s">
        <v>22</v>
      </c>
      <c r="F25" s="46"/>
      <c r="G25" s="46"/>
      <c r="H25" s="46"/>
      <c r="I25" s="47"/>
      <c r="J25" s="4"/>
      <c r="K25" s="4"/>
      <c r="L25" s="45" t="s">
        <v>22</v>
      </c>
      <c r="M25" s="46"/>
      <c r="N25" s="46"/>
      <c r="O25" s="46"/>
      <c r="P25" s="47"/>
      <c r="Q25" s="4"/>
      <c r="R25" s="4"/>
      <c r="S25" s="4"/>
      <c r="T25" s="4"/>
      <c r="U25" s="41"/>
    </row>
    <row r="26" spans="1:21" x14ac:dyDescent="0.25">
      <c r="A26" s="4"/>
      <c r="B26" s="4"/>
      <c r="C26" s="4"/>
      <c r="D26" s="4"/>
      <c r="E26" s="5"/>
      <c r="F26" s="4" t="s">
        <v>216</v>
      </c>
      <c r="G26" s="4" t="s">
        <v>49</v>
      </c>
      <c r="H26" s="4" t="s">
        <v>50</v>
      </c>
      <c r="I26" s="6"/>
      <c r="J26" s="4"/>
      <c r="K26" s="4"/>
      <c r="L26" s="5"/>
      <c r="M26" s="4"/>
      <c r="N26" s="4" t="s">
        <v>49</v>
      </c>
      <c r="O26" s="4" t="s">
        <v>50</v>
      </c>
      <c r="P26" s="6"/>
      <c r="Q26" s="4"/>
      <c r="R26" s="4"/>
      <c r="S26" s="4"/>
      <c r="T26" s="4"/>
      <c r="U26" s="41"/>
    </row>
    <row r="27" spans="1:21" x14ac:dyDescent="0.25">
      <c r="A27" s="4"/>
      <c r="B27" s="4"/>
      <c r="C27" s="4"/>
      <c r="D27" s="4"/>
      <c r="E27" s="5" t="s">
        <v>23</v>
      </c>
      <c r="F27" s="98">
        <f>H23*C4</f>
        <v>0.20400000000000001</v>
      </c>
      <c r="G27" s="98">
        <f>H23*C5</f>
        <v>0.12</v>
      </c>
      <c r="H27" s="98">
        <f>H23*C6</f>
        <v>7.1999999999999995E-2</v>
      </c>
      <c r="I27" s="6"/>
      <c r="J27" s="4"/>
      <c r="K27" s="4"/>
      <c r="L27" s="5" t="s">
        <v>23</v>
      </c>
      <c r="M27" s="4">
        <f>O23*C4</f>
        <v>0.20400000000000001</v>
      </c>
      <c r="N27" s="43">
        <f>O23*C5</f>
        <v>0.12</v>
      </c>
      <c r="O27" s="43">
        <f>O23*C6</f>
        <v>7.1999999999999995E-2</v>
      </c>
      <c r="P27" s="6"/>
      <c r="Q27" s="4"/>
      <c r="R27" s="4"/>
      <c r="S27" s="4"/>
      <c r="T27" s="4"/>
      <c r="U27" s="41"/>
    </row>
    <row r="28" spans="1:21" x14ac:dyDescent="0.25">
      <c r="A28" s="4"/>
      <c r="B28" s="4"/>
      <c r="C28" s="4"/>
      <c r="D28" s="4"/>
      <c r="E28" s="5"/>
      <c r="F28" s="43"/>
      <c r="G28" s="43"/>
      <c r="H28" s="43"/>
      <c r="I28" s="6"/>
      <c r="J28" s="4"/>
      <c r="K28" s="4"/>
      <c r="L28" s="5"/>
      <c r="M28" s="4"/>
      <c r="N28" s="43"/>
      <c r="O28" s="43"/>
      <c r="P28" s="6"/>
      <c r="Q28" s="4"/>
      <c r="R28" s="4"/>
      <c r="S28" s="4"/>
      <c r="T28" s="4"/>
      <c r="U28" s="41"/>
    </row>
    <row r="29" spans="1:21" x14ac:dyDescent="0.25">
      <c r="A29" s="4"/>
      <c r="B29" s="4"/>
      <c r="C29" s="4"/>
      <c r="D29" s="4"/>
      <c r="E29" s="5" t="s">
        <v>16</v>
      </c>
      <c r="F29" s="43">
        <f>F27*F8</f>
        <v>0.19217391304347828</v>
      </c>
      <c r="G29" s="43">
        <f>G27*F8</f>
        <v>0.11304347826086955</v>
      </c>
      <c r="H29" s="43">
        <f>H27*F8</f>
        <v>6.7826086956521731E-2</v>
      </c>
      <c r="I29" s="6"/>
      <c r="J29" s="4"/>
      <c r="K29" s="4"/>
      <c r="L29" s="5" t="s">
        <v>16</v>
      </c>
      <c r="M29" s="4">
        <f>M27*M8</f>
        <v>0.17</v>
      </c>
      <c r="N29" s="43">
        <f>N27*M8</f>
        <v>0.1</v>
      </c>
      <c r="O29" s="43">
        <f>O27*M8</f>
        <v>0.06</v>
      </c>
      <c r="P29" s="6"/>
      <c r="Q29" s="4"/>
      <c r="R29" s="4"/>
      <c r="S29" s="4"/>
      <c r="T29" s="4"/>
      <c r="U29" s="41"/>
    </row>
    <row r="30" spans="1:21" x14ac:dyDescent="0.25">
      <c r="A30" s="4"/>
      <c r="B30" s="4"/>
      <c r="C30" s="4"/>
      <c r="D30" s="4"/>
      <c r="E30" s="5"/>
      <c r="F30" s="43"/>
      <c r="G30" s="43"/>
      <c r="H30" s="43"/>
      <c r="I30" s="6"/>
      <c r="J30" s="4"/>
      <c r="K30" s="4"/>
      <c r="L30" s="5"/>
      <c r="M30" s="4"/>
      <c r="N30" s="43"/>
      <c r="O30" s="43"/>
      <c r="P30" s="6"/>
      <c r="Q30" s="4"/>
      <c r="R30" s="4"/>
      <c r="S30" s="4"/>
      <c r="T30" s="4"/>
      <c r="U30" s="41"/>
    </row>
    <row r="31" spans="1:21" x14ac:dyDescent="0.25">
      <c r="A31" s="4"/>
      <c r="B31" s="4"/>
      <c r="C31" s="4"/>
      <c r="D31" s="4"/>
      <c r="E31" s="5"/>
      <c r="F31" s="43"/>
      <c r="G31" s="43"/>
      <c r="H31" s="43"/>
      <c r="I31" s="6"/>
      <c r="J31" s="4"/>
      <c r="K31" s="4"/>
      <c r="L31" s="5"/>
      <c r="M31" s="4"/>
      <c r="N31" s="43"/>
      <c r="O31" s="43"/>
      <c r="P31" s="6"/>
      <c r="Q31" s="4"/>
      <c r="R31" s="4"/>
      <c r="S31" s="4"/>
      <c r="T31" s="4"/>
      <c r="U31" s="41"/>
    </row>
    <row r="32" spans="1:21" x14ac:dyDescent="0.25">
      <c r="A32" s="4"/>
      <c r="B32" s="4"/>
      <c r="C32" s="4"/>
      <c r="D32" s="4"/>
      <c r="E32" s="25" t="s">
        <v>24</v>
      </c>
      <c r="F32" s="42">
        <f>(C9/1000)/F29</f>
        <v>0.62443438914027138</v>
      </c>
      <c r="G32" s="42">
        <f>(C8/1000)/G29</f>
        <v>0.70769230769230784</v>
      </c>
      <c r="H32" s="42">
        <f>(C7/1000)/H29</f>
        <v>0.88461538461538469</v>
      </c>
      <c r="I32" s="6"/>
      <c r="J32" s="4"/>
      <c r="K32" s="4"/>
      <c r="L32" s="25" t="s">
        <v>24</v>
      </c>
      <c r="M32" s="25">
        <f>(C9/1000)/M29</f>
        <v>0.70588235294117641</v>
      </c>
      <c r="N32" s="42">
        <f>(C8/1000)/N29</f>
        <v>0.79999999999999993</v>
      </c>
      <c r="O32" s="42">
        <f>(C7/1000)/O29</f>
        <v>1</v>
      </c>
      <c r="P32" s="6"/>
      <c r="Q32" s="4"/>
      <c r="R32" s="4"/>
      <c r="S32" s="4"/>
      <c r="T32" s="4"/>
      <c r="U32" s="41"/>
    </row>
    <row r="33" spans="1:21" x14ac:dyDescent="0.25">
      <c r="A33" s="4"/>
      <c r="B33" s="4"/>
      <c r="C33" s="4"/>
      <c r="D33" s="4"/>
      <c r="E33" s="5"/>
      <c r="F33" s="4"/>
      <c r="G33" s="4"/>
      <c r="H33" s="4"/>
      <c r="I33" s="6"/>
      <c r="J33" s="4"/>
      <c r="K33" s="4"/>
      <c r="L33" s="5"/>
      <c r="M33" s="4"/>
      <c r="N33" s="4"/>
      <c r="O33" s="4"/>
      <c r="P33" s="6"/>
      <c r="Q33" s="4"/>
      <c r="R33" s="4"/>
      <c r="S33" s="4"/>
      <c r="T33" s="4"/>
      <c r="U33" s="41"/>
    </row>
    <row r="34" spans="1:21" ht="15.75" x14ac:dyDescent="0.25">
      <c r="A34" s="4"/>
      <c r="B34" s="4"/>
      <c r="C34" s="4"/>
      <c r="D34" s="4"/>
      <c r="E34" s="45" t="s">
        <v>25</v>
      </c>
      <c r="F34" s="46"/>
      <c r="G34" s="46"/>
      <c r="H34" s="46"/>
      <c r="I34" s="47"/>
      <c r="J34" s="4"/>
      <c r="K34" s="4"/>
      <c r="L34" s="45" t="s">
        <v>25</v>
      </c>
      <c r="M34" s="46"/>
      <c r="N34" s="46"/>
      <c r="O34" s="46"/>
      <c r="P34" s="47"/>
      <c r="Q34" s="4"/>
      <c r="R34" s="4"/>
      <c r="S34" s="4"/>
      <c r="T34" s="4"/>
      <c r="U34" s="41"/>
    </row>
    <row r="35" spans="1:21" x14ac:dyDescent="0.25">
      <c r="A35" s="4"/>
      <c r="B35" s="4"/>
      <c r="C35" s="4"/>
      <c r="D35" s="4"/>
      <c r="E35" s="5"/>
      <c r="F35" s="4"/>
      <c r="G35" s="4"/>
      <c r="H35" s="4"/>
      <c r="I35" s="6"/>
      <c r="J35" s="4"/>
      <c r="K35" s="4"/>
      <c r="L35" s="5"/>
      <c r="M35" s="4"/>
      <c r="N35" s="4"/>
      <c r="O35" s="4"/>
      <c r="P35" s="6"/>
      <c r="Q35" s="4"/>
      <c r="R35" s="4"/>
      <c r="S35" s="4"/>
      <c r="T35" s="4"/>
      <c r="U35" s="41"/>
    </row>
    <row r="36" spans="1:21" x14ac:dyDescent="0.25">
      <c r="A36" s="4"/>
      <c r="B36" s="4"/>
      <c r="C36" s="4"/>
      <c r="D36" s="4"/>
      <c r="E36" s="5"/>
      <c r="F36" s="4"/>
      <c r="G36" s="4"/>
      <c r="H36" s="4"/>
      <c r="I36" s="6"/>
      <c r="J36" s="4"/>
      <c r="K36" s="4"/>
      <c r="L36" s="5"/>
      <c r="M36" s="4"/>
      <c r="N36" s="4"/>
      <c r="O36" s="4"/>
      <c r="P36" s="6"/>
      <c r="Q36" s="4"/>
      <c r="R36" s="4"/>
      <c r="S36" s="4"/>
      <c r="T36" s="4"/>
      <c r="U36" s="41"/>
    </row>
    <row r="37" spans="1:21" x14ac:dyDescent="0.25">
      <c r="A37" s="4"/>
      <c r="B37" s="4"/>
      <c r="C37" s="4"/>
      <c r="D37" s="4"/>
      <c r="E37" s="25" t="s">
        <v>26</v>
      </c>
      <c r="F37" s="25">
        <f>(H23*100)/(C11+C14)</f>
        <v>2.8985507246376812</v>
      </c>
      <c r="G37" s="4">
        <v>3</v>
      </c>
      <c r="H37" s="99" t="s">
        <v>29</v>
      </c>
      <c r="I37" s="6"/>
      <c r="J37" s="4"/>
      <c r="K37" s="4"/>
      <c r="L37" s="25" t="s">
        <v>26</v>
      </c>
      <c r="M37" s="25">
        <f>(O23*100)/(C11+C15)</f>
        <v>8.3333333333333339</v>
      </c>
      <c r="N37" s="4">
        <v>9</v>
      </c>
      <c r="O37" s="4" t="s">
        <v>30</v>
      </c>
      <c r="P37" s="6"/>
      <c r="Q37" s="4"/>
      <c r="R37" s="4"/>
      <c r="S37" s="4"/>
      <c r="T37" s="4"/>
      <c r="U37" s="41"/>
    </row>
    <row r="38" spans="1:21" x14ac:dyDescent="0.25">
      <c r="A38" s="4"/>
      <c r="B38" s="4"/>
      <c r="C38" s="4"/>
      <c r="D38" s="4"/>
      <c r="E38" s="5"/>
      <c r="F38" s="4"/>
      <c r="G38" s="4"/>
      <c r="H38" s="4"/>
      <c r="I38" s="6"/>
      <c r="J38" s="4"/>
      <c r="K38" s="4"/>
      <c r="L38" s="5"/>
      <c r="M38" s="4"/>
      <c r="N38" s="4"/>
      <c r="O38" s="4"/>
      <c r="P38" s="6"/>
      <c r="Q38" s="4"/>
      <c r="R38" s="4"/>
      <c r="S38" s="4"/>
      <c r="T38" s="4"/>
      <c r="U38" s="41"/>
    </row>
    <row r="39" spans="1:21" ht="15.75" x14ac:dyDescent="0.25">
      <c r="A39" s="4"/>
      <c r="B39" s="4"/>
      <c r="C39" s="4"/>
      <c r="D39" s="4"/>
      <c r="E39" s="45" t="s">
        <v>33</v>
      </c>
      <c r="F39" s="46"/>
      <c r="G39" s="46"/>
      <c r="H39" s="46"/>
      <c r="I39" s="47"/>
      <c r="J39" s="4"/>
      <c r="K39" s="4"/>
      <c r="L39" s="45" t="s">
        <v>33</v>
      </c>
      <c r="M39" s="46"/>
      <c r="N39" s="46"/>
      <c r="O39" s="46"/>
      <c r="P39" s="47"/>
      <c r="Q39" s="4"/>
      <c r="R39" s="4"/>
      <c r="S39" s="4"/>
      <c r="T39" s="4"/>
      <c r="U39" s="41"/>
    </row>
    <row r="40" spans="1:21" x14ac:dyDescent="0.25">
      <c r="A40" s="4"/>
      <c r="B40" s="4"/>
      <c r="C40" s="4"/>
      <c r="D40" s="4"/>
      <c r="E40" s="5"/>
      <c r="F40" s="4"/>
      <c r="G40" s="4"/>
      <c r="H40" s="4"/>
      <c r="I40" s="6"/>
      <c r="J40" s="4"/>
      <c r="K40" s="4"/>
      <c r="L40" s="5"/>
      <c r="M40" s="4"/>
      <c r="N40" s="4"/>
      <c r="O40" s="4"/>
      <c r="P40" s="6"/>
      <c r="Q40" s="4"/>
      <c r="R40" s="4"/>
      <c r="S40" s="4"/>
      <c r="T40" s="4"/>
      <c r="U40" s="41"/>
    </row>
    <row r="41" spans="1:21" x14ac:dyDescent="0.25">
      <c r="A41" s="4"/>
      <c r="B41" s="4"/>
      <c r="C41" s="4"/>
      <c r="D41" s="4"/>
      <c r="E41" s="5"/>
      <c r="F41" s="4"/>
      <c r="G41" s="4"/>
      <c r="H41" s="4"/>
      <c r="I41" s="6"/>
      <c r="J41" s="4"/>
      <c r="K41" s="4"/>
      <c r="L41" s="5"/>
      <c r="M41" s="4"/>
      <c r="N41" s="4"/>
      <c r="O41" s="4"/>
      <c r="P41" s="6"/>
      <c r="Q41" s="4"/>
      <c r="R41" s="4"/>
      <c r="S41" s="4"/>
      <c r="T41" s="4"/>
      <c r="U41" s="41"/>
    </row>
    <row r="42" spans="1:21" x14ac:dyDescent="0.25">
      <c r="A42" s="4"/>
      <c r="B42" s="4"/>
      <c r="C42" s="4"/>
      <c r="D42" s="4"/>
      <c r="E42" s="25" t="s">
        <v>31</v>
      </c>
      <c r="F42" s="25">
        <f>((H23*100)-(G37*C11+(G37-1)*C14))/2</f>
        <v>5.8000000000000007</v>
      </c>
      <c r="G42" s="4"/>
      <c r="H42" s="4"/>
      <c r="I42" s="6"/>
      <c r="J42" s="4"/>
      <c r="K42" s="4"/>
      <c r="L42" s="25" t="s">
        <v>31</v>
      </c>
      <c r="M42" s="25">
        <f>((O23*100)-(N37*C11+(N37-1)*C15))/2</f>
        <v>0.39999999999999858</v>
      </c>
      <c r="N42" s="4"/>
      <c r="O42" s="4"/>
      <c r="P42" s="6"/>
      <c r="Q42" s="4"/>
      <c r="R42" s="4"/>
      <c r="S42" s="4"/>
      <c r="T42" s="4"/>
      <c r="U42" s="41"/>
    </row>
    <row r="43" spans="1:21" x14ac:dyDescent="0.25">
      <c r="A43" s="4"/>
      <c r="B43" s="4"/>
      <c r="C43" s="4"/>
      <c r="D43" s="4"/>
      <c r="E43" s="5"/>
      <c r="F43" s="4"/>
      <c r="G43" s="4"/>
      <c r="H43" s="4"/>
      <c r="I43" s="6"/>
      <c r="J43" s="4"/>
      <c r="K43" s="4"/>
      <c r="L43" s="5"/>
      <c r="M43" s="4"/>
      <c r="N43" s="4"/>
      <c r="O43" s="4"/>
      <c r="P43" s="6"/>
      <c r="Q43" s="4"/>
      <c r="R43" s="4"/>
      <c r="S43" s="4"/>
      <c r="T43" s="4"/>
      <c r="U43" s="41"/>
    </row>
    <row r="44" spans="1:21" ht="15.75" x14ac:dyDescent="0.25">
      <c r="A44" s="4"/>
      <c r="B44" s="4"/>
      <c r="C44" s="4"/>
      <c r="D44" s="4"/>
      <c r="E44" s="45" t="s">
        <v>32</v>
      </c>
      <c r="F44" s="46"/>
      <c r="G44" s="46"/>
      <c r="H44" s="46"/>
      <c r="I44" s="47"/>
      <c r="J44" s="4"/>
      <c r="K44" s="4"/>
      <c r="L44" s="45" t="s">
        <v>32</v>
      </c>
      <c r="M44" s="46"/>
      <c r="N44" s="46"/>
      <c r="O44" s="46"/>
      <c r="P44" s="47"/>
      <c r="Q44" s="4"/>
      <c r="R44" s="4"/>
      <c r="S44" s="4"/>
      <c r="T44" s="4"/>
      <c r="U44" s="41"/>
    </row>
    <row r="45" spans="1:21" x14ac:dyDescent="0.25">
      <c r="A45" s="4"/>
      <c r="B45" s="4"/>
      <c r="C45" s="4"/>
      <c r="D45" s="4"/>
      <c r="E45" s="5"/>
      <c r="F45" s="4"/>
      <c r="G45" s="4"/>
      <c r="H45" s="4"/>
      <c r="I45" s="6"/>
      <c r="J45" s="4"/>
      <c r="K45" s="4"/>
      <c r="L45" s="5"/>
      <c r="M45" s="4"/>
      <c r="N45" s="4"/>
      <c r="O45" s="4"/>
      <c r="P45" s="6"/>
      <c r="Q45" s="4"/>
      <c r="R45" s="4"/>
      <c r="S45" s="4"/>
      <c r="T45" s="4"/>
      <c r="U45" s="41"/>
    </row>
    <row r="46" spans="1:21" x14ac:dyDescent="0.25">
      <c r="A46" s="4"/>
      <c r="B46" s="4"/>
      <c r="C46" s="4"/>
      <c r="D46" s="4"/>
      <c r="E46" s="5" t="s">
        <v>34</v>
      </c>
      <c r="F46" s="4">
        <f>C17*F8</f>
        <v>0.70652173913043481</v>
      </c>
      <c r="G46" s="4"/>
      <c r="H46" s="4"/>
      <c r="I46" s="6"/>
      <c r="J46" s="4"/>
      <c r="K46" s="4"/>
      <c r="L46" s="5" t="s">
        <v>34</v>
      </c>
      <c r="M46" s="4">
        <f>C17*M8</f>
        <v>0.625</v>
      </c>
      <c r="N46" s="4"/>
      <c r="O46" s="4"/>
      <c r="P46" s="6"/>
      <c r="Q46" s="4"/>
      <c r="R46" s="4"/>
      <c r="S46" s="4"/>
      <c r="T46" s="4"/>
      <c r="U46" s="41"/>
    </row>
    <row r="47" spans="1:21" x14ac:dyDescent="0.25">
      <c r="A47" s="4"/>
      <c r="B47" s="4"/>
      <c r="C47" s="4"/>
      <c r="D47" s="4"/>
      <c r="E47" s="5"/>
      <c r="F47" s="4"/>
      <c r="G47" s="4"/>
      <c r="H47" s="4"/>
      <c r="I47" s="6"/>
      <c r="J47" s="4"/>
      <c r="K47" s="4"/>
      <c r="L47" s="5"/>
      <c r="M47" s="4"/>
      <c r="N47" s="4"/>
      <c r="O47" s="4"/>
      <c r="P47" s="6"/>
      <c r="Q47" s="4"/>
      <c r="R47" s="4"/>
      <c r="S47" s="4"/>
      <c r="T47" s="4"/>
      <c r="U47" s="41"/>
    </row>
    <row r="48" spans="1:21" x14ac:dyDescent="0.25">
      <c r="A48" s="4"/>
      <c r="B48" s="4"/>
      <c r="C48" s="4"/>
      <c r="D48" s="4"/>
      <c r="E48" s="5"/>
      <c r="F48" s="4"/>
      <c r="G48" s="4"/>
      <c r="H48" s="4"/>
      <c r="I48" s="6"/>
      <c r="J48" s="4"/>
      <c r="K48" s="4"/>
      <c r="L48" s="5"/>
      <c r="M48" s="4"/>
      <c r="N48" s="4"/>
      <c r="O48" s="4"/>
      <c r="P48" s="6"/>
      <c r="Q48" s="4"/>
      <c r="R48" s="4"/>
      <c r="S48" s="4"/>
      <c r="T48" s="4"/>
      <c r="U48" s="41"/>
    </row>
    <row r="49" spans="1:21" x14ac:dyDescent="0.25">
      <c r="A49" s="4"/>
      <c r="B49" s="4"/>
      <c r="C49" s="4"/>
      <c r="D49" s="4"/>
      <c r="E49" s="5"/>
      <c r="F49" s="4"/>
      <c r="G49" s="4"/>
      <c r="H49" s="4"/>
      <c r="I49" s="6"/>
      <c r="J49" s="4"/>
      <c r="K49" s="4"/>
      <c r="L49" s="5"/>
      <c r="M49" s="4"/>
      <c r="N49" s="4"/>
      <c r="O49" s="4"/>
      <c r="P49" s="6"/>
      <c r="Q49" s="4"/>
      <c r="R49" s="4"/>
      <c r="S49" s="4"/>
      <c r="T49" s="4"/>
      <c r="U49" s="41"/>
    </row>
    <row r="50" spans="1:21" x14ac:dyDescent="0.25">
      <c r="A50" s="4"/>
      <c r="B50" s="4"/>
      <c r="C50" s="4"/>
      <c r="D50" s="4"/>
      <c r="E50" s="25" t="s">
        <v>35</v>
      </c>
      <c r="F50" s="25">
        <f>(1.43*((C17^2)-(F46^2)))/(2*9.81)</f>
        <v>4.6155787948333991E-3</v>
      </c>
      <c r="G50" s="4" t="s">
        <v>36</v>
      </c>
      <c r="H50" s="4"/>
      <c r="I50" s="6"/>
      <c r="J50" s="4"/>
      <c r="K50" s="4"/>
      <c r="L50" s="25" t="s">
        <v>35</v>
      </c>
      <c r="M50" s="25">
        <f>(1.43*((C17^2)-(M46^2)))/(2*9.81)</f>
        <v>1.2527076962283383E-2</v>
      </c>
      <c r="N50" s="4" t="s">
        <v>36</v>
      </c>
      <c r="O50" s="4"/>
      <c r="P50" s="6"/>
      <c r="Q50" s="4"/>
      <c r="R50" s="4"/>
      <c r="S50" s="4"/>
      <c r="T50" s="4"/>
      <c r="U50" s="41"/>
    </row>
    <row r="51" spans="1:21" x14ac:dyDescent="0.25">
      <c r="A51" s="4"/>
      <c r="B51" s="4"/>
      <c r="C51" s="4"/>
      <c r="D51" s="4"/>
      <c r="E51" s="5"/>
      <c r="F51" s="4"/>
      <c r="G51" s="4"/>
      <c r="H51" s="4"/>
      <c r="I51" s="6"/>
      <c r="J51" s="4"/>
      <c r="K51" s="4"/>
      <c r="L51" s="5"/>
      <c r="M51" s="4"/>
      <c r="N51" s="4"/>
      <c r="O51" s="4"/>
      <c r="P51" s="6"/>
      <c r="Q51" s="4"/>
      <c r="R51" s="4"/>
      <c r="S51" s="4"/>
      <c r="T51" s="4"/>
      <c r="U51" s="41"/>
    </row>
    <row r="52" spans="1:21" x14ac:dyDescent="0.25">
      <c r="A52" s="4"/>
      <c r="B52" s="4"/>
      <c r="C52" s="4"/>
      <c r="D52" s="4"/>
      <c r="E52" s="48" t="s">
        <v>37</v>
      </c>
      <c r="F52" s="49"/>
      <c r="G52" s="49"/>
      <c r="H52" s="49"/>
      <c r="I52" s="50"/>
      <c r="J52" s="4"/>
      <c r="K52" s="4"/>
      <c r="L52" s="48" t="s">
        <v>37</v>
      </c>
      <c r="M52" s="49"/>
      <c r="N52" s="49"/>
      <c r="O52" s="49"/>
      <c r="P52" s="50"/>
      <c r="Q52" s="4"/>
      <c r="R52" s="4"/>
      <c r="S52" s="4"/>
      <c r="T52" s="4"/>
      <c r="U52" s="41"/>
    </row>
    <row r="53" spans="1:21" x14ac:dyDescent="0.25">
      <c r="A53" s="4"/>
      <c r="B53" s="4"/>
      <c r="C53" s="4"/>
      <c r="D53" s="4"/>
      <c r="E53" s="5"/>
      <c r="F53" s="4"/>
      <c r="G53" s="4"/>
      <c r="H53" s="4"/>
      <c r="I53" s="6"/>
      <c r="J53" s="4"/>
      <c r="K53" s="4"/>
      <c r="L53" s="5"/>
      <c r="M53" s="4"/>
      <c r="N53" s="4"/>
      <c r="O53" s="4"/>
      <c r="P53" s="6"/>
      <c r="Q53" s="4"/>
      <c r="R53" s="4"/>
      <c r="S53" s="4"/>
      <c r="T53" s="4"/>
      <c r="U53" s="41"/>
    </row>
    <row r="54" spans="1:21" x14ac:dyDescent="0.25">
      <c r="A54" s="4"/>
      <c r="B54" s="4"/>
      <c r="C54" s="4"/>
      <c r="D54" s="4"/>
      <c r="E54" s="5" t="s">
        <v>38</v>
      </c>
      <c r="F54" s="4">
        <f>2*C17</f>
        <v>1.5</v>
      </c>
      <c r="G54" s="4"/>
      <c r="H54" s="4"/>
      <c r="I54" s="6"/>
      <c r="J54" s="4"/>
      <c r="K54" s="4"/>
      <c r="L54" s="5" t="s">
        <v>38</v>
      </c>
      <c r="M54" s="4">
        <f>2*C17</f>
        <v>1.5</v>
      </c>
      <c r="N54" s="4"/>
      <c r="O54" s="4"/>
      <c r="P54" s="6"/>
      <c r="Q54" s="4"/>
      <c r="R54" s="4"/>
      <c r="S54" s="4"/>
      <c r="T54" s="4"/>
      <c r="U54" s="41"/>
    </row>
    <row r="55" spans="1:21" x14ac:dyDescent="0.25">
      <c r="A55" s="4"/>
      <c r="B55" s="4"/>
      <c r="C55" s="4"/>
      <c r="D55" s="4"/>
      <c r="E55" s="25" t="s">
        <v>35</v>
      </c>
      <c r="F55" s="25">
        <f>(1.43*((F54^2)-(F46^2)))/(2*9.81)</f>
        <v>0.12760869806088845</v>
      </c>
      <c r="G55" s="4" t="s">
        <v>39</v>
      </c>
      <c r="H55" s="4"/>
      <c r="I55" s="6"/>
      <c r="J55" s="4"/>
      <c r="K55" s="4"/>
      <c r="L55" s="25" t="s">
        <v>35</v>
      </c>
      <c r="M55" s="25">
        <f>(1.43*((M54^2)-(M46^2)))/(2*9.81)</f>
        <v>0.13552019622833841</v>
      </c>
      <c r="N55" s="4" t="s">
        <v>39</v>
      </c>
      <c r="O55" s="4"/>
      <c r="P55" s="6"/>
      <c r="Q55" s="4"/>
      <c r="R55" s="4"/>
      <c r="S55" s="4"/>
      <c r="T55" s="4"/>
      <c r="U55" s="41"/>
    </row>
    <row r="56" spans="1:21" x14ac:dyDescent="0.25">
      <c r="A56" s="4"/>
      <c r="B56" s="4"/>
      <c r="C56" s="4"/>
      <c r="D56" s="4"/>
      <c r="E56" s="5"/>
      <c r="F56" s="4"/>
      <c r="G56" s="4"/>
      <c r="H56" s="4"/>
      <c r="I56" s="6"/>
      <c r="J56" s="4"/>
      <c r="K56" s="4"/>
      <c r="L56" s="5"/>
      <c r="M56" s="4"/>
      <c r="N56" s="4"/>
      <c r="O56" s="4"/>
      <c r="P56" s="6"/>
      <c r="Q56" s="4"/>
      <c r="R56" s="4"/>
      <c r="S56" s="4"/>
      <c r="T56" s="4"/>
      <c r="U56" s="41"/>
    </row>
    <row r="57" spans="1:21" ht="15.75" x14ac:dyDescent="0.25">
      <c r="A57" s="4"/>
      <c r="B57" s="4"/>
      <c r="C57" s="4"/>
      <c r="D57" s="4"/>
      <c r="E57" s="45" t="s">
        <v>40</v>
      </c>
      <c r="F57" s="46"/>
      <c r="G57" s="46"/>
      <c r="H57" s="46"/>
      <c r="I57" s="47"/>
      <c r="J57" s="4"/>
      <c r="K57" s="4"/>
      <c r="L57" s="45" t="s">
        <v>40</v>
      </c>
      <c r="M57" s="46"/>
      <c r="N57" s="46"/>
      <c r="O57" s="46"/>
      <c r="P57" s="47"/>
      <c r="Q57" s="4"/>
      <c r="R57" s="4"/>
      <c r="S57" s="4"/>
      <c r="T57" s="4"/>
      <c r="U57" s="41"/>
    </row>
    <row r="58" spans="1:21" x14ac:dyDescent="0.25">
      <c r="A58" s="4"/>
      <c r="B58" s="4"/>
      <c r="C58" s="4"/>
      <c r="D58" s="4"/>
      <c r="E58" s="5"/>
      <c r="F58" s="4"/>
      <c r="G58" s="4"/>
      <c r="H58" s="4"/>
      <c r="I58" s="6"/>
      <c r="J58" s="4"/>
      <c r="K58" s="4"/>
      <c r="L58" s="5"/>
      <c r="M58" s="4"/>
      <c r="N58" s="4"/>
      <c r="O58" s="4"/>
      <c r="P58" s="6"/>
      <c r="Q58" s="4"/>
      <c r="R58" s="4"/>
      <c r="S58" s="4"/>
      <c r="T58" s="4"/>
      <c r="U58" s="41"/>
    </row>
    <row r="59" spans="1:21" x14ac:dyDescent="0.25">
      <c r="A59" s="4"/>
      <c r="B59" s="4"/>
      <c r="C59" s="4"/>
      <c r="D59" s="4"/>
      <c r="E59" s="8" t="s">
        <v>218</v>
      </c>
      <c r="F59" s="44">
        <f>0.1459*EXP(-0.706*13)</f>
        <v>1.5069558785077187E-5</v>
      </c>
      <c r="G59" s="100" t="s">
        <v>217</v>
      </c>
      <c r="H59" s="100">
        <f>F59*(C8/1000)*86400</f>
        <v>0.10416079032245353</v>
      </c>
      <c r="I59" s="31"/>
      <c r="J59" s="4"/>
      <c r="K59" s="4"/>
      <c r="L59" s="101" t="s">
        <v>43</v>
      </c>
      <c r="M59" s="102">
        <f>M60*(C8/1000)*86400</f>
        <v>59.870295883853061</v>
      </c>
      <c r="N59" s="44"/>
      <c r="O59" s="44"/>
      <c r="P59" s="31"/>
      <c r="Q59" s="4"/>
      <c r="R59" s="4"/>
      <c r="S59" s="4"/>
      <c r="T59" s="4"/>
      <c r="U59" s="41"/>
    </row>
    <row r="60" spans="1:2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218</v>
      </c>
      <c r="M60" s="98">
        <f>0.1459*EXP(-0.706*C15)</f>
        <v>8.6617904924555927E-3</v>
      </c>
      <c r="N60" s="4"/>
      <c r="O60" s="4"/>
      <c r="P60" s="4"/>
      <c r="Q60" s="4"/>
      <c r="R60" s="4"/>
      <c r="S60" s="4"/>
      <c r="T60" s="4"/>
      <c r="U60" s="41"/>
    </row>
    <row r="61" spans="1:2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1"/>
    </row>
    <row r="62" spans="1:2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1"/>
    </row>
    <row r="63" spans="1:21" x14ac:dyDescent="0.25">
      <c r="A63" s="4"/>
      <c r="B63" s="4"/>
      <c r="C63" s="4"/>
      <c r="D63" s="4"/>
      <c r="E63" s="4" t="s">
        <v>219</v>
      </c>
      <c r="F63" s="4" t="s">
        <v>220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1"/>
    </row>
    <row r="64" spans="1:21" x14ac:dyDescent="0.25">
      <c r="A64" s="4"/>
      <c r="B64" s="4"/>
      <c r="C64" s="4"/>
      <c r="D64" s="4"/>
      <c r="E64" s="4">
        <v>2</v>
      </c>
      <c r="F64" s="4">
        <v>3.7999999999999999E-2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1"/>
    </row>
    <row r="65" spans="1:21" x14ac:dyDescent="0.25">
      <c r="A65" s="4"/>
      <c r="B65" s="4"/>
      <c r="C65" s="4"/>
      <c r="D65" s="4"/>
      <c r="E65" s="4">
        <v>2.5</v>
      </c>
      <c r="F65" s="4">
        <v>2.3E-2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1"/>
    </row>
    <row r="66" spans="1:21" x14ac:dyDescent="0.25">
      <c r="A66" s="4"/>
      <c r="B66" s="4"/>
      <c r="C66" s="4"/>
      <c r="D66" s="4"/>
      <c r="E66" s="4">
        <v>3.5</v>
      </c>
      <c r="F66" s="4">
        <v>1.2E-2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1"/>
    </row>
    <row r="67" spans="1:21" x14ac:dyDescent="0.25">
      <c r="A67" s="4"/>
      <c r="B67" s="4"/>
      <c r="C67" s="4"/>
      <c r="D67" s="4"/>
      <c r="E67" s="4">
        <v>4</v>
      </c>
      <c r="F67" s="4">
        <v>8.9999999999999993E-3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1"/>
    </row>
    <row r="68" spans="1:2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1"/>
    </row>
    <row r="69" spans="1:2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1"/>
    </row>
    <row r="70" spans="1:2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1"/>
    </row>
    <row r="71" spans="1:2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1"/>
    </row>
    <row r="72" spans="1:2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1"/>
    </row>
    <row r="73" spans="1:2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1"/>
    </row>
    <row r="74" spans="1:2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1"/>
    </row>
    <row r="75" spans="1:2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1"/>
    </row>
    <row r="76" spans="1:2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1"/>
    </row>
    <row r="77" spans="1:2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1"/>
    </row>
    <row r="78" spans="1:2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1"/>
    </row>
    <row r="79" spans="1:2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1"/>
    </row>
    <row r="80" spans="1:2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1"/>
    </row>
    <row r="81" spans="1:2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1"/>
    </row>
    <row r="82" spans="1:2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1"/>
    </row>
    <row r="83" spans="1:2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1"/>
    </row>
    <row r="84" spans="1:2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1"/>
    </row>
    <row r="85" spans="1:2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1"/>
    </row>
    <row r="86" spans="1:2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1"/>
    </row>
    <row r="87" spans="1:2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1"/>
    </row>
    <row r="88" spans="1:2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1"/>
    </row>
    <row r="89" spans="1:2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1"/>
    </row>
    <row r="90" spans="1:2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1"/>
    </row>
    <row r="91" spans="1:2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1"/>
    </row>
    <row r="92" spans="1:2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1"/>
    </row>
    <row r="93" spans="1:2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1"/>
    </row>
    <row r="94" spans="1:2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1"/>
    </row>
    <row r="95" spans="1:2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1"/>
    </row>
    <row r="96" spans="1:2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1"/>
    </row>
    <row r="97" spans="1:2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1"/>
    </row>
    <row r="98" spans="1:2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1"/>
    </row>
    <row r="99" spans="1:2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1"/>
    </row>
    <row r="100" spans="1:2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1"/>
    </row>
    <row r="101" spans="1:2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1"/>
    </row>
    <row r="102" spans="1:2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1"/>
    </row>
    <row r="103" spans="1:2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1"/>
    </row>
    <row r="104" spans="1:2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1"/>
    </row>
    <row r="105" spans="1:2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1"/>
    </row>
    <row r="106" spans="1:2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1"/>
    </row>
    <row r="107" spans="1:2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1"/>
    </row>
    <row r="108" spans="1:2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1"/>
    </row>
    <row r="109" spans="1:2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1"/>
    </row>
    <row r="110" spans="1:2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1"/>
    </row>
    <row r="111" spans="1:2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1"/>
    </row>
    <row r="112" spans="1:2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1"/>
    </row>
    <row r="113" spans="1:2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1"/>
    </row>
    <row r="114" spans="1:2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1"/>
    </row>
    <row r="115" spans="1:2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1"/>
    </row>
    <row r="116" spans="1:2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1"/>
    </row>
    <row r="117" spans="1:2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1"/>
    </row>
    <row r="118" spans="1:2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1"/>
    </row>
    <row r="119" spans="1:2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1"/>
    </row>
    <row r="120" spans="1:2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1"/>
    </row>
    <row r="121" spans="1:2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1"/>
    </row>
    <row r="122" spans="1:2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1"/>
    </row>
    <row r="123" spans="1:2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1"/>
    </row>
    <row r="124" spans="1:2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1"/>
    </row>
    <row r="125" spans="1:2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1"/>
    </row>
    <row r="126" spans="1:2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1"/>
    </row>
    <row r="127" spans="1:2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1"/>
    </row>
    <row r="128" spans="1:2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1"/>
    </row>
    <row r="129" spans="1:2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1"/>
    </row>
    <row r="130" spans="1:2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1"/>
    </row>
    <row r="131" spans="1:2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1"/>
    </row>
    <row r="132" spans="1:2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1"/>
    </row>
    <row r="133" spans="1:2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1"/>
    </row>
    <row r="134" spans="1:2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1"/>
    </row>
    <row r="135" spans="1:2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1"/>
    </row>
    <row r="136" spans="1:2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1"/>
    </row>
    <row r="137" spans="1:2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1"/>
    </row>
    <row r="138" spans="1:2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1"/>
    </row>
    <row r="139" spans="1:2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1"/>
    </row>
    <row r="140" spans="1:2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1"/>
    </row>
    <row r="141" spans="1:2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1"/>
    </row>
    <row r="142" spans="1:2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1"/>
    </row>
    <row r="143" spans="1:2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1"/>
    </row>
    <row r="144" spans="1:2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1"/>
    </row>
    <row r="145" spans="1:2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1"/>
    </row>
    <row r="146" spans="1:2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1"/>
    </row>
    <row r="147" spans="1:2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1"/>
    </row>
    <row r="148" spans="1:2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1"/>
    </row>
    <row r="149" spans="1:2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1"/>
    </row>
    <row r="150" spans="1:2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1"/>
    </row>
    <row r="151" spans="1:2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1"/>
    </row>
    <row r="152" spans="1:2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1"/>
    </row>
    <row r="153" spans="1:2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1"/>
    </row>
    <row r="154" spans="1:2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1"/>
    </row>
    <row r="155" spans="1:2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1"/>
    </row>
    <row r="156" spans="1:2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1"/>
    </row>
    <row r="157" spans="1:2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1"/>
    </row>
    <row r="158" spans="1:2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1"/>
    </row>
    <row r="159" spans="1:2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1"/>
    </row>
    <row r="160" spans="1:2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1"/>
    </row>
    <row r="161" spans="1:2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1"/>
    </row>
    <row r="162" spans="1:2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1"/>
    </row>
    <row r="163" spans="1:2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1"/>
    </row>
    <row r="164" spans="1:2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1"/>
    </row>
    <row r="165" spans="1:2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1"/>
    </row>
    <row r="166" spans="1:2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1"/>
    </row>
    <row r="167" spans="1:2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1"/>
    </row>
    <row r="168" spans="1:2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1"/>
    </row>
    <row r="169" spans="1:2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1"/>
    </row>
    <row r="170" spans="1:2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1"/>
    </row>
    <row r="171" spans="1:2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1"/>
    </row>
    <row r="172" spans="1:2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1"/>
    </row>
    <row r="173" spans="1:2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1"/>
    </row>
    <row r="174" spans="1:21" x14ac:dyDescent="0.25">
      <c r="A174" s="1"/>
      <c r="B174" s="4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1" x14ac:dyDescent="0.25">
      <c r="A175" s="1"/>
      <c r="B175" s="3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1" x14ac:dyDescent="0.25">
      <c r="A176" s="1"/>
      <c r="B176" s="3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B177" s="3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B178" s="1"/>
      <c r="C178" s="1"/>
    </row>
    <row r="179" spans="1:20" x14ac:dyDescent="0.25">
      <c r="B179" s="1"/>
      <c r="C179" s="1"/>
    </row>
    <row r="180" spans="1:20" x14ac:dyDescent="0.25">
      <c r="B180" s="1"/>
      <c r="C180" s="1"/>
    </row>
    <row r="181" spans="1:20" x14ac:dyDescent="0.25">
      <c r="B181" s="1"/>
      <c r="C181" s="1"/>
    </row>
  </sheetData>
  <mergeCells count="24">
    <mergeCell ref="E10:I10"/>
    <mergeCell ref="E15:I15"/>
    <mergeCell ref="E20:I20"/>
    <mergeCell ref="E25:I25"/>
    <mergeCell ref="E34:I34"/>
    <mergeCell ref="A1:T1"/>
    <mergeCell ref="B3:C3"/>
    <mergeCell ref="E5:I5"/>
    <mergeCell ref="L5:P5"/>
    <mergeCell ref="E4:I4"/>
    <mergeCell ref="L4:P4"/>
    <mergeCell ref="L10:P10"/>
    <mergeCell ref="L15:P15"/>
    <mergeCell ref="L20:P20"/>
    <mergeCell ref="L25:P25"/>
    <mergeCell ref="L34:P34"/>
    <mergeCell ref="E57:I57"/>
    <mergeCell ref="L57:P57"/>
    <mergeCell ref="E39:I39"/>
    <mergeCell ref="L39:P39"/>
    <mergeCell ref="E44:I44"/>
    <mergeCell ref="L44:P44"/>
    <mergeCell ref="E52:I52"/>
    <mergeCell ref="L52:P5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showGridLines="0" workbookViewId="0">
      <selection activeCell="F18" sqref="F18"/>
    </sheetView>
  </sheetViews>
  <sheetFormatPr defaultRowHeight="15" x14ac:dyDescent="0.25"/>
  <cols>
    <col min="1" max="1" width="0.5703125" customWidth="1"/>
    <col min="2" max="2" width="31.85546875" bestFit="1" customWidth="1"/>
    <col min="3" max="3" width="5.5703125" bestFit="1" customWidth="1"/>
    <col min="4" max="4" width="2.140625" customWidth="1"/>
    <col min="5" max="5" width="10.140625" customWidth="1"/>
  </cols>
  <sheetData>
    <row r="1" spans="1:11" ht="21" x14ac:dyDescent="0.35">
      <c r="A1" t="s">
        <v>44</v>
      </c>
      <c r="B1" s="57" t="s">
        <v>51</v>
      </c>
      <c r="C1" s="58"/>
      <c r="D1" s="58"/>
      <c r="E1" s="58"/>
      <c r="F1" s="58"/>
      <c r="G1" s="58"/>
      <c r="H1" s="58"/>
      <c r="I1" s="58"/>
      <c r="J1" s="58"/>
      <c r="K1" s="59"/>
    </row>
    <row r="3" spans="1:11" ht="21" x14ac:dyDescent="0.25">
      <c r="B3" s="55" t="s">
        <v>1</v>
      </c>
      <c r="C3" s="56"/>
      <c r="E3" s="38" t="s">
        <v>57</v>
      </c>
      <c r="F3" s="39"/>
      <c r="G3" s="39"/>
      <c r="H3" s="39"/>
      <c r="I3" s="39"/>
      <c r="J3" s="39"/>
      <c r="K3" s="26"/>
    </row>
    <row r="4" spans="1:11" x14ac:dyDescent="0.25">
      <c r="B4" s="5" t="s">
        <v>46</v>
      </c>
      <c r="C4" s="6">
        <v>0.51</v>
      </c>
      <c r="E4" s="10"/>
      <c r="K4" s="7"/>
    </row>
    <row r="5" spans="1:11" x14ac:dyDescent="0.25">
      <c r="B5" s="5" t="s">
        <v>47</v>
      </c>
      <c r="C5" s="6">
        <v>0.3</v>
      </c>
      <c r="E5" s="28" t="s">
        <v>58</v>
      </c>
      <c r="F5" s="104">
        <f>((C7/1000)/$C$14)^(1/$C$13)</f>
        <v>0.23930545234054318</v>
      </c>
      <c r="K5" s="7"/>
    </row>
    <row r="6" spans="1:11" x14ac:dyDescent="0.25">
      <c r="B6" s="5" t="s">
        <v>48</v>
      </c>
      <c r="C6" s="6">
        <v>0.18</v>
      </c>
      <c r="E6" s="28" t="s">
        <v>59</v>
      </c>
      <c r="F6" s="104">
        <f t="shared" ref="F6:F7" si="0">((C8/1000)/$C$14)^(1/$C$13)</f>
        <v>0.28880978196926393</v>
      </c>
      <c r="K6" s="7"/>
    </row>
    <row r="7" spans="1:11" x14ac:dyDescent="0.25">
      <c r="B7" s="5" t="s">
        <v>45</v>
      </c>
      <c r="C7" s="6">
        <v>60</v>
      </c>
      <c r="E7" s="28" t="s">
        <v>60</v>
      </c>
      <c r="F7" s="104">
        <f t="shared" si="0"/>
        <v>0.37644733316767764</v>
      </c>
      <c r="K7" s="7"/>
    </row>
    <row r="8" spans="1:11" x14ac:dyDescent="0.25">
      <c r="B8" s="5" t="s">
        <v>42</v>
      </c>
      <c r="C8" s="6">
        <v>80</v>
      </c>
      <c r="E8" s="10"/>
      <c r="K8" s="7"/>
    </row>
    <row r="9" spans="1:11" ht="15.75" x14ac:dyDescent="0.25">
      <c r="B9" s="5" t="s">
        <v>41</v>
      </c>
      <c r="C9" s="6">
        <v>120</v>
      </c>
      <c r="E9" s="15" t="s">
        <v>61</v>
      </c>
      <c r="K9" s="7"/>
    </row>
    <row r="10" spans="1:11" x14ac:dyDescent="0.25">
      <c r="B10" s="5"/>
      <c r="C10" s="6"/>
      <c r="E10" s="10"/>
      <c r="K10" s="7"/>
    </row>
    <row r="11" spans="1:11" x14ac:dyDescent="0.25">
      <c r="B11" s="5" t="s">
        <v>53</v>
      </c>
      <c r="C11" s="6"/>
      <c r="E11" s="10"/>
      <c r="K11" s="7"/>
    </row>
    <row r="12" spans="1:11" x14ac:dyDescent="0.25">
      <c r="B12" s="5" t="s">
        <v>54</v>
      </c>
      <c r="C12" s="6">
        <v>9</v>
      </c>
      <c r="E12" s="28" t="s">
        <v>62</v>
      </c>
      <c r="F12" s="104">
        <f>((C9*F5)-(C7*F7))/(C9-C7)</f>
        <v>0.10216357151340869</v>
      </c>
      <c r="K12" s="7"/>
    </row>
    <row r="13" spans="1:11" x14ac:dyDescent="0.25">
      <c r="B13" s="5" t="s">
        <v>55</v>
      </c>
      <c r="C13" s="6">
        <v>1.53</v>
      </c>
      <c r="E13" s="10"/>
      <c r="K13" s="7"/>
    </row>
    <row r="14" spans="1:11" ht="15.75" x14ac:dyDescent="0.25">
      <c r="B14" s="5" t="s">
        <v>56</v>
      </c>
      <c r="C14" s="103">
        <v>0.53500000000000003</v>
      </c>
      <c r="E14" s="15" t="s">
        <v>63</v>
      </c>
      <c r="K14" s="7"/>
    </row>
    <row r="15" spans="1:11" x14ac:dyDescent="0.25">
      <c r="B15" s="5"/>
      <c r="C15" s="6"/>
      <c r="E15" s="10"/>
      <c r="K15" s="7"/>
    </row>
    <row r="16" spans="1:11" x14ac:dyDescent="0.25">
      <c r="B16" s="5"/>
      <c r="C16" s="6"/>
      <c r="E16" s="28" t="s">
        <v>64</v>
      </c>
      <c r="F16" s="28">
        <f>F5-$F$12</f>
        <v>0.13714188082713449</v>
      </c>
      <c r="K16" s="7"/>
    </row>
    <row r="17" spans="2:11" x14ac:dyDescent="0.25">
      <c r="B17" s="5"/>
      <c r="C17" s="6"/>
      <c r="E17" s="28" t="s">
        <v>65</v>
      </c>
      <c r="F17" s="28">
        <f>F6-$F$12</f>
        <v>0.18664621045585525</v>
      </c>
      <c r="K17" s="7"/>
    </row>
    <row r="18" spans="2:11" x14ac:dyDescent="0.25">
      <c r="B18" s="5"/>
      <c r="C18" s="37"/>
      <c r="E18" s="28" t="s">
        <v>66</v>
      </c>
      <c r="F18" s="28">
        <f>F7-$F$12</f>
        <v>0.27428376165426893</v>
      </c>
      <c r="G18" s="11"/>
      <c r="H18" s="11"/>
      <c r="I18" s="11"/>
      <c r="J18" s="11"/>
      <c r="K18" s="9"/>
    </row>
    <row r="19" spans="2:11" x14ac:dyDescent="0.25">
      <c r="B19" s="5"/>
      <c r="C19" s="6"/>
    </row>
    <row r="20" spans="2:11" x14ac:dyDescent="0.25">
      <c r="B20" s="5"/>
      <c r="C20" s="6"/>
    </row>
    <row r="21" spans="2:11" x14ac:dyDescent="0.25">
      <c r="B21" s="5"/>
      <c r="C21" s="6"/>
    </row>
    <row r="22" spans="2:11" x14ac:dyDescent="0.25">
      <c r="B22" s="8"/>
      <c r="C22" s="31"/>
    </row>
  </sheetData>
  <mergeCells count="2">
    <mergeCell ref="B3:C3"/>
    <mergeCell ref="B1:K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3"/>
  <sheetViews>
    <sheetView showGridLines="0" topLeftCell="B25" zoomScale="110" zoomScaleNormal="110" workbookViewId="0">
      <selection activeCell="I44" sqref="I44"/>
    </sheetView>
  </sheetViews>
  <sheetFormatPr defaultRowHeight="15" x14ac:dyDescent="0.25"/>
  <cols>
    <col min="1" max="1" width="1.42578125" customWidth="1"/>
    <col min="2" max="2" width="31.85546875" bestFit="1" customWidth="1"/>
    <col min="3" max="3" width="7" bestFit="1" customWidth="1"/>
    <col min="4" max="4" width="2.140625" customWidth="1"/>
    <col min="5" max="5" width="18" customWidth="1"/>
    <col min="7" max="7" width="17" bestFit="1" customWidth="1"/>
  </cols>
  <sheetData>
    <row r="1" spans="2:17" ht="21" x14ac:dyDescent="0.35">
      <c r="B1" s="60" t="s">
        <v>89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3" spans="2:17" ht="21" x14ac:dyDescent="0.25">
      <c r="B3" s="63" t="s">
        <v>1</v>
      </c>
      <c r="C3" s="64"/>
      <c r="E3" s="33" t="s">
        <v>70</v>
      </c>
      <c r="F3" s="34"/>
      <c r="G3" s="34"/>
      <c r="H3" s="35"/>
      <c r="I3" s="32"/>
      <c r="J3" s="32"/>
    </row>
    <row r="4" spans="2:17" x14ac:dyDescent="0.25">
      <c r="B4" s="5" t="s">
        <v>46</v>
      </c>
      <c r="C4" s="6">
        <v>0.51</v>
      </c>
      <c r="E4" s="10"/>
      <c r="H4" s="7"/>
    </row>
    <row r="5" spans="2:17" x14ac:dyDescent="0.25">
      <c r="B5" s="5" t="s">
        <v>47</v>
      </c>
      <c r="C5" s="6">
        <v>0.3</v>
      </c>
      <c r="E5" s="10"/>
      <c r="H5" s="7"/>
    </row>
    <row r="6" spans="2:17" x14ac:dyDescent="0.25">
      <c r="B6" s="5" t="s">
        <v>48</v>
      </c>
      <c r="C6" s="6">
        <v>0.18</v>
      </c>
      <c r="E6" s="29" t="s">
        <v>52</v>
      </c>
      <c r="F6" s="29">
        <f>(C9)/C17</f>
        <v>0.4</v>
      </c>
      <c r="H6" s="7"/>
    </row>
    <row r="7" spans="2:17" x14ac:dyDescent="0.25">
      <c r="B7" s="5" t="s">
        <v>223</v>
      </c>
      <c r="C7" s="6">
        <v>0.06</v>
      </c>
      <c r="E7" s="10"/>
      <c r="H7" s="7"/>
    </row>
    <row r="8" spans="2:17" ht="15.75" x14ac:dyDescent="0.25">
      <c r="B8" s="5" t="s">
        <v>222</v>
      </c>
      <c r="C8" s="6">
        <v>0.08</v>
      </c>
      <c r="E8" s="15" t="s">
        <v>71</v>
      </c>
      <c r="H8" s="7"/>
    </row>
    <row r="9" spans="2:17" x14ac:dyDescent="0.25">
      <c r="B9" s="5" t="s">
        <v>221</v>
      </c>
      <c r="C9" s="6">
        <v>0.12</v>
      </c>
      <c r="E9" s="10"/>
      <c r="H9" s="7"/>
    </row>
    <row r="10" spans="2:17" x14ac:dyDescent="0.25">
      <c r="B10" s="5"/>
      <c r="C10" s="6"/>
      <c r="E10" s="10"/>
      <c r="H10" s="7"/>
    </row>
    <row r="11" spans="2:17" x14ac:dyDescent="0.25">
      <c r="B11" s="5" t="s">
        <v>68</v>
      </c>
      <c r="C11" s="6"/>
      <c r="E11" s="29" t="s">
        <v>67</v>
      </c>
      <c r="F11" s="29">
        <f>F6/(C13-C12)</f>
        <v>1.4583437152367582</v>
      </c>
      <c r="G11" t="s">
        <v>21</v>
      </c>
      <c r="H11" s="7">
        <f>ROUNDUP(F11,1)</f>
        <v>1.5</v>
      </c>
    </row>
    <row r="12" spans="2:17" x14ac:dyDescent="0.25">
      <c r="B12" s="5" t="s">
        <v>62</v>
      </c>
      <c r="C12" s="6">
        <f>'CALHA PARSHAL'!F12</f>
        <v>0.10216357151340869</v>
      </c>
      <c r="E12" s="10"/>
      <c r="H12" s="7"/>
    </row>
    <row r="13" spans="2:17" ht="15.75" x14ac:dyDescent="0.25">
      <c r="B13" s="5" t="s">
        <v>60</v>
      </c>
      <c r="C13" s="6">
        <v>0.37644733316767764</v>
      </c>
      <c r="E13" s="15" t="s">
        <v>69</v>
      </c>
      <c r="H13" s="7"/>
    </row>
    <row r="14" spans="2:17" x14ac:dyDescent="0.25">
      <c r="B14" s="5" t="s">
        <v>58</v>
      </c>
      <c r="C14" s="6">
        <v>0.23930545234054318</v>
      </c>
      <c r="E14" s="29" t="s">
        <v>72</v>
      </c>
      <c r="F14" s="29">
        <f>$H$11*(C14-$C$12)</f>
        <v>0.20571282124070173</v>
      </c>
      <c r="H14" s="7"/>
    </row>
    <row r="15" spans="2:17" x14ac:dyDescent="0.25">
      <c r="B15" s="5" t="s">
        <v>59</v>
      </c>
      <c r="C15" s="6">
        <v>0.28880978196926393</v>
      </c>
      <c r="E15" s="29" t="s">
        <v>73</v>
      </c>
      <c r="F15" s="29">
        <f>$H$11*(C15-$C$12)</f>
        <v>0.27996931568378286</v>
      </c>
      <c r="H15" s="7"/>
    </row>
    <row r="16" spans="2:17" x14ac:dyDescent="0.25">
      <c r="B16" s="5" t="s">
        <v>66</v>
      </c>
      <c r="C16" s="6">
        <v>0.27428376165426893</v>
      </c>
      <c r="E16" s="29" t="s">
        <v>74</v>
      </c>
      <c r="F16" s="29">
        <f>$H$11*(C13-$C$12)</f>
        <v>0.4114256424814034</v>
      </c>
      <c r="H16" s="7"/>
    </row>
    <row r="17" spans="2:8" x14ac:dyDescent="0.25">
      <c r="B17" s="5" t="s">
        <v>6</v>
      </c>
      <c r="C17" s="6">
        <v>0.3</v>
      </c>
      <c r="E17" s="10"/>
      <c r="H17" s="7"/>
    </row>
    <row r="18" spans="2:8" x14ac:dyDescent="0.25">
      <c r="B18" s="5" t="s">
        <v>83</v>
      </c>
      <c r="C18" s="6">
        <v>0.03</v>
      </c>
      <c r="E18" s="29" t="s">
        <v>75</v>
      </c>
      <c r="F18" s="29">
        <f>$C$9/F14</f>
        <v>0.58333748609470315</v>
      </c>
      <c r="H18" s="7"/>
    </row>
    <row r="19" spans="2:8" x14ac:dyDescent="0.25">
      <c r="B19" s="8" t="s">
        <v>87</v>
      </c>
      <c r="C19" s="31">
        <v>21</v>
      </c>
      <c r="E19" s="29" t="s">
        <v>76</v>
      </c>
      <c r="F19" s="29">
        <f>$C$9/F15</f>
        <v>0.42861839950895364</v>
      </c>
      <c r="H19" s="7"/>
    </row>
    <row r="20" spans="2:8" x14ac:dyDescent="0.25">
      <c r="E20" s="29" t="s">
        <v>77</v>
      </c>
      <c r="F20" s="29">
        <f>$C$9/F16</f>
        <v>0.29166874304735163</v>
      </c>
      <c r="H20" s="7"/>
    </row>
    <row r="21" spans="2:8" x14ac:dyDescent="0.25">
      <c r="E21" s="10"/>
      <c r="H21" s="7"/>
    </row>
    <row r="22" spans="2:8" ht="15.75" x14ac:dyDescent="0.25">
      <c r="E22" s="15" t="s">
        <v>78</v>
      </c>
      <c r="H22" s="7"/>
    </row>
    <row r="23" spans="2:8" x14ac:dyDescent="0.25">
      <c r="E23" s="10"/>
      <c r="H23" s="7"/>
    </row>
    <row r="24" spans="2:8" x14ac:dyDescent="0.25">
      <c r="E24" s="29" t="s">
        <v>79</v>
      </c>
      <c r="F24" s="29">
        <f>25*C16</f>
        <v>6.8570940413567234</v>
      </c>
      <c r="H24" s="7"/>
    </row>
    <row r="25" spans="2:8" x14ac:dyDescent="0.25">
      <c r="E25" s="10"/>
      <c r="H25" s="7"/>
    </row>
    <row r="26" spans="2:8" ht="15.75" x14ac:dyDescent="0.25">
      <c r="E26" s="15" t="s">
        <v>80</v>
      </c>
      <c r="F26" s="36"/>
      <c r="H26" s="7"/>
    </row>
    <row r="27" spans="2:8" x14ac:dyDescent="0.25">
      <c r="E27" s="10"/>
      <c r="H27" s="7"/>
    </row>
    <row r="28" spans="2:8" x14ac:dyDescent="0.25">
      <c r="E28" s="10"/>
      <c r="H28" s="7"/>
    </row>
    <row r="29" spans="2:8" x14ac:dyDescent="0.25">
      <c r="E29" s="29" t="s">
        <v>81</v>
      </c>
      <c r="F29" s="105">
        <f>(C9*86400)/(F24*H11)</f>
        <v>1008.0071759716473</v>
      </c>
      <c r="H29" s="7"/>
    </row>
    <row r="30" spans="2:8" x14ac:dyDescent="0.25">
      <c r="E30" s="10"/>
      <c r="H30" s="7"/>
    </row>
    <row r="31" spans="2:8" ht="15.75" x14ac:dyDescent="0.25">
      <c r="E31" s="15" t="s">
        <v>82</v>
      </c>
      <c r="H31" s="7"/>
    </row>
    <row r="32" spans="2:8" x14ac:dyDescent="0.25">
      <c r="E32" s="10"/>
      <c r="H32" s="7"/>
    </row>
    <row r="33" spans="5:9" x14ac:dyDescent="0.25">
      <c r="E33" s="10" t="s">
        <v>84</v>
      </c>
      <c r="H33" s="7"/>
    </row>
    <row r="34" spans="5:9" x14ac:dyDescent="0.25">
      <c r="E34" s="10"/>
      <c r="H34" s="7"/>
    </row>
    <row r="35" spans="5:9" x14ac:dyDescent="0.25">
      <c r="E35" s="29" t="s">
        <v>85</v>
      </c>
      <c r="F35" s="29">
        <f>(C8*C18*86400)/1000</f>
        <v>0.20735999999999999</v>
      </c>
      <c r="H35" s="7"/>
    </row>
    <row r="36" spans="5:9" x14ac:dyDescent="0.25">
      <c r="E36" s="10"/>
      <c r="H36" s="7"/>
    </row>
    <row r="37" spans="5:9" x14ac:dyDescent="0.25">
      <c r="E37" s="10" t="s">
        <v>86</v>
      </c>
      <c r="H37" s="7"/>
    </row>
    <row r="38" spans="5:9" x14ac:dyDescent="0.25">
      <c r="E38" s="10"/>
      <c r="H38" s="7"/>
    </row>
    <row r="39" spans="5:9" x14ac:dyDescent="0.25">
      <c r="E39" s="10"/>
      <c r="H39" s="7"/>
    </row>
    <row r="40" spans="5:9" x14ac:dyDescent="0.25">
      <c r="E40" s="29" t="s">
        <v>224</v>
      </c>
      <c r="F40" s="29">
        <f>F35/(F24*H11)</f>
        <v>2.0160143519432943E-2</v>
      </c>
      <c r="H40" s="7"/>
    </row>
    <row r="41" spans="5:9" x14ac:dyDescent="0.25">
      <c r="E41" s="10"/>
      <c r="H41" s="7"/>
    </row>
    <row r="42" spans="5:9" x14ac:dyDescent="0.25">
      <c r="E42" s="10"/>
      <c r="H42" s="7"/>
    </row>
    <row r="43" spans="5:9" x14ac:dyDescent="0.25">
      <c r="E43" s="29" t="s">
        <v>225</v>
      </c>
      <c r="F43" s="29">
        <f>F40*14</f>
        <v>0.28224200927206122</v>
      </c>
      <c r="G43" s="11" t="s">
        <v>88</v>
      </c>
      <c r="H43" s="106">
        <f>ROUNDUP(F43,1)</f>
        <v>0.30000000000000004</v>
      </c>
      <c r="I43" t="s">
        <v>226</v>
      </c>
    </row>
  </sheetData>
  <mergeCells count="2">
    <mergeCell ref="B1:Q1"/>
    <mergeCell ref="B3:C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4"/>
  <sheetViews>
    <sheetView showGridLines="0" tabSelected="1" topLeftCell="A25" workbookViewId="0">
      <selection activeCell="C31" sqref="C31"/>
    </sheetView>
  </sheetViews>
  <sheetFormatPr defaultRowHeight="15" x14ac:dyDescent="0.25"/>
  <cols>
    <col min="1" max="1" width="55.140625" customWidth="1"/>
    <col min="4" max="4" width="14.7109375" customWidth="1"/>
    <col min="5" max="5" width="15.42578125" customWidth="1"/>
    <col min="6" max="6" width="15.5703125" customWidth="1"/>
    <col min="7" max="7" width="15.140625" customWidth="1"/>
    <col min="8" max="8" width="15" customWidth="1"/>
    <col min="12" max="12" width="25" customWidth="1"/>
    <col min="13" max="13" width="17.42578125" customWidth="1"/>
    <col min="14" max="14" width="15.7109375" customWidth="1"/>
  </cols>
  <sheetData>
    <row r="1" spans="1:22" ht="21" x14ac:dyDescent="0.25">
      <c r="A1" s="71" t="s">
        <v>90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4" spans="1:22" ht="21" x14ac:dyDescent="0.25">
      <c r="A4" s="69" t="s">
        <v>91</v>
      </c>
      <c r="B4" s="70"/>
      <c r="D4" s="69" t="s">
        <v>100</v>
      </c>
      <c r="E4" s="72"/>
      <c r="F4" s="72"/>
      <c r="G4" s="72"/>
      <c r="H4" s="70"/>
      <c r="L4" s="88" t="s">
        <v>126</v>
      </c>
      <c r="M4" s="89"/>
      <c r="N4" s="89"/>
      <c r="O4" s="90"/>
      <c r="R4" s="69" t="s">
        <v>173</v>
      </c>
      <c r="S4" s="72"/>
      <c r="T4" s="72"/>
      <c r="U4" s="72"/>
      <c r="V4" s="70"/>
    </row>
    <row r="5" spans="1:22" ht="18.75" x14ac:dyDescent="0.35">
      <c r="A5" s="5" t="s">
        <v>45</v>
      </c>
      <c r="B5" s="6">
        <v>60</v>
      </c>
      <c r="D5" s="15" t="s">
        <v>187</v>
      </c>
      <c r="H5" s="7"/>
      <c r="L5" s="15" t="s">
        <v>127</v>
      </c>
      <c r="O5" s="7"/>
      <c r="R5" s="15" t="s">
        <v>212</v>
      </c>
      <c r="V5" s="7"/>
    </row>
    <row r="6" spans="1:22" x14ac:dyDescent="0.25">
      <c r="A6" s="5" t="s">
        <v>42</v>
      </c>
      <c r="B6" s="6">
        <v>80</v>
      </c>
      <c r="D6" s="10"/>
      <c r="H6" s="7"/>
      <c r="L6" s="10"/>
      <c r="O6" s="7"/>
      <c r="R6" s="10"/>
      <c r="V6" s="7"/>
    </row>
    <row r="7" spans="1:22" x14ac:dyDescent="0.25">
      <c r="A7" s="5" t="s">
        <v>41</v>
      </c>
      <c r="B7" s="6">
        <v>120</v>
      </c>
      <c r="D7" s="10"/>
      <c r="H7" s="7"/>
      <c r="L7" s="10"/>
      <c r="O7" s="7"/>
      <c r="R7" s="10"/>
      <c r="V7" s="7"/>
    </row>
    <row r="8" spans="1:22" x14ac:dyDescent="0.25">
      <c r="A8" s="5" t="s">
        <v>92</v>
      </c>
      <c r="B8" s="14">
        <v>600</v>
      </c>
      <c r="D8" s="10"/>
      <c r="H8" s="7"/>
      <c r="L8" s="10"/>
      <c r="O8" s="7"/>
      <c r="R8" s="10"/>
      <c r="V8" s="7"/>
    </row>
    <row r="9" spans="1:22" ht="18" x14ac:dyDescent="0.35">
      <c r="A9" s="19" t="s">
        <v>93</v>
      </c>
      <c r="B9" s="23">
        <v>1200</v>
      </c>
      <c r="D9" s="10"/>
      <c r="H9" s="7"/>
      <c r="L9" s="25" t="s">
        <v>107</v>
      </c>
      <c r="M9" s="25">
        <f>B13*(B6*86.4)</f>
        <v>13824</v>
      </c>
      <c r="O9" s="7"/>
      <c r="R9" s="28" t="s">
        <v>181</v>
      </c>
      <c r="S9" s="28">
        <f>B6*86.4*B16</f>
        <v>6912</v>
      </c>
      <c r="V9" s="7"/>
    </row>
    <row r="10" spans="1:22" ht="18" x14ac:dyDescent="0.25">
      <c r="A10" s="5" t="s">
        <v>94</v>
      </c>
      <c r="B10" s="14">
        <f>(B9*B6*86400/1000000)</f>
        <v>8294.4</v>
      </c>
      <c r="D10" s="22" t="s">
        <v>198</v>
      </c>
      <c r="E10" s="22">
        <f>B6*86.4*B12</f>
        <v>2304</v>
      </c>
      <c r="H10" s="7"/>
      <c r="L10" s="10"/>
      <c r="O10" s="7"/>
      <c r="R10" s="10"/>
      <c r="V10" s="7"/>
    </row>
    <row r="11" spans="1:22" ht="15.75" x14ac:dyDescent="0.25">
      <c r="A11" s="19" t="s">
        <v>95</v>
      </c>
      <c r="B11" s="23">
        <v>8</v>
      </c>
      <c r="D11" s="10"/>
      <c r="H11" s="7"/>
      <c r="L11" s="15" t="s">
        <v>130</v>
      </c>
      <c r="O11" s="7"/>
      <c r="R11" s="15" t="s">
        <v>213</v>
      </c>
      <c r="V11" s="7"/>
    </row>
    <row r="12" spans="1:22" x14ac:dyDescent="0.25">
      <c r="A12" s="5" t="s">
        <v>96</v>
      </c>
      <c r="B12" s="14">
        <f>B11/24</f>
        <v>0.33333333333333331</v>
      </c>
      <c r="D12" s="13" t="s">
        <v>128</v>
      </c>
      <c r="E12" s="13"/>
      <c r="F12" s="13">
        <v>3</v>
      </c>
      <c r="H12" s="7"/>
      <c r="L12" s="10"/>
      <c r="O12" s="7"/>
      <c r="R12" s="10"/>
      <c r="V12" s="7"/>
    </row>
    <row r="13" spans="1:22" x14ac:dyDescent="0.25">
      <c r="A13" s="19" t="s">
        <v>129</v>
      </c>
      <c r="B13" s="23">
        <v>2</v>
      </c>
      <c r="D13" s="10"/>
      <c r="H13" s="7"/>
      <c r="L13" s="86" t="s">
        <v>131</v>
      </c>
      <c r="M13" s="87"/>
      <c r="N13" s="13">
        <v>5</v>
      </c>
      <c r="O13" s="7"/>
      <c r="R13" s="10"/>
      <c r="V13" s="7"/>
    </row>
    <row r="14" spans="1:22" ht="15.75" x14ac:dyDescent="0.25">
      <c r="A14" s="5" t="s">
        <v>150</v>
      </c>
      <c r="B14" s="14">
        <f>(B8/1000)*B6*86.4</f>
        <v>4147.2000000000007</v>
      </c>
      <c r="D14" s="15" t="s">
        <v>97</v>
      </c>
      <c r="H14" s="7"/>
      <c r="L14" s="10"/>
      <c r="O14" s="7"/>
      <c r="R14" s="10"/>
      <c r="V14" s="7"/>
    </row>
    <row r="15" spans="1:22" ht="18" x14ac:dyDescent="0.25">
      <c r="A15" s="5" t="s">
        <v>155</v>
      </c>
      <c r="B15" s="14">
        <v>0.57999999999999996</v>
      </c>
      <c r="D15" s="10"/>
      <c r="H15" s="7"/>
      <c r="L15" s="10"/>
      <c r="O15" s="7"/>
      <c r="R15" s="91" t="s">
        <v>175</v>
      </c>
      <c r="S15" s="92"/>
      <c r="T15" s="30">
        <f>0.5*M72*365</f>
        <v>43898.112000000045</v>
      </c>
      <c r="V15" s="7"/>
    </row>
    <row r="16" spans="1:22" x14ac:dyDescent="0.25">
      <c r="A16" s="19" t="s">
        <v>174</v>
      </c>
      <c r="B16" s="23">
        <v>1</v>
      </c>
      <c r="D16" s="10"/>
      <c r="H16" s="7"/>
      <c r="L16" s="10"/>
      <c r="O16" s="7"/>
      <c r="R16" s="10"/>
      <c r="V16" s="7"/>
    </row>
    <row r="17" spans="1:22" ht="15.75" x14ac:dyDescent="0.25">
      <c r="A17" s="19" t="s">
        <v>178</v>
      </c>
      <c r="B17" s="23">
        <v>50</v>
      </c>
      <c r="D17" s="10"/>
      <c r="H17" s="7"/>
      <c r="L17" s="10"/>
      <c r="O17" s="7"/>
      <c r="R17" s="15" t="s">
        <v>177</v>
      </c>
      <c r="V17" s="7"/>
    </row>
    <row r="18" spans="1:22" x14ac:dyDescent="0.25">
      <c r="A18" s="20" t="s">
        <v>176</v>
      </c>
      <c r="B18" s="24">
        <v>2</v>
      </c>
      <c r="D18" s="22" t="s">
        <v>107</v>
      </c>
      <c r="E18" s="22">
        <f>E10/F12</f>
        <v>768</v>
      </c>
      <c r="H18" s="7"/>
      <c r="L18" s="25" t="s">
        <v>106</v>
      </c>
      <c r="M18" s="25">
        <f>M9/N13</f>
        <v>2764.8</v>
      </c>
      <c r="O18" s="7"/>
      <c r="R18" s="10"/>
      <c r="V18" s="7"/>
    </row>
    <row r="19" spans="1:22" ht="18" x14ac:dyDescent="0.25">
      <c r="D19" s="10"/>
      <c r="H19" s="7"/>
      <c r="L19" s="10"/>
      <c r="O19" s="7"/>
      <c r="R19" s="93" t="s">
        <v>182</v>
      </c>
      <c r="S19" s="94"/>
      <c r="T19" s="30">
        <f>(T15*B18)/B17</f>
        <v>1755.9244800000017</v>
      </c>
      <c r="V19" s="7"/>
    </row>
    <row r="20" spans="1:22" ht="21" x14ac:dyDescent="0.25">
      <c r="A20" s="69" t="s">
        <v>180</v>
      </c>
      <c r="B20" s="70"/>
      <c r="D20" s="15" t="s">
        <v>98</v>
      </c>
      <c r="H20" s="7"/>
      <c r="L20" s="10" t="s">
        <v>132</v>
      </c>
      <c r="O20" s="7"/>
      <c r="R20" s="10"/>
      <c r="V20" s="7"/>
    </row>
    <row r="21" spans="1:22" ht="18.75" x14ac:dyDescent="0.35">
      <c r="A21" s="5" t="s">
        <v>184</v>
      </c>
      <c r="B21" s="7">
        <f>E33*F12</f>
        <v>461.81412007769956</v>
      </c>
      <c r="D21" s="10"/>
      <c r="H21" s="7"/>
      <c r="L21" s="10"/>
      <c r="O21" s="7"/>
      <c r="R21" s="15" t="s">
        <v>214</v>
      </c>
      <c r="V21" s="7"/>
    </row>
    <row r="22" spans="1:22" x14ac:dyDescent="0.25">
      <c r="A22" s="5" t="s">
        <v>185</v>
      </c>
      <c r="B22" s="7">
        <f>M48*N48*N22</f>
        <v>5153.5200000000004</v>
      </c>
      <c r="D22" s="13" t="s">
        <v>99</v>
      </c>
      <c r="E22" s="13"/>
      <c r="F22" s="13">
        <v>5</v>
      </c>
      <c r="H22" s="7"/>
      <c r="L22" s="86" t="s">
        <v>138</v>
      </c>
      <c r="M22" s="87"/>
      <c r="N22" s="13">
        <v>2</v>
      </c>
      <c r="O22" s="7"/>
      <c r="R22" s="10"/>
      <c r="V22" s="7"/>
    </row>
    <row r="23" spans="1:22" x14ac:dyDescent="0.25">
      <c r="A23" s="8" t="s">
        <v>186</v>
      </c>
      <c r="B23" s="9">
        <f>S34</f>
        <v>1733.5848960000003</v>
      </c>
      <c r="D23" s="10"/>
      <c r="H23" s="7"/>
      <c r="L23" s="10"/>
      <c r="O23" s="7"/>
      <c r="R23" s="10"/>
      <c r="V23" s="7"/>
    </row>
    <row r="24" spans="1:22" x14ac:dyDescent="0.25">
      <c r="D24" s="10"/>
      <c r="H24" s="7"/>
      <c r="L24" s="10" t="s">
        <v>134</v>
      </c>
      <c r="O24" s="7"/>
      <c r="R24" s="10"/>
      <c r="V24" s="7"/>
    </row>
    <row r="25" spans="1:22" ht="18" x14ac:dyDescent="0.35">
      <c r="A25" s="74" t="s">
        <v>195</v>
      </c>
      <c r="B25" s="74"/>
      <c r="D25" s="10"/>
      <c r="H25" s="7"/>
      <c r="L25" s="10"/>
      <c r="O25" s="7"/>
      <c r="R25" s="28" t="s">
        <v>183</v>
      </c>
      <c r="S25" s="28">
        <f>T19+S9</f>
        <v>8667.9244800000015</v>
      </c>
      <c r="V25" s="7"/>
    </row>
    <row r="26" spans="1:22" x14ac:dyDescent="0.25">
      <c r="A26" s="21" t="s">
        <v>196</v>
      </c>
      <c r="B26" s="13"/>
      <c r="D26" s="10"/>
      <c r="H26" s="7"/>
      <c r="L26" s="10"/>
      <c r="O26" s="7"/>
      <c r="R26" s="10"/>
      <c r="V26" s="7"/>
    </row>
    <row r="27" spans="1:22" ht="18.75" x14ac:dyDescent="0.35">
      <c r="A27" s="21" t="s">
        <v>197</v>
      </c>
      <c r="B27" s="12"/>
      <c r="D27" s="22" t="s">
        <v>106</v>
      </c>
      <c r="E27" s="22">
        <f>E18/F22</f>
        <v>153.6</v>
      </c>
      <c r="H27" s="7"/>
      <c r="L27" s="10"/>
      <c r="O27" s="7"/>
      <c r="R27" s="15" t="s">
        <v>215</v>
      </c>
      <c r="V27" s="7"/>
    </row>
    <row r="28" spans="1:22" x14ac:dyDescent="0.25">
      <c r="D28" s="10"/>
      <c r="H28" s="7"/>
      <c r="L28" s="10"/>
      <c r="O28" s="7"/>
      <c r="R28" s="10"/>
      <c r="V28" s="7"/>
    </row>
    <row r="29" spans="1:22" ht="18" customHeight="1" x14ac:dyDescent="0.35">
      <c r="A29" s="69" t="s">
        <v>232</v>
      </c>
      <c r="B29" s="70"/>
      <c r="D29" s="67" t="s">
        <v>227</v>
      </c>
      <c r="E29" s="68"/>
      <c r="F29" s="68"/>
      <c r="G29" s="68"/>
      <c r="H29" s="108">
        <f>SQRT(4*E27/PI())</f>
        <v>13.984619911578612</v>
      </c>
      <c r="L29" s="10" t="s">
        <v>135</v>
      </c>
      <c r="M29">
        <f>M18/N22</f>
        <v>1382.4</v>
      </c>
      <c r="O29" s="7"/>
      <c r="R29" s="82" t="s">
        <v>179</v>
      </c>
      <c r="S29" s="82"/>
      <c r="T29" s="82"/>
      <c r="U29" s="82"/>
      <c r="V29" s="13">
        <v>5</v>
      </c>
    </row>
    <row r="30" spans="1:22" x14ac:dyDescent="0.25">
      <c r="A30" s="5" t="s">
        <v>218</v>
      </c>
      <c r="B30" s="7">
        <v>3</v>
      </c>
      <c r="D30" s="17"/>
      <c r="E30" s="18"/>
      <c r="F30" s="18"/>
      <c r="G30" s="18"/>
      <c r="L30" s="10"/>
      <c r="O30" s="7"/>
      <c r="R30" s="10"/>
      <c r="V30" s="7"/>
    </row>
    <row r="31" spans="1:22" x14ac:dyDescent="0.25">
      <c r="A31" s="5" t="s">
        <v>233</v>
      </c>
      <c r="B31" s="7">
        <v>5</v>
      </c>
      <c r="D31" s="10" t="s">
        <v>101</v>
      </c>
      <c r="F31">
        <f>ROUNDUP(H29,0)</f>
        <v>14</v>
      </c>
      <c r="H31" s="7"/>
      <c r="L31" s="10" t="s">
        <v>133</v>
      </c>
      <c r="O31" s="7"/>
      <c r="R31" s="10"/>
      <c r="V31" s="7"/>
    </row>
    <row r="32" spans="1:22" x14ac:dyDescent="0.25">
      <c r="A32" s="8" t="s">
        <v>234</v>
      </c>
      <c r="B32" s="9">
        <v>14</v>
      </c>
      <c r="D32" s="10"/>
      <c r="H32" s="7"/>
      <c r="L32" s="10"/>
      <c r="O32" s="7"/>
      <c r="R32" s="10"/>
      <c r="V32" s="7"/>
    </row>
    <row r="33" spans="1:22" x14ac:dyDescent="0.25">
      <c r="D33" s="22" t="s">
        <v>106</v>
      </c>
      <c r="E33" s="107">
        <f>PI()*F31^2/4</f>
        <v>153.93804002589985</v>
      </c>
      <c r="H33" s="7"/>
      <c r="L33" s="10"/>
      <c r="O33" s="7"/>
      <c r="R33" s="10"/>
      <c r="V33" s="7"/>
    </row>
    <row r="34" spans="1:22" ht="18" x14ac:dyDescent="0.35">
      <c r="A34" s="110" t="s">
        <v>235</v>
      </c>
      <c r="B34" s="111"/>
      <c r="D34" s="10"/>
      <c r="H34" s="7"/>
      <c r="L34" s="10"/>
      <c r="O34" s="7"/>
      <c r="R34" s="28" t="s">
        <v>119</v>
      </c>
      <c r="S34" s="28">
        <f>S25/V29</f>
        <v>1733.5848960000003</v>
      </c>
      <c r="T34" s="11"/>
      <c r="U34" s="11"/>
      <c r="V34" s="9"/>
    </row>
    <row r="35" spans="1:22" x14ac:dyDescent="0.25">
      <c r="A35" s="110" t="s">
        <v>218</v>
      </c>
      <c r="B35" s="111">
        <v>2</v>
      </c>
      <c r="D35" s="81" t="s">
        <v>102</v>
      </c>
      <c r="E35" s="81"/>
      <c r="F35" s="81"/>
      <c r="G35" s="81"/>
      <c r="H35" s="81"/>
      <c r="L35" s="10" t="s">
        <v>67</v>
      </c>
      <c r="N35">
        <f>SQRT(M29/2)</f>
        <v>26.290682760247975</v>
      </c>
      <c r="O35" s="7"/>
      <c r="R35" t="s">
        <v>229</v>
      </c>
      <c r="T35">
        <v>4</v>
      </c>
    </row>
    <row r="36" spans="1:22" x14ac:dyDescent="0.25">
      <c r="A36" s="110" t="s">
        <v>141</v>
      </c>
      <c r="B36" s="111">
        <v>53</v>
      </c>
      <c r="D36" s="10"/>
      <c r="H36" s="7"/>
      <c r="L36" s="10" t="s">
        <v>136</v>
      </c>
      <c r="N36">
        <f>ROUNDUP(N35,0)</f>
        <v>27</v>
      </c>
      <c r="O36" s="7"/>
      <c r="R36" t="s">
        <v>230</v>
      </c>
      <c r="T36">
        <f>ROUNDUP(S34/T35,0)</f>
        <v>434</v>
      </c>
    </row>
    <row r="37" spans="1:22" x14ac:dyDescent="0.25">
      <c r="A37" s="110" t="s">
        <v>142</v>
      </c>
      <c r="B37" s="111">
        <v>27</v>
      </c>
      <c r="D37" s="83" t="s">
        <v>103</v>
      </c>
      <c r="E37" s="84"/>
      <c r="F37" s="84"/>
      <c r="G37" s="84"/>
      <c r="H37" s="85"/>
      <c r="L37" s="10"/>
      <c r="O37" s="7"/>
      <c r="R37" t="s">
        <v>231</v>
      </c>
      <c r="T37" s="109">
        <f>SQRT(T36)</f>
        <v>20.83266665599966</v>
      </c>
    </row>
    <row r="38" spans="1:22" x14ac:dyDescent="0.25">
      <c r="A38" s="110" t="s">
        <v>238</v>
      </c>
      <c r="B38" s="111">
        <v>5</v>
      </c>
      <c r="D38" s="83"/>
      <c r="E38" s="84"/>
      <c r="F38" s="84"/>
      <c r="G38" s="84"/>
      <c r="H38" s="85"/>
      <c r="L38" s="10" t="s">
        <v>79</v>
      </c>
      <c r="N38">
        <f>2*N35</f>
        <v>52.58136552049595</v>
      </c>
      <c r="O38" s="7"/>
    </row>
    <row r="39" spans="1:22" x14ac:dyDescent="0.25">
      <c r="D39" s="83"/>
      <c r="E39" s="84"/>
      <c r="F39" s="84"/>
      <c r="G39" s="84"/>
      <c r="H39" s="85"/>
      <c r="L39" s="10" t="s">
        <v>137</v>
      </c>
      <c r="N39">
        <f>ROUNDUP(N38,0)</f>
        <v>53</v>
      </c>
      <c r="O39" s="7"/>
    </row>
    <row r="40" spans="1:22" x14ac:dyDescent="0.25">
      <c r="A40" s="110" t="s">
        <v>236</v>
      </c>
      <c r="B40" s="111"/>
      <c r="D40" s="83"/>
      <c r="E40" s="84"/>
      <c r="F40" s="84"/>
      <c r="G40" s="84"/>
      <c r="H40" s="85"/>
      <c r="L40" s="10"/>
      <c r="O40" s="7"/>
    </row>
    <row r="41" spans="1:22" x14ac:dyDescent="0.25">
      <c r="A41" s="110" t="s">
        <v>237</v>
      </c>
      <c r="B41" s="111">
        <v>4</v>
      </c>
      <c r="D41" s="10"/>
      <c r="H41" s="7"/>
      <c r="L41" s="10" t="s">
        <v>143</v>
      </c>
      <c r="O41" s="7"/>
    </row>
    <row r="42" spans="1:22" ht="15.75" x14ac:dyDescent="0.25">
      <c r="A42" s="110" t="s">
        <v>141</v>
      </c>
      <c r="B42" s="111">
        <v>20.83</v>
      </c>
      <c r="D42" s="15" t="s">
        <v>104</v>
      </c>
      <c r="H42" s="7"/>
      <c r="L42" s="10"/>
      <c r="O42" s="7"/>
    </row>
    <row r="43" spans="1:22" x14ac:dyDescent="0.25">
      <c r="A43" s="110" t="s">
        <v>142</v>
      </c>
      <c r="B43" s="111">
        <v>20.83</v>
      </c>
      <c r="D43" s="10"/>
      <c r="H43" s="7"/>
      <c r="L43" s="10" t="s">
        <v>139</v>
      </c>
      <c r="O43" s="7"/>
    </row>
    <row r="44" spans="1:22" ht="18" x14ac:dyDescent="0.35">
      <c r="A44" s="110" t="s">
        <v>238</v>
      </c>
      <c r="B44" s="111">
        <v>5</v>
      </c>
      <c r="D44" s="82" t="s">
        <v>105</v>
      </c>
      <c r="E44" s="82"/>
      <c r="F44" s="82"/>
      <c r="G44" s="82"/>
      <c r="H44" s="13">
        <v>2.4</v>
      </c>
      <c r="L44" s="10"/>
      <c r="O44" s="7"/>
    </row>
    <row r="45" spans="1:22" x14ac:dyDescent="0.25">
      <c r="D45" s="10"/>
      <c r="H45" s="7"/>
      <c r="L45" s="75" t="s">
        <v>144</v>
      </c>
      <c r="M45" s="77"/>
      <c r="N45" s="13">
        <v>0.6</v>
      </c>
      <c r="O45" s="7"/>
    </row>
    <row r="46" spans="1:22" x14ac:dyDescent="0.25">
      <c r="D46" s="10"/>
      <c r="H46" s="7"/>
      <c r="L46" s="10"/>
      <c r="O46" s="7"/>
    </row>
    <row r="47" spans="1:22" x14ac:dyDescent="0.25">
      <c r="D47" s="10"/>
      <c r="H47" s="7"/>
      <c r="L47" s="16" t="s">
        <v>140</v>
      </c>
      <c r="M47" s="16" t="s">
        <v>141</v>
      </c>
      <c r="N47" s="16" t="s">
        <v>142</v>
      </c>
      <c r="O47" s="7"/>
    </row>
    <row r="48" spans="1:22" x14ac:dyDescent="0.25">
      <c r="D48" s="10"/>
      <c r="H48" s="7"/>
      <c r="L48" s="27" t="s">
        <v>145</v>
      </c>
      <c r="M48" s="27">
        <f>(M49)+(4*N45)</f>
        <v>65.400000000000006</v>
      </c>
      <c r="N48" s="27">
        <f>N49+(4*N45)</f>
        <v>39.4</v>
      </c>
      <c r="O48" s="7"/>
    </row>
    <row r="49" spans="4:15" x14ac:dyDescent="0.25">
      <c r="D49" s="10" t="s">
        <v>108</v>
      </c>
      <c r="E49">
        <f>E33/H44</f>
        <v>64.14085001079161</v>
      </c>
      <c r="H49" s="7"/>
      <c r="L49" s="27" t="s">
        <v>146</v>
      </c>
      <c r="M49" s="27">
        <f>M50+(2*N13)</f>
        <v>63</v>
      </c>
      <c r="N49" s="27">
        <f>N50+(2*N13)</f>
        <v>37</v>
      </c>
      <c r="O49" s="7"/>
    </row>
    <row r="50" spans="4:15" x14ac:dyDescent="0.25">
      <c r="D50" s="22" t="s">
        <v>108</v>
      </c>
      <c r="E50" s="22">
        <f>ROUNDUP(E49,0)</f>
        <v>65</v>
      </c>
      <c r="H50" s="7"/>
      <c r="L50" s="27" t="s">
        <v>147</v>
      </c>
      <c r="M50" s="27">
        <f>N39</f>
        <v>53</v>
      </c>
      <c r="N50" s="27">
        <f>N36</f>
        <v>27</v>
      </c>
      <c r="O50" s="7"/>
    </row>
    <row r="51" spans="4:15" x14ac:dyDescent="0.25">
      <c r="D51" s="10"/>
      <c r="H51" s="7"/>
      <c r="L51" s="27" t="s">
        <v>148</v>
      </c>
      <c r="M51" s="27">
        <f>M50-(2*N13)</f>
        <v>43</v>
      </c>
      <c r="N51" s="27">
        <f>N50-(2*N13)</f>
        <v>17</v>
      </c>
      <c r="O51" s="7"/>
    </row>
    <row r="52" spans="4:15" x14ac:dyDescent="0.25">
      <c r="D52" s="10" t="s">
        <v>110</v>
      </c>
      <c r="H52" s="7">
        <v>200</v>
      </c>
      <c r="L52" s="10"/>
      <c r="O52" s="7"/>
    </row>
    <row r="53" spans="4:15" ht="15.75" x14ac:dyDescent="0.25">
      <c r="D53" s="10"/>
      <c r="H53" s="7"/>
      <c r="L53" s="15" t="s">
        <v>149</v>
      </c>
      <c r="O53" s="7"/>
    </row>
    <row r="54" spans="4:15" ht="15.75" x14ac:dyDescent="0.25">
      <c r="D54" s="15" t="s">
        <v>109</v>
      </c>
      <c r="H54" s="7"/>
      <c r="L54" s="10"/>
      <c r="O54" s="7"/>
    </row>
    <row r="55" spans="4:15" x14ac:dyDescent="0.25">
      <c r="D55" s="10"/>
      <c r="H55" s="7"/>
      <c r="L55" s="10"/>
      <c r="O55" s="7"/>
    </row>
    <row r="56" spans="4:15" x14ac:dyDescent="0.25">
      <c r="D56" s="10"/>
      <c r="H56" s="7"/>
      <c r="L56" s="10"/>
      <c r="O56" s="7"/>
    </row>
    <row r="57" spans="4:15" x14ac:dyDescent="0.25">
      <c r="D57" s="10"/>
      <c r="H57" s="7"/>
      <c r="L57" s="10" t="s">
        <v>205</v>
      </c>
      <c r="M57">
        <v>0.7</v>
      </c>
      <c r="O57" s="7"/>
    </row>
    <row r="58" spans="4:15" x14ac:dyDescent="0.25">
      <c r="D58" s="10"/>
      <c r="H58" s="7"/>
      <c r="L58" s="25" t="s">
        <v>156</v>
      </c>
      <c r="M58" s="25">
        <f>((((B8*(1-M57))/1000)*86.4*B6)/(N22*M49*N49))*10000</f>
        <v>2668.7258687258691</v>
      </c>
      <c r="O58" s="7"/>
    </row>
    <row r="59" spans="4:15" x14ac:dyDescent="0.25">
      <c r="D59" s="22" t="s">
        <v>111</v>
      </c>
      <c r="E59" s="22">
        <f>(PI()*(H52*10^-3)^2)/4</f>
        <v>3.1415926535897934E-2</v>
      </c>
      <c r="H59" s="7"/>
      <c r="L59" s="10"/>
      <c r="O59" s="7"/>
    </row>
    <row r="60" spans="4:15" ht="15.75" x14ac:dyDescent="0.25">
      <c r="D60" s="10"/>
      <c r="H60" s="7"/>
      <c r="L60" s="15" t="s">
        <v>151</v>
      </c>
      <c r="O60" s="7"/>
    </row>
    <row r="61" spans="4:15" ht="15.75" x14ac:dyDescent="0.25">
      <c r="D61" s="15" t="s">
        <v>112</v>
      </c>
      <c r="H61" s="7"/>
      <c r="L61" s="10"/>
      <c r="O61" s="7"/>
    </row>
    <row r="62" spans="4:15" x14ac:dyDescent="0.25">
      <c r="D62" s="10"/>
      <c r="H62" s="7"/>
      <c r="L62" s="10" t="s">
        <v>152</v>
      </c>
      <c r="N62">
        <v>0.8</v>
      </c>
      <c r="O62" s="7"/>
    </row>
    <row r="63" spans="4:15" x14ac:dyDescent="0.25">
      <c r="D63" s="10"/>
      <c r="H63" s="7"/>
      <c r="L63" s="10"/>
      <c r="O63" s="7"/>
    </row>
    <row r="64" spans="4:15" x14ac:dyDescent="0.25">
      <c r="D64" s="10"/>
      <c r="H64" s="7"/>
      <c r="L64" s="10"/>
      <c r="O64" s="7"/>
    </row>
    <row r="65" spans="4:15" x14ac:dyDescent="0.25">
      <c r="D65" s="10"/>
      <c r="H65" s="7"/>
      <c r="L65" s="10"/>
      <c r="O65" s="7"/>
    </row>
    <row r="66" spans="4:15" ht="18" x14ac:dyDescent="0.25">
      <c r="D66" s="22" t="s">
        <v>24</v>
      </c>
      <c r="E66" s="22">
        <f>(B6/1000)/(E59*E50)</f>
        <v>3.9176601376466544E-2</v>
      </c>
      <c r="H66" s="7"/>
      <c r="L66" s="25" t="s">
        <v>208</v>
      </c>
      <c r="M66" s="25">
        <f>(1-N62)*(B8/1000)</f>
        <v>0.11999999999999997</v>
      </c>
      <c r="O66" s="7"/>
    </row>
    <row r="67" spans="4:15" x14ac:dyDescent="0.25">
      <c r="D67" s="10"/>
      <c r="H67" s="7"/>
      <c r="L67" s="10"/>
      <c r="O67" s="7"/>
    </row>
    <row r="68" spans="4:15" ht="15.75" x14ac:dyDescent="0.25">
      <c r="D68" s="81" t="s">
        <v>113</v>
      </c>
      <c r="E68" s="81"/>
      <c r="F68" s="81"/>
      <c r="G68" s="81"/>
      <c r="H68" s="81"/>
      <c r="L68" s="15" t="s">
        <v>153</v>
      </c>
      <c r="O68" s="7"/>
    </row>
    <row r="69" spans="4:15" x14ac:dyDescent="0.25">
      <c r="D69" s="10"/>
      <c r="H69" s="7"/>
      <c r="L69" s="10"/>
      <c r="O69" s="7"/>
    </row>
    <row r="70" spans="4:15" ht="18.75" x14ac:dyDescent="0.35">
      <c r="D70" s="15" t="s">
        <v>188</v>
      </c>
      <c r="H70" s="7"/>
      <c r="L70" s="10"/>
      <c r="O70" s="7"/>
    </row>
    <row r="71" spans="4:15" x14ac:dyDescent="0.25">
      <c r="D71" s="10"/>
      <c r="H71" s="7"/>
      <c r="L71" s="10"/>
      <c r="O71" s="7"/>
    </row>
    <row r="72" spans="4:15" x14ac:dyDescent="0.25">
      <c r="D72" s="10"/>
      <c r="H72" s="7"/>
      <c r="L72" s="25" t="s">
        <v>154</v>
      </c>
      <c r="M72" s="25">
        <f>B15*B6*86.4*(((B8*(1-M57))/1000)-M66)</f>
        <v>240.53760000000023</v>
      </c>
      <c r="O72" s="7"/>
    </row>
    <row r="73" spans="4:15" x14ac:dyDescent="0.25">
      <c r="D73" s="10"/>
      <c r="H73" s="7"/>
      <c r="L73" s="10"/>
      <c r="O73" s="7"/>
    </row>
    <row r="74" spans="4:15" ht="15.75" x14ac:dyDescent="0.25">
      <c r="D74" s="10"/>
      <c r="H74" s="7"/>
      <c r="L74" s="15" t="s">
        <v>157</v>
      </c>
      <c r="O74" s="7"/>
    </row>
    <row r="75" spans="4:15" ht="18" x14ac:dyDescent="0.25">
      <c r="D75" s="22" t="s">
        <v>199</v>
      </c>
      <c r="E75" s="22">
        <f>((B6/1000)*3600)/(F12*E33)</f>
        <v>0.62362753211518174</v>
      </c>
      <c r="H75" s="7"/>
      <c r="L75" s="10"/>
      <c r="O75" s="7"/>
    </row>
    <row r="76" spans="4:15" x14ac:dyDescent="0.25">
      <c r="D76" s="10"/>
      <c r="H76" s="7"/>
      <c r="L76" s="10" t="s">
        <v>158</v>
      </c>
      <c r="O76" s="7"/>
    </row>
    <row r="77" spans="4:15" x14ac:dyDescent="0.25">
      <c r="D77" s="81" t="s">
        <v>114</v>
      </c>
      <c r="E77" s="81"/>
      <c r="F77" s="81"/>
      <c r="G77" s="81"/>
      <c r="H77" s="81"/>
      <c r="L77" s="10"/>
      <c r="O77" s="7"/>
    </row>
    <row r="78" spans="4:15" x14ac:dyDescent="0.25">
      <c r="D78" s="10"/>
      <c r="H78" s="7"/>
      <c r="L78" s="10"/>
      <c r="O78" s="7"/>
    </row>
    <row r="79" spans="4:15" x14ac:dyDescent="0.25">
      <c r="D79" s="10" t="s">
        <v>115</v>
      </c>
      <c r="H79" s="7"/>
      <c r="L79" s="10"/>
      <c r="O79" s="7"/>
    </row>
    <row r="80" spans="4:15" ht="18" x14ac:dyDescent="0.25">
      <c r="D80" s="10"/>
      <c r="H80" s="7"/>
      <c r="L80" s="25" t="s">
        <v>209</v>
      </c>
      <c r="M80" s="25">
        <f>((B8*(1-M57))/1000)*1.047^5</f>
        <v>0.22646751439500121</v>
      </c>
      <c r="O80" s="7"/>
    </row>
    <row r="81" spans="4:15" ht="18" x14ac:dyDescent="0.35">
      <c r="D81" s="10" t="s">
        <v>118</v>
      </c>
      <c r="F81">
        <v>2.5</v>
      </c>
      <c r="H81" s="7"/>
      <c r="L81" s="10"/>
      <c r="O81" s="7"/>
    </row>
    <row r="82" spans="4:15" x14ac:dyDescent="0.25">
      <c r="D82" s="10"/>
      <c r="H82" s="7"/>
      <c r="L82" s="10" t="s">
        <v>159</v>
      </c>
      <c r="O82" s="7"/>
    </row>
    <row r="83" spans="4:15" x14ac:dyDescent="0.25">
      <c r="D83" s="10" t="s">
        <v>116</v>
      </c>
      <c r="H83" s="7"/>
      <c r="L83" s="10"/>
      <c r="O83" s="7"/>
    </row>
    <row r="84" spans="4:15" x14ac:dyDescent="0.25">
      <c r="D84" s="10"/>
      <c r="H84" s="7"/>
      <c r="L84" s="10"/>
      <c r="O84" s="7"/>
    </row>
    <row r="85" spans="4:15" ht="18" x14ac:dyDescent="0.35">
      <c r="D85" s="10" t="s">
        <v>117</v>
      </c>
      <c r="F85">
        <v>0.3</v>
      </c>
      <c r="H85" s="7"/>
      <c r="L85" s="10"/>
      <c r="O85" s="7"/>
    </row>
    <row r="86" spans="4:15" ht="18" x14ac:dyDescent="0.25">
      <c r="D86" s="10"/>
      <c r="H86" s="7"/>
      <c r="L86" s="25" t="s">
        <v>209</v>
      </c>
      <c r="M86" s="25">
        <f>M66*1.047^5</f>
        <v>0.15097834293000073</v>
      </c>
      <c r="O86" s="7"/>
    </row>
    <row r="87" spans="4:15" x14ac:dyDescent="0.25">
      <c r="D87" s="10" t="s">
        <v>228</v>
      </c>
      <c r="F87">
        <f>F31</f>
        <v>14</v>
      </c>
      <c r="H87" s="7"/>
      <c r="L87" s="10"/>
      <c r="O87" s="7"/>
    </row>
    <row r="88" spans="4:15" x14ac:dyDescent="0.25">
      <c r="D88" s="10"/>
      <c r="H88" s="7"/>
      <c r="L88" s="25" t="s">
        <v>160</v>
      </c>
      <c r="M88" s="25">
        <f>M80-M86</f>
        <v>7.5489171465000476E-2</v>
      </c>
      <c r="O88" s="7"/>
    </row>
    <row r="89" spans="4:15" ht="18.75" x14ac:dyDescent="0.35">
      <c r="D89" s="15" t="s">
        <v>189</v>
      </c>
      <c r="H89" s="7"/>
      <c r="L89" s="10"/>
      <c r="O89" s="7"/>
    </row>
    <row r="90" spans="4:15" ht="18.75" x14ac:dyDescent="0.35">
      <c r="D90" s="10"/>
      <c r="H90" s="7"/>
      <c r="L90" s="15" t="s">
        <v>206</v>
      </c>
      <c r="O90" s="7"/>
    </row>
    <row r="91" spans="4:15" x14ac:dyDescent="0.25">
      <c r="D91" s="10"/>
      <c r="H91" s="7"/>
      <c r="L91" s="10"/>
      <c r="O91" s="7"/>
    </row>
    <row r="92" spans="4:15" x14ac:dyDescent="0.25">
      <c r="D92" s="10"/>
      <c r="H92" s="7"/>
      <c r="L92" s="10"/>
      <c r="O92" s="7"/>
    </row>
    <row r="93" spans="4:15" ht="18" x14ac:dyDescent="0.35">
      <c r="D93" s="10" t="s">
        <v>190</v>
      </c>
      <c r="F93">
        <f>(F87+F85)/(F85+F81)</f>
        <v>5.1071428571428577</v>
      </c>
      <c r="H93" s="7"/>
      <c r="L93" s="10"/>
      <c r="O93" s="7"/>
    </row>
    <row r="94" spans="4:15" ht="18" x14ac:dyDescent="0.25">
      <c r="D94" s="65" t="s">
        <v>200</v>
      </c>
      <c r="E94" s="66"/>
      <c r="F94" s="22">
        <f>ROUNDUP(F93,0)</f>
        <v>6</v>
      </c>
      <c r="H94" s="7"/>
      <c r="L94" s="25" t="s">
        <v>210</v>
      </c>
      <c r="M94" s="25">
        <f>M88*B6*86.4</f>
        <v>521.7811531660833</v>
      </c>
      <c r="O94" s="7"/>
    </row>
    <row r="95" spans="4:15" x14ac:dyDescent="0.25">
      <c r="D95" s="10"/>
      <c r="H95" s="7"/>
      <c r="L95" s="10"/>
      <c r="O95" s="7"/>
    </row>
    <row r="96" spans="4:15" ht="18.75" x14ac:dyDescent="0.35">
      <c r="D96" s="15" t="s">
        <v>191</v>
      </c>
      <c r="H96" s="7"/>
      <c r="L96" s="15" t="s">
        <v>207</v>
      </c>
      <c r="O96" s="7"/>
    </row>
    <row r="97" spans="4:15" x14ac:dyDescent="0.25">
      <c r="D97" s="10"/>
      <c r="H97" s="7"/>
      <c r="L97" s="10"/>
      <c r="O97" s="7"/>
    </row>
    <row r="98" spans="4:15" x14ac:dyDescent="0.25">
      <c r="D98" s="10"/>
      <c r="H98" s="7"/>
      <c r="L98" s="10"/>
      <c r="O98" s="7"/>
    </row>
    <row r="99" spans="4:15" x14ac:dyDescent="0.25">
      <c r="D99" s="10"/>
      <c r="H99" s="7"/>
      <c r="L99" s="10"/>
      <c r="O99" s="7"/>
    </row>
    <row r="100" spans="4:15" ht="18" x14ac:dyDescent="0.25">
      <c r="D100" s="22" t="s">
        <v>201</v>
      </c>
      <c r="E100" s="22">
        <f>F81*F87</f>
        <v>35</v>
      </c>
      <c r="H100" s="7"/>
      <c r="L100" s="10"/>
      <c r="O100" s="7"/>
    </row>
    <row r="101" spans="4:15" ht="18" x14ac:dyDescent="0.25">
      <c r="D101" s="10"/>
      <c r="H101" s="7"/>
      <c r="L101" s="25" t="s">
        <v>211</v>
      </c>
      <c r="M101" s="25">
        <f>2*M94</f>
        <v>1043.5623063321666</v>
      </c>
      <c r="O101" s="7"/>
    </row>
    <row r="102" spans="4:15" ht="18.75" x14ac:dyDescent="0.35">
      <c r="D102" s="15" t="s">
        <v>192</v>
      </c>
      <c r="H102" s="7"/>
      <c r="L102" s="10" t="s">
        <v>161</v>
      </c>
      <c r="M102">
        <f>M101/24</f>
        <v>43.481762763840273</v>
      </c>
      <c r="O102" s="7"/>
    </row>
    <row r="103" spans="4:15" x14ac:dyDescent="0.25">
      <c r="D103" s="10"/>
      <c r="H103" s="7"/>
      <c r="L103" s="10"/>
      <c r="O103" s="7"/>
    </row>
    <row r="104" spans="4:15" ht="15.75" x14ac:dyDescent="0.25">
      <c r="D104" s="10"/>
      <c r="H104" s="7"/>
      <c r="L104" s="15" t="s">
        <v>162</v>
      </c>
      <c r="O104" s="7"/>
    </row>
    <row r="105" spans="4:15" x14ac:dyDescent="0.25">
      <c r="D105" s="10"/>
      <c r="H105" s="7"/>
      <c r="L105" s="10"/>
      <c r="O105" s="7"/>
    </row>
    <row r="106" spans="4:15" ht="18" x14ac:dyDescent="0.25">
      <c r="D106" s="22" t="s">
        <v>202</v>
      </c>
      <c r="E106" s="22">
        <f>E100*F94</f>
        <v>210</v>
      </c>
      <c r="H106" s="7"/>
      <c r="L106" s="75" t="s">
        <v>163</v>
      </c>
      <c r="M106" s="76"/>
      <c r="N106" s="77"/>
      <c r="O106" s="13">
        <v>40</v>
      </c>
    </row>
    <row r="107" spans="4:15" x14ac:dyDescent="0.25">
      <c r="D107" s="10"/>
      <c r="H107" s="7"/>
      <c r="L107" s="75" t="s">
        <v>164</v>
      </c>
      <c r="M107" s="76"/>
      <c r="N107" s="77"/>
      <c r="O107" s="13">
        <v>0.41</v>
      </c>
    </row>
    <row r="108" spans="4:15" ht="18.75" customHeight="1" x14ac:dyDescent="0.25">
      <c r="D108" s="78" t="s">
        <v>193</v>
      </c>
      <c r="E108" s="79"/>
      <c r="F108" s="79"/>
      <c r="G108" s="79"/>
      <c r="H108" s="80"/>
      <c r="L108" s="75" t="s">
        <v>165</v>
      </c>
      <c r="M108" s="76"/>
      <c r="N108" s="77"/>
      <c r="O108" s="13">
        <v>30</v>
      </c>
    </row>
    <row r="109" spans="4:15" x14ac:dyDescent="0.25">
      <c r="D109" s="78"/>
      <c r="E109" s="79"/>
      <c r="F109" s="79"/>
      <c r="G109" s="79"/>
      <c r="H109" s="80"/>
      <c r="L109" s="75" t="s">
        <v>166</v>
      </c>
      <c r="M109" s="76"/>
      <c r="N109" s="77"/>
      <c r="O109" s="13">
        <v>4</v>
      </c>
    </row>
    <row r="110" spans="4:15" x14ac:dyDescent="0.25">
      <c r="D110" s="10"/>
      <c r="H110" s="7"/>
      <c r="L110" s="10"/>
      <c r="O110" s="7"/>
    </row>
    <row r="111" spans="4:15" x14ac:dyDescent="0.25">
      <c r="D111" s="10"/>
      <c r="H111" s="7"/>
      <c r="L111" s="10"/>
      <c r="O111" s="7"/>
    </row>
    <row r="112" spans="4:15" x14ac:dyDescent="0.25">
      <c r="D112" s="10"/>
      <c r="H112" s="7"/>
      <c r="L112" s="10"/>
      <c r="O112" s="7"/>
    </row>
    <row r="113" spans="4:15" x14ac:dyDescent="0.25">
      <c r="D113" s="10"/>
      <c r="H113" s="7"/>
      <c r="L113" s="10"/>
      <c r="O113" s="7"/>
    </row>
    <row r="114" spans="4:15" ht="18" x14ac:dyDescent="0.25">
      <c r="D114" s="22" t="s">
        <v>203</v>
      </c>
      <c r="E114" s="22">
        <f>((B6/1000)*3600)/(F12*E106)</f>
        <v>0.45714285714285713</v>
      </c>
      <c r="H114" s="7"/>
      <c r="L114" s="25" t="s">
        <v>167</v>
      </c>
      <c r="M114" s="25">
        <f>M102/O107</f>
        <v>106.05307991180555</v>
      </c>
      <c r="O114" s="7"/>
    </row>
    <row r="115" spans="4:15" x14ac:dyDescent="0.25">
      <c r="D115" s="10"/>
      <c r="H115" s="7"/>
      <c r="L115" s="10" t="s">
        <v>168</v>
      </c>
      <c r="M115">
        <f>M114/N22</f>
        <v>53.026539955902777</v>
      </c>
      <c r="O115" s="7"/>
    </row>
    <row r="116" spans="4:15" x14ac:dyDescent="0.25">
      <c r="D116" s="81" t="s">
        <v>120</v>
      </c>
      <c r="E116" s="81"/>
      <c r="F116" s="81"/>
      <c r="G116" s="81"/>
      <c r="H116" s="81"/>
      <c r="L116" s="10"/>
      <c r="O116" s="7"/>
    </row>
    <row r="117" spans="4:15" x14ac:dyDescent="0.25">
      <c r="D117" s="10"/>
      <c r="H117" s="7"/>
      <c r="L117" s="10" t="s">
        <v>169</v>
      </c>
      <c r="O117" s="7">
        <f>M115/O106</f>
        <v>1.3256634988975695</v>
      </c>
    </row>
    <row r="118" spans="4:15" ht="15.75" x14ac:dyDescent="0.25">
      <c r="D118" s="15" t="s">
        <v>121</v>
      </c>
      <c r="H118" s="7"/>
      <c r="L118" s="10" t="s">
        <v>170</v>
      </c>
      <c r="O118" s="7">
        <f>ROUNDUP(O117,0)</f>
        <v>2</v>
      </c>
    </row>
    <row r="119" spans="4:15" x14ac:dyDescent="0.25">
      <c r="D119" s="10"/>
      <c r="H119" s="7"/>
      <c r="L119" s="10"/>
      <c r="O119" s="7"/>
    </row>
    <row r="120" spans="4:15" ht="15.75" x14ac:dyDescent="0.25">
      <c r="D120" s="82" t="s">
        <v>122</v>
      </c>
      <c r="E120" s="82"/>
      <c r="F120" s="82"/>
      <c r="G120" s="82"/>
      <c r="H120" s="13">
        <v>0.18</v>
      </c>
      <c r="L120" s="15" t="s">
        <v>171</v>
      </c>
      <c r="O120" s="7"/>
    </row>
    <row r="121" spans="4:15" x14ac:dyDescent="0.25">
      <c r="D121" s="10"/>
      <c r="H121" s="7"/>
      <c r="L121" s="10"/>
      <c r="O121" s="7"/>
    </row>
    <row r="122" spans="4:15" x14ac:dyDescent="0.25">
      <c r="D122" s="10"/>
      <c r="H122" s="7"/>
      <c r="L122" s="10"/>
      <c r="O122" s="7"/>
    </row>
    <row r="123" spans="4:15" x14ac:dyDescent="0.25">
      <c r="D123" s="10"/>
      <c r="H123" s="7"/>
      <c r="L123" s="10"/>
      <c r="O123" s="7"/>
    </row>
    <row r="124" spans="4:15" x14ac:dyDescent="0.25">
      <c r="D124" s="22" t="s">
        <v>123</v>
      </c>
      <c r="E124" s="22">
        <f>H120*B10</f>
        <v>1492.992</v>
      </c>
      <c r="H124" s="7"/>
      <c r="L124" s="10"/>
      <c r="O124" s="7"/>
    </row>
    <row r="125" spans="4:15" x14ac:dyDescent="0.25">
      <c r="D125" s="10"/>
      <c r="H125" s="7"/>
      <c r="L125" s="25" t="s">
        <v>172</v>
      </c>
      <c r="M125" s="96">
        <f>(M115*735)/(N36*N39*N13)</f>
        <v>5.4471707711514386</v>
      </c>
      <c r="N125" s="11"/>
      <c r="O125" s="9"/>
    </row>
    <row r="126" spans="4:15" ht="18.75" x14ac:dyDescent="0.35">
      <c r="D126" s="15" t="s">
        <v>194</v>
      </c>
      <c r="H126" s="7"/>
    </row>
    <row r="127" spans="4:15" x14ac:dyDescent="0.25">
      <c r="D127" s="10"/>
      <c r="H127" s="7"/>
    </row>
    <row r="128" spans="4:15" x14ac:dyDescent="0.25">
      <c r="D128" s="73" t="s">
        <v>124</v>
      </c>
      <c r="E128" s="73"/>
      <c r="F128" s="13">
        <v>0.04</v>
      </c>
      <c r="H128" s="7"/>
    </row>
    <row r="129" spans="4:8" x14ac:dyDescent="0.25">
      <c r="D129" s="73" t="s">
        <v>125</v>
      </c>
      <c r="E129" s="73"/>
      <c r="F129" s="13">
        <v>1020</v>
      </c>
      <c r="H129" s="7"/>
    </row>
    <row r="130" spans="4:8" x14ac:dyDescent="0.25">
      <c r="D130" s="10"/>
      <c r="H130" s="7"/>
    </row>
    <row r="131" spans="4:8" x14ac:dyDescent="0.25">
      <c r="D131" s="10"/>
      <c r="H131" s="7"/>
    </row>
    <row r="132" spans="4:8" x14ac:dyDescent="0.25">
      <c r="D132" s="10"/>
      <c r="H132" s="7"/>
    </row>
    <row r="133" spans="4:8" x14ac:dyDescent="0.25">
      <c r="D133" s="10"/>
      <c r="H133" s="7"/>
    </row>
    <row r="134" spans="4:8" ht="18" x14ac:dyDescent="0.25">
      <c r="D134" s="22" t="s">
        <v>204</v>
      </c>
      <c r="E134" s="107">
        <f>E124/(F128*F129)</f>
        <v>36.592941176470582</v>
      </c>
      <c r="F134" s="11"/>
      <c r="G134" s="11"/>
      <c r="H134" s="9"/>
    </row>
  </sheetData>
  <mergeCells count="31">
    <mergeCell ref="D129:E129"/>
    <mergeCell ref="A25:B25"/>
    <mergeCell ref="R4:V4"/>
    <mergeCell ref="L106:N106"/>
    <mergeCell ref="L107:N107"/>
    <mergeCell ref="L108:N108"/>
    <mergeCell ref="L109:N109"/>
    <mergeCell ref="D108:H109"/>
    <mergeCell ref="D116:H116"/>
    <mergeCell ref="D35:H35"/>
    <mergeCell ref="D120:G120"/>
    <mergeCell ref="D128:E128"/>
    <mergeCell ref="D37:H40"/>
    <mergeCell ref="D44:G44"/>
    <mergeCell ref="D68:H68"/>
    <mergeCell ref="D77:H77"/>
    <mergeCell ref="D94:E94"/>
    <mergeCell ref="D29:G29"/>
    <mergeCell ref="A4:B4"/>
    <mergeCell ref="A1:T1"/>
    <mergeCell ref="U1:V1"/>
    <mergeCell ref="A20:B20"/>
    <mergeCell ref="D4:H4"/>
    <mergeCell ref="L45:M45"/>
    <mergeCell ref="L22:M22"/>
    <mergeCell ref="L13:M13"/>
    <mergeCell ref="L4:O4"/>
    <mergeCell ref="R15:S15"/>
    <mergeCell ref="R19:S19"/>
    <mergeCell ref="R29:U29"/>
    <mergeCell ref="A29:B2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GRADEAMENTO</vt:lpstr>
      <vt:lpstr>CALHA PARSHAL</vt:lpstr>
      <vt:lpstr>CAIXA DE AREIA</vt:lpstr>
      <vt:lpstr>UASB+Lag. aer. ar sup.+lag. 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de Mello</dc:creator>
  <cp:lastModifiedBy>Thiago de Mello</cp:lastModifiedBy>
  <dcterms:created xsi:type="dcterms:W3CDTF">2021-06-24T19:50:28Z</dcterms:created>
  <dcterms:modified xsi:type="dcterms:W3CDTF">2023-03-03T21:52:15Z</dcterms:modified>
</cp:coreProperties>
</file>