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Isaac - Models\"/>
    </mc:Choice>
  </mc:AlternateContent>
  <xr:revisionPtr revIDLastSave="0" documentId="13_ncr:1_{A7729CBD-9C0A-4E89-965F-E7236B0951CC}" xr6:coauthVersionLast="47" xr6:coauthVersionMax="47" xr10:uidLastSave="{00000000-0000-0000-0000-000000000000}"/>
  <bookViews>
    <workbookView xWindow="-108" yWindow="-108" windowWidth="23256" windowHeight="12456" tabRatio="900" activeTab="3" xr2:uid="{DE3F40CC-7C50-4360-9028-343E51DCFC92}"/>
  </bookViews>
  <sheets>
    <sheet name="Notes" sheetId="42" r:id="rId1"/>
    <sheet name="Cover" sheetId="1" r:id="rId2"/>
    <sheet name="Dashboard" sheetId="38" r:id="rId3"/>
    <sheet name="Assumptions" sheetId="37" r:id="rId4"/>
    <sheet name="Revenue Assumptions" sheetId="3" r:id="rId5"/>
    <sheet name="Model" sheetId="13" r:id="rId6"/>
    <sheet name="Monthly Financials" sheetId="39" r:id="rId7"/>
    <sheet name="Financial Reports" sheetId="29" r:id="rId8"/>
    <sheet name="DCF Valuation" sheetId="10" r:id="rId9"/>
    <sheet name="Cap Table" sheetId="41" r:id="rId10"/>
    <sheet name="Bank Loan" sheetId="45" r:id="rId11"/>
    <sheet name="Dates" sheetId="43" r:id="rId12"/>
  </sheets>
  <definedNames>
    <definedName name="_123gra2" localSheetId="10" hidden="1">#REF!</definedName>
    <definedName name="_123gra2" localSheetId="9" hidden="1">#REF!</definedName>
    <definedName name="_123gra2" hidden="1">#REF!</definedName>
    <definedName name="_Order1" hidden="1">255</definedName>
    <definedName name="aaaa" localSheetId="10" hidden="1">#REF!</definedName>
    <definedName name="aaaa" localSheetId="9" hidden="1">#REF!</definedName>
    <definedName name="aaaa" hidden="1">#REF!</definedName>
    <definedName name="ActualNumberOfPayments" localSheetId="10">IFERROR(IF(LoanIsGood,IF(PaymentsPerYear=1,1,MATCH(0.01,End_Bal,-1)+1)),"")</definedName>
    <definedName name="ActualNumberOfPayments">IFERROR(IF(LoanIsGood,IF(PaymentsPerYear=1,1,MATCH(0.01,End_Bal,-1)+1)),"")</definedName>
    <definedName name="ads_rate">'Revenue Assumptions'!$E$44:$E$46</definedName>
    <definedName name="BOTH">'Revenue Assumptions'!$E$46</definedName>
    <definedName name="ColumnTitle1">PaymentSchedule[[#Headers],[PMT NO]]</definedName>
    <definedName name="CPC">'Revenue Assumptions'!$E$45</definedName>
    <definedName name="CPM">'Revenue Assumptions'!$E$44</definedName>
    <definedName name="End_Bal">#REF!</definedName>
    <definedName name="ExtraPayments">'Bank Loan'!$E$10</definedName>
    <definedName name="InterestRate">'Bank Loan'!$E$5</definedName>
    <definedName name="LastCol" localSheetId="10">MATCH(REPT("z",255),'Bank Loan'!$12:$12)</definedName>
    <definedName name="LastCol">MATCH(REPT("z",255),#REF!)</definedName>
    <definedName name="LastRow" localSheetId="10">MATCH(9.99E+307,'Bank Loan'!$B:$B)</definedName>
    <definedName name="LastRow">MATCH(9.99E+307,#REF!)</definedName>
    <definedName name="LenderName">'Bank Loan'!$H$10:$I$10</definedName>
    <definedName name="LoanAmount">'Bank Loan'!$E$4</definedName>
    <definedName name="LoanIsGood">('Bank Loan'!$E$4*'Bank Loan'!$E$5*'Bank Loan'!$E$6*'Bank Loan'!$E$8)&gt;0</definedName>
    <definedName name="LoanPeriod">'Bank Loan'!$E$6</definedName>
    <definedName name="LoanStartDate">'Bank Loan'!$E$8</definedName>
    <definedName name="mln" localSheetId="3">Assumptions!$G$18</definedName>
    <definedName name="model_period" localSheetId="3">Assumptions!$G$20</definedName>
    <definedName name="mon_yr" localSheetId="3">Assumptions!$G$26</definedName>
    <definedName name="Months_Per_Year">Assumptions!$G$26</definedName>
    <definedName name="months_quarter">Assumptions!$G$29</definedName>
    <definedName name="Name_Curr1">#REF!</definedName>
    <definedName name="name_project">#REF!</definedName>
    <definedName name="One" localSheetId="3">Assumptions!$G$8</definedName>
    <definedName name="opr_date" localSheetId="3">Assumptions!$G$11</definedName>
    <definedName name="Opr_flag">'Revenue Assumptions'!$M$16:$BU$16</definedName>
    <definedName name="Ops">#REF!</definedName>
    <definedName name="paid_services" localSheetId="3">Assumptions!$G$15</definedName>
    <definedName name="PaymentsPerYear">'Bank Loan'!$E$7</definedName>
    <definedName name="_xlnm.Print_Area" localSheetId="1">Cover!$A$1:$M$62</definedName>
    <definedName name="_xlnm.Print_Area" localSheetId="7">'Financial Reports'!$A$1:$T$20</definedName>
    <definedName name="_xlnm.Print_Titles" localSheetId="10">'Bank Loan'!$12:$12</definedName>
    <definedName name="PrintArea_SET">OFFSET('Bank Loan'!$B$2,,,'Bank Loan'!LastRow,'Bank Loan'!LastCol)</definedName>
    <definedName name="RowTitleRegion1..E9">'Bank Loan'!$C$4:$D$4</definedName>
    <definedName name="RowTitleRegion2..I7">'Bank Loan'!$G$4:$H$4</definedName>
    <definedName name="RowTitleRegion3..E9">'Bank Loan'!$C$10</definedName>
    <definedName name="RowTitleRegion4..H9">'Bank Loan'!$G$10</definedName>
    <definedName name="ScheduledNumberOfPayments">'Bank Loan'!$I$5</definedName>
    <definedName name="ScheduledPayment">'Bank Loan'!$I$4</definedName>
    <definedName name="Select">'Revenue Assumptions'!$E$48</definedName>
    <definedName name="Selected">'Revenue Assumptions'!$E$42</definedName>
    <definedName name="switch">'Revenue Assumptions'!$G$42</definedName>
    <definedName name="Toggle">'Revenue Assumptions'!$E$48</definedName>
    <definedName name="TotalEarlyPayments">SUM(#REF!)</definedName>
    <definedName name="TotalInterest">SUM(#REF!)</definedName>
    <definedName name="WACC">#REF!</definedName>
    <definedName name="wrn.Balance._.sheet." localSheetId="10" hidden="1">{"cover",#N/A,FALSE,"COVER";"page 1",#N/A,FALSE,"IS";"page 1.1",#N/A,FALSE,"IS";"page 1.2",#N/A,FALSE,"IS";"page 1.3",#N/A,FALSE,"IS";"page 2.0",#N/A,FALSE,"BS";"page 2.1",#N/A,FALSE,"BS";"page 2.2",#N/A,FALSE,"BS";"page 2.3",#N/A,FALSE,"BS";"page 3",#N/A,FALSE,"Cashflow";"page 4.0",#N/A,FALSE,"SALE";"page 4.1",#N/A,FALSE,"SALE";"page 4.2",#N/A,FALSE,"SALE";"page 4.3",#N/A,FALSE,"SALE";"page 5.0",#N/A,FALSE,"FRUIT";"Page 5.1",#N/A,FALSE,"Stock";"page 5.2",#N/A,FALSE,"Stock";"page 6.0",#N/A,FALSE,"S&amp;W";"page 6.1",#N/A,FALSE,"S&amp;W";"page 6.2",#N/A,FALSE,"S&amp;W";"page 6.3",#N/A,FALSE,"S&amp;W";"page 6.4",#N/A,FALSE,"S&amp;W";"page 6.5",#N/A,FALSE,"S&amp;W";"page 6.6",#N/A,FALSE,"S&amp;W";"page 7.1.1",#N/A,FALSE,"EXP";"page 7.1.2",#N/A,FALSE,"EXP";"page 7.2",#N/A,FALSE,"EXP";"page 7.3",#N/A,FALSE,"EXP";"page 7.4",#N/A,FALSE,"EXP";"page 7.5.1",#N/A,FALSE,"EXP";"page 7.5.2",#N/A,FALSE,"EXP";"page 7.5.3",#N/A,FALSE,"EXP";"page 8.1",#N/A,FALSE,"EXP";"page 8.2",#N/A,FALSE,"EXP";"page 8.3",#N/A,FALSE,"EXP";"page 9.1",#N/A,FALSE,"EXP";"page 9.2",#N/A,FALSE,"EXP"}</definedName>
    <definedName name="wrn.Balance._.sheet." localSheetId="9" hidden="1">{"cover",#N/A,FALSE,"COVER";"page 1",#N/A,FALSE,"IS";"page 1.1",#N/A,FALSE,"IS";"page 1.2",#N/A,FALSE,"IS";"page 1.3",#N/A,FALSE,"IS";"page 2.0",#N/A,FALSE,"BS";"page 2.1",#N/A,FALSE,"BS";"page 2.2",#N/A,FALSE,"BS";"page 2.3",#N/A,FALSE,"BS";"page 3",#N/A,FALSE,"Cashflow";"page 4.0",#N/A,FALSE,"SALE";"page 4.1",#N/A,FALSE,"SALE";"page 4.2",#N/A,FALSE,"SALE";"page 4.3",#N/A,FALSE,"SALE";"page 5.0",#N/A,FALSE,"FRUIT";"Page 5.1",#N/A,FALSE,"Stock";"page 5.2",#N/A,FALSE,"Stock";"page 6.0",#N/A,FALSE,"S&amp;W";"page 6.1",#N/A,FALSE,"S&amp;W";"page 6.2",#N/A,FALSE,"S&amp;W";"page 6.3",#N/A,FALSE,"S&amp;W";"page 6.4",#N/A,FALSE,"S&amp;W";"page 6.5",#N/A,FALSE,"S&amp;W";"page 6.6",#N/A,FALSE,"S&amp;W";"page 7.1.1",#N/A,FALSE,"EXP";"page 7.1.2",#N/A,FALSE,"EXP";"page 7.2",#N/A,FALSE,"EXP";"page 7.3",#N/A,FALSE,"EXP";"page 7.4",#N/A,FALSE,"EXP";"page 7.5.1",#N/A,FALSE,"EXP";"page 7.5.2",#N/A,FALSE,"EXP";"page 7.5.3",#N/A,FALSE,"EXP";"page 8.1",#N/A,FALSE,"EXP";"page 8.2",#N/A,FALSE,"EXP";"page 8.3",#N/A,FALSE,"EXP";"page 9.1",#N/A,FALSE,"EXP";"page 9.2",#N/A,FALSE,"EXP"}</definedName>
    <definedName name="wrn.Balance._.sheet." hidden="1">{"cover",#N/A,FALSE,"COVER";"page 1",#N/A,FALSE,"IS";"page 1.1",#N/A,FALSE,"IS";"page 1.2",#N/A,FALSE,"IS";"page 1.3",#N/A,FALSE,"IS";"page 2.0",#N/A,FALSE,"BS";"page 2.1",#N/A,FALSE,"BS";"page 2.2",#N/A,FALSE,"BS";"page 2.3",#N/A,FALSE,"BS";"page 3",#N/A,FALSE,"Cashflow";"page 4.0",#N/A,FALSE,"SALE";"page 4.1",#N/A,FALSE,"SALE";"page 4.2",#N/A,FALSE,"SALE";"page 4.3",#N/A,FALSE,"SALE";"page 5.0",#N/A,FALSE,"FRUIT";"Page 5.1",#N/A,FALSE,"Stock";"page 5.2",#N/A,FALSE,"Stock";"page 6.0",#N/A,FALSE,"S&amp;W";"page 6.1",#N/A,FALSE,"S&amp;W";"page 6.2",#N/A,FALSE,"S&amp;W";"page 6.3",#N/A,FALSE,"S&amp;W";"page 6.4",#N/A,FALSE,"S&amp;W";"page 6.5",#N/A,FALSE,"S&amp;W";"page 6.6",#N/A,FALSE,"S&amp;W";"page 7.1.1",#N/A,FALSE,"EXP";"page 7.1.2",#N/A,FALSE,"EXP";"page 7.2",#N/A,FALSE,"EXP";"page 7.3",#N/A,FALSE,"EXP";"page 7.4",#N/A,FALSE,"EXP";"page 7.5.1",#N/A,FALSE,"EXP";"page 7.5.2",#N/A,FALSE,"EXP";"page 7.5.3",#N/A,FALSE,"EXP";"page 8.1",#N/A,FALSE,"EXP";"page 8.2",#N/A,FALSE,"EXP";"page 8.3",#N/A,FALSE,"EXP";"page 9.1",#N/A,FALSE,"EXP";"page 9.2",#N/A,FALSE,"EXP"}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7" l="1"/>
  <c r="E23" i="10"/>
  <c r="E22" i="10"/>
  <c r="E21" i="10"/>
  <c r="F19" i="10"/>
  <c r="F18" i="10"/>
  <c r="I17" i="10"/>
  <c r="H17" i="10"/>
  <c r="G17" i="10"/>
  <c r="F17" i="10"/>
  <c r="F16" i="10"/>
  <c r="E91" i="3"/>
  <c r="S93" i="3" s="1"/>
  <c r="F39" i="1"/>
  <c r="AC28" i="13"/>
  <c r="G46" i="3"/>
  <c r="B48" i="38"/>
  <c r="B46" i="38"/>
  <c r="B49" i="38" s="1"/>
  <c r="B43" i="38"/>
  <c r="B39" i="38"/>
  <c r="B35" i="38"/>
  <c r="B33" i="38"/>
  <c r="B31" i="38"/>
  <c r="B30" i="38"/>
  <c r="B34" i="38" s="1"/>
  <c r="G20" i="38"/>
  <c r="F20" i="38"/>
  <c r="E20" i="38"/>
  <c r="D20" i="38"/>
  <c r="C20" i="38"/>
  <c r="B20" i="38"/>
  <c r="G10" i="38"/>
  <c r="F10" i="38"/>
  <c r="E10" i="38"/>
  <c r="D10" i="38"/>
  <c r="C10" i="38"/>
  <c r="B10" i="38"/>
  <c r="G9" i="38"/>
  <c r="F9" i="38"/>
  <c r="E9" i="38"/>
  <c r="D9" i="38"/>
  <c r="C9" i="38"/>
  <c r="B9" i="38"/>
  <c r="B8" i="38"/>
  <c r="N93" i="3" l="1"/>
  <c r="B36" i="38"/>
  <c r="B11" i="38"/>
  <c r="BW27" i="39" l="1"/>
  <c r="BV27" i="39"/>
  <c r="BU27" i="39"/>
  <c r="BT27" i="39"/>
  <c r="BS27" i="39"/>
  <c r="BR27" i="39"/>
  <c r="BQ27" i="39"/>
  <c r="BP27" i="39"/>
  <c r="BO27" i="39"/>
  <c r="BN27" i="39"/>
  <c r="BM27" i="39"/>
  <c r="BL27" i="39"/>
  <c r="BK27" i="39"/>
  <c r="BJ27" i="39"/>
  <c r="BI27" i="39"/>
  <c r="BH27" i="39"/>
  <c r="BG27" i="39"/>
  <c r="BF27" i="39"/>
  <c r="BE27" i="39"/>
  <c r="BD27" i="39"/>
  <c r="BC27" i="39"/>
  <c r="BB27" i="39"/>
  <c r="BA27" i="39"/>
  <c r="AZ27" i="39"/>
  <c r="AY27" i="39"/>
  <c r="AX27" i="39"/>
  <c r="AW27" i="39"/>
  <c r="AV27" i="39"/>
  <c r="AU27" i="39"/>
  <c r="AT27" i="39"/>
  <c r="AS27" i="39"/>
  <c r="AR27" i="39"/>
  <c r="AQ27" i="39"/>
  <c r="AP27" i="39"/>
  <c r="AO27" i="39"/>
  <c r="AN27" i="39"/>
  <c r="AM27" i="39"/>
  <c r="AL27" i="39"/>
  <c r="AK27" i="39"/>
  <c r="AJ27" i="39"/>
  <c r="AI27" i="39"/>
  <c r="AH27" i="39"/>
  <c r="AG27" i="39"/>
  <c r="AF27" i="39"/>
  <c r="AE27" i="39"/>
  <c r="AD27" i="39"/>
  <c r="AC27" i="39"/>
  <c r="AB27" i="39"/>
  <c r="AA27" i="39"/>
  <c r="Z27" i="39"/>
  <c r="Y27" i="39"/>
  <c r="X27" i="39"/>
  <c r="W27" i="39"/>
  <c r="V27" i="39"/>
  <c r="U27" i="39"/>
  <c r="T27" i="39"/>
  <c r="S27" i="39"/>
  <c r="R27" i="39"/>
  <c r="Q27" i="39"/>
  <c r="P27" i="39"/>
  <c r="O27" i="39"/>
  <c r="N27" i="39"/>
  <c r="M27" i="39"/>
  <c r="L27" i="39"/>
  <c r="K27" i="39"/>
  <c r="J27" i="39"/>
  <c r="I27" i="39"/>
  <c r="H27" i="39"/>
  <c r="G27" i="39"/>
  <c r="F27" i="39"/>
  <c r="E27" i="39"/>
  <c r="D27" i="39"/>
  <c r="BW34" i="39"/>
  <c r="BV34" i="39"/>
  <c r="BU34" i="39"/>
  <c r="BT34" i="39"/>
  <c r="BS34" i="39"/>
  <c r="BR34" i="39"/>
  <c r="BQ34" i="39"/>
  <c r="BP34" i="39"/>
  <c r="BO34" i="39"/>
  <c r="BN34" i="39"/>
  <c r="BM34" i="39"/>
  <c r="BL34" i="39"/>
  <c r="BK34" i="39"/>
  <c r="BJ34" i="39"/>
  <c r="BI34" i="39"/>
  <c r="BH34" i="39"/>
  <c r="BG34" i="39"/>
  <c r="BF34" i="39"/>
  <c r="BE34" i="39"/>
  <c r="BD34" i="39"/>
  <c r="BC34" i="39"/>
  <c r="BB34" i="39"/>
  <c r="BA34" i="39"/>
  <c r="AZ34" i="39"/>
  <c r="AY34" i="39"/>
  <c r="AX34" i="39"/>
  <c r="AW34" i="39"/>
  <c r="AV34" i="39"/>
  <c r="AU34" i="39"/>
  <c r="AT34" i="39"/>
  <c r="AS34" i="39"/>
  <c r="AR34" i="39"/>
  <c r="AQ34" i="39"/>
  <c r="AP34" i="39"/>
  <c r="AO34" i="39"/>
  <c r="AN34" i="39"/>
  <c r="AM34" i="39"/>
  <c r="AL34" i="39"/>
  <c r="AK34" i="39"/>
  <c r="AJ34" i="39"/>
  <c r="AI34" i="39"/>
  <c r="AH34" i="39"/>
  <c r="AG34" i="39"/>
  <c r="AF34" i="39"/>
  <c r="AE34" i="39"/>
  <c r="AD34" i="39"/>
  <c r="AC34" i="39"/>
  <c r="AB34" i="39"/>
  <c r="AA34" i="39"/>
  <c r="Z34" i="39"/>
  <c r="Y34" i="39"/>
  <c r="X34" i="39"/>
  <c r="W34" i="39"/>
  <c r="V34" i="39"/>
  <c r="U34" i="39"/>
  <c r="T34" i="39"/>
  <c r="S34" i="39"/>
  <c r="R34" i="39"/>
  <c r="Q34" i="39"/>
  <c r="P34" i="39"/>
  <c r="O34" i="39"/>
  <c r="N34" i="39"/>
  <c r="M34" i="39"/>
  <c r="L34" i="39"/>
  <c r="K34" i="39"/>
  <c r="J34" i="39"/>
  <c r="I34" i="39"/>
  <c r="H34" i="39"/>
  <c r="G34" i="39"/>
  <c r="F34" i="39"/>
  <c r="E34" i="39"/>
  <c r="D34" i="39"/>
  <c r="CG107" i="3" a="1"/>
  <c r="CG107" i="3" s="1"/>
  <c r="CF107" i="3" a="1"/>
  <c r="CF107" i="3" s="1"/>
  <c r="CE107" i="3" a="1"/>
  <c r="CE107" i="3" s="1"/>
  <c r="CD107" i="3"/>
  <c r="CD107" i="3" a="1"/>
  <c r="CC107" i="3" a="1"/>
  <c r="CC107" i="3" s="1"/>
  <c r="CB107" i="3" a="1"/>
  <c r="CB107" i="3" s="1"/>
  <c r="CA107" i="3" a="1"/>
  <c r="CA107" i="3" s="1"/>
  <c r="BZ107" i="3"/>
  <c r="BZ107" i="3" a="1"/>
  <c r="BY107" i="3" a="1"/>
  <c r="BY107" i="3" s="1"/>
  <c r="BX107" i="3" a="1"/>
  <c r="BX107" i="3" s="1"/>
  <c r="BW107" i="3" a="1"/>
  <c r="BW107" i="3" s="1"/>
  <c r="BV107" i="3"/>
  <c r="BV107" i="3" a="1"/>
  <c r="BU107" i="3" a="1"/>
  <c r="BU107" i="3" s="1"/>
  <c r="BT107" i="3" a="1"/>
  <c r="BT107" i="3" s="1"/>
  <c r="BS107" i="3" a="1"/>
  <c r="BS107" i="3" s="1"/>
  <c r="BR107" i="3"/>
  <c r="BR107" i="3" a="1"/>
  <c r="BQ107" i="3" a="1"/>
  <c r="BQ107" i="3" s="1"/>
  <c r="BP107" i="3" a="1"/>
  <c r="BP107" i="3" s="1"/>
  <c r="BO107" i="3" a="1"/>
  <c r="BO107" i="3" s="1"/>
  <c r="BN107" i="3"/>
  <c r="BN107" i="3" a="1"/>
  <c r="BM107" i="3" a="1"/>
  <c r="BM107" i="3" s="1"/>
  <c r="BL107" i="3" a="1"/>
  <c r="BL107" i="3" s="1"/>
  <c r="BK107" i="3" a="1"/>
  <c r="BK107" i="3" s="1"/>
  <c r="BJ107" i="3"/>
  <c r="BJ107" i="3" a="1"/>
  <c r="BI107" i="3" a="1"/>
  <c r="BI107" i="3" s="1"/>
  <c r="BH107" i="3" a="1"/>
  <c r="BH107" i="3" s="1"/>
  <c r="BG107" i="3" a="1"/>
  <c r="BG107" i="3" s="1"/>
  <c r="BF107" i="3"/>
  <c r="BF107" i="3" a="1"/>
  <c r="BE107" i="3" a="1"/>
  <c r="BE107" i="3" s="1"/>
  <c r="BD107" i="3" a="1"/>
  <c r="BD107" i="3" s="1"/>
  <c r="BC107" i="3" a="1"/>
  <c r="BC107" i="3" s="1"/>
  <c r="BB107" i="3"/>
  <c r="BB107" i="3" a="1"/>
  <c r="BA107" i="3" a="1"/>
  <c r="BA107" i="3" s="1"/>
  <c r="AZ107" i="3" a="1"/>
  <c r="AZ107" i="3" s="1"/>
  <c r="AY107" i="3" a="1"/>
  <c r="AY107" i="3" s="1"/>
  <c r="AX107" i="3"/>
  <c r="AX107" i="3" a="1"/>
  <c r="AW107" i="3" a="1"/>
  <c r="AW107" i="3" s="1"/>
  <c r="AV107" i="3" a="1"/>
  <c r="AV107" i="3" s="1"/>
  <c r="AU107" i="3" a="1"/>
  <c r="AU107" i="3" s="1"/>
  <c r="AT107" i="3"/>
  <c r="AT107" i="3" a="1"/>
  <c r="AS107" i="3" a="1"/>
  <c r="AS107" i="3" s="1"/>
  <c r="AR107" i="3" a="1"/>
  <c r="AR107" i="3" s="1"/>
  <c r="AQ107" i="3" a="1"/>
  <c r="AQ107" i="3" s="1"/>
  <c r="AP107" i="3"/>
  <c r="AP107" i="3" a="1"/>
  <c r="AO107" i="3" a="1"/>
  <c r="AO107" i="3" s="1"/>
  <c r="AN107" i="3" a="1"/>
  <c r="AN107" i="3" s="1"/>
  <c r="AM107" i="3" a="1"/>
  <c r="AM107" i="3" s="1"/>
  <c r="AL107" i="3"/>
  <c r="AL107" i="3" a="1"/>
  <c r="AK107" i="3" a="1"/>
  <c r="AK107" i="3" s="1"/>
  <c r="AJ107" i="3" a="1"/>
  <c r="AJ107" i="3" s="1"/>
  <c r="AI107" i="3" a="1"/>
  <c r="AI107" i="3" s="1"/>
  <c r="AH107" i="3"/>
  <c r="AH107" i="3" a="1"/>
  <c r="AG107" i="3" a="1"/>
  <c r="AG107" i="3" s="1"/>
  <c r="AF107" i="3" a="1"/>
  <c r="AF107" i="3" s="1"/>
  <c r="AE107" i="3" a="1"/>
  <c r="AE107" i="3" s="1"/>
  <c r="AD107" i="3"/>
  <c r="AD107" i="3" a="1"/>
  <c r="AC107" i="3" a="1"/>
  <c r="AC107" i="3" s="1"/>
  <c r="AB107" i="3" a="1"/>
  <c r="AB107" i="3" s="1"/>
  <c r="AA107" i="3" a="1"/>
  <c r="AA107" i="3" s="1"/>
  <c r="Z107" i="3"/>
  <c r="Z107" i="3" a="1"/>
  <c r="Y107" i="3" a="1"/>
  <c r="Y107" i="3" s="1"/>
  <c r="X107" i="3" a="1"/>
  <c r="X107" i="3" s="1"/>
  <c r="W107" i="3" a="1"/>
  <c r="W107" i="3" s="1"/>
  <c r="V107" i="3"/>
  <c r="V107" i="3" a="1"/>
  <c r="U107" i="3" a="1"/>
  <c r="U107" i="3" s="1"/>
  <c r="T107" i="3" a="1"/>
  <c r="T107" i="3" s="1"/>
  <c r="S107" i="3" a="1"/>
  <c r="S107" i="3" s="1"/>
  <c r="R107" i="3"/>
  <c r="R107" i="3" a="1"/>
  <c r="Q107" i="3" a="1"/>
  <c r="Q107" i="3" s="1"/>
  <c r="P107" i="3" a="1"/>
  <c r="P107" i="3" s="1"/>
  <c r="O107" i="3" a="1"/>
  <c r="O107" i="3" s="1"/>
  <c r="N107" i="3" a="1"/>
  <c r="N107" i="3" s="1"/>
  <c r="N106" i="3" a="1"/>
  <c r="N106" i="3" s="1"/>
  <c r="CG106" i="3" a="1"/>
  <c r="CG106" i="3" s="1"/>
  <c r="CF106" i="3" a="1"/>
  <c r="CF106" i="3" s="1"/>
  <c r="CE106" i="3" a="1"/>
  <c r="CE106" i="3" s="1"/>
  <c r="CD106" i="3"/>
  <c r="CD106" i="3" a="1"/>
  <c r="CC106" i="3" a="1"/>
  <c r="CC106" i="3" s="1"/>
  <c r="CB106" i="3" a="1"/>
  <c r="CB106" i="3" s="1"/>
  <c r="CA106" i="3" a="1"/>
  <c r="CA106" i="3" s="1"/>
  <c r="BZ106" i="3"/>
  <c r="BZ106" i="3" a="1"/>
  <c r="BY106" i="3" a="1"/>
  <c r="BY106" i="3" s="1"/>
  <c r="BX106" i="3" a="1"/>
  <c r="BX106" i="3" s="1"/>
  <c r="BW106" i="3" a="1"/>
  <c r="BW106" i="3" s="1"/>
  <c r="BV106" i="3"/>
  <c r="BV106" i="3" a="1"/>
  <c r="BU106" i="3" a="1"/>
  <c r="BU106" i="3" s="1"/>
  <c r="BT106" i="3" a="1"/>
  <c r="BT106" i="3" s="1"/>
  <c r="BS106" i="3" a="1"/>
  <c r="BS106" i="3" s="1"/>
  <c r="BR106" i="3"/>
  <c r="BR106" i="3" a="1"/>
  <c r="BQ106" i="3" a="1"/>
  <c r="BQ106" i="3" s="1"/>
  <c r="BP106" i="3" a="1"/>
  <c r="BP106" i="3" s="1"/>
  <c r="BO106" i="3" a="1"/>
  <c r="BO106" i="3" s="1"/>
  <c r="BN106" i="3"/>
  <c r="BN106" i="3" a="1"/>
  <c r="BM106" i="3" a="1"/>
  <c r="BM106" i="3" s="1"/>
  <c r="BL106" i="3" a="1"/>
  <c r="BL106" i="3" s="1"/>
  <c r="BK106" i="3" a="1"/>
  <c r="BK106" i="3" s="1"/>
  <c r="BJ106" i="3"/>
  <c r="BJ106" i="3" a="1"/>
  <c r="BI106" i="3" a="1"/>
  <c r="BI106" i="3" s="1"/>
  <c r="BH106" i="3" a="1"/>
  <c r="BH106" i="3" s="1"/>
  <c r="BG106" i="3" a="1"/>
  <c r="BG106" i="3" s="1"/>
  <c r="BF106" i="3"/>
  <c r="BF106" i="3" a="1"/>
  <c r="BE106" i="3" a="1"/>
  <c r="BE106" i="3" s="1"/>
  <c r="BD106" i="3" a="1"/>
  <c r="BD106" i="3" s="1"/>
  <c r="BC106" i="3" a="1"/>
  <c r="BC106" i="3" s="1"/>
  <c r="BB106" i="3"/>
  <c r="BB106" i="3" a="1"/>
  <c r="BA106" i="3" a="1"/>
  <c r="BA106" i="3" s="1"/>
  <c r="AZ106" i="3" a="1"/>
  <c r="AZ106" i="3" s="1"/>
  <c r="AY106" i="3" a="1"/>
  <c r="AY106" i="3" s="1"/>
  <c r="AX106" i="3"/>
  <c r="AX106" i="3" a="1"/>
  <c r="AW106" i="3" a="1"/>
  <c r="AW106" i="3" s="1"/>
  <c r="AV106" i="3" a="1"/>
  <c r="AV106" i="3" s="1"/>
  <c r="AU106" i="3" a="1"/>
  <c r="AU106" i="3" s="1"/>
  <c r="AT106" i="3"/>
  <c r="AT106" i="3" a="1"/>
  <c r="AS106" i="3" a="1"/>
  <c r="AS106" i="3" s="1"/>
  <c r="AR106" i="3" a="1"/>
  <c r="AR106" i="3" s="1"/>
  <c r="AQ106" i="3" a="1"/>
  <c r="AQ106" i="3" s="1"/>
  <c r="AP106" i="3"/>
  <c r="AP106" i="3" a="1"/>
  <c r="AO106" i="3" a="1"/>
  <c r="AO106" i="3" s="1"/>
  <c r="AN106" i="3" a="1"/>
  <c r="AN106" i="3" s="1"/>
  <c r="AM106" i="3" a="1"/>
  <c r="AM106" i="3" s="1"/>
  <c r="AL106" i="3"/>
  <c r="AL106" i="3" a="1"/>
  <c r="AK106" i="3" a="1"/>
  <c r="AK106" i="3" s="1"/>
  <c r="AJ106" i="3" a="1"/>
  <c r="AJ106" i="3" s="1"/>
  <c r="AI106" i="3" a="1"/>
  <c r="AI106" i="3" s="1"/>
  <c r="AH106" i="3"/>
  <c r="AH106" i="3" a="1"/>
  <c r="AG106" i="3" a="1"/>
  <c r="AG106" i="3" s="1"/>
  <c r="AF106" i="3" a="1"/>
  <c r="AF106" i="3" s="1"/>
  <c r="AE106" i="3" a="1"/>
  <c r="AE106" i="3" s="1"/>
  <c r="AD106" i="3"/>
  <c r="AD106" i="3" a="1"/>
  <c r="AC106" i="3" a="1"/>
  <c r="AC106" i="3" s="1"/>
  <c r="AB106" i="3" a="1"/>
  <c r="AB106" i="3" s="1"/>
  <c r="AA106" i="3" a="1"/>
  <c r="AA106" i="3" s="1"/>
  <c r="Z106" i="3"/>
  <c r="Z106" i="3" a="1"/>
  <c r="Y106" i="3" a="1"/>
  <c r="Y106" i="3" s="1"/>
  <c r="X106" i="3" a="1"/>
  <c r="X106" i="3" s="1"/>
  <c r="W106" i="3" a="1"/>
  <c r="W106" i="3" s="1"/>
  <c r="V106" i="3"/>
  <c r="V106" i="3" a="1"/>
  <c r="U106" i="3" a="1"/>
  <c r="U106" i="3" s="1"/>
  <c r="T106" i="3" a="1"/>
  <c r="T106" i="3" s="1"/>
  <c r="S106" i="3" a="1"/>
  <c r="S106" i="3" s="1"/>
  <c r="R106" i="3"/>
  <c r="R106" i="3" a="1"/>
  <c r="Q106" i="3" a="1"/>
  <c r="Q106" i="3" s="1"/>
  <c r="P106" i="3" a="1"/>
  <c r="P106" i="3" s="1"/>
  <c r="O106" i="3" a="1"/>
  <c r="O106" i="3" s="1"/>
  <c r="H107" i="3"/>
  <c r="I107" i="3" s="1"/>
  <c r="J107" i="3" s="1"/>
  <c r="K107" i="3" s="1"/>
  <c r="L107" i="3" s="1"/>
  <c r="H106" i="3"/>
  <c r="I106" i="3" s="1"/>
  <c r="J106" i="3" s="1"/>
  <c r="K106" i="3" s="1"/>
  <c r="L106" i="3" s="1"/>
  <c r="L85" i="3"/>
  <c r="K85" i="3"/>
  <c r="J85" i="3"/>
  <c r="I85" i="3"/>
  <c r="H85" i="3"/>
  <c r="G85" i="3"/>
  <c r="L83" i="3"/>
  <c r="K83" i="3"/>
  <c r="J83" i="3"/>
  <c r="I83" i="3"/>
  <c r="H83" i="3"/>
  <c r="G83" i="3"/>
  <c r="D73" i="29"/>
  <c r="J45" i="29"/>
  <c r="D42" i="29"/>
  <c r="D41" i="29"/>
  <c r="D40" i="29"/>
  <c r="D39" i="29"/>
  <c r="D38" i="29"/>
  <c r="BW87" i="39"/>
  <c r="BV87" i="39"/>
  <c r="BU87" i="39"/>
  <c r="BT87" i="39"/>
  <c r="BS87" i="39"/>
  <c r="BR87" i="39"/>
  <c r="BQ87" i="39"/>
  <c r="BP87" i="39"/>
  <c r="BO87" i="39"/>
  <c r="BN87" i="39"/>
  <c r="BM87" i="39"/>
  <c r="BL87" i="39"/>
  <c r="BK87" i="39"/>
  <c r="BJ87" i="39"/>
  <c r="BI87" i="39"/>
  <c r="BH87" i="39"/>
  <c r="BG87" i="39"/>
  <c r="BF87" i="39"/>
  <c r="BE87" i="39"/>
  <c r="BD87" i="39"/>
  <c r="BC87" i="39"/>
  <c r="BB87" i="39"/>
  <c r="BA87" i="39"/>
  <c r="AZ87" i="39"/>
  <c r="AY87" i="39"/>
  <c r="AX87" i="39"/>
  <c r="AW87" i="39"/>
  <c r="AV87" i="39"/>
  <c r="AU87" i="39"/>
  <c r="AT87" i="39"/>
  <c r="AS87" i="39"/>
  <c r="AR87" i="39"/>
  <c r="AQ87" i="39"/>
  <c r="AP87" i="39"/>
  <c r="AO87" i="39"/>
  <c r="AN87" i="39"/>
  <c r="AM87" i="39"/>
  <c r="AL87" i="39"/>
  <c r="AK87" i="39"/>
  <c r="AJ87" i="39"/>
  <c r="AI87" i="39"/>
  <c r="AH87" i="39"/>
  <c r="AG87" i="39"/>
  <c r="AF87" i="39"/>
  <c r="AE87" i="39"/>
  <c r="AD87" i="39"/>
  <c r="AC87" i="39"/>
  <c r="AB87" i="39"/>
  <c r="AA87" i="39"/>
  <c r="Z87" i="39"/>
  <c r="Y87" i="39"/>
  <c r="X87" i="39"/>
  <c r="W87" i="39"/>
  <c r="V87" i="39"/>
  <c r="U87" i="39"/>
  <c r="T87" i="39"/>
  <c r="S87" i="39"/>
  <c r="R87" i="39"/>
  <c r="Q87" i="39"/>
  <c r="P87" i="39"/>
  <c r="O87" i="39"/>
  <c r="N87" i="39"/>
  <c r="M87" i="39"/>
  <c r="L87" i="39"/>
  <c r="K87" i="39"/>
  <c r="J87" i="39"/>
  <c r="I87" i="39"/>
  <c r="H87" i="39"/>
  <c r="G87" i="39"/>
  <c r="F87" i="39"/>
  <c r="E87" i="39"/>
  <c r="D87" i="39"/>
  <c r="G48" i="3"/>
  <c r="E7" i="45"/>
  <c r="E6" i="45"/>
  <c r="E5" i="45"/>
  <c r="E4" i="45"/>
  <c r="I94" i="37"/>
  <c r="I93" i="37"/>
  <c r="E8" i="45" s="1"/>
  <c r="I5" i="45" l="1"/>
  <c r="B74" i="45" s="1"/>
  <c r="B52" i="45" l="1"/>
  <c r="C52" i="45" s="1"/>
  <c r="L52" i="45" s="1"/>
  <c r="B44" i="45"/>
  <c r="B67" i="45"/>
  <c r="B43" i="45"/>
  <c r="C43" i="45" s="1"/>
  <c r="L43" i="45" s="1"/>
  <c r="B35" i="45"/>
  <c r="C35" i="45" s="1"/>
  <c r="L35" i="45" s="1"/>
  <c r="B82" i="45"/>
  <c r="C82" i="45" s="1"/>
  <c r="L82" i="45" s="1"/>
  <c r="B48" i="45"/>
  <c r="C48" i="45" s="1"/>
  <c r="L48" i="45" s="1"/>
  <c r="B39" i="45"/>
  <c r="C39" i="45" s="1"/>
  <c r="L39" i="45" s="1"/>
  <c r="B40" i="45"/>
  <c r="C40" i="45" s="1"/>
  <c r="L40" i="45" s="1"/>
  <c r="B32" i="45"/>
  <c r="B42" i="45"/>
  <c r="C42" i="45" s="1"/>
  <c r="L42" i="45" s="1"/>
  <c r="B62" i="45"/>
  <c r="B20" i="45"/>
  <c r="C20" i="45" s="1"/>
  <c r="L20" i="45" s="1"/>
  <c r="B34" i="45"/>
  <c r="C34" i="45" s="1"/>
  <c r="L34" i="45" s="1"/>
  <c r="B47" i="45"/>
  <c r="C47" i="45" s="1"/>
  <c r="L47" i="45" s="1"/>
  <c r="B72" i="45"/>
  <c r="B84" i="45"/>
  <c r="B37" i="45"/>
  <c r="B75" i="45"/>
  <c r="C75" i="45" s="1"/>
  <c r="L75" i="45" s="1"/>
  <c r="B13" i="45"/>
  <c r="C13" i="45" s="1"/>
  <c r="B83" i="45"/>
  <c r="B15" i="45"/>
  <c r="B65" i="45"/>
  <c r="C65" i="45" s="1"/>
  <c r="L65" i="45" s="1"/>
  <c r="B77" i="45"/>
  <c r="B16" i="45"/>
  <c r="C16" i="45" s="1"/>
  <c r="L16" i="45" s="1"/>
  <c r="B70" i="45"/>
  <c r="B53" i="45"/>
  <c r="B73" i="45"/>
  <c r="C73" i="45" s="1"/>
  <c r="L73" i="45" s="1"/>
  <c r="B64" i="45"/>
  <c r="C64" i="45" s="1"/>
  <c r="L64" i="45" s="1"/>
  <c r="B71" i="45"/>
  <c r="C71" i="45" s="1"/>
  <c r="L71" i="45" s="1"/>
  <c r="B66" i="45"/>
  <c r="C66" i="45" s="1"/>
  <c r="L66" i="45" s="1"/>
  <c r="B21" i="45"/>
  <c r="B78" i="45"/>
  <c r="B38" i="45"/>
  <c r="B41" i="45"/>
  <c r="B80" i="45"/>
  <c r="B76" i="45"/>
  <c r="B30" i="45"/>
  <c r="B81" i="45"/>
  <c r="B79" i="45"/>
  <c r="C74" i="45"/>
  <c r="L74" i="45" s="1"/>
  <c r="B33" i="45"/>
  <c r="B45" i="45"/>
  <c r="B68" i="45"/>
  <c r="C68" i="45" s="1"/>
  <c r="L68" i="45" s="1"/>
  <c r="B36" i="45"/>
  <c r="B63" i="45"/>
  <c r="B31" i="45"/>
  <c r="B58" i="45"/>
  <c r="B26" i="45"/>
  <c r="B61" i="45"/>
  <c r="B17" i="45"/>
  <c r="B59" i="45"/>
  <c r="B54" i="45"/>
  <c r="B29" i="45"/>
  <c r="B60" i="45"/>
  <c r="B28" i="45"/>
  <c r="B55" i="45"/>
  <c r="B23" i="45"/>
  <c r="B50" i="45"/>
  <c r="B18" i="45"/>
  <c r="B57" i="45"/>
  <c r="I4" i="45"/>
  <c r="B27" i="45"/>
  <c r="B22" i="45"/>
  <c r="B56" i="45"/>
  <c r="B24" i="45"/>
  <c r="B51" i="45"/>
  <c r="B19" i="45"/>
  <c r="B46" i="45"/>
  <c r="B14" i="45"/>
  <c r="B69" i="45"/>
  <c r="B25" i="45"/>
  <c r="B49" i="45"/>
  <c r="C70" i="45"/>
  <c r="L70" i="45" s="1"/>
  <c r="C67" i="45"/>
  <c r="L67" i="45" s="1"/>
  <c r="C62" i="45"/>
  <c r="L62" i="45" s="1"/>
  <c r="C32" i="45"/>
  <c r="L32" i="45" s="1"/>
  <c r="C44" i="45"/>
  <c r="L44" i="45" s="1"/>
  <c r="L13" i="45" l="1"/>
  <c r="E73" i="45"/>
  <c r="D13" i="45"/>
  <c r="I13" i="45" s="1"/>
  <c r="K13" i="45" s="1"/>
  <c r="E35" i="45"/>
  <c r="E23" i="45"/>
  <c r="E44" i="45"/>
  <c r="E68" i="45"/>
  <c r="C46" i="45"/>
  <c r="L46" i="45" s="1"/>
  <c r="C31" i="45"/>
  <c r="L31" i="45" s="1"/>
  <c r="C30" i="45"/>
  <c r="L30" i="45" s="1"/>
  <c r="E71" i="45"/>
  <c r="C15" i="45"/>
  <c r="L15" i="45" s="1"/>
  <c r="E34" i="45"/>
  <c r="C19" i="45"/>
  <c r="L19" i="45" s="1"/>
  <c r="C18" i="45"/>
  <c r="L18" i="45" s="1"/>
  <c r="C54" i="45"/>
  <c r="L54" i="45" s="1"/>
  <c r="E82" i="45"/>
  <c r="E83" i="45"/>
  <c r="E14" i="45"/>
  <c r="E52" i="45"/>
  <c r="E51" i="45"/>
  <c r="E50" i="45"/>
  <c r="C36" i="45"/>
  <c r="L36" i="45" s="1"/>
  <c r="E62" i="45"/>
  <c r="E64" i="45"/>
  <c r="C23" i="45"/>
  <c r="L23" i="45" s="1"/>
  <c r="C17" i="45"/>
  <c r="L17" i="45" s="1"/>
  <c r="E75" i="45"/>
  <c r="C41" i="45"/>
  <c r="L41" i="45" s="1"/>
  <c r="C53" i="45"/>
  <c r="L53" i="45" s="1"/>
  <c r="E43" i="45"/>
  <c r="C56" i="45"/>
  <c r="L56" i="45" s="1"/>
  <c r="C55" i="45"/>
  <c r="L55" i="45" s="1"/>
  <c r="C61" i="45"/>
  <c r="L61" i="45" s="1"/>
  <c r="E77" i="45"/>
  <c r="C38" i="45"/>
  <c r="L38" i="45" s="1"/>
  <c r="C37" i="45"/>
  <c r="L37" i="45" s="1"/>
  <c r="E67" i="45"/>
  <c r="C22" i="45"/>
  <c r="L22" i="45" s="1"/>
  <c r="C28" i="45"/>
  <c r="L28" i="45" s="1"/>
  <c r="C60" i="45"/>
  <c r="L60" i="45" s="1"/>
  <c r="C21" i="45"/>
  <c r="L21" i="45" s="1"/>
  <c r="C77" i="45"/>
  <c r="L77" i="45" s="1"/>
  <c r="C72" i="45"/>
  <c r="L72" i="45" s="1"/>
  <c r="E55" i="45"/>
  <c r="E42" i="45"/>
  <c r="E27" i="45"/>
  <c r="E26" i="45"/>
  <c r="C83" i="45"/>
  <c r="L83" i="45" s="1"/>
  <c r="C84" i="45"/>
  <c r="L84" i="45" s="1"/>
  <c r="E84" i="45"/>
  <c r="C26" i="45"/>
  <c r="L26" i="45" s="1"/>
  <c r="E30" i="45"/>
  <c r="E58" i="45"/>
  <c r="E76" i="45"/>
  <c r="C76" i="45"/>
  <c r="L76" i="45" s="1"/>
  <c r="E81" i="45"/>
  <c r="C81" i="45"/>
  <c r="L81" i="45" s="1"/>
  <c r="E74" i="45"/>
  <c r="E80" i="45"/>
  <c r="C80" i="45"/>
  <c r="L80" i="45" s="1"/>
  <c r="E24" i="45"/>
  <c r="C79" i="45"/>
  <c r="L79" i="45" s="1"/>
  <c r="E79" i="45"/>
  <c r="C78" i="45"/>
  <c r="L78" i="45" s="1"/>
  <c r="E78" i="45"/>
  <c r="E53" i="45"/>
  <c r="E22" i="45"/>
  <c r="C24" i="45"/>
  <c r="L24" i="45" s="1"/>
  <c r="E59" i="45"/>
  <c r="E63" i="45"/>
  <c r="E46" i="45"/>
  <c r="E54" i="45"/>
  <c r="C63" i="45"/>
  <c r="L63" i="45" s="1"/>
  <c r="C59" i="45"/>
  <c r="L59" i="45" s="1"/>
  <c r="C50" i="45"/>
  <c r="L50" i="45" s="1"/>
  <c r="E25" i="45"/>
  <c r="C25" i="45"/>
  <c r="L25" i="45" s="1"/>
  <c r="E69" i="45"/>
  <c r="C69" i="45"/>
  <c r="L69" i="45" s="1"/>
  <c r="E28" i="45"/>
  <c r="C27" i="45"/>
  <c r="L27" i="45" s="1"/>
  <c r="C58" i="45"/>
  <c r="L58" i="45" s="1"/>
  <c r="E56" i="45"/>
  <c r="C51" i="45"/>
  <c r="L51" i="45" s="1"/>
  <c r="C14" i="45"/>
  <c r="L14" i="45" s="1"/>
  <c r="E57" i="45"/>
  <c r="C57" i="45"/>
  <c r="L57" i="45" s="1"/>
  <c r="C33" i="45"/>
  <c r="L33" i="45" s="1"/>
  <c r="E33" i="45"/>
  <c r="E17" i="45"/>
  <c r="E41" i="45"/>
  <c r="E29" i="45"/>
  <c r="C29" i="45"/>
  <c r="L29" i="45" s="1"/>
  <c r="E45" i="45"/>
  <c r="C45" i="45"/>
  <c r="L45" i="45" s="1"/>
  <c r="E16" i="45"/>
  <c r="E18" i="45"/>
  <c r="E66" i="45"/>
  <c r="E40" i="45"/>
  <c r="E15" i="45"/>
  <c r="E72" i="45"/>
  <c r="E60" i="45"/>
  <c r="E36" i="45"/>
  <c r="E48" i="45"/>
  <c r="E38" i="45"/>
  <c r="E47" i="45"/>
  <c r="E61" i="45"/>
  <c r="E37" i="45"/>
  <c r="E13" i="45"/>
  <c r="E32" i="45"/>
  <c r="E31" i="45"/>
  <c r="E39" i="45"/>
  <c r="E19" i="45"/>
  <c r="E70" i="45"/>
  <c r="E20" i="45"/>
  <c r="C49" i="45"/>
  <c r="L49" i="45" s="1"/>
  <c r="E49" i="45"/>
  <c r="E21" i="45"/>
  <c r="E65" i="45"/>
  <c r="F13" i="45" l="1"/>
  <c r="G13" i="45" s="1"/>
  <c r="H13" i="45" s="1"/>
  <c r="J13" i="45" l="1"/>
  <c r="D14" i="45" s="1"/>
  <c r="F14" i="45" s="1"/>
  <c r="I14" i="45" l="1"/>
  <c r="K14" i="45" l="1"/>
  <c r="G14" i="45"/>
  <c r="H14" i="45" s="1"/>
  <c r="J14" i="45" s="1"/>
  <c r="D15" i="45" s="1"/>
  <c r="F15" i="45" s="1"/>
  <c r="I15" i="45" l="1"/>
  <c r="G15" i="45"/>
  <c r="K15" i="45" l="1"/>
  <c r="H15" i="45"/>
  <c r="J15" i="45" s="1"/>
  <c r="D16" i="45" s="1"/>
  <c r="F16" i="45" s="1"/>
  <c r="G16" i="45" l="1"/>
  <c r="I16" i="45"/>
  <c r="K16" i="45" l="1"/>
  <c r="H16" i="45"/>
  <c r="J16" i="45" s="1"/>
  <c r="D17" i="45" s="1"/>
  <c r="F17" i="45" s="1"/>
  <c r="G17" i="45" l="1"/>
  <c r="I17" i="45"/>
  <c r="K17" i="45" l="1"/>
  <c r="H17" i="45"/>
  <c r="J17" i="45" s="1"/>
  <c r="D18" i="45" s="1"/>
  <c r="F18" i="45" s="1"/>
  <c r="G18" i="45" s="1"/>
  <c r="I18" i="45" l="1"/>
  <c r="K18" i="45" l="1"/>
  <c r="H18" i="45"/>
  <c r="J18" i="45" s="1"/>
  <c r="D19" i="45" s="1"/>
  <c r="F19" i="45" l="1"/>
  <c r="G19" i="45" s="1"/>
  <c r="I19" i="45"/>
  <c r="K19" i="45" l="1"/>
  <c r="H19" i="45"/>
  <c r="J19" i="45" s="1"/>
  <c r="D20" i="45" s="1"/>
  <c r="F20" i="45" s="1"/>
  <c r="G20" i="45" s="1"/>
  <c r="I20" i="45" l="1"/>
  <c r="K20" i="45" l="1"/>
  <c r="H20" i="45"/>
  <c r="J20" i="45" s="1"/>
  <c r="D21" i="45" s="1"/>
  <c r="F21" i="45" l="1"/>
  <c r="G21" i="45" s="1"/>
  <c r="I21" i="45"/>
  <c r="K21" i="45" l="1"/>
  <c r="H21" i="45"/>
  <c r="J21" i="45" s="1"/>
  <c r="D22" i="45" s="1"/>
  <c r="F22" i="45" s="1"/>
  <c r="G22" i="45" s="1"/>
  <c r="I22" i="45" l="1"/>
  <c r="K22" i="45" l="1"/>
  <c r="H22" i="45"/>
  <c r="J22" i="45" s="1"/>
  <c r="D23" i="45" s="1"/>
  <c r="F23" i="45" l="1"/>
  <c r="G23" i="45" s="1"/>
  <c r="I23" i="45"/>
  <c r="K23" i="45" l="1"/>
  <c r="H23" i="45"/>
  <c r="J23" i="45" s="1"/>
  <c r="D24" i="45" s="1"/>
  <c r="F24" i="45" s="1"/>
  <c r="G24" i="45" s="1"/>
  <c r="I24" i="45" l="1"/>
  <c r="K24" i="45" l="1"/>
  <c r="H24" i="45"/>
  <c r="J24" i="45" s="1"/>
  <c r="D25" i="45" s="1"/>
  <c r="F25" i="45" s="1"/>
  <c r="G25" i="45" s="1"/>
  <c r="I25" i="45" l="1"/>
  <c r="K25" i="45" l="1"/>
  <c r="H25" i="45"/>
  <c r="J25" i="45" s="1"/>
  <c r="D26" i="45" s="1"/>
  <c r="F26" i="45" s="1"/>
  <c r="G26" i="45" s="1"/>
  <c r="I26" i="45" l="1"/>
  <c r="K26" i="45" l="1"/>
  <c r="H26" i="45"/>
  <c r="J26" i="45" s="1"/>
  <c r="D27" i="45" s="1"/>
  <c r="F27" i="45" s="1"/>
  <c r="G27" i="45" s="1"/>
  <c r="I27" i="45" l="1"/>
  <c r="K27" i="45" l="1"/>
  <c r="H27" i="45"/>
  <c r="J27" i="45" s="1"/>
  <c r="D28" i="45" s="1"/>
  <c r="I28" i="45" s="1"/>
  <c r="K28" i="45" l="1"/>
  <c r="F28" i="45"/>
  <c r="G28" i="45" s="1"/>
  <c r="H28" i="45" s="1"/>
  <c r="J28" i="45" s="1"/>
  <c r="D29" i="45" s="1"/>
  <c r="F29" i="45" l="1"/>
  <c r="G29" i="45" s="1"/>
  <c r="I29" i="45"/>
  <c r="K29" i="45" l="1"/>
  <c r="H29" i="45"/>
  <c r="J29" i="45" s="1"/>
  <c r="D30" i="45" s="1"/>
  <c r="F30" i="45" l="1"/>
  <c r="G30" i="45" s="1"/>
  <c r="I30" i="45"/>
  <c r="K30" i="45" l="1"/>
  <c r="H30" i="45"/>
  <c r="J30" i="45" s="1"/>
  <c r="D31" i="45" s="1"/>
  <c r="F31" i="45" l="1"/>
  <c r="G31" i="45" s="1"/>
  <c r="I31" i="45"/>
  <c r="K31" i="45" l="1"/>
  <c r="H31" i="45"/>
  <c r="J31" i="45" s="1"/>
  <c r="D32" i="45" s="1"/>
  <c r="F32" i="45" l="1"/>
  <c r="G32" i="45" s="1"/>
  <c r="I32" i="45"/>
  <c r="K32" i="45" l="1"/>
  <c r="H32" i="45"/>
  <c r="J32" i="45" s="1"/>
  <c r="D33" i="45" s="1"/>
  <c r="F33" i="45" l="1"/>
  <c r="G33" i="45" s="1"/>
  <c r="I33" i="45"/>
  <c r="K33" i="45" l="1"/>
  <c r="H33" i="45"/>
  <c r="J33" i="45" s="1"/>
  <c r="D34" i="45" s="1"/>
  <c r="F34" i="45" l="1"/>
  <c r="G34" i="45" s="1"/>
  <c r="I34" i="45"/>
  <c r="K34" i="45" l="1"/>
  <c r="H34" i="45"/>
  <c r="J34" i="45" s="1"/>
  <c r="D35" i="45" s="1"/>
  <c r="F35" i="45" s="1"/>
  <c r="G35" i="45" s="1"/>
  <c r="I35" i="45" l="1"/>
  <c r="K35" i="45" l="1"/>
  <c r="H35" i="45"/>
  <c r="J35" i="45" s="1"/>
  <c r="D36" i="45" s="1"/>
  <c r="F36" i="45" s="1"/>
  <c r="G36" i="45" s="1"/>
  <c r="I36" i="45" l="1"/>
  <c r="K36" i="45" l="1"/>
  <c r="H36" i="45"/>
  <c r="J36" i="45" s="1"/>
  <c r="D37" i="45" s="1"/>
  <c r="F37" i="45" l="1"/>
  <c r="G37" i="45" s="1"/>
  <c r="I37" i="45"/>
  <c r="K37" i="45" l="1"/>
  <c r="H37" i="45"/>
  <c r="J37" i="45" s="1"/>
  <c r="D38" i="45" s="1"/>
  <c r="F38" i="45" s="1"/>
  <c r="G38" i="45" s="1"/>
  <c r="I38" i="45" l="1"/>
  <c r="K38" i="45" l="1"/>
  <c r="H38" i="45"/>
  <c r="J38" i="45" s="1"/>
  <c r="D39" i="45" s="1"/>
  <c r="F39" i="45" s="1"/>
  <c r="G39" i="45" s="1"/>
  <c r="I39" i="45" l="1"/>
  <c r="K39" i="45" l="1"/>
  <c r="H39" i="45"/>
  <c r="J39" i="45" s="1"/>
  <c r="D40" i="45" s="1"/>
  <c r="F40" i="45" l="1"/>
  <c r="G40" i="45" s="1"/>
  <c r="I40" i="45"/>
  <c r="K40" i="45" l="1"/>
  <c r="H40" i="45"/>
  <c r="J40" i="45" s="1"/>
  <c r="D41" i="45" s="1"/>
  <c r="F41" i="45" s="1"/>
  <c r="G41" i="45" s="1"/>
  <c r="I41" i="45" l="1"/>
  <c r="K41" i="45" l="1"/>
  <c r="H41" i="45"/>
  <c r="J41" i="45" s="1"/>
  <c r="D42" i="45" s="1"/>
  <c r="F42" i="45" l="1"/>
  <c r="G42" i="45" s="1"/>
  <c r="I42" i="45"/>
  <c r="K42" i="45" l="1"/>
  <c r="H42" i="45"/>
  <c r="J42" i="45" s="1"/>
  <c r="D43" i="45" s="1"/>
  <c r="F43" i="45" s="1"/>
  <c r="G43" i="45" s="1"/>
  <c r="I43" i="45" l="1"/>
  <c r="K43" i="45" l="1"/>
  <c r="H43" i="45"/>
  <c r="J43" i="45" s="1"/>
  <c r="D44" i="45" s="1"/>
  <c r="F44" i="45" l="1"/>
  <c r="G44" i="45" s="1"/>
  <c r="I44" i="45"/>
  <c r="K44" i="45" l="1"/>
  <c r="H44" i="45"/>
  <c r="J44" i="45" s="1"/>
  <c r="D45" i="45" s="1"/>
  <c r="F45" i="45" l="1"/>
  <c r="G45" i="45" s="1"/>
  <c r="I45" i="45"/>
  <c r="K45" i="45" l="1"/>
  <c r="H45" i="45"/>
  <c r="J45" i="45" s="1"/>
  <c r="D46" i="45" s="1"/>
  <c r="F46" i="45" l="1"/>
  <c r="G46" i="45" s="1"/>
  <c r="I46" i="45"/>
  <c r="K46" i="45" l="1"/>
  <c r="H46" i="45"/>
  <c r="J46" i="45" s="1"/>
  <c r="D47" i="45" s="1"/>
  <c r="F47" i="45" l="1"/>
  <c r="G47" i="45" s="1"/>
  <c r="I47" i="45"/>
  <c r="K47" i="45" l="1"/>
  <c r="H47" i="45"/>
  <c r="J47" i="45" s="1"/>
  <c r="D48" i="45" s="1"/>
  <c r="F48" i="45" l="1"/>
  <c r="G48" i="45" s="1"/>
  <c r="I48" i="45"/>
  <c r="K48" i="45" l="1"/>
  <c r="H48" i="45"/>
  <c r="J48" i="45" s="1"/>
  <c r="D49" i="45" s="1"/>
  <c r="F49" i="45" l="1"/>
  <c r="G49" i="45" s="1"/>
  <c r="I49" i="45"/>
  <c r="K49" i="45" l="1"/>
  <c r="H49" i="45"/>
  <c r="J49" i="45" s="1"/>
  <c r="D50" i="45" s="1"/>
  <c r="F50" i="45" l="1"/>
  <c r="G50" i="45" s="1"/>
  <c r="I50" i="45"/>
  <c r="K50" i="45" l="1"/>
  <c r="H50" i="45"/>
  <c r="J50" i="45" s="1"/>
  <c r="D51" i="45" s="1"/>
  <c r="F51" i="45" l="1"/>
  <c r="G51" i="45" s="1"/>
  <c r="I51" i="45"/>
  <c r="K51" i="45" l="1"/>
  <c r="H51" i="45"/>
  <c r="J51" i="45" s="1"/>
  <c r="D52" i="45" s="1"/>
  <c r="F52" i="45" l="1"/>
  <c r="G52" i="45" s="1"/>
  <c r="I52" i="45"/>
  <c r="K52" i="45" l="1"/>
  <c r="H52" i="45"/>
  <c r="J52" i="45" s="1"/>
  <c r="D53" i="45" s="1"/>
  <c r="F53" i="45" l="1"/>
  <c r="G53" i="45" s="1"/>
  <c r="I53" i="45"/>
  <c r="K53" i="45" l="1"/>
  <c r="H53" i="45"/>
  <c r="J53" i="45" s="1"/>
  <c r="D54" i="45" s="1"/>
  <c r="F54" i="45" l="1"/>
  <c r="G54" i="45" s="1"/>
  <c r="I54" i="45"/>
  <c r="K54" i="45" l="1"/>
  <c r="H54" i="45"/>
  <c r="J54" i="45" s="1"/>
  <c r="D55" i="45" s="1"/>
  <c r="F55" i="45" l="1"/>
  <c r="G55" i="45" s="1"/>
  <c r="I55" i="45"/>
  <c r="K55" i="45" l="1"/>
  <c r="H55" i="45"/>
  <c r="J55" i="45" s="1"/>
  <c r="D56" i="45" s="1"/>
  <c r="F56" i="45" l="1"/>
  <c r="G56" i="45" s="1"/>
  <c r="I56" i="45"/>
  <c r="H56" i="45" l="1"/>
  <c r="J56" i="45" s="1"/>
  <c r="D57" i="45" s="1"/>
  <c r="F57" i="45" s="1"/>
  <c r="K56" i="45"/>
  <c r="G57" i="45"/>
  <c r="I57" i="45" l="1"/>
  <c r="H57" i="45" s="1"/>
  <c r="J57" i="45" s="1"/>
  <c r="D58" i="45" s="1"/>
  <c r="K57" i="45"/>
  <c r="F58" i="45" l="1"/>
  <c r="I58" i="45"/>
  <c r="K58" i="45"/>
  <c r="G58" i="45"/>
  <c r="H58" i="45" s="1"/>
  <c r="J58" i="45" s="1"/>
  <c r="D59" i="45" s="1"/>
  <c r="F59" i="45" s="1"/>
  <c r="I59" i="45" l="1"/>
  <c r="K59" i="45" l="1"/>
  <c r="G59" i="45"/>
  <c r="H59" i="45" s="1"/>
  <c r="J59" i="45" s="1"/>
  <c r="D60" i="45" s="1"/>
  <c r="F60" i="45" s="1"/>
  <c r="I60" i="45" l="1"/>
  <c r="K60" i="45" l="1"/>
  <c r="G60" i="45"/>
  <c r="H60" i="45" s="1"/>
  <c r="J60" i="45" s="1"/>
  <c r="D61" i="45" s="1"/>
  <c r="F61" i="45" s="1"/>
  <c r="I61" i="45" l="1"/>
  <c r="K61" i="45" l="1"/>
  <c r="G61" i="45"/>
  <c r="H61" i="45" s="1"/>
  <c r="J61" i="45" s="1"/>
  <c r="D62" i="45" s="1"/>
  <c r="F62" i="45" s="1"/>
  <c r="I62" i="45" l="1"/>
  <c r="K62" i="45" l="1"/>
  <c r="G62" i="45"/>
  <c r="H62" i="45" s="1"/>
  <c r="J62" i="45" s="1"/>
  <c r="D63" i="45" s="1"/>
  <c r="F63" i="45" s="1"/>
  <c r="I63" i="45" l="1"/>
  <c r="K63" i="45" l="1"/>
  <c r="G63" i="45"/>
  <c r="H63" i="45" s="1"/>
  <c r="J63" i="45" s="1"/>
  <c r="D64" i="45" s="1"/>
  <c r="F64" i="45" s="1"/>
  <c r="I64" i="45" l="1"/>
  <c r="K64" i="45" l="1"/>
  <c r="G64" i="45"/>
  <c r="H64" i="45" s="1"/>
  <c r="J64" i="45" s="1"/>
  <c r="D65" i="45" s="1"/>
  <c r="F65" i="45" s="1"/>
  <c r="I65" i="45" l="1"/>
  <c r="K65" i="45" s="1"/>
  <c r="G65" i="45" l="1"/>
  <c r="H65" i="45" s="1"/>
  <c r="J65" i="45" s="1"/>
  <c r="D66" i="45" s="1"/>
  <c r="F66" i="45" s="1"/>
  <c r="I66" i="45" l="1"/>
  <c r="K66" i="45" s="1"/>
  <c r="G66" i="45" l="1"/>
  <c r="H66" i="45" s="1"/>
  <c r="J66" i="45" s="1"/>
  <c r="D67" i="45" s="1"/>
  <c r="F67" i="45" s="1"/>
  <c r="I67" i="45" l="1"/>
  <c r="K67" i="45" s="1"/>
  <c r="G67" i="45" l="1"/>
  <c r="H67" i="45" s="1"/>
  <c r="J67" i="45" s="1"/>
  <c r="D68" i="45" s="1"/>
  <c r="F68" i="45" s="1"/>
  <c r="I68" i="45" l="1"/>
  <c r="K68" i="45" s="1"/>
  <c r="G68" i="45" l="1"/>
  <c r="H68" i="45" s="1"/>
  <c r="J68" i="45" s="1"/>
  <c r="D69" i="45" s="1"/>
  <c r="F69" i="45" s="1"/>
  <c r="I69" i="45" l="1"/>
  <c r="K69" i="45" s="1"/>
  <c r="G69" i="45" l="1"/>
  <c r="H69" i="45" s="1"/>
  <c r="J69" i="45" s="1"/>
  <c r="D70" i="45" s="1"/>
  <c r="F70" i="45" s="1"/>
  <c r="I70" i="45" l="1"/>
  <c r="K70" i="45" s="1"/>
  <c r="G70" i="45" l="1"/>
  <c r="H70" i="45" s="1"/>
  <c r="J70" i="45" s="1"/>
  <c r="D71" i="45" s="1"/>
  <c r="F71" i="45" s="1"/>
  <c r="I71" i="45" l="1"/>
  <c r="K71" i="45" s="1"/>
  <c r="G71" i="45" l="1"/>
  <c r="H71" i="45" s="1"/>
  <c r="J71" i="45" s="1"/>
  <c r="D72" i="45" s="1"/>
  <c r="F72" i="45" s="1"/>
  <c r="I72" i="45" l="1"/>
  <c r="K72" i="45" s="1"/>
  <c r="G72" i="45" l="1"/>
  <c r="H72" i="45" s="1"/>
  <c r="J72" i="45" s="1"/>
  <c r="D73" i="45" s="1"/>
  <c r="F73" i="45" s="1"/>
  <c r="I73" i="45" l="1"/>
  <c r="K73" i="45" s="1"/>
  <c r="G73" i="45" l="1"/>
  <c r="H73" i="45" s="1"/>
  <c r="J73" i="45" s="1"/>
  <c r="D74" i="45" s="1"/>
  <c r="F74" i="45" s="1"/>
  <c r="I74" i="45" l="1"/>
  <c r="K74" i="45" s="1"/>
  <c r="G74" i="45" l="1"/>
  <c r="H74" i="45" s="1"/>
  <c r="J74" i="45" s="1"/>
  <c r="D75" i="45" s="1"/>
  <c r="F75" i="45" s="1"/>
  <c r="I75" i="45" l="1"/>
  <c r="K75" i="45" s="1"/>
  <c r="G75" i="45" l="1"/>
  <c r="H75" i="45" s="1"/>
  <c r="J75" i="45" s="1"/>
  <c r="D76" i="45" s="1"/>
  <c r="F76" i="45" s="1"/>
  <c r="I76" i="45" l="1"/>
  <c r="K76" i="45" s="1"/>
  <c r="G76" i="45" l="1"/>
  <c r="H76" i="45" s="1"/>
  <c r="J76" i="45" s="1"/>
  <c r="D77" i="45" s="1"/>
  <c r="F77" i="45" s="1"/>
  <c r="I77" i="45" l="1"/>
  <c r="K77" i="45" s="1"/>
  <c r="G77" i="45" l="1"/>
  <c r="H77" i="45" s="1"/>
  <c r="J77" i="45" s="1"/>
  <c r="D78" i="45" s="1"/>
  <c r="F78" i="45" s="1"/>
  <c r="I78" i="45" l="1"/>
  <c r="K78" i="45" s="1"/>
  <c r="G78" i="45" l="1"/>
  <c r="H78" i="45" s="1"/>
  <c r="J78" i="45" s="1"/>
  <c r="D79" i="45" s="1"/>
  <c r="F79" i="45" s="1"/>
  <c r="I79" i="45" l="1"/>
  <c r="K79" i="45" s="1"/>
  <c r="G79" i="45" l="1"/>
  <c r="H79" i="45" s="1"/>
  <c r="J79" i="45" s="1"/>
  <c r="D80" i="45" s="1"/>
  <c r="F80" i="45" s="1"/>
  <c r="I80" i="45" l="1"/>
  <c r="K80" i="45" s="1"/>
  <c r="G80" i="45" l="1"/>
  <c r="H80" i="45" s="1"/>
  <c r="J80" i="45" s="1"/>
  <c r="D81" i="45" s="1"/>
  <c r="F81" i="45" s="1"/>
  <c r="I81" i="45" l="1"/>
  <c r="K81" i="45" s="1"/>
  <c r="G81" i="45" l="1"/>
  <c r="H81" i="45" s="1"/>
  <c r="J81" i="45" s="1"/>
  <c r="D82" i="45" s="1"/>
  <c r="F82" i="45" s="1"/>
  <c r="I82" i="45" l="1"/>
  <c r="K82" i="45" s="1"/>
  <c r="G82" i="45" l="1"/>
  <c r="H82" i="45" s="1"/>
  <c r="J82" i="45" s="1"/>
  <c r="D83" i="45" s="1"/>
  <c r="F83" i="45" s="1"/>
  <c r="I83" i="45" l="1"/>
  <c r="K83" i="45" s="1"/>
  <c r="G83" i="45" l="1"/>
  <c r="H83" i="45" s="1"/>
  <c r="J83" i="45" s="1"/>
  <c r="D84" i="45" s="1"/>
  <c r="F84" i="45" s="1"/>
  <c r="I84" i="45" l="1"/>
  <c r="K84" i="45" s="1"/>
  <c r="J84" i="45" l="1"/>
  <c r="G84" i="45"/>
  <c r="H84" i="45" s="1"/>
  <c r="D103" i="39" l="1"/>
  <c r="BW8" i="39"/>
  <c r="BV8" i="39"/>
  <c r="BU8" i="39"/>
  <c r="BT8" i="39"/>
  <c r="BS8" i="39"/>
  <c r="BR8" i="39"/>
  <c r="BQ8" i="39"/>
  <c r="BP8" i="39"/>
  <c r="BO8" i="39"/>
  <c r="BN8" i="39"/>
  <c r="BM8" i="39"/>
  <c r="BL8" i="39"/>
  <c r="BK8" i="39"/>
  <c r="BJ8" i="39"/>
  <c r="BI8" i="39"/>
  <c r="BH8" i="39"/>
  <c r="BG8" i="39"/>
  <c r="BF8" i="39"/>
  <c r="BE8" i="39"/>
  <c r="BD8" i="39"/>
  <c r="BC8" i="39"/>
  <c r="BB8" i="39"/>
  <c r="BA8" i="39"/>
  <c r="AZ8" i="39"/>
  <c r="AY8" i="39"/>
  <c r="AX8" i="39"/>
  <c r="AW8" i="39"/>
  <c r="AV8" i="39"/>
  <c r="AU8" i="39"/>
  <c r="AT8" i="39"/>
  <c r="AS8" i="39"/>
  <c r="AR8" i="39"/>
  <c r="AQ8" i="39"/>
  <c r="AP8" i="39"/>
  <c r="AO8" i="39"/>
  <c r="AN8" i="39"/>
  <c r="AM8" i="39"/>
  <c r="AL8" i="39"/>
  <c r="AK8" i="39"/>
  <c r="AJ8" i="39"/>
  <c r="AI8" i="39"/>
  <c r="AH8" i="39"/>
  <c r="AG8" i="39"/>
  <c r="AF8" i="39"/>
  <c r="AE8" i="39"/>
  <c r="AD8" i="39"/>
  <c r="AC8" i="39"/>
  <c r="AB8" i="39"/>
  <c r="AA8" i="39"/>
  <c r="Z8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D5" i="39"/>
  <c r="D9" i="39"/>
  <c r="B2" i="39"/>
  <c r="D2" i="13"/>
  <c r="D11" i="41"/>
  <c r="D10" i="41"/>
  <c r="D9" i="41"/>
  <c r="D8" i="41"/>
  <c r="D7" i="41"/>
  <c r="D6" i="41"/>
  <c r="B15" i="41"/>
  <c r="B14" i="41"/>
  <c r="B13" i="41"/>
  <c r="B12" i="41"/>
  <c r="B11" i="41"/>
  <c r="B10" i="41"/>
  <c r="B9" i="41"/>
  <c r="B8" i="41"/>
  <c r="B7" i="41"/>
  <c r="B6" i="41"/>
  <c r="G104" i="37"/>
  <c r="H101" i="37" s="1"/>
  <c r="R20" i="41"/>
  <c r="R19" i="41"/>
  <c r="N20" i="41"/>
  <c r="N19" i="41"/>
  <c r="J20" i="41"/>
  <c r="J19" i="41"/>
  <c r="F20" i="41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37"/>
  <c r="E58" i="37"/>
  <c r="G54" i="37"/>
  <c r="H54" i="37"/>
  <c r="I54" i="37"/>
  <c r="J54" i="37"/>
  <c r="K54" i="37"/>
  <c r="L54" i="37"/>
  <c r="P9" i="13"/>
  <c r="O9" i="13"/>
  <c r="N9" i="13"/>
  <c r="M9" i="13"/>
  <c r="M6" i="13"/>
  <c r="N11" i="3"/>
  <c r="Q10" i="3"/>
  <c r="P10" i="13" s="1"/>
  <c r="P10" i="3"/>
  <c r="O10" i="13" s="1"/>
  <c r="O10" i="3"/>
  <c r="N10" i="13" s="1"/>
  <c r="N10" i="3"/>
  <c r="U9" i="3"/>
  <c r="U10" i="3" s="1"/>
  <c r="T10" i="13" s="1"/>
  <c r="T9" i="3"/>
  <c r="T10" i="3" s="1"/>
  <c r="S10" i="13" s="1"/>
  <c r="S9" i="3"/>
  <c r="S10" i="3" s="1"/>
  <c r="R10" i="13" s="1"/>
  <c r="R9" i="3"/>
  <c r="Q9" i="13" s="1"/>
  <c r="N7" i="3"/>
  <c r="N8" i="3" s="1"/>
  <c r="O6" i="3"/>
  <c r="C74" i="39"/>
  <c r="D89" i="39"/>
  <c r="D70" i="39" s="1"/>
  <c r="C69" i="39"/>
  <c r="D69" i="39" s="1"/>
  <c r="E69" i="39" s="1"/>
  <c r="F69" i="39" s="1"/>
  <c r="G69" i="39" s="1"/>
  <c r="H69" i="39" s="1"/>
  <c r="I69" i="39" s="1"/>
  <c r="J69" i="39" s="1"/>
  <c r="K69" i="39" s="1"/>
  <c r="L69" i="39" s="1"/>
  <c r="M69" i="39" s="1"/>
  <c r="N69" i="39" s="1"/>
  <c r="O69" i="39" s="1"/>
  <c r="P69" i="39" s="1"/>
  <c r="Q69" i="39" s="1"/>
  <c r="R69" i="39" s="1"/>
  <c r="S69" i="39" s="1"/>
  <c r="T69" i="39" s="1"/>
  <c r="U69" i="39" s="1"/>
  <c r="V69" i="39" s="1"/>
  <c r="W69" i="39" s="1"/>
  <c r="X69" i="39" s="1"/>
  <c r="Y69" i="39" s="1"/>
  <c r="Z69" i="39" s="1"/>
  <c r="AA69" i="39" s="1"/>
  <c r="AB69" i="39" s="1"/>
  <c r="AC69" i="39" s="1"/>
  <c r="AD69" i="39" s="1"/>
  <c r="AE69" i="39" s="1"/>
  <c r="B73" i="39"/>
  <c r="D77" i="29" s="1"/>
  <c r="B72" i="39"/>
  <c r="D76" i="29" s="1"/>
  <c r="B71" i="39"/>
  <c r="D75" i="29" s="1"/>
  <c r="B70" i="39"/>
  <c r="D74" i="29" s="1"/>
  <c r="H90" i="37"/>
  <c r="H89" i="37"/>
  <c r="I89" i="37" s="1"/>
  <c r="H88" i="37"/>
  <c r="D90" i="39" s="1"/>
  <c r="I87" i="37"/>
  <c r="E4" i="39"/>
  <c r="E9" i="39" s="1"/>
  <c r="C6" i="43"/>
  <c r="C7" i="43" s="1"/>
  <c r="C8" i="43" s="1"/>
  <c r="C9" i="43" s="1"/>
  <c r="C10" i="43" s="1"/>
  <c r="C11" i="43" s="1"/>
  <c r="C12" i="43" s="1"/>
  <c r="C13" i="43" s="1"/>
  <c r="C14" i="43" s="1"/>
  <c r="C15" i="43" s="1"/>
  <c r="C16" i="43" s="1"/>
  <c r="C17" i="43" s="1"/>
  <c r="C18" i="43" s="1"/>
  <c r="C19" i="43" s="1"/>
  <c r="C20" i="43" s="1"/>
  <c r="C21" i="43" s="1"/>
  <c r="C22" i="43" s="1"/>
  <c r="C23" i="43" s="1"/>
  <c r="C24" i="43" s="1"/>
  <c r="C25" i="43" s="1"/>
  <c r="C26" i="43" s="1"/>
  <c r="C27" i="43" s="1"/>
  <c r="C28" i="43" s="1"/>
  <c r="C29" i="43" s="1"/>
  <c r="C30" i="43" s="1"/>
  <c r="C31" i="43" s="1"/>
  <c r="C32" i="43" s="1"/>
  <c r="C33" i="43" s="1"/>
  <c r="C34" i="43" s="1"/>
  <c r="C35" i="43" s="1"/>
  <c r="C36" i="43" s="1"/>
  <c r="C37" i="43" s="1"/>
  <c r="C38" i="43" s="1"/>
  <c r="C39" i="43" s="1"/>
  <c r="C40" i="43" s="1"/>
  <c r="C41" i="43" s="1"/>
  <c r="C42" i="43" s="1"/>
  <c r="C43" i="43" s="1"/>
  <c r="C44" i="43" s="1"/>
  <c r="C45" i="43" s="1"/>
  <c r="C46" i="43" s="1"/>
  <c r="C47" i="43" s="1"/>
  <c r="C48" i="43" s="1"/>
  <c r="C49" i="43" s="1"/>
  <c r="C50" i="43" s="1"/>
  <c r="C51" i="43" s="1"/>
  <c r="C52" i="43" s="1"/>
  <c r="C53" i="43" s="1"/>
  <c r="C54" i="43" s="1"/>
  <c r="C55" i="43" s="1"/>
  <c r="C56" i="43" s="1"/>
  <c r="C57" i="43" s="1"/>
  <c r="C58" i="43" s="1"/>
  <c r="C59" i="43" s="1"/>
  <c r="C60" i="43" s="1"/>
  <c r="C61" i="43" s="1"/>
  <c r="C62" i="43" s="1"/>
  <c r="C63" i="43" s="1"/>
  <c r="C64" i="43" s="1"/>
  <c r="C65" i="43" s="1"/>
  <c r="C66" i="43" s="1"/>
  <c r="C67" i="43" s="1"/>
  <c r="C68" i="43" s="1"/>
  <c r="C69" i="43" s="1"/>
  <c r="C70" i="43" s="1"/>
  <c r="C71" i="43" s="1"/>
  <c r="C72" i="43" s="1"/>
  <c r="C73" i="43" s="1"/>
  <c r="C74" i="43" s="1"/>
  <c r="C75" i="43" s="1"/>
  <c r="C5" i="43"/>
  <c r="D27" i="43"/>
  <c r="D39" i="43" s="1"/>
  <c r="D51" i="43" s="1"/>
  <c r="D63" i="43" s="1"/>
  <c r="D75" i="43" s="1"/>
  <c r="D26" i="43"/>
  <c r="D38" i="43" s="1"/>
  <c r="D50" i="43" s="1"/>
  <c r="D62" i="43" s="1"/>
  <c r="D74" i="43" s="1"/>
  <c r="D25" i="43"/>
  <c r="D37" i="43" s="1"/>
  <c r="D49" i="43" s="1"/>
  <c r="D61" i="43" s="1"/>
  <c r="D73" i="43" s="1"/>
  <c r="D24" i="43"/>
  <c r="D36" i="43" s="1"/>
  <c r="D48" i="43" s="1"/>
  <c r="D60" i="43" s="1"/>
  <c r="D72" i="43" s="1"/>
  <c r="D23" i="43"/>
  <c r="D35" i="43" s="1"/>
  <c r="D47" i="43" s="1"/>
  <c r="D59" i="43" s="1"/>
  <c r="D71" i="43" s="1"/>
  <c r="D22" i="43"/>
  <c r="D34" i="43" s="1"/>
  <c r="D46" i="43" s="1"/>
  <c r="D58" i="43" s="1"/>
  <c r="D70" i="43" s="1"/>
  <c r="D21" i="43"/>
  <c r="D33" i="43" s="1"/>
  <c r="D45" i="43" s="1"/>
  <c r="D57" i="43" s="1"/>
  <c r="D69" i="43" s="1"/>
  <c r="D20" i="43"/>
  <c r="D32" i="43" s="1"/>
  <c r="D44" i="43" s="1"/>
  <c r="D56" i="43" s="1"/>
  <c r="D68" i="43" s="1"/>
  <c r="D19" i="43"/>
  <c r="D31" i="43" s="1"/>
  <c r="D43" i="43" s="1"/>
  <c r="D55" i="43" s="1"/>
  <c r="D67" i="43" s="1"/>
  <c r="D18" i="43"/>
  <c r="D30" i="43" s="1"/>
  <c r="D42" i="43" s="1"/>
  <c r="D54" i="43" s="1"/>
  <c r="D66" i="43" s="1"/>
  <c r="D17" i="43"/>
  <c r="D29" i="43" s="1"/>
  <c r="D41" i="43" s="1"/>
  <c r="D53" i="43" s="1"/>
  <c r="D65" i="43" s="1"/>
  <c r="D16" i="43"/>
  <c r="D28" i="43" s="1"/>
  <c r="D40" i="43" s="1"/>
  <c r="D52" i="43" s="1"/>
  <c r="D64" i="43" s="1"/>
  <c r="B5" i="43"/>
  <c r="B6" i="43" s="1"/>
  <c r="B7" i="43" s="1"/>
  <c r="B8" i="43" s="1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s="1"/>
  <c r="B35" i="43" s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D65" i="39" l="1"/>
  <c r="D66" i="39" s="1"/>
  <c r="D49" i="39"/>
  <c r="N15" i="3"/>
  <c r="M15" i="13" s="1"/>
  <c r="D14" i="39" s="1"/>
  <c r="E5" i="39"/>
  <c r="E49" i="39" s="1"/>
  <c r="I118" i="37"/>
  <c r="I110" i="37"/>
  <c r="I109" i="37"/>
  <c r="J109" i="37" s="1"/>
  <c r="I120" i="37"/>
  <c r="I112" i="37"/>
  <c r="I115" i="37"/>
  <c r="I117" i="37"/>
  <c r="F122" i="37"/>
  <c r="G87" i="37" s="1"/>
  <c r="I111" i="37"/>
  <c r="I119" i="37"/>
  <c r="I113" i="37"/>
  <c r="I121" i="37"/>
  <c r="I114" i="37"/>
  <c r="I108" i="37"/>
  <c r="J108" i="37" s="1"/>
  <c r="I116" i="37"/>
  <c r="D16" i="41"/>
  <c r="H99" i="37"/>
  <c r="H100" i="37"/>
  <c r="H102" i="37"/>
  <c r="H103" i="37"/>
  <c r="H98" i="37"/>
  <c r="R21" i="41"/>
  <c r="R22" i="41" s="1"/>
  <c r="AF69" i="39"/>
  <c r="R10" i="3"/>
  <c r="Q10" i="13" s="1"/>
  <c r="V9" i="3"/>
  <c r="Z9" i="3" s="1"/>
  <c r="M11" i="13"/>
  <c r="O7" i="3"/>
  <c r="N6" i="13"/>
  <c r="W9" i="3"/>
  <c r="R9" i="13"/>
  <c r="X9" i="3"/>
  <c r="S9" i="13"/>
  <c r="O11" i="3"/>
  <c r="Y9" i="3"/>
  <c r="T9" i="13"/>
  <c r="I88" i="37"/>
  <c r="P6" i="3"/>
  <c r="D71" i="39"/>
  <c r="D92" i="39"/>
  <c r="D91" i="39"/>
  <c r="E92" i="39"/>
  <c r="I90" i="37"/>
  <c r="E89" i="39"/>
  <c r="E91" i="39"/>
  <c r="E90" i="39"/>
  <c r="F4" i="39"/>
  <c r="V10" i="3" l="1"/>
  <c r="U10" i="13" s="1"/>
  <c r="U9" i="13"/>
  <c r="D93" i="39"/>
  <c r="N21" i="3" a="1"/>
  <c r="N21" i="3" s="1"/>
  <c r="M62" i="13" s="1"/>
  <c r="O8" i="3"/>
  <c r="O15" i="3"/>
  <c r="E6" i="39"/>
  <c r="E10" i="39" s="1"/>
  <c r="E65" i="39"/>
  <c r="G122" i="37"/>
  <c r="H122" i="37"/>
  <c r="F92" i="39"/>
  <c r="F73" i="39" s="1"/>
  <c r="F5" i="39"/>
  <c r="F49" i="39" s="1"/>
  <c r="F19" i="41"/>
  <c r="I122" i="37"/>
  <c r="F22" i="41" s="1"/>
  <c r="H104" i="37"/>
  <c r="J110" i="37"/>
  <c r="E71" i="39"/>
  <c r="AG69" i="39"/>
  <c r="M67" i="13" a="1"/>
  <c r="M67" i="13" s="1"/>
  <c r="M59" i="13" a="1"/>
  <c r="M59" i="13" s="1"/>
  <c r="M70" i="13" a="1"/>
  <c r="M70" i="13" s="1"/>
  <c r="M61" i="13" a="1"/>
  <c r="M61" i="13" s="1"/>
  <c r="M66" i="13" a="1"/>
  <c r="M66" i="13" s="1"/>
  <c r="M58" i="13" a="1"/>
  <c r="M58" i="13" s="1"/>
  <c r="M73" i="13" a="1"/>
  <c r="M73" i="13" s="1"/>
  <c r="M65" i="13" a="1"/>
  <c r="M65" i="13" s="1"/>
  <c r="M57" i="13" a="1"/>
  <c r="M57" i="13" s="1"/>
  <c r="M53" i="13" a="1"/>
  <c r="M53" i="13" s="1"/>
  <c r="M72" i="13" a="1"/>
  <c r="M72" i="13" s="1"/>
  <c r="M64" i="13" a="1"/>
  <c r="M64" i="13" s="1"/>
  <c r="M56" i="13" a="1"/>
  <c r="M56" i="13" s="1"/>
  <c r="M54" i="13" a="1"/>
  <c r="M54" i="13" s="1"/>
  <c r="M71" i="13" a="1"/>
  <c r="M71" i="13" s="1"/>
  <c r="M63" i="13" a="1"/>
  <c r="M63" i="13" s="1"/>
  <c r="M55" i="13" a="1"/>
  <c r="M55" i="13" s="1"/>
  <c r="M69" i="13" a="1"/>
  <c r="M69" i="13" s="1"/>
  <c r="M68" i="13" a="1"/>
  <c r="M68" i="13" s="1"/>
  <c r="M60" i="13" a="1"/>
  <c r="M60" i="13" s="1"/>
  <c r="O6" i="13"/>
  <c r="P11" i="3"/>
  <c r="AA9" i="3"/>
  <c r="V9" i="13"/>
  <c r="W10" i="3"/>
  <c r="V10" i="13" s="1"/>
  <c r="AC9" i="3"/>
  <c r="X9" i="13"/>
  <c r="Y10" i="3"/>
  <c r="X10" i="13" s="1"/>
  <c r="AB9" i="3"/>
  <c r="W9" i="13"/>
  <c r="X10" i="3"/>
  <c r="W10" i="13" s="1"/>
  <c r="N11" i="13"/>
  <c r="AD9" i="3"/>
  <c r="Y9" i="13"/>
  <c r="Z10" i="3"/>
  <c r="Y10" i="13" s="1"/>
  <c r="P7" i="3"/>
  <c r="Q6" i="3"/>
  <c r="D73" i="39"/>
  <c r="E73" i="39"/>
  <c r="E70" i="39"/>
  <c r="E72" i="39"/>
  <c r="D72" i="39"/>
  <c r="F9" i="39"/>
  <c r="F90" i="39"/>
  <c r="F91" i="39"/>
  <c r="F89" i="39"/>
  <c r="G4" i="39"/>
  <c r="P8" i="3" l="1"/>
  <c r="P15" i="3"/>
  <c r="O21" i="3" a="1"/>
  <c r="O21" i="3" s="1"/>
  <c r="N62" i="13" s="1"/>
  <c r="N15" i="13"/>
  <c r="E14" i="39" s="1"/>
  <c r="F21" i="41"/>
  <c r="K87" i="37"/>
  <c r="F6" i="39"/>
  <c r="F10" i="39" s="1"/>
  <c r="F65" i="39"/>
  <c r="E66" i="39"/>
  <c r="E93" i="39"/>
  <c r="G92" i="39"/>
  <c r="G73" i="39" s="1"/>
  <c r="G5" i="39"/>
  <c r="G49" i="39" s="1"/>
  <c r="J111" i="37"/>
  <c r="AH69" i="39"/>
  <c r="AH9" i="3"/>
  <c r="AC9" i="13"/>
  <c r="AD10" i="3"/>
  <c r="AC10" i="13" s="1"/>
  <c r="P6" i="13"/>
  <c r="Q11" i="3"/>
  <c r="AE9" i="3"/>
  <c r="Z9" i="13"/>
  <c r="AA10" i="3"/>
  <c r="Z10" i="13" s="1"/>
  <c r="O11" i="13"/>
  <c r="AG9" i="3"/>
  <c r="AB9" i="13"/>
  <c r="AC10" i="3"/>
  <c r="AB10" i="13" s="1"/>
  <c r="AF9" i="3"/>
  <c r="AA9" i="13"/>
  <c r="AB10" i="3"/>
  <c r="AA10" i="13" s="1"/>
  <c r="R6" i="3"/>
  <c r="Q7" i="3"/>
  <c r="F71" i="39"/>
  <c r="F72" i="39"/>
  <c r="F70" i="39"/>
  <c r="G90" i="39"/>
  <c r="G91" i="39"/>
  <c r="G89" i="39"/>
  <c r="H4" i="39"/>
  <c r="G9" i="39"/>
  <c r="N21" i="41"/>
  <c r="N22" i="41" s="1"/>
  <c r="J21" i="41"/>
  <c r="H11" i="41"/>
  <c r="L11" i="41" s="1"/>
  <c r="P11" i="41" s="1"/>
  <c r="H10" i="41"/>
  <c r="L10" i="41" s="1"/>
  <c r="P10" i="41" s="1"/>
  <c r="H9" i="41"/>
  <c r="L9" i="41" s="1"/>
  <c r="P9" i="41" s="1"/>
  <c r="H8" i="41"/>
  <c r="L8" i="41" s="1"/>
  <c r="P8" i="41" s="1"/>
  <c r="H7" i="41"/>
  <c r="H6" i="41"/>
  <c r="N59" i="13" l="1" a="1"/>
  <c r="N59" i="13" s="1"/>
  <c r="N64" i="13" a="1"/>
  <c r="N64" i="13" s="1"/>
  <c r="N67" i="13" a="1"/>
  <c r="N67" i="13" s="1"/>
  <c r="N55" i="13" a="1"/>
  <c r="N55" i="13" s="1"/>
  <c r="N65" i="13" a="1"/>
  <c r="N65" i="13" s="1"/>
  <c r="N56" i="13" a="1"/>
  <c r="N56" i="13" s="1"/>
  <c r="N57" i="13" a="1"/>
  <c r="N57" i="13" s="1"/>
  <c r="N73" i="13" a="1"/>
  <c r="N73" i="13" s="1"/>
  <c r="N58" i="13" a="1"/>
  <c r="N58" i="13" s="1"/>
  <c r="N53" i="13" a="1"/>
  <c r="N53" i="13" s="1"/>
  <c r="N63" i="13" a="1"/>
  <c r="N63" i="13" s="1"/>
  <c r="N68" i="13" a="1"/>
  <c r="N68" i="13" s="1"/>
  <c r="N54" i="13" a="1"/>
  <c r="N54" i="13" s="1"/>
  <c r="N60" i="13" a="1"/>
  <c r="N60" i="13" s="1"/>
  <c r="N61" i="13" a="1"/>
  <c r="N61" i="13" s="1"/>
  <c r="N69" i="13" a="1"/>
  <c r="N69" i="13" s="1"/>
  <c r="N72" i="13" a="1"/>
  <c r="N72" i="13" s="1"/>
  <c r="N70" i="13" a="1"/>
  <c r="N70" i="13" s="1"/>
  <c r="N66" i="13" a="1"/>
  <c r="N66" i="13" s="1"/>
  <c r="N71" i="13" a="1"/>
  <c r="N71" i="13" s="1"/>
  <c r="Q8" i="3"/>
  <c r="Q15" i="3"/>
  <c r="O15" i="13"/>
  <c r="F14" i="39" s="1"/>
  <c r="P21" i="3" a="1"/>
  <c r="P21" i="3" s="1"/>
  <c r="O62" i="13" s="1"/>
  <c r="G6" i="39"/>
  <c r="G10" i="39" s="1"/>
  <c r="G65" i="39"/>
  <c r="F66" i="39"/>
  <c r="F93" i="39"/>
  <c r="H92" i="39"/>
  <c r="H73" i="39" s="1"/>
  <c r="H5" i="39"/>
  <c r="H49" i="39" s="1"/>
  <c r="J112" i="37"/>
  <c r="E11" i="41"/>
  <c r="G71" i="39"/>
  <c r="AI69" i="39"/>
  <c r="Q6" i="13"/>
  <c r="R11" i="3"/>
  <c r="P11" i="13"/>
  <c r="AJ9" i="3"/>
  <c r="AF10" i="3"/>
  <c r="AE10" i="13" s="1"/>
  <c r="AE9" i="13"/>
  <c r="AI9" i="3"/>
  <c r="AE10" i="3"/>
  <c r="AD10" i="13" s="1"/>
  <c r="AD9" i="13"/>
  <c r="AK9" i="3"/>
  <c r="AF9" i="13"/>
  <c r="AG10" i="3"/>
  <c r="AF10" i="13" s="1"/>
  <c r="AG9" i="13"/>
  <c r="AH10" i="3"/>
  <c r="AG10" i="13" s="1"/>
  <c r="AL9" i="3"/>
  <c r="S6" i="3"/>
  <c r="R7" i="3"/>
  <c r="G72" i="39"/>
  <c r="G70" i="39"/>
  <c r="H91" i="39"/>
  <c r="H89" i="39"/>
  <c r="H90" i="39"/>
  <c r="I4" i="39"/>
  <c r="H9" i="39"/>
  <c r="E8" i="41"/>
  <c r="E6" i="41"/>
  <c r="E10" i="41"/>
  <c r="E9" i="41"/>
  <c r="E7" i="41"/>
  <c r="J22" i="41"/>
  <c r="F23" i="41"/>
  <c r="L7" i="41"/>
  <c r="P7" i="41" s="1"/>
  <c r="L6" i="41"/>
  <c r="P6" i="41" s="1"/>
  <c r="O54" i="13" l="1" a="1"/>
  <c r="O54" i="13" s="1"/>
  <c r="O58" i="13" a="1"/>
  <c r="O58" i="13" s="1"/>
  <c r="O68" i="13" a="1"/>
  <c r="O68" i="13" s="1"/>
  <c r="O72" i="13" a="1"/>
  <c r="O72" i="13" s="1"/>
  <c r="O61" i="13" a="1"/>
  <c r="O61" i="13" s="1"/>
  <c r="O53" i="13" a="1"/>
  <c r="O53" i="13" s="1"/>
  <c r="O66" i="13" a="1"/>
  <c r="O66" i="13" s="1"/>
  <c r="O64" i="13" a="1"/>
  <c r="O64" i="13" s="1"/>
  <c r="O69" i="13" a="1"/>
  <c r="O69" i="13" s="1"/>
  <c r="O65" i="13" a="1"/>
  <c r="O65" i="13" s="1"/>
  <c r="O55" i="13" a="1"/>
  <c r="O55" i="13" s="1"/>
  <c r="O70" i="13" a="1"/>
  <c r="O70" i="13" s="1"/>
  <c r="O57" i="13" a="1"/>
  <c r="O57" i="13" s="1"/>
  <c r="O56" i="13" a="1"/>
  <c r="O56" i="13" s="1"/>
  <c r="O73" i="13" a="1"/>
  <c r="O73" i="13" s="1"/>
  <c r="O67" i="13" a="1"/>
  <c r="O67" i="13" s="1"/>
  <c r="O63" i="13" a="1"/>
  <c r="O63" i="13" s="1"/>
  <c r="O60" i="13" a="1"/>
  <c r="O60" i="13" s="1"/>
  <c r="O71" i="13" a="1"/>
  <c r="O71" i="13" s="1"/>
  <c r="O59" i="13" a="1"/>
  <c r="O59" i="13" s="1"/>
  <c r="R8" i="3"/>
  <c r="R15" i="3"/>
  <c r="Q21" i="3" a="1"/>
  <c r="Q21" i="3" s="1"/>
  <c r="P62" i="13" s="1"/>
  <c r="P15" i="13"/>
  <c r="G14" i="39" s="1"/>
  <c r="H6" i="39"/>
  <c r="H10" i="39" s="1"/>
  <c r="H65" i="39"/>
  <c r="G66" i="39"/>
  <c r="G93" i="39"/>
  <c r="I92" i="39"/>
  <c r="I73" i="39" s="1"/>
  <c r="I5" i="39"/>
  <c r="I49" i="39" s="1"/>
  <c r="J113" i="37"/>
  <c r="E16" i="41"/>
  <c r="AJ69" i="39"/>
  <c r="R6" i="13"/>
  <c r="S11" i="3"/>
  <c r="AP9" i="3"/>
  <c r="AK9" i="13"/>
  <c r="AL10" i="3"/>
  <c r="AK10" i="13" s="1"/>
  <c r="AH9" i="13"/>
  <c r="AM9" i="3"/>
  <c r="AI10" i="3"/>
  <c r="AH10" i="13" s="1"/>
  <c r="AJ9" i="13"/>
  <c r="AK10" i="3"/>
  <c r="AJ10" i="13" s="1"/>
  <c r="AO9" i="3"/>
  <c r="AI9" i="13"/>
  <c r="AN9" i="3"/>
  <c r="AJ10" i="3"/>
  <c r="AI10" i="13" s="1"/>
  <c r="Q11" i="13"/>
  <c r="T6" i="3"/>
  <c r="S7" i="3"/>
  <c r="H70" i="39"/>
  <c r="H72" i="39"/>
  <c r="H71" i="39"/>
  <c r="I91" i="39"/>
  <c r="I89" i="39"/>
  <c r="I90" i="39"/>
  <c r="J4" i="39"/>
  <c r="I9" i="39"/>
  <c r="P60" i="13" l="1" a="1"/>
  <c r="P60" i="13" s="1"/>
  <c r="P68" i="13" a="1"/>
  <c r="P68" i="13" s="1"/>
  <c r="P66" i="13" a="1"/>
  <c r="P66" i="13" s="1"/>
  <c r="P64" i="13" a="1"/>
  <c r="P64" i="13" s="1"/>
  <c r="P61" i="13" a="1"/>
  <c r="P61" i="13" s="1"/>
  <c r="P67" i="13" a="1"/>
  <c r="P67" i="13" s="1"/>
  <c r="P54" i="13" a="1"/>
  <c r="P54" i="13" s="1"/>
  <c r="P70" i="13" a="1"/>
  <c r="P70" i="13" s="1"/>
  <c r="P71" i="13" a="1"/>
  <c r="P71" i="13" s="1"/>
  <c r="P53" i="13" a="1"/>
  <c r="P53" i="13" s="1"/>
  <c r="P63" i="13" a="1"/>
  <c r="P63" i="13" s="1"/>
  <c r="P57" i="13" a="1"/>
  <c r="P57" i="13" s="1"/>
  <c r="P59" i="13" a="1"/>
  <c r="P59" i="13" s="1"/>
  <c r="P56" i="13" a="1"/>
  <c r="P56" i="13" s="1"/>
  <c r="P69" i="13" a="1"/>
  <c r="P69" i="13" s="1"/>
  <c r="P72" i="13" a="1"/>
  <c r="P72" i="13" s="1"/>
  <c r="P73" i="13" a="1"/>
  <c r="P73" i="13" s="1"/>
  <c r="P55" i="13" a="1"/>
  <c r="P55" i="13" s="1"/>
  <c r="P65" i="13" a="1"/>
  <c r="P65" i="13" s="1"/>
  <c r="P58" i="13" a="1"/>
  <c r="P58" i="13" s="1"/>
  <c r="S8" i="3"/>
  <c r="S15" i="3"/>
  <c r="R21" i="3" a="1"/>
  <c r="R21" i="3" s="1"/>
  <c r="Q62" i="13" s="1"/>
  <c r="Q15" i="13"/>
  <c r="H14" i="39" s="1"/>
  <c r="I6" i="39"/>
  <c r="I10" i="39" s="1"/>
  <c r="I65" i="39"/>
  <c r="H66" i="39"/>
  <c r="H93" i="39"/>
  <c r="J92" i="39"/>
  <c r="J73" i="39" s="1"/>
  <c r="J5" i="39"/>
  <c r="J49" i="39" s="1"/>
  <c r="J114" i="37"/>
  <c r="AK69" i="39"/>
  <c r="AQ9" i="3"/>
  <c r="AL9" i="13"/>
  <c r="AM10" i="3"/>
  <c r="AL10" i="13" s="1"/>
  <c r="AR9" i="3"/>
  <c r="AM9" i="13"/>
  <c r="AN10" i="3"/>
  <c r="AM10" i="13" s="1"/>
  <c r="R11" i="13"/>
  <c r="S6" i="13"/>
  <c r="T11" i="3"/>
  <c r="AS9" i="3"/>
  <c r="AN9" i="13"/>
  <c r="AO10" i="3"/>
  <c r="AN10" i="13" s="1"/>
  <c r="AT9" i="3"/>
  <c r="AO9" i="13"/>
  <c r="AP10" i="3"/>
  <c r="AO10" i="13" s="1"/>
  <c r="U6" i="3"/>
  <c r="T7" i="3"/>
  <c r="I70" i="39"/>
  <c r="I71" i="39"/>
  <c r="I72" i="39"/>
  <c r="J91" i="39"/>
  <c r="J89" i="39"/>
  <c r="J90" i="39"/>
  <c r="J71" i="39" s="1"/>
  <c r="K4" i="39"/>
  <c r="J9" i="39"/>
  <c r="Q66" i="13" l="1" a="1"/>
  <c r="Q66" i="13" s="1"/>
  <c r="Q64" i="13" a="1"/>
  <c r="Q64" i="13" s="1"/>
  <c r="Q55" i="13" a="1"/>
  <c r="Q55" i="13" s="1"/>
  <c r="Q68" i="13" a="1"/>
  <c r="Q68" i="13" s="1"/>
  <c r="Q63" i="13" a="1"/>
  <c r="Q63" i="13" s="1"/>
  <c r="Q56" i="13" a="1"/>
  <c r="Q56" i="13" s="1"/>
  <c r="Q72" i="13" a="1"/>
  <c r="Q72" i="13" s="1"/>
  <c r="Q65" i="13" a="1"/>
  <c r="Q65" i="13" s="1"/>
  <c r="Q71" i="13" a="1"/>
  <c r="Q71" i="13" s="1"/>
  <c r="Q67" i="13" a="1"/>
  <c r="Q67" i="13" s="1"/>
  <c r="Q54" i="13" a="1"/>
  <c r="Q54" i="13" s="1"/>
  <c r="Q57" i="13" a="1"/>
  <c r="Q57" i="13" s="1"/>
  <c r="Q60" i="13" a="1"/>
  <c r="Q60" i="13" s="1"/>
  <c r="Q53" i="13" a="1"/>
  <c r="Q53" i="13" s="1"/>
  <c r="Q58" i="13" a="1"/>
  <c r="Q58" i="13" s="1"/>
  <c r="Q59" i="13" a="1"/>
  <c r="Q59" i="13" s="1"/>
  <c r="Q61" i="13" a="1"/>
  <c r="Q61" i="13" s="1"/>
  <c r="Q69" i="13" a="1"/>
  <c r="Q69" i="13" s="1"/>
  <c r="Q73" i="13" a="1"/>
  <c r="Q73" i="13" s="1"/>
  <c r="Q70" i="13" a="1"/>
  <c r="Q70" i="13" s="1"/>
  <c r="T8" i="3"/>
  <c r="T15" i="3"/>
  <c r="R15" i="13"/>
  <c r="I14" i="39" s="1"/>
  <c r="S21" i="3" a="1"/>
  <c r="S21" i="3" s="1"/>
  <c r="R62" i="13" s="1"/>
  <c r="J6" i="39"/>
  <c r="J10" i="39" s="1"/>
  <c r="J65" i="39"/>
  <c r="I66" i="39"/>
  <c r="I93" i="39"/>
  <c r="K92" i="39"/>
  <c r="K73" i="39" s="1"/>
  <c r="K5" i="39"/>
  <c r="K49" i="39" s="1"/>
  <c r="J115" i="37"/>
  <c r="AL69" i="39"/>
  <c r="T6" i="13"/>
  <c r="U11" i="3"/>
  <c r="AW9" i="3"/>
  <c r="AR9" i="13"/>
  <c r="AS10" i="3"/>
  <c r="AR10" i="13" s="1"/>
  <c r="S11" i="13"/>
  <c r="AU9" i="3"/>
  <c r="AP9" i="13"/>
  <c r="AQ10" i="3"/>
  <c r="AP10" i="13" s="1"/>
  <c r="AX9" i="3"/>
  <c r="AS9" i="13"/>
  <c r="AT10" i="3"/>
  <c r="AS10" i="13" s="1"/>
  <c r="AV9" i="3"/>
  <c r="AQ9" i="13"/>
  <c r="AR10" i="3"/>
  <c r="AQ10" i="13" s="1"/>
  <c r="V6" i="3"/>
  <c r="U7" i="3"/>
  <c r="J72" i="39"/>
  <c r="J70" i="39"/>
  <c r="K91" i="39"/>
  <c r="K89" i="39"/>
  <c r="K90" i="39"/>
  <c r="L4" i="39"/>
  <c r="K9" i="39"/>
  <c r="R61" i="13" l="1" a="1"/>
  <c r="R61" i="13" s="1"/>
  <c r="R60" i="13" a="1"/>
  <c r="R60" i="13" s="1"/>
  <c r="R57" i="13" a="1"/>
  <c r="R57" i="13" s="1"/>
  <c r="R59" i="13" a="1"/>
  <c r="R59" i="13" s="1"/>
  <c r="R63" i="13" a="1"/>
  <c r="R63" i="13" s="1"/>
  <c r="R66" i="13" a="1"/>
  <c r="R66" i="13" s="1"/>
  <c r="R73" i="13" a="1"/>
  <c r="R73" i="13" s="1"/>
  <c r="R71" i="13" a="1"/>
  <c r="R71" i="13" s="1"/>
  <c r="R53" i="13" a="1"/>
  <c r="R53" i="13" s="1"/>
  <c r="R64" i="13" a="1"/>
  <c r="R64" i="13" s="1"/>
  <c r="R55" i="13" a="1"/>
  <c r="R55" i="13" s="1"/>
  <c r="R70" i="13" a="1"/>
  <c r="R70" i="13" s="1"/>
  <c r="R58" i="13" a="1"/>
  <c r="R58" i="13" s="1"/>
  <c r="R56" i="13" a="1"/>
  <c r="R56" i="13" s="1"/>
  <c r="R69" i="13" a="1"/>
  <c r="R69" i="13" s="1"/>
  <c r="R72" i="13" a="1"/>
  <c r="R72" i="13" s="1"/>
  <c r="R54" i="13" a="1"/>
  <c r="R54" i="13" s="1"/>
  <c r="R68" i="13" a="1"/>
  <c r="R68" i="13" s="1"/>
  <c r="R65" i="13" a="1"/>
  <c r="R65" i="13" s="1"/>
  <c r="R67" i="13" a="1"/>
  <c r="R67" i="13" s="1"/>
  <c r="T21" i="3" a="1"/>
  <c r="T21" i="3" s="1"/>
  <c r="S62" i="13" s="1"/>
  <c r="S15" i="13"/>
  <c r="J14" i="39" s="1"/>
  <c r="U8" i="3"/>
  <c r="U15" i="3"/>
  <c r="K6" i="39"/>
  <c r="K10" i="39" s="1"/>
  <c r="K65" i="39"/>
  <c r="J66" i="39"/>
  <c r="J93" i="39"/>
  <c r="L92" i="39"/>
  <c r="L73" i="39" s="1"/>
  <c r="L5" i="39"/>
  <c r="L49" i="39" s="1"/>
  <c r="J116" i="37"/>
  <c r="AM69" i="39"/>
  <c r="U6" i="13"/>
  <c r="V11" i="3"/>
  <c r="BB9" i="3"/>
  <c r="AW9" i="13"/>
  <c r="AX10" i="3"/>
  <c r="AW10" i="13" s="1"/>
  <c r="AY9" i="3"/>
  <c r="AT9" i="13"/>
  <c r="AU10" i="3"/>
  <c r="AT10" i="13" s="1"/>
  <c r="AZ9" i="3"/>
  <c r="AU9" i="13"/>
  <c r="AV10" i="3"/>
  <c r="AU10" i="13" s="1"/>
  <c r="BA9" i="3"/>
  <c r="AV9" i="13"/>
  <c r="AW10" i="3"/>
  <c r="AV10" i="13" s="1"/>
  <c r="T11" i="13"/>
  <c r="W6" i="3"/>
  <c r="V7" i="3"/>
  <c r="K71" i="39"/>
  <c r="K72" i="39"/>
  <c r="K70" i="39"/>
  <c r="L90" i="39"/>
  <c r="L71" i="39" s="1"/>
  <c r="L91" i="39"/>
  <c r="L72" i="39" s="1"/>
  <c r="M4" i="39"/>
  <c r="L9" i="39"/>
  <c r="S58" i="13" l="1" a="1"/>
  <c r="S58" i="13" s="1"/>
  <c r="S65" i="13" a="1"/>
  <c r="S65" i="13" s="1"/>
  <c r="S55" i="13" a="1"/>
  <c r="S55" i="13" s="1"/>
  <c r="S59" i="13" a="1"/>
  <c r="S59" i="13" s="1"/>
  <c r="S67" i="13" a="1"/>
  <c r="S67" i="13" s="1"/>
  <c r="S69" i="13" a="1"/>
  <c r="S69" i="13" s="1"/>
  <c r="S68" i="13" a="1"/>
  <c r="S68" i="13" s="1"/>
  <c r="S61" i="13" a="1"/>
  <c r="S61" i="13" s="1"/>
  <c r="S53" i="13" a="1"/>
  <c r="S53" i="13" s="1"/>
  <c r="S71" i="13" a="1"/>
  <c r="S71" i="13" s="1"/>
  <c r="S66" i="13" a="1"/>
  <c r="S66" i="13" s="1"/>
  <c r="S56" i="13" a="1"/>
  <c r="S56" i="13" s="1"/>
  <c r="S63" i="13" a="1"/>
  <c r="S63" i="13" s="1"/>
  <c r="S60" i="13" a="1"/>
  <c r="S60" i="13" s="1"/>
  <c r="S57" i="13" a="1"/>
  <c r="S57" i="13" s="1"/>
  <c r="S70" i="13" a="1"/>
  <c r="S70" i="13" s="1"/>
  <c r="S54" i="13" a="1"/>
  <c r="S54" i="13" s="1"/>
  <c r="S73" i="13" a="1"/>
  <c r="S73" i="13" s="1"/>
  <c r="S64" i="13" a="1"/>
  <c r="S64" i="13" s="1"/>
  <c r="S72" i="13" a="1"/>
  <c r="S72" i="13" s="1"/>
  <c r="T15" i="13"/>
  <c r="K14" i="39" s="1"/>
  <c r="U21" i="3" a="1"/>
  <c r="U21" i="3" s="1"/>
  <c r="T62" i="13" s="1"/>
  <c r="V8" i="3"/>
  <c r="V15" i="3"/>
  <c r="L6" i="39"/>
  <c r="L10" i="39" s="1"/>
  <c r="L65" i="39"/>
  <c r="K93" i="39"/>
  <c r="K66" i="39"/>
  <c r="M92" i="39"/>
  <c r="M73" i="39" s="1"/>
  <c r="M5" i="39"/>
  <c r="M49" i="39" s="1"/>
  <c r="J117" i="37"/>
  <c r="AN69" i="39"/>
  <c r="BC9" i="3"/>
  <c r="AX9" i="13"/>
  <c r="AY10" i="3"/>
  <c r="AX10" i="13" s="1"/>
  <c r="BF9" i="3"/>
  <c r="BA9" i="13"/>
  <c r="BB10" i="3"/>
  <c r="BA10" i="13" s="1"/>
  <c r="BD9" i="3"/>
  <c r="AY9" i="13"/>
  <c r="AZ10" i="3"/>
  <c r="AY10" i="13" s="1"/>
  <c r="U11" i="13"/>
  <c r="V6" i="13"/>
  <c r="W11" i="3"/>
  <c r="BE9" i="3"/>
  <c r="AZ9" i="13"/>
  <c r="BA10" i="3"/>
  <c r="AZ10" i="13" s="1"/>
  <c r="X6" i="3"/>
  <c r="W7" i="3"/>
  <c r="M90" i="39"/>
  <c r="M71" i="39" s="1"/>
  <c r="M91" i="39"/>
  <c r="M89" i="39"/>
  <c r="N4" i="39"/>
  <c r="M9" i="39"/>
  <c r="T59" i="13" l="1" a="1"/>
  <c r="T59" i="13" s="1"/>
  <c r="T73" i="13" a="1"/>
  <c r="T73" i="13" s="1"/>
  <c r="T70" i="13" a="1"/>
  <c r="T70" i="13" s="1"/>
  <c r="T63" i="13" a="1"/>
  <c r="T63" i="13" s="1"/>
  <c r="T68" i="13" a="1"/>
  <c r="T68" i="13" s="1"/>
  <c r="T57" i="13" a="1"/>
  <c r="T57" i="13" s="1"/>
  <c r="T61" i="13" a="1"/>
  <c r="T61" i="13" s="1"/>
  <c r="T60" i="13" a="1"/>
  <c r="T60" i="13" s="1"/>
  <c r="T71" i="13" a="1"/>
  <c r="T71" i="13" s="1"/>
  <c r="T64" i="13" a="1"/>
  <c r="T64" i="13" s="1"/>
  <c r="T56" i="13" a="1"/>
  <c r="T56" i="13" s="1"/>
  <c r="T72" i="13" a="1"/>
  <c r="T72" i="13" s="1"/>
  <c r="T54" i="13" a="1"/>
  <c r="T54" i="13" s="1"/>
  <c r="T65" i="13" a="1"/>
  <c r="T65" i="13" s="1"/>
  <c r="T66" i="13" a="1"/>
  <c r="T66" i="13" s="1"/>
  <c r="T55" i="13" a="1"/>
  <c r="T55" i="13" s="1"/>
  <c r="T67" i="13" a="1"/>
  <c r="T67" i="13" s="1"/>
  <c r="T69" i="13" a="1"/>
  <c r="T69" i="13" s="1"/>
  <c r="T53" i="13" a="1"/>
  <c r="T53" i="13" s="1"/>
  <c r="T58" i="13" a="1"/>
  <c r="T58" i="13" s="1"/>
  <c r="V21" i="3" a="1"/>
  <c r="V21" i="3" s="1"/>
  <c r="U62" i="13" s="1"/>
  <c r="U15" i="13"/>
  <c r="L14" i="39" s="1"/>
  <c r="W8" i="3"/>
  <c r="W15" i="3"/>
  <c r="M6" i="39"/>
  <c r="M10" i="39" s="1"/>
  <c r="M65" i="39"/>
  <c r="L66" i="39"/>
  <c r="L93" i="39"/>
  <c r="N92" i="39"/>
  <c r="N73" i="39" s="1"/>
  <c r="N5" i="39"/>
  <c r="N49" i="39" s="1"/>
  <c r="J118" i="37"/>
  <c r="AO69" i="39"/>
  <c r="W6" i="13"/>
  <c r="X11" i="3"/>
  <c r="BJ9" i="3"/>
  <c r="BE9" i="13"/>
  <c r="BF10" i="3"/>
  <c r="BE10" i="13" s="1"/>
  <c r="BH9" i="3"/>
  <c r="BC9" i="13"/>
  <c r="BD10" i="3"/>
  <c r="BC10" i="13" s="1"/>
  <c r="V11" i="13"/>
  <c r="BI9" i="3"/>
  <c r="BE10" i="3"/>
  <c r="BD10" i="13" s="1"/>
  <c r="BD9" i="13"/>
  <c r="BG9" i="3"/>
  <c r="BB9" i="13"/>
  <c r="BC10" i="3"/>
  <c r="BB10" i="13" s="1"/>
  <c r="Y6" i="3"/>
  <c r="X7" i="3"/>
  <c r="M72" i="39"/>
  <c r="N90" i="39"/>
  <c r="N71" i="39" s="1"/>
  <c r="N91" i="39"/>
  <c r="N72" i="39" s="1"/>
  <c r="N89" i="39"/>
  <c r="O4" i="39"/>
  <c r="N9" i="39"/>
  <c r="U55" i="13" l="1" a="1"/>
  <c r="U55" i="13" s="1"/>
  <c r="U53" i="13" a="1"/>
  <c r="U53" i="13" s="1"/>
  <c r="U56" i="13" a="1"/>
  <c r="U56" i="13" s="1"/>
  <c r="U70" i="13" a="1"/>
  <c r="U70" i="13" s="1"/>
  <c r="U59" i="13" a="1"/>
  <c r="U59" i="13" s="1"/>
  <c r="U73" i="13" a="1"/>
  <c r="U73" i="13" s="1"/>
  <c r="U69" i="13" a="1"/>
  <c r="U69" i="13" s="1"/>
  <c r="U63" i="13" a="1"/>
  <c r="U63" i="13" s="1"/>
  <c r="U64" i="13" a="1"/>
  <c r="U64" i="13" s="1"/>
  <c r="U61" i="13" a="1"/>
  <c r="U61" i="13" s="1"/>
  <c r="U54" i="13" a="1"/>
  <c r="U54" i="13" s="1"/>
  <c r="U58" i="13" a="1"/>
  <c r="U58" i="13" s="1"/>
  <c r="U66" i="13" a="1"/>
  <c r="U66" i="13" s="1"/>
  <c r="U67" i="13" a="1"/>
  <c r="U67" i="13" s="1"/>
  <c r="U57" i="13" a="1"/>
  <c r="U57" i="13" s="1"/>
  <c r="U65" i="13" a="1"/>
  <c r="U65" i="13" s="1"/>
  <c r="U68" i="13" a="1"/>
  <c r="U68" i="13" s="1"/>
  <c r="U60" i="13" a="1"/>
  <c r="U60" i="13" s="1"/>
  <c r="U72" i="13" a="1"/>
  <c r="U72" i="13" s="1"/>
  <c r="U71" i="13" a="1"/>
  <c r="U71" i="13" s="1"/>
  <c r="W21" i="3" a="1"/>
  <c r="W21" i="3" s="1"/>
  <c r="V62" i="13" s="1"/>
  <c r="V15" i="13"/>
  <c r="M14" i="39" s="1"/>
  <c r="X8" i="3"/>
  <c r="X15" i="3"/>
  <c r="N6" i="39"/>
  <c r="N10" i="39" s="1"/>
  <c r="N65" i="39"/>
  <c r="M66" i="39"/>
  <c r="M93" i="39"/>
  <c r="O92" i="39"/>
  <c r="O73" i="39" s="1"/>
  <c r="O5" i="39"/>
  <c r="O49" i="39" s="1"/>
  <c r="J119" i="37"/>
  <c r="AP69" i="39"/>
  <c r="X6" i="13"/>
  <c r="Y11" i="3"/>
  <c r="BK9" i="3"/>
  <c r="BF9" i="13"/>
  <c r="BG10" i="3"/>
  <c r="BF10" i="13" s="1"/>
  <c r="BL9" i="3"/>
  <c r="BG9" i="13"/>
  <c r="BH10" i="3"/>
  <c r="BG10" i="13" s="1"/>
  <c r="BN9" i="3"/>
  <c r="BI9" i="13"/>
  <c r="BJ10" i="3"/>
  <c r="BI10" i="13" s="1"/>
  <c r="W11" i="13"/>
  <c r="BM9" i="3"/>
  <c r="BH9" i="13"/>
  <c r="BI10" i="3"/>
  <c r="BH10" i="13" s="1"/>
  <c r="Z6" i="3"/>
  <c r="Y7" i="3"/>
  <c r="O90" i="39"/>
  <c r="O71" i="39" s="1"/>
  <c r="O91" i="39"/>
  <c r="O72" i="39" s="1"/>
  <c r="O89" i="39"/>
  <c r="P4" i="39"/>
  <c r="O9" i="39"/>
  <c r="V54" i="13" l="1" a="1"/>
  <c r="V54" i="13" s="1"/>
  <c r="V67" i="13" a="1"/>
  <c r="V67" i="13" s="1"/>
  <c r="V72" i="13" a="1"/>
  <c r="V72" i="13" s="1"/>
  <c r="V66" i="13" a="1"/>
  <c r="V66" i="13" s="1"/>
  <c r="V57" i="13" a="1"/>
  <c r="V57" i="13" s="1"/>
  <c r="V56" i="13" a="1"/>
  <c r="V56" i="13" s="1"/>
  <c r="V60" i="13" a="1"/>
  <c r="V60" i="13" s="1"/>
  <c r="V59" i="13" a="1"/>
  <c r="V59" i="13" s="1"/>
  <c r="V68" i="13" a="1"/>
  <c r="V68" i="13" s="1"/>
  <c r="V73" i="13" a="1"/>
  <c r="V73" i="13" s="1"/>
  <c r="V71" i="13" a="1"/>
  <c r="V71" i="13" s="1"/>
  <c r="V70" i="13" a="1"/>
  <c r="V70" i="13" s="1"/>
  <c r="V64" i="13" a="1"/>
  <c r="V64" i="13" s="1"/>
  <c r="V53" i="13" a="1"/>
  <c r="V53" i="13" s="1"/>
  <c r="V63" i="13" a="1"/>
  <c r="V63" i="13" s="1"/>
  <c r="V55" i="13" a="1"/>
  <c r="V55" i="13" s="1"/>
  <c r="V58" i="13" a="1"/>
  <c r="V58" i="13" s="1"/>
  <c r="V65" i="13" a="1"/>
  <c r="V65" i="13" s="1"/>
  <c r="V69" i="13" a="1"/>
  <c r="V69" i="13" s="1"/>
  <c r="V61" i="13" a="1"/>
  <c r="V61" i="13" s="1"/>
  <c r="X21" i="3" a="1"/>
  <c r="X21" i="3" s="1"/>
  <c r="W62" i="13" s="1"/>
  <c r="W15" i="13"/>
  <c r="N14" i="39" s="1"/>
  <c r="Y8" i="3"/>
  <c r="Y15" i="3"/>
  <c r="O6" i="39"/>
  <c r="O10" i="39" s="1"/>
  <c r="O65" i="39"/>
  <c r="N66" i="39"/>
  <c r="N93" i="39"/>
  <c r="P92" i="39"/>
  <c r="P73" i="39" s="1"/>
  <c r="P5" i="39"/>
  <c r="P49" i="39" s="1"/>
  <c r="J121" i="37"/>
  <c r="J120" i="37"/>
  <c r="AQ69" i="39"/>
  <c r="BQ9" i="3"/>
  <c r="BL9" i="13"/>
  <c r="BM10" i="3"/>
  <c r="BL10" i="13" s="1"/>
  <c r="BP9" i="3"/>
  <c r="BK9" i="13"/>
  <c r="BL10" i="3"/>
  <c r="BK10" i="13" s="1"/>
  <c r="BO9" i="3"/>
  <c r="BJ9" i="13"/>
  <c r="BK10" i="3"/>
  <c r="BJ10" i="13" s="1"/>
  <c r="BR9" i="3"/>
  <c r="BM9" i="13"/>
  <c r="BN10" i="3"/>
  <c r="BM10" i="13" s="1"/>
  <c r="X11" i="13"/>
  <c r="Y6" i="13"/>
  <c r="Z11" i="3"/>
  <c r="AA6" i="3"/>
  <c r="Z7" i="3"/>
  <c r="P89" i="39"/>
  <c r="P91" i="39"/>
  <c r="P72" i="39" s="1"/>
  <c r="P90" i="39"/>
  <c r="P71" i="39" s="1"/>
  <c r="Q4" i="39"/>
  <c r="P9" i="39"/>
  <c r="W56" i="13" l="1" a="1"/>
  <c r="W56" i="13" s="1"/>
  <c r="W65" i="13" a="1"/>
  <c r="W65" i="13" s="1"/>
  <c r="W66" i="13" a="1"/>
  <c r="W66" i="13" s="1"/>
  <c r="W70" i="13" a="1"/>
  <c r="W70" i="13" s="1"/>
  <c r="W59" i="13" a="1"/>
  <c r="W59" i="13" s="1"/>
  <c r="W55" i="13" a="1"/>
  <c r="W55" i="13" s="1"/>
  <c r="W63" i="13" a="1"/>
  <c r="W63" i="13" s="1"/>
  <c r="W72" i="13" a="1"/>
  <c r="W72" i="13" s="1"/>
  <c r="W73" i="13" a="1"/>
  <c r="W73" i="13" s="1"/>
  <c r="W54" i="13" a="1"/>
  <c r="W54" i="13" s="1"/>
  <c r="W71" i="13" a="1"/>
  <c r="W71" i="13" s="1"/>
  <c r="W53" i="13" a="1"/>
  <c r="W53" i="13" s="1"/>
  <c r="W57" i="13" a="1"/>
  <c r="W57" i="13" s="1"/>
  <c r="W64" i="13" a="1"/>
  <c r="W64" i="13" s="1"/>
  <c r="W58" i="13" a="1"/>
  <c r="W58" i="13" s="1"/>
  <c r="W67" i="13" a="1"/>
  <c r="W67" i="13" s="1"/>
  <c r="W61" i="13" a="1"/>
  <c r="W61" i="13" s="1"/>
  <c r="W69" i="13" a="1"/>
  <c r="W69" i="13" s="1"/>
  <c r="W60" i="13" a="1"/>
  <c r="W60" i="13" s="1"/>
  <c r="W68" i="13" a="1"/>
  <c r="W68" i="13" s="1"/>
  <c r="Y21" i="3" a="1"/>
  <c r="Y21" i="3" s="1"/>
  <c r="X62" i="13" s="1"/>
  <c r="X15" i="13"/>
  <c r="O14" i="39" s="1"/>
  <c r="Z8" i="3"/>
  <c r="Z15" i="3"/>
  <c r="P6" i="39"/>
  <c r="P10" i="39" s="1"/>
  <c r="P65" i="39"/>
  <c r="O66" i="39"/>
  <c r="O93" i="39"/>
  <c r="Q92" i="39"/>
  <c r="Q73" i="39" s="1"/>
  <c r="Q5" i="39"/>
  <c r="Q49" i="39" s="1"/>
  <c r="J122" i="37"/>
  <c r="L89" i="39"/>
  <c r="AR69" i="39"/>
  <c r="Z6" i="13"/>
  <c r="AA11" i="3"/>
  <c r="Y11" i="13"/>
  <c r="BS9" i="3"/>
  <c r="BN9" i="13"/>
  <c r="BO10" i="3"/>
  <c r="BN10" i="13" s="1"/>
  <c r="BT9" i="3"/>
  <c r="BO9" i="13"/>
  <c r="BP10" i="3"/>
  <c r="BO10" i="13" s="1"/>
  <c r="BV9" i="3"/>
  <c r="BQ9" i="13"/>
  <c r="BR10" i="3"/>
  <c r="BQ10" i="13" s="1"/>
  <c r="BU9" i="3"/>
  <c r="BP9" i="13"/>
  <c r="BQ10" i="3"/>
  <c r="BP10" i="13" s="1"/>
  <c r="AB6" i="3"/>
  <c r="AA7" i="3"/>
  <c r="Q91" i="39"/>
  <c r="Q72" i="39" s="1"/>
  <c r="Q89" i="39"/>
  <c r="Q90" i="39"/>
  <c r="Q71" i="39" s="1"/>
  <c r="R4" i="39"/>
  <c r="Q9" i="39"/>
  <c r="X55" i="13" l="1" a="1"/>
  <c r="X55" i="13" s="1"/>
  <c r="X57" i="13" a="1"/>
  <c r="X57" i="13" s="1"/>
  <c r="X60" i="13" a="1"/>
  <c r="X60" i="13" s="1"/>
  <c r="X64" i="13" a="1"/>
  <c r="X64" i="13" s="1"/>
  <c r="X65" i="13" a="1"/>
  <c r="X65" i="13" s="1"/>
  <c r="X59" i="13" a="1"/>
  <c r="X59" i="13" s="1"/>
  <c r="X54" i="13" a="1"/>
  <c r="X54" i="13" s="1"/>
  <c r="X70" i="13" a="1"/>
  <c r="X70" i="13" s="1"/>
  <c r="X63" i="13" a="1"/>
  <c r="X63" i="13" s="1"/>
  <c r="X61" i="13" a="1"/>
  <c r="X61" i="13" s="1"/>
  <c r="X71" i="13" a="1"/>
  <c r="X71" i="13" s="1"/>
  <c r="X73" i="13" a="1"/>
  <c r="X73" i="13" s="1"/>
  <c r="X53" i="13" a="1"/>
  <c r="X53" i="13" s="1"/>
  <c r="X66" i="13" a="1"/>
  <c r="X66" i="13" s="1"/>
  <c r="X56" i="13" a="1"/>
  <c r="X56" i="13" s="1"/>
  <c r="X58" i="13" a="1"/>
  <c r="X58" i="13" s="1"/>
  <c r="X69" i="13" a="1"/>
  <c r="X69" i="13" s="1"/>
  <c r="X72" i="13" a="1"/>
  <c r="X72" i="13" s="1"/>
  <c r="X67" i="13" a="1"/>
  <c r="X67" i="13" s="1"/>
  <c r="X68" i="13" a="1"/>
  <c r="X68" i="13" s="1"/>
  <c r="Y15" i="13"/>
  <c r="P14" i="39" s="1"/>
  <c r="Z21" i="3" a="1"/>
  <c r="Z21" i="3" s="1"/>
  <c r="Y62" i="13" s="1"/>
  <c r="AA8" i="3"/>
  <c r="AA15" i="3"/>
  <c r="Q6" i="39"/>
  <c r="Q10" i="39" s="1"/>
  <c r="Q65" i="39"/>
  <c r="P66" i="39"/>
  <c r="P93" i="39"/>
  <c r="R92" i="39"/>
  <c r="R73" i="39" s="1"/>
  <c r="R5" i="39"/>
  <c r="R49" i="39" s="1"/>
  <c r="K108" i="37"/>
  <c r="K109" i="37"/>
  <c r="K110" i="37"/>
  <c r="K111" i="37"/>
  <c r="K112" i="37"/>
  <c r="K113" i="37"/>
  <c r="K114" i="37"/>
  <c r="K115" i="37"/>
  <c r="K116" i="37"/>
  <c r="K117" i="37"/>
  <c r="K118" i="37"/>
  <c r="K119" i="37"/>
  <c r="K121" i="37"/>
  <c r="K120" i="37"/>
  <c r="F24" i="41"/>
  <c r="J23" i="41" s="1"/>
  <c r="L70" i="39"/>
  <c r="M70" i="39"/>
  <c r="N70" i="39"/>
  <c r="O70" i="39"/>
  <c r="P70" i="39"/>
  <c r="AS69" i="39"/>
  <c r="BZ9" i="3"/>
  <c r="BU9" i="13"/>
  <c r="BV10" i="3"/>
  <c r="BU10" i="13" s="1"/>
  <c r="BX9" i="3"/>
  <c r="BS9" i="13"/>
  <c r="BT10" i="3"/>
  <c r="BS10" i="13" s="1"/>
  <c r="BW9" i="3"/>
  <c r="BR9" i="13"/>
  <c r="BS10" i="3"/>
  <c r="BR10" i="13" s="1"/>
  <c r="BY9" i="3"/>
  <c r="BT9" i="13"/>
  <c r="BU10" i="3"/>
  <c r="BT10" i="13" s="1"/>
  <c r="Z11" i="13"/>
  <c r="AA6" i="13"/>
  <c r="AB11" i="3"/>
  <c r="AC6" i="3"/>
  <c r="AB7" i="3"/>
  <c r="Q70" i="39"/>
  <c r="R91" i="39"/>
  <c r="R72" i="39" s="1"/>
  <c r="R89" i="39"/>
  <c r="R90" i="39"/>
  <c r="R71" i="39" s="1"/>
  <c r="S4" i="39"/>
  <c r="R9" i="39"/>
  <c r="Y57" i="13" l="1" a="1"/>
  <c r="Y57" i="13" s="1"/>
  <c r="Y56" i="13" a="1"/>
  <c r="Y56" i="13" s="1"/>
  <c r="Y59" i="13" a="1"/>
  <c r="Y59" i="13" s="1"/>
  <c r="Y53" i="13" a="1"/>
  <c r="Y53" i="13" s="1"/>
  <c r="Y55" i="13" a="1"/>
  <c r="Y55" i="13" s="1"/>
  <c r="Y54" i="13" a="1"/>
  <c r="Y54" i="13" s="1"/>
  <c r="Y58" i="13" a="1"/>
  <c r="Y58" i="13" s="1"/>
  <c r="AB8" i="3"/>
  <c r="AB15" i="3"/>
  <c r="Z15" i="13"/>
  <c r="Q14" i="39" s="1"/>
  <c r="AA21" i="3" a="1"/>
  <c r="AA21" i="3" s="1"/>
  <c r="Z62" i="13" s="1"/>
  <c r="R6" i="39"/>
  <c r="R10" i="39" s="1"/>
  <c r="R65" i="39"/>
  <c r="Q93" i="39"/>
  <c r="Q66" i="39"/>
  <c r="S92" i="39"/>
  <c r="S73" i="39" s="1"/>
  <c r="S5" i="39"/>
  <c r="S49" i="39" s="1"/>
  <c r="K122" i="37"/>
  <c r="AT69" i="39"/>
  <c r="CA9" i="3"/>
  <c r="BV9" i="13"/>
  <c r="BW10" i="3"/>
  <c r="BV10" i="13" s="1"/>
  <c r="AA11" i="13"/>
  <c r="CB9" i="3"/>
  <c r="BW9" i="13"/>
  <c r="BX10" i="3"/>
  <c r="BW10" i="13" s="1"/>
  <c r="AB6" i="13"/>
  <c r="AC11" i="3"/>
  <c r="CC9" i="3"/>
  <c r="BX9" i="13"/>
  <c r="BY10" i="3"/>
  <c r="BX10" i="13" s="1"/>
  <c r="CD9" i="3"/>
  <c r="BY9" i="13"/>
  <c r="BZ10" i="3"/>
  <c r="BY10" i="13" s="1"/>
  <c r="AD6" i="3"/>
  <c r="AC7" i="3"/>
  <c r="R70" i="39"/>
  <c r="S91" i="39"/>
  <c r="S72" i="39" s="1"/>
  <c r="S89" i="39"/>
  <c r="S90" i="39"/>
  <c r="S71" i="39" s="1"/>
  <c r="T4" i="39"/>
  <c r="S9" i="39"/>
  <c r="Z59" i="13" l="1" a="1"/>
  <c r="Z59" i="13" s="1"/>
  <c r="Z53" i="13" a="1"/>
  <c r="Z53" i="13" s="1"/>
  <c r="Z57" i="13" a="1"/>
  <c r="Z57" i="13" s="1"/>
  <c r="Z58" i="13" a="1"/>
  <c r="Z58" i="13" s="1"/>
  <c r="Z56" i="13" a="1"/>
  <c r="Z56" i="13" s="1"/>
  <c r="Z55" i="13" a="1"/>
  <c r="Z55" i="13" s="1"/>
  <c r="Z54" i="13" a="1"/>
  <c r="Z54" i="13" s="1"/>
  <c r="AC8" i="3"/>
  <c r="AC15" i="3"/>
  <c r="AB21" i="3" a="1"/>
  <c r="AB21" i="3" s="1"/>
  <c r="AA62" i="13" s="1"/>
  <c r="AA15" i="13"/>
  <c r="R14" i="39" s="1"/>
  <c r="S6" i="39"/>
  <c r="S10" i="39" s="1"/>
  <c r="S65" i="39"/>
  <c r="R93" i="39"/>
  <c r="R66" i="39"/>
  <c r="T92" i="39"/>
  <c r="T73" i="39" s="1"/>
  <c r="T5" i="39"/>
  <c r="T49" i="39" s="1"/>
  <c r="AU69" i="39"/>
  <c r="CF9" i="3"/>
  <c r="CA9" i="13"/>
  <c r="CB10" i="3"/>
  <c r="CA10" i="13" s="1"/>
  <c r="CC9" i="13"/>
  <c r="CD10" i="3"/>
  <c r="CC10" i="13" s="1"/>
  <c r="AC6" i="13"/>
  <c r="AD11" i="3"/>
  <c r="CG9" i="3"/>
  <c r="CB9" i="13"/>
  <c r="CC10" i="3"/>
  <c r="CB10" i="13" s="1"/>
  <c r="AB11" i="13"/>
  <c r="CE9" i="3"/>
  <c r="BZ9" i="13"/>
  <c r="CA10" i="3"/>
  <c r="BZ10" i="13" s="1"/>
  <c r="AE6" i="3"/>
  <c r="AD7" i="3"/>
  <c r="S70" i="39"/>
  <c r="T90" i="39"/>
  <c r="T71" i="39" s="1"/>
  <c r="T91" i="39"/>
  <c r="T72" i="39" s="1"/>
  <c r="T89" i="39"/>
  <c r="U4" i="39"/>
  <c r="T9" i="39"/>
  <c r="AA54" i="13" l="1" a="1"/>
  <c r="AA54" i="13" s="1"/>
  <c r="AA56" i="13" a="1"/>
  <c r="AA56" i="13" s="1"/>
  <c r="AA59" i="13" a="1"/>
  <c r="AA59" i="13" s="1"/>
  <c r="AA53" i="13" a="1"/>
  <c r="AA53" i="13" s="1"/>
  <c r="AA55" i="13" a="1"/>
  <c r="AA55" i="13" s="1"/>
  <c r="AA57" i="13" a="1"/>
  <c r="AA57" i="13" s="1"/>
  <c r="AA58" i="13" a="1"/>
  <c r="AA58" i="13" s="1"/>
  <c r="AD8" i="3"/>
  <c r="AD15" i="3"/>
  <c r="AB15" i="13"/>
  <c r="S14" i="39" s="1"/>
  <c r="AC21" i="3" a="1"/>
  <c r="AC21" i="3" s="1"/>
  <c r="AB62" i="13" s="1"/>
  <c r="T6" i="39"/>
  <c r="T10" i="39" s="1"/>
  <c r="T65" i="39"/>
  <c r="S93" i="39"/>
  <c r="S66" i="39"/>
  <c r="U92" i="39"/>
  <c r="U73" i="39" s="1"/>
  <c r="U5" i="39"/>
  <c r="U49" i="39" s="1"/>
  <c r="AV69" i="39"/>
  <c r="AB58" i="13" a="1"/>
  <c r="AB58" i="13" s="1"/>
  <c r="AB57" i="13" a="1"/>
  <c r="AB57" i="13" s="1"/>
  <c r="AB55" i="13" a="1"/>
  <c r="AB55" i="13" s="1"/>
  <c r="AB59" i="13" a="1"/>
  <c r="AB59" i="13" s="1"/>
  <c r="AC11" i="13"/>
  <c r="CF9" i="13"/>
  <c r="CG10" i="3"/>
  <c r="CF10" i="13" s="1"/>
  <c r="CD9" i="13"/>
  <c r="CE10" i="3"/>
  <c r="CD10" i="13" s="1"/>
  <c r="AD6" i="13"/>
  <c r="AE11" i="3"/>
  <c r="CE9" i="13"/>
  <c r="CF10" i="3"/>
  <c r="CE10" i="13" s="1"/>
  <c r="AF6" i="3"/>
  <c r="AE7" i="3"/>
  <c r="T70" i="39"/>
  <c r="U90" i="39"/>
  <c r="U71" i="39" s="1"/>
  <c r="U91" i="39"/>
  <c r="U72" i="39" s="1"/>
  <c r="U89" i="39"/>
  <c r="V4" i="39"/>
  <c r="U9" i="39"/>
  <c r="AB54" i="13" l="1" a="1"/>
  <c r="AB54" i="13" s="1"/>
  <c r="AB53" i="13" a="1"/>
  <c r="AB53" i="13" s="1"/>
  <c r="AB56" i="13" a="1"/>
  <c r="AB56" i="13" s="1"/>
  <c r="AD21" i="3" a="1"/>
  <c r="AD21" i="3" s="1"/>
  <c r="AC62" i="13" s="1"/>
  <c r="AC15" i="13"/>
  <c r="T14" i="39" s="1"/>
  <c r="AE8" i="3"/>
  <c r="AE15" i="3"/>
  <c r="U6" i="39"/>
  <c r="U10" i="39" s="1"/>
  <c r="U65" i="39"/>
  <c r="T66" i="39"/>
  <c r="T93" i="39"/>
  <c r="V92" i="39"/>
  <c r="V73" i="39" s="1"/>
  <c r="V5" i="39"/>
  <c r="V49" i="39" s="1"/>
  <c r="AW69" i="39"/>
  <c r="AD11" i="13"/>
  <c r="AE6" i="13"/>
  <c r="AF11" i="3"/>
  <c r="AG6" i="3"/>
  <c r="AF7" i="3"/>
  <c r="U70" i="39"/>
  <c r="V90" i="39"/>
  <c r="V71" i="39" s="1"/>
  <c r="V91" i="39"/>
  <c r="V72" i="39" s="1"/>
  <c r="V89" i="39"/>
  <c r="W4" i="39"/>
  <c r="V9" i="39"/>
  <c r="AC58" i="13" l="1" a="1"/>
  <c r="AC58" i="13" s="1"/>
  <c r="AC59" i="13" a="1"/>
  <c r="AC59" i="13" s="1"/>
  <c r="AC56" i="13" a="1"/>
  <c r="AC56" i="13" s="1"/>
  <c r="AC57" i="13" a="1"/>
  <c r="AC57" i="13" s="1"/>
  <c r="AC54" i="13" a="1"/>
  <c r="AC54" i="13" s="1"/>
  <c r="AC53" i="13" a="1"/>
  <c r="AC53" i="13" s="1"/>
  <c r="AC55" i="13" a="1"/>
  <c r="AC55" i="13" s="1"/>
  <c r="AF8" i="3"/>
  <c r="AF15" i="3"/>
  <c r="AE21" i="3" a="1"/>
  <c r="AE21" i="3" s="1"/>
  <c r="AD62" i="13" s="1"/>
  <c r="AD15" i="13"/>
  <c r="U14" i="39" s="1"/>
  <c r="V6" i="39"/>
  <c r="V10" i="39" s="1"/>
  <c r="V65" i="39"/>
  <c r="U93" i="39"/>
  <c r="U66" i="39"/>
  <c r="W92" i="39"/>
  <c r="W73" i="39" s="1"/>
  <c r="W5" i="39"/>
  <c r="W49" i="39" s="1"/>
  <c r="AX69" i="39"/>
  <c r="AD58" i="13" a="1"/>
  <c r="AD58" i="13" s="1"/>
  <c r="AD59" i="13" a="1"/>
  <c r="AD59" i="13" s="1"/>
  <c r="AE11" i="13"/>
  <c r="AF6" i="13"/>
  <c r="AG11" i="3"/>
  <c r="AH6" i="3"/>
  <c r="AG7" i="3"/>
  <c r="V70" i="39"/>
  <c r="W90" i="39"/>
  <c r="W71" i="39" s="1"/>
  <c r="W91" i="39"/>
  <c r="W72" i="39" s="1"/>
  <c r="W89" i="39"/>
  <c r="X4" i="39"/>
  <c r="W9" i="39"/>
  <c r="AD53" i="13" l="1" a="1"/>
  <c r="AD53" i="13" s="1"/>
  <c r="AD54" i="13" a="1"/>
  <c r="AD54" i="13" s="1"/>
  <c r="AD57" i="13" a="1"/>
  <c r="AD57" i="13" s="1"/>
  <c r="AG8" i="3"/>
  <c r="AG15" i="3"/>
  <c r="AD55" i="13" a="1"/>
  <c r="AD55" i="13" s="1"/>
  <c r="AF21" i="3" a="1"/>
  <c r="AF21" i="3" s="1"/>
  <c r="AE62" i="13" s="1"/>
  <c r="AE15" i="13"/>
  <c r="V14" i="39" s="1"/>
  <c r="AD56" i="13" a="1"/>
  <c r="AD56" i="13" s="1"/>
  <c r="W6" i="39"/>
  <c r="W10" i="39" s="1"/>
  <c r="W65" i="39"/>
  <c r="V66" i="39"/>
  <c r="V93" i="39"/>
  <c r="X92" i="39"/>
  <c r="X73" i="39" s="1"/>
  <c r="X5" i="39"/>
  <c r="X49" i="39" s="1"/>
  <c r="AY69" i="39"/>
  <c r="AF11" i="13"/>
  <c r="AG6" i="13"/>
  <c r="AH11" i="3"/>
  <c r="AI6" i="3"/>
  <c r="AH7" i="3"/>
  <c r="W70" i="39"/>
  <c r="X91" i="39"/>
  <c r="X72" i="39" s="1"/>
  <c r="X89" i="39"/>
  <c r="X90" i="39"/>
  <c r="X71" i="39" s="1"/>
  <c r="Y4" i="39"/>
  <c r="X9" i="39"/>
  <c r="AE57" i="13" l="1" a="1"/>
  <c r="AE57" i="13" s="1"/>
  <c r="AE58" i="13" a="1"/>
  <c r="AE58" i="13" s="1"/>
  <c r="AE53" i="13" a="1"/>
  <c r="AE53" i="13" s="1"/>
  <c r="AE55" i="13" a="1"/>
  <c r="AE55" i="13" s="1"/>
  <c r="AE56" i="13" a="1"/>
  <c r="AE56" i="13" s="1"/>
  <c r="AH8" i="3"/>
  <c r="AH15" i="3"/>
  <c r="AE54" i="13" a="1"/>
  <c r="AE54" i="13" s="1"/>
  <c r="AF15" i="13"/>
  <c r="W14" i="39" s="1"/>
  <c r="AG21" i="3" a="1"/>
  <c r="AG21" i="3" s="1"/>
  <c r="AF62" i="13" s="1"/>
  <c r="AE59" i="13" a="1"/>
  <c r="AE59" i="13" s="1"/>
  <c r="X6" i="39"/>
  <c r="X10" i="39" s="1"/>
  <c r="X65" i="39"/>
  <c r="W93" i="39"/>
  <c r="W66" i="39"/>
  <c r="Y92" i="39"/>
  <c r="Y73" i="39" s="1"/>
  <c r="Y5" i="39"/>
  <c r="Y49" i="39" s="1"/>
  <c r="AZ69" i="39"/>
  <c r="AH6" i="13"/>
  <c r="AI11" i="3"/>
  <c r="AG11" i="13"/>
  <c r="AJ6" i="3"/>
  <c r="AI7" i="3"/>
  <c r="X70" i="39"/>
  <c r="Y91" i="39"/>
  <c r="Y72" i="39" s="1"/>
  <c r="Y89" i="39"/>
  <c r="Y90" i="39"/>
  <c r="Y71" i="39" s="1"/>
  <c r="Z4" i="39"/>
  <c r="Y9" i="39"/>
  <c r="AF57" i="13" l="1" a="1"/>
  <c r="AF57" i="13" s="1"/>
  <c r="AF53" i="13" a="1"/>
  <c r="AF53" i="13" s="1"/>
  <c r="AF58" i="13" a="1"/>
  <c r="AF58" i="13" s="1"/>
  <c r="AF54" i="13" a="1"/>
  <c r="AF54" i="13" s="1"/>
  <c r="AF55" i="13" a="1"/>
  <c r="AF55" i="13" s="1"/>
  <c r="AG15" i="13"/>
  <c r="X14" i="39" s="1"/>
  <c r="AH21" i="3" a="1"/>
  <c r="AH21" i="3" s="1"/>
  <c r="AG62" i="13" s="1"/>
  <c r="AF56" i="13" a="1"/>
  <c r="AF56" i="13" s="1"/>
  <c r="AI8" i="3"/>
  <c r="AI15" i="3"/>
  <c r="AF59" i="13" a="1"/>
  <c r="AF59" i="13" s="1"/>
  <c r="Y6" i="39"/>
  <c r="Y10" i="39" s="1"/>
  <c r="Y65" i="39"/>
  <c r="X93" i="39"/>
  <c r="X66" i="39"/>
  <c r="Z92" i="39"/>
  <c r="Z73" i="39" s="1"/>
  <c r="Z5" i="39"/>
  <c r="Z49" i="39" s="1"/>
  <c r="BA69" i="39"/>
  <c r="AH11" i="13"/>
  <c r="AI6" i="13"/>
  <c r="AJ11" i="3"/>
  <c r="AK6" i="3"/>
  <c r="AJ7" i="3"/>
  <c r="Y70" i="39"/>
  <c r="Z91" i="39"/>
  <c r="Z72" i="39" s="1"/>
  <c r="Z89" i="39"/>
  <c r="Z90" i="39"/>
  <c r="Z71" i="39" s="1"/>
  <c r="AA4" i="39"/>
  <c r="Z9" i="39"/>
  <c r="AG57" i="13" l="1" a="1"/>
  <c r="AG57" i="13" s="1"/>
  <c r="AG53" i="13" a="1"/>
  <c r="AG53" i="13" s="1"/>
  <c r="AG55" i="13" a="1"/>
  <c r="AG55" i="13" s="1"/>
  <c r="AG58" i="13" a="1"/>
  <c r="AG58" i="13" s="1"/>
  <c r="AG56" i="13" a="1"/>
  <c r="AG56" i="13" s="1"/>
  <c r="AG59" i="13" a="1"/>
  <c r="AG59" i="13" s="1"/>
  <c r="AG54" i="13" a="1"/>
  <c r="AG54" i="13" s="1"/>
  <c r="AH15" i="13"/>
  <c r="Y14" i="39" s="1"/>
  <c r="AI21" i="3" a="1"/>
  <c r="AI21" i="3" s="1"/>
  <c r="AH62" i="13" s="1"/>
  <c r="AJ8" i="3"/>
  <c r="AJ15" i="3"/>
  <c r="Z6" i="39"/>
  <c r="Z10" i="39" s="1"/>
  <c r="Z65" i="39"/>
  <c r="Y66" i="39"/>
  <c r="Y93" i="39"/>
  <c r="AA92" i="39"/>
  <c r="AA73" i="39" s="1"/>
  <c r="AA5" i="39"/>
  <c r="AA49" i="39" s="1"/>
  <c r="BB69" i="39"/>
  <c r="AJ6" i="13"/>
  <c r="AK11" i="3"/>
  <c r="AI11" i="13"/>
  <c r="AL6" i="3"/>
  <c r="AK7" i="3"/>
  <c r="Z70" i="39"/>
  <c r="AA91" i="39"/>
  <c r="AA72" i="39" s="1"/>
  <c r="AA89" i="39"/>
  <c r="AA90" i="39"/>
  <c r="AA71" i="39" s="1"/>
  <c r="AB4" i="39"/>
  <c r="AB5" i="39" s="1"/>
  <c r="AB49" i="39" s="1"/>
  <c r="AA9" i="39"/>
  <c r="AH58" i="13" l="1" a="1"/>
  <c r="AH58" i="13" s="1"/>
  <c r="AH53" i="13" a="1"/>
  <c r="AH53" i="13" s="1"/>
  <c r="AH57" i="13" a="1"/>
  <c r="AH57" i="13" s="1"/>
  <c r="AH54" i="13" a="1"/>
  <c r="AH54" i="13" s="1"/>
  <c r="AH56" i="13" a="1"/>
  <c r="AH56" i="13" s="1"/>
  <c r="AH55" i="13" a="1"/>
  <c r="AH55" i="13" s="1"/>
  <c r="AH59" i="13" a="1"/>
  <c r="AH59" i="13" s="1"/>
  <c r="AK8" i="3"/>
  <c r="AK15" i="3"/>
  <c r="AJ21" i="3" a="1"/>
  <c r="AJ21" i="3" s="1"/>
  <c r="AI62" i="13" s="1"/>
  <c r="AI15" i="13"/>
  <c r="Z14" i="39" s="1"/>
  <c r="AA6" i="39"/>
  <c r="AA10" i="39" s="1"/>
  <c r="AA65" i="39"/>
  <c r="Z93" i="39"/>
  <c r="Z66" i="39"/>
  <c r="AB6" i="39"/>
  <c r="AB10" i="39" s="1"/>
  <c r="AB65" i="39"/>
  <c r="AB92" i="39"/>
  <c r="AB73" i="39" s="1"/>
  <c r="AB91" i="39"/>
  <c r="AB72" i="39" s="1"/>
  <c r="AB90" i="39"/>
  <c r="AB71" i="39" s="1"/>
  <c r="AB89" i="39"/>
  <c r="AB70" i="39" s="1"/>
  <c r="BC69" i="39"/>
  <c r="AK6" i="13"/>
  <c r="AL11" i="3"/>
  <c r="AJ11" i="13"/>
  <c r="AM6" i="3"/>
  <c r="AL7" i="3"/>
  <c r="AL15" i="3" s="1"/>
  <c r="AA70" i="39"/>
  <c r="AC4" i="39"/>
  <c r="AC5" i="39" s="1"/>
  <c r="AC49" i="39" s="1"/>
  <c r="AB9" i="39"/>
  <c r="AI55" i="13" l="1" a="1"/>
  <c r="AI55" i="13" s="1"/>
  <c r="AI58" i="13" a="1"/>
  <c r="AI58" i="13" s="1"/>
  <c r="AL21" i="3" a="1"/>
  <c r="AL21" i="3" s="1"/>
  <c r="AK62" i="13" s="1"/>
  <c r="AK15" i="13"/>
  <c r="AB14" i="39" s="1"/>
  <c r="AI53" i="13" a="1"/>
  <c r="AI53" i="13" s="1"/>
  <c r="AI54" i="13" a="1"/>
  <c r="AI54" i="13" s="1"/>
  <c r="AI59" i="13" a="1"/>
  <c r="AI59" i="13" s="1"/>
  <c r="AI57" i="13" a="1"/>
  <c r="AI57" i="13" s="1"/>
  <c r="AJ15" i="13"/>
  <c r="AA14" i="39" s="1"/>
  <c r="AK21" i="3" a="1"/>
  <c r="AK21" i="3" s="1"/>
  <c r="AJ62" i="13" s="1"/>
  <c r="AI56" i="13" a="1"/>
  <c r="AI56" i="13" s="1"/>
  <c r="AB66" i="39"/>
  <c r="AB93" i="39"/>
  <c r="AA93" i="39"/>
  <c r="AA66" i="39"/>
  <c r="AC6" i="39"/>
  <c r="AC10" i="39" s="1"/>
  <c r="AC65" i="39"/>
  <c r="AC92" i="39"/>
  <c r="AC73" i="39" s="1"/>
  <c r="AC91" i="39"/>
  <c r="AC72" i="39" s="1"/>
  <c r="AC90" i="39"/>
  <c r="AC71" i="39" s="1"/>
  <c r="AC89" i="39"/>
  <c r="AC70" i="39" s="1"/>
  <c r="BD69" i="39"/>
  <c r="AK7" i="13"/>
  <c r="AK12" i="13" s="1"/>
  <c r="AL8" i="3"/>
  <c r="AL6" i="13"/>
  <c r="AM11" i="3"/>
  <c r="AK11" i="13"/>
  <c r="AN6" i="3"/>
  <c r="AM7" i="3"/>
  <c r="AM15" i="3" s="1"/>
  <c r="AD4" i="39"/>
  <c r="AD5" i="39" s="1"/>
  <c r="AD49" i="39" s="1"/>
  <c r="AC9" i="39"/>
  <c r="AJ58" i="13" l="1" a="1"/>
  <c r="AJ58" i="13" s="1"/>
  <c r="AL23" i="3" a="1"/>
  <c r="AL23" i="3" s="1"/>
  <c r="AJ57" i="13" a="1"/>
  <c r="AJ57" i="13" s="1"/>
  <c r="AM21" i="3" a="1"/>
  <c r="AM21" i="3" s="1"/>
  <c r="AL62" i="13" s="1"/>
  <c r="AL15" i="13"/>
  <c r="AC14" i="39" s="1"/>
  <c r="AJ54" i="13" a="1"/>
  <c r="AJ54" i="13" s="1"/>
  <c r="AJ55" i="13" a="1"/>
  <c r="AJ55" i="13" s="1"/>
  <c r="AJ59" i="13" a="1"/>
  <c r="AJ59" i="13" s="1"/>
  <c r="AJ53" i="13" a="1"/>
  <c r="AJ53" i="13" s="1"/>
  <c r="AJ56" i="13" a="1"/>
  <c r="AJ56" i="13" s="1"/>
  <c r="AC66" i="39"/>
  <c r="AC93" i="39"/>
  <c r="AD6" i="39"/>
  <c r="AD10" i="39" s="1"/>
  <c r="AD65" i="39"/>
  <c r="AD92" i="39"/>
  <c r="AD73" i="39" s="1"/>
  <c r="AD91" i="39"/>
  <c r="AD72" i="39" s="1"/>
  <c r="AD90" i="39"/>
  <c r="AD71" i="39" s="1"/>
  <c r="AD89" i="39"/>
  <c r="AD70" i="39" s="1"/>
  <c r="BE69" i="39"/>
  <c r="AK58" i="13" a="1"/>
  <c r="AK58" i="13" s="1"/>
  <c r="AK59" i="13" a="1"/>
  <c r="AK59" i="13" s="1"/>
  <c r="AK56" i="13" a="1"/>
  <c r="AK56" i="13" s="1"/>
  <c r="AK57" i="13" a="1"/>
  <c r="AK57" i="13" s="1"/>
  <c r="AK54" i="13" a="1"/>
  <c r="AK54" i="13" s="1"/>
  <c r="AK55" i="13" a="1"/>
  <c r="AK55" i="13" s="1"/>
  <c r="AK53" i="13" a="1"/>
  <c r="AK53" i="13" s="1"/>
  <c r="AK20" i="13"/>
  <c r="AM6" i="13"/>
  <c r="AN11" i="3"/>
  <c r="AK8" i="13"/>
  <c r="AL12" i="3"/>
  <c r="AL7" i="13"/>
  <c r="AL12" i="13" s="1"/>
  <c r="AM8" i="3"/>
  <c r="AL11" i="13"/>
  <c r="AO6" i="3"/>
  <c r="AN7" i="3"/>
  <c r="AN15" i="3" s="1"/>
  <c r="AE4" i="39"/>
  <c r="AE5" i="39" s="1"/>
  <c r="AE49" i="39" s="1"/>
  <c r="AD9" i="39"/>
  <c r="AM23" i="3" l="1" a="1"/>
  <c r="AM23" i="3" s="1"/>
  <c r="AM15" i="13"/>
  <c r="AD14" i="39" s="1"/>
  <c r="AN21" i="3" a="1"/>
  <c r="AN21" i="3" s="1"/>
  <c r="AM62" i="13" s="1"/>
  <c r="AD66" i="39"/>
  <c r="AD93" i="39"/>
  <c r="AE6" i="39"/>
  <c r="AE10" i="39" s="1"/>
  <c r="AE65" i="39"/>
  <c r="AB38" i="39"/>
  <c r="AE92" i="39"/>
  <c r="AE73" i="39" s="1"/>
  <c r="AE89" i="39"/>
  <c r="AE70" i="39" s="1"/>
  <c r="AE91" i="39"/>
  <c r="AE72" i="39" s="1"/>
  <c r="AE90" i="39"/>
  <c r="AE71" i="39" s="1"/>
  <c r="BF69" i="39"/>
  <c r="AL57" i="13" a="1"/>
  <c r="AL57" i="13" s="1"/>
  <c r="AL58" i="13" a="1"/>
  <c r="AL58" i="13" s="1"/>
  <c r="AL59" i="13" a="1"/>
  <c r="AL59" i="13" s="1"/>
  <c r="AL54" i="13" a="1"/>
  <c r="AL54" i="13" s="1"/>
  <c r="AL55" i="13" a="1"/>
  <c r="AL55" i="13" s="1"/>
  <c r="AL56" i="13" a="1"/>
  <c r="AL56" i="13" s="1"/>
  <c r="AL53" i="13" a="1"/>
  <c r="AL53" i="13" s="1"/>
  <c r="AL8" i="13"/>
  <c r="AM12" i="3"/>
  <c r="AM11" i="13"/>
  <c r="AN6" i="13"/>
  <c r="AO11" i="3"/>
  <c r="AL20" i="13"/>
  <c r="AM7" i="13"/>
  <c r="AM12" i="13" s="1"/>
  <c r="AN8" i="3"/>
  <c r="AP6" i="3"/>
  <c r="AO7" i="3"/>
  <c r="AO15" i="3" s="1"/>
  <c r="AF4" i="39"/>
  <c r="AF5" i="39" s="1"/>
  <c r="AF49" i="39" s="1"/>
  <c r="AE9" i="39"/>
  <c r="AN23" i="3" l="1" a="1"/>
  <c r="AN23" i="3" s="1"/>
  <c r="AO21" i="3" a="1"/>
  <c r="AO21" i="3" s="1"/>
  <c r="AN62" i="13" s="1"/>
  <c r="AN15" i="13"/>
  <c r="AE14" i="39" s="1"/>
  <c r="AF6" i="39"/>
  <c r="AF10" i="39" s="1"/>
  <c r="AF65" i="39"/>
  <c r="AE93" i="39"/>
  <c r="AE66" i="39"/>
  <c r="AC38" i="39"/>
  <c r="AF92" i="39"/>
  <c r="AF73" i="39" s="1"/>
  <c r="AF91" i="39"/>
  <c r="AF72" i="39" s="1"/>
  <c r="AF90" i="39"/>
  <c r="AF71" i="39" s="1"/>
  <c r="AF89" i="39"/>
  <c r="AF70" i="39" s="1"/>
  <c r="BG69" i="39"/>
  <c r="AM58" i="13" a="1"/>
  <c r="AM58" i="13" s="1"/>
  <c r="AM59" i="13" a="1"/>
  <c r="AM59" i="13" s="1"/>
  <c r="AM56" i="13" a="1"/>
  <c r="AM56" i="13" s="1"/>
  <c r="AM54" i="13" a="1"/>
  <c r="AM54" i="13" s="1"/>
  <c r="AM57" i="13" a="1"/>
  <c r="AM57" i="13" s="1"/>
  <c r="AM55" i="13" a="1"/>
  <c r="AM55" i="13" s="1"/>
  <c r="AM53" i="13" a="1"/>
  <c r="AM53" i="13" s="1"/>
  <c r="AM20" i="13"/>
  <c r="AM8" i="13"/>
  <c r="AN12" i="3"/>
  <c r="AO8" i="3"/>
  <c r="AN7" i="13"/>
  <c r="AN12" i="13" s="1"/>
  <c r="AO6" i="13"/>
  <c r="AP11" i="3"/>
  <c r="AN11" i="13"/>
  <c r="AQ6" i="3"/>
  <c r="AP7" i="3"/>
  <c r="AP15" i="3" s="1"/>
  <c r="AG4" i="39"/>
  <c r="AG5" i="39" s="1"/>
  <c r="AG49" i="39" s="1"/>
  <c r="AF9" i="39"/>
  <c r="AO23" i="3" l="1" a="1"/>
  <c r="AO23" i="3" s="1"/>
  <c r="AN20" i="13" s="1"/>
  <c r="AP21" i="3" a="1"/>
  <c r="AP21" i="3" s="1"/>
  <c r="AO62" i="13" s="1"/>
  <c r="AO15" i="13"/>
  <c r="AF14" i="39" s="1"/>
  <c r="AG6" i="39"/>
  <c r="AG10" i="39" s="1"/>
  <c r="AG65" i="39"/>
  <c r="AF93" i="39"/>
  <c r="AF66" i="39"/>
  <c r="AD38" i="39"/>
  <c r="AG92" i="39"/>
  <c r="AG73" i="39" s="1"/>
  <c r="AG91" i="39"/>
  <c r="AG72" i="39" s="1"/>
  <c r="AG90" i="39"/>
  <c r="AG71" i="39" s="1"/>
  <c r="AG89" i="39"/>
  <c r="AG70" i="39" s="1"/>
  <c r="BH69" i="39"/>
  <c r="AN58" i="13" a="1"/>
  <c r="AN58" i="13" s="1"/>
  <c r="AN59" i="13" a="1"/>
  <c r="AN59" i="13" s="1"/>
  <c r="AN56" i="13" a="1"/>
  <c r="AN56" i="13" s="1"/>
  <c r="AN57" i="13" a="1"/>
  <c r="AN57" i="13" s="1"/>
  <c r="AN55" i="13" a="1"/>
  <c r="AN55" i="13" s="1"/>
  <c r="AN53" i="13" a="1"/>
  <c r="AN53" i="13" s="1"/>
  <c r="AN54" i="13" a="1"/>
  <c r="AN54" i="13" s="1"/>
  <c r="AO7" i="13"/>
  <c r="AO12" i="13" s="1"/>
  <c r="AP8" i="3"/>
  <c r="AP6" i="13"/>
  <c r="AQ11" i="3"/>
  <c r="AO11" i="13"/>
  <c r="AN8" i="13"/>
  <c r="AO12" i="3"/>
  <c r="AR6" i="3"/>
  <c r="AQ7" i="3"/>
  <c r="AQ15" i="3" s="1"/>
  <c r="AH4" i="39"/>
  <c r="AH5" i="39" s="1"/>
  <c r="AH49" i="39" s="1"/>
  <c r="AG9" i="39"/>
  <c r="E64" i="37"/>
  <c r="E63" i="37"/>
  <c r="E62" i="37"/>
  <c r="E61" i="37"/>
  <c r="E59" i="37"/>
  <c r="E57" i="37"/>
  <c r="E56" i="37"/>
  <c r="B38" i="39"/>
  <c r="AP23" i="3" l="1" a="1"/>
  <c r="AP23" i="3" s="1"/>
  <c r="AQ21" i="3" a="1"/>
  <c r="AQ21" i="3" s="1"/>
  <c r="AP62" i="13" s="1"/>
  <c r="AP15" i="13"/>
  <c r="AG14" i="39" s="1"/>
  <c r="AH6" i="39"/>
  <c r="AH10" i="39" s="1"/>
  <c r="AH65" i="39"/>
  <c r="AG93" i="39"/>
  <c r="AG66" i="39"/>
  <c r="AE38" i="39"/>
  <c r="AH92" i="39"/>
  <c r="AH73" i="39" s="1"/>
  <c r="AH91" i="39"/>
  <c r="AH72" i="39" s="1"/>
  <c r="AH90" i="39"/>
  <c r="AH71" i="39" s="1"/>
  <c r="AH89" i="39"/>
  <c r="AH70" i="39" s="1"/>
  <c r="BI69" i="39"/>
  <c r="AO59" i="13" a="1"/>
  <c r="AO59" i="13" s="1"/>
  <c r="AO58" i="13" a="1"/>
  <c r="AO58" i="13" s="1"/>
  <c r="AO57" i="13" a="1"/>
  <c r="AO57" i="13" s="1"/>
  <c r="AO55" i="13" a="1"/>
  <c r="AO55" i="13" s="1"/>
  <c r="AO53" i="13" a="1"/>
  <c r="AO53" i="13" s="1"/>
  <c r="AO56" i="13" a="1"/>
  <c r="AO56" i="13" s="1"/>
  <c r="AO54" i="13" a="1"/>
  <c r="AO54" i="13" s="1"/>
  <c r="AP11" i="13"/>
  <c r="AR11" i="3"/>
  <c r="AQ6" i="13"/>
  <c r="AO8" i="13"/>
  <c r="AP12" i="3"/>
  <c r="AP7" i="13"/>
  <c r="AP12" i="13" s="1"/>
  <c r="AQ8" i="3"/>
  <c r="AO20" i="13"/>
  <c r="AS6" i="3"/>
  <c r="AR7" i="3"/>
  <c r="AR15" i="3" s="1"/>
  <c r="AI4" i="39"/>
  <c r="AI5" i="39" s="1"/>
  <c r="AI49" i="39" s="1"/>
  <c r="AH9" i="39"/>
  <c r="AQ23" i="3" l="1" a="1"/>
  <c r="AQ23" i="3" s="1"/>
  <c r="AP20" i="13" s="1"/>
  <c r="AQ15" i="13"/>
  <c r="AH14" i="39" s="1"/>
  <c r="AR21" i="3" a="1"/>
  <c r="AR21" i="3" s="1"/>
  <c r="AQ62" i="13" s="1"/>
  <c r="AI6" i="39"/>
  <c r="AI10" i="39" s="1"/>
  <c r="AI65" i="39"/>
  <c r="AH93" i="39"/>
  <c r="AH66" i="39"/>
  <c r="AF38" i="39"/>
  <c r="AI92" i="39"/>
  <c r="AI73" i="39" s="1"/>
  <c r="AI91" i="39"/>
  <c r="AI72" i="39" s="1"/>
  <c r="AI90" i="39"/>
  <c r="AI71" i="39" s="1"/>
  <c r="AI89" i="39"/>
  <c r="AI70" i="39" s="1"/>
  <c r="BJ69" i="39"/>
  <c r="AP56" i="13" a="1"/>
  <c r="AP56" i="13" s="1"/>
  <c r="AP59" i="13" a="1"/>
  <c r="AP59" i="13" s="1"/>
  <c r="AP55" i="13" a="1"/>
  <c r="AP55" i="13" s="1"/>
  <c r="AP53" i="13" a="1"/>
  <c r="AP53" i="13" s="1"/>
  <c r="AP58" i="13" a="1"/>
  <c r="AP58" i="13" s="1"/>
  <c r="AP54" i="13" a="1"/>
  <c r="AP54" i="13" s="1"/>
  <c r="AP57" i="13" a="1"/>
  <c r="AP57" i="13" s="1"/>
  <c r="AQ7" i="13"/>
  <c r="AQ12" i="13" s="1"/>
  <c r="AR8" i="3"/>
  <c r="AR6" i="13"/>
  <c r="AS11" i="3"/>
  <c r="AQ11" i="13"/>
  <c r="AP8" i="13"/>
  <c r="AQ12" i="3"/>
  <c r="AT6" i="3"/>
  <c r="AS7" i="3"/>
  <c r="AS15" i="3" s="1"/>
  <c r="AJ4" i="39"/>
  <c r="AJ5" i="39" s="1"/>
  <c r="AJ49" i="39" s="1"/>
  <c r="AI9" i="39"/>
  <c r="AR23" i="3" l="1" a="1"/>
  <c r="AR23" i="3" s="1"/>
  <c r="AR15" i="13"/>
  <c r="AI14" i="39" s="1"/>
  <c r="AS21" i="3" a="1"/>
  <c r="AS21" i="3" s="1"/>
  <c r="AR62" i="13" s="1"/>
  <c r="AJ6" i="39"/>
  <c r="AJ10" i="39" s="1"/>
  <c r="AJ65" i="39"/>
  <c r="AI93" i="39"/>
  <c r="AI66" i="39"/>
  <c r="AG38" i="39"/>
  <c r="AJ92" i="39"/>
  <c r="AJ73" i="39" s="1"/>
  <c r="AJ91" i="39"/>
  <c r="AJ72" i="39" s="1"/>
  <c r="AJ90" i="39"/>
  <c r="AJ71" i="39" s="1"/>
  <c r="AJ89" i="39"/>
  <c r="AJ70" i="39" s="1"/>
  <c r="BK69" i="39"/>
  <c r="AQ57" i="13" a="1"/>
  <c r="AQ57" i="13" s="1"/>
  <c r="AQ53" i="13" a="1"/>
  <c r="AQ53" i="13" s="1"/>
  <c r="AQ59" i="13" a="1"/>
  <c r="AQ59" i="13" s="1"/>
  <c r="AQ58" i="13" a="1"/>
  <c r="AQ58" i="13" s="1"/>
  <c r="AQ54" i="13" a="1"/>
  <c r="AQ54" i="13" s="1"/>
  <c r="AQ56" i="13" a="1"/>
  <c r="AQ56" i="13" s="1"/>
  <c r="AQ55" i="13" a="1"/>
  <c r="AQ55" i="13" s="1"/>
  <c r="AQ20" i="13"/>
  <c r="AR11" i="13"/>
  <c r="AQ8" i="13"/>
  <c r="AR12" i="3"/>
  <c r="AR7" i="13"/>
  <c r="AR12" i="13" s="1"/>
  <c r="AS8" i="3"/>
  <c r="AS6" i="13"/>
  <c r="AT11" i="3"/>
  <c r="AU6" i="3"/>
  <c r="AT7" i="3"/>
  <c r="AT15" i="3" s="1"/>
  <c r="AK4" i="39"/>
  <c r="AK5" i="39" s="1"/>
  <c r="AK49" i="39" s="1"/>
  <c r="AJ9" i="39"/>
  <c r="AS23" i="3" l="1" a="1"/>
  <c r="AS23" i="3" s="1"/>
  <c r="AR20" i="13" s="1"/>
  <c r="AT21" i="3" a="1"/>
  <c r="AT21" i="3" s="1"/>
  <c r="AS62" i="13" s="1"/>
  <c r="AS15" i="13"/>
  <c r="AJ14" i="39" s="1"/>
  <c r="AK6" i="39"/>
  <c r="AK10" i="39" s="1"/>
  <c r="AK65" i="39"/>
  <c r="AJ66" i="39"/>
  <c r="AJ93" i="39"/>
  <c r="AH38" i="39"/>
  <c r="AK92" i="39"/>
  <c r="AK73" i="39" s="1"/>
  <c r="AK91" i="39"/>
  <c r="AK72" i="39" s="1"/>
  <c r="AK90" i="39"/>
  <c r="AK71" i="39" s="1"/>
  <c r="AK89" i="39"/>
  <c r="AK70" i="39" s="1"/>
  <c r="BL69" i="39"/>
  <c r="AR57" i="13" a="1"/>
  <c r="AR57" i="13" s="1"/>
  <c r="AR58" i="13" a="1"/>
  <c r="AR58" i="13" s="1"/>
  <c r="AR59" i="13" a="1"/>
  <c r="AR59" i="13" s="1"/>
  <c r="AR54" i="13" a="1"/>
  <c r="AR54" i="13" s="1"/>
  <c r="AR56" i="13" a="1"/>
  <c r="AR56" i="13" s="1"/>
  <c r="AR53" i="13" a="1"/>
  <c r="AR53" i="13" s="1"/>
  <c r="AR55" i="13" a="1"/>
  <c r="AR55" i="13" s="1"/>
  <c r="AS7" i="13"/>
  <c r="AS12" i="13" s="1"/>
  <c r="AT8" i="3"/>
  <c r="AS11" i="13"/>
  <c r="AT6" i="13"/>
  <c r="AU11" i="3"/>
  <c r="AR8" i="13"/>
  <c r="AS12" i="3"/>
  <c r="AV6" i="3"/>
  <c r="AU7" i="3"/>
  <c r="AU15" i="3" s="1"/>
  <c r="AL4" i="39"/>
  <c r="AL5" i="39" s="1"/>
  <c r="AL49" i="39" s="1"/>
  <c r="AK9" i="39"/>
  <c r="AT23" i="3" l="1" a="1"/>
  <c r="AT23" i="3" s="1"/>
  <c r="AU21" i="3" a="1"/>
  <c r="AU21" i="3" s="1"/>
  <c r="AT62" i="13" s="1"/>
  <c r="AT15" i="13"/>
  <c r="AK14" i="39" s="1"/>
  <c r="AL6" i="39"/>
  <c r="AL10" i="39" s="1"/>
  <c r="AL65" i="39"/>
  <c r="AK93" i="39"/>
  <c r="AK66" i="39"/>
  <c r="AI38" i="39"/>
  <c r="AL92" i="39"/>
  <c r="AL73" i="39" s="1"/>
  <c r="AL91" i="39"/>
  <c r="AL72" i="39" s="1"/>
  <c r="AL90" i="39"/>
  <c r="AL71" i="39" s="1"/>
  <c r="AL89" i="39"/>
  <c r="AL70" i="39" s="1"/>
  <c r="BM69" i="39"/>
  <c r="AS58" i="13" a="1"/>
  <c r="AS58" i="13" s="1"/>
  <c r="AS59" i="13" a="1"/>
  <c r="AS59" i="13" s="1"/>
  <c r="AS54" i="13" a="1"/>
  <c r="AS54" i="13" s="1"/>
  <c r="AS56" i="13" a="1"/>
  <c r="AS56" i="13" s="1"/>
  <c r="AS57" i="13" a="1"/>
  <c r="AS57" i="13" s="1"/>
  <c r="AS55" i="13" a="1"/>
  <c r="AS55" i="13" s="1"/>
  <c r="AS53" i="13" a="1"/>
  <c r="AS53" i="13" s="1"/>
  <c r="AS8" i="13"/>
  <c r="AT12" i="3"/>
  <c r="AT11" i="13"/>
  <c r="AT7" i="13"/>
  <c r="AT12" i="13" s="1"/>
  <c r="AU8" i="3"/>
  <c r="AS20" i="13"/>
  <c r="AU6" i="13"/>
  <c r="AV11" i="3"/>
  <c r="AW6" i="3"/>
  <c r="AV7" i="3"/>
  <c r="AV15" i="3" s="1"/>
  <c r="D94" i="39"/>
  <c r="AM4" i="39"/>
  <c r="AM5" i="39" s="1"/>
  <c r="AM49" i="39" s="1"/>
  <c r="AL9" i="39"/>
  <c r="AU23" i="3" l="1" a="1"/>
  <c r="AU23" i="3" s="1"/>
  <c r="AT20" i="13" s="1"/>
  <c r="AV21" i="3" a="1"/>
  <c r="AV21" i="3" s="1"/>
  <c r="AU62" i="13" s="1"/>
  <c r="AU15" i="13"/>
  <c r="AL14" i="39" s="1"/>
  <c r="AM6" i="39"/>
  <c r="AM10" i="39" s="1"/>
  <c r="AM65" i="39"/>
  <c r="AL66" i="39"/>
  <c r="AL93" i="39"/>
  <c r="AJ38" i="39"/>
  <c r="AM92" i="39"/>
  <c r="AM73" i="39" s="1"/>
  <c r="AM91" i="39"/>
  <c r="AM72" i="39" s="1"/>
  <c r="AM90" i="39"/>
  <c r="AM71" i="39" s="1"/>
  <c r="AM89" i="39"/>
  <c r="AM70" i="39" s="1"/>
  <c r="BN69" i="39"/>
  <c r="AT57" i="13" a="1"/>
  <c r="AT57" i="13" s="1"/>
  <c r="AT58" i="13" a="1"/>
  <c r="AT58" i="13" s="1"/>
  <c r="AT59" i="13" a="1"/>
  <c r="AT59" i="13" s="1"/>
  <c r="AT56" i="13" a="1"/>
  <c r="AT56" i="13" s="1"/>
  <c r="AT54" i="13" a="1"/>
  <c r="AT54" i="13" s="1"/>
  <c r="AT53" i="13" a="1"/>
  <c r="AT53" i="13" s="1"/>
  <c r="AT55" i="13" a="1"/>
  <c r="AT55" i="13" s="1"/>
  <c r="AT8" i="13"/>
  <c r="AU12" i="3"/>
  <c r="AU7" i="13"/>
  <c r="AU12" i="13" s="1"/>
  <c r="AV8" i="3"/>
  <c r="AV6" i="13"/>
  <c r="AW11" i="3"/>
  <c r="AU11" i="13"/>
  <c r="AV23" i="3" a="1"/>
  <c r="AV23" i="3" s="1"/>
  <c r="AX6" i="3"/>
  <c r="AW7" i="3"/>
  <c r="AW15" i="3" s="1"/>
  <c r="AN4" i="39"/>
  <c r="AN5" i="39" s="1"/>
  <c r="AN49" i="39" s="1"/>
  <c r="AM9" i="39"/>
  <c r="AW21" i="3" l="1" a="1"/>
  <c r="AW21" i="3" s="1"/>
  <c r="AV62" i="13" s="1"/>
  <c r="AV15" i="13"/>
  <c r="AM14" i="39" s="1"/>
  <c r="AN6" i="39"/>
  <c r="AN10" i="39" s="1"/>
  <c r="AN65" i="39"/>
  <c r="AM93" i="39"/>
  <c r="AM66" i="39"/>
  <c r="AK38" i="39"/>
  <c r="AN92" i="39"/>
  <c r="AN73" i="39" s="1"/>
  <c r="AN91" i="39"/>
  <c r="AN72" i="39" s="1"/>
  <c r="AN90" i="39"/>
  <c r="AN71" i="39" s="1"/>
  <c r="AN89" i="39"/>
  <c r="AN70" i="39" s="1"/>
  <c r="BO69" i="39"/>
  <c r="AU58" i="13" a="1"/>
  <c r="AU58" i="13" s="1"/>
  <c r="AU59" i="13" a="1"/>
  <c r="AU59" i="13" s="1"/>
  <c r="AU56" i="13" a="1"/>
  <c r="AU56" i="13" s="1"/>
  <c r="AU54" i="13" a="1"/>
  <c r="AU54" i="13" s="1"/>
  <c r="AU53" i="13" a="1"/>
  <c r="AU53" i="13" s="1"/>
  <c r="AU55" i="13" a="1"/>
  <c r="AU55" i="13" s="1"/>
  <c r="AU57" i="13" a="1"/>
  <c r="AU57" i="13" s="1"/>
  <c r="AU20" i="13"/>
  <c r="AU8" i="13"/>
  <c r="AV12" i="3"/>
  <c r="AV7" i="13"/>
  <c r="AV12" i="13" s="1"/>
  <c r="AW8" i="3"/>
  <c r="AW6" i="13"/>
  <c r="AX11" i="3"/>
  <c r="AV11" i="13"/>
  <c r="AW23" i="3" a="1"/>
  <c r="AW23" i="3" s="1"/>
  <c r="AY6" i="3"/>
  <c r="AX7" i="3"/>
  <c r="AX15" i="3" s="1"/>
  <c r="AO4" i="39"/>
  <c r="AO5" i="39" s="1"/>
  <c r="AO49" i="39" s="1"/>
  <c r="AN9" i="39"/>
  <c r="AX21" i="3" l="1" a="1"/>
  <c r="AX21" i="3" s="1"/>
  <c r="AW62" i="13" s="1"/>
  <c r="AW15" i="13"/>
  <c r="AN14" i="39" s="1"/>
  <c r="AO6" i="39"/>
  <c r="AO10" i="39" s="1"/>
  <c r="AO65" i="39"/>
  <c r="AN93" i="39"/>
  <c r="AN66" i="39"/>
  <c r="AL38" i="39"/>
  <c r="AO92" i="39"/>
  <c r="AO73" i="39" s="1"/>
  <c r="AO91" i="39"/>
  <c r="AO72" i="39" s="1"/>
  <c r="AO90" i="39"/>
  <c r="AO71" i="39" s="1"/>
  <c r="AO89" i="39"/>
  <c r="AO70" i="39" s="1"/>
  <c r="BP69" i="39"/>
  <c r="AV58" i="13" a="1"/>
  <c r="AV58" i="13" s="1"/>
  <c r="AV59" i="13" a="1"/>
  <c r="AV59" i="13" s="1"/>
  <c r="AV56" i="13" a="1"/>
  <c r="AV56" i="13" s="1"/>
  <c r="AV57" i="13" a="1"/>
  <c r="AV57" i="13" s="1"/>
  <c r="AV55" i="13" a="1"/>
  <c r="AV55" i="13" s="1"/>
  <c r="AV53" i="13" a="1"/>
  <c r="AV53" i="13" s="1"/>
  <c r="AV54" i="13" a="1"/>
  <c r="AV54" i="13" s="1"/>
  <c r="AV20" i="13"/>
  <c r="AW7" i="13"/>
  <c r="AW12" i="13" s="1"/>
  <c r="AX8" i="3"/>
  <c r="AX6" i="13"/>
  <c r="AY11" i="3"/>
  <c r="AV8" i="13"/>
  <c r="AW12" i="3"/>
  <c r="AW11" i="13"/>
  <c r="AZ6" i="3"/>
  <c r="AY7" i="3"/>
  <c r="AY15" i="3" s="1"/>
  <c r="AP4" i="39"/>
  <c r="AP5" i="39" s="1"/>
  <c r="AP49" i="39" s="1"/>
  <c r="AO9" i="39"/>
  <c r="AX23" i="3" l="1" a="1"/>
  <c r="AX23" i="3" s="1"/>
  <c r="AW20" i="13" s="1"/>
  <c r="AX15" i="13"/>
  <c r="AO14" i="39" s="1"/>
  <c r="AY21" i="3" a="1"/>
  <c r="AY21" i="3" s="1"/>
  <c r="AX62" i="13" s="1"/>
  <c r="AP6" i="39"/>
  <c r="AP10" i="39" s="1"/>
  <c r="AP65" i="39"/>
  <c r="AO93" i="39"/>
  <c r="AO66" i="39"/>
  <c r="AM38" i="39"/>
  <c r="AP92" i="39"/>
  <c r="AP73" i="39" s="1"/>
  <c r="AP91" i="39"/>
  <c r="AP72" i="39" s="1"/>
  <c r="AP90" i="39"/>
  <c r="AP71" i="39" s="1"/>
  <c r="AP89" i="39"/>
  <c r="AP70" i="39" s="1"/>
  <c r="BQ69" i="39"/>
  <c r="AW59" i="13" a="1"/>
  <c r="AW59" i="13" s="1"/>
  <c r="AW58" i="13" a="1"/>
  <c r="AW58" i="13" s="1"/>
  <c r="AW55" i="13" a="1"/>
  <c r="AW55" i="13" s="1"/>
  <c r="AW56" i="13" a="1"/>
  <c r="AW56" i="13" s="1"/>
  <c r="AW54" i="13" a="1"/>
  <c r="AW54" i="13" s="1"/>
  <c r="AW53" i="13" a="1"/>
  <c r="AW53" i="13" s="1"/>
  <c r="AW57" i="13" a="1"/>
  <c r="AW57" i="13" s="1"/>
  <c r="AW8" i="13"/>
  <c r="AX12" i="3"/>
  <c r="AX11" i="13"/>
  <c r="AY6" i="13"/>
  <c r="AZ11" i="3"/>
  <c r="AX7" i="13"/>
  <c r="AX12" i="13" s="1"/>
  <c r="AY8" i="3"/>
  <c r="BA6" i="3"/>
  <c r="AZ7" i="3"/>
  <c r="AZ15" i="3" s="1"/>
  <c r="AQ4" i="39"/>
  <c r="AQ5" i="39" s="1"/>
  <c r="AQ49" i="39" s="1"/>
  <c r="AP9" i="39"/>
  <c r="AY23" i="3" l="1" a="1"/>
  <c r="AY23" i="3" s="1"/>
  <c r="AX20" i="13" s="1"/>
  <c r="AY15" i="13"/>
  <c r="AP14" i="39" s="1"/>
  <c r="AZ21" i="3" a="1"/>
  <c r="AZ21" i="3" s="1"/>
  <c r="AY62" i="13" s="1"/>
  <c r="AQ6" i="39"/>
  <c r="AQ10" i="39" s="1"/>
  <c r="AQ65" i="39"/>
  <c r="AP93" i="39"/>
  <c r="AP66" i="39"/>
  <c r="AN38" i="39"/>
  <c r="AQ92" i="39"/>
  <c r="AQ73" i="39" s="1"/>
  <c r="AQ91" i="39"/>
  <c r="AQ72" i="39" s="1"/>
  <c r="AQ90" i="39"/>
  <c r="AQ71" i="39" s="1"/>
  <c r="AQ89" i="39"/>
  <c r="AQ70" i="39" s="1"/>
  <c r="BR69" i="39"/>
  <c r="AX59" i="13" a="1"/>
  <c r="AX59" i="13" s="1"/>
  <c r="AX56" i="13" a="1"/>
  <c r="AX56" i="13" s="1"/>
  <c r="AX55" i="13" a="1"/>
  <c r="AX55" i="13" s="1"/>
  <c r="AX58" i="13" a="1"/>
  <c r="AX58" i="13" s="1"/>
  <c r="AX53" i="13" a="1"/>
  <c r="AX53" i="13" s="1"/>
  <c r="AX57" i="13" a="1"/>
  <c r="AX57" i="13" s="1"/>
  <c r="AX54" i="13" a="1"/>
  <c r="AX54" i="13" s="1"/>
  <c r="AY7" i="13"/>
  <c r="AY12" i="13" s="1"/>
  <c r="AZ8" i="3"/>
  <c r="AZ6" i="13"/>
  <c r="BA11" i="3"/>
  <c r="AY11" i="13"/>
  <c r="AZ23" i="3" a="1"/>
  <c r="AZ23" i="3" s="1"/>
  <c r="AX8" i="13"/>
  <c r="AY12" i="3"/>
  <c r="BB6" i="3"/>
  <c r="BA7" i="3"/>
  <c r="BA15" i="3" s="1"/>
  <c r="AR4" i="39"/>
  <c r="AR5" i="39" s="1"/>
  <c r="AR49" i="39" s="1"/>
  <c r="AQ9" i="39"/>
  <c r="AZ15" i="13" l="1"/>
  <c r="AQ14" i="39" s="1"/>
  <c r="BA21" i="3" a="1"/>
  <c r="BA21" i="3" s="1"/>
  <c r="AZ62" i="13" s="1"/>
  <c r="AR6" i="39"/>
  <c r="AR10" i="39" s="1"/>
  <c r="AR65" i="39"/>
  <c r="AQ93" i="39"/>
  <c r="AQ66" i="39"/>
  <c r="AO38" i="39"/>
  <c r="AR92" i="39"/>
  <c r="AR73" i="39" s="1"/>
  <c r="AR91" i="39"/>
  <c r="AR72" i="39" s="1"/>
  <c r="AR90" i="39"/>
  <c r="AR71" i="39" s="1"/>
  <c r="AR89" i="39"/>
  <c r="AR70" i="39" s="1"/>
  <c r="BS69" i="39"/>
  <c r="AY57" i="13" a="1"/>
  <c r="AY57" i="13" s="1"/>
  <c r="AY55" i="13" a="1"/>
  <c r="AY55" i="13" s="1"/>
  <c r="AY59" i="13" a="1"/>
  <c r="AY59" i="13" s="1"/>
  <c r="AY56" i="13" a="1"/>
  <c r="AY56" i="13" s="1"/>
  <c r="AY58" i="13" a="1"/>
  <c r="AY58" i="13" s="1"/>
  <c r="AY53" i="13" a="1"/>
  <c r="AY53" i="13" s="1"/>
  <c r="AY54" i="13" a="1"/>
  <c r="AY54" i="13" s="1"/>
  <c r="AZ11" i="13"/>
  <c r="BA23" i="3" a="1"/>
  <c r="BA23" i="3" s="1"/>
  <c r="AY8" i="13"/>
  <c r="AZ12" i="3"/>
  <c r="AY20" i="13"/>
  <c r="AZ7" i="13"/>
  <c r="AZ12" i="13" s="1"/>
  <c r="BA8" i="3"/>
  <c r="BA6" i="13"/>
  <c r="BB11" i="3"/>
  <c r="BC6" i="3"/>
  <c r="BB7" i="3"/>
  <c r="BB15" i="3" s="1"/>
  <c r="AS4" i="39"/>
  <c r="AS5" i="39" s="1"/>
  <c r="AS49" i="39" s="1"/>
  <c r="AR9" i="39"/>
  <c r="BB21" i="3" l="1" a="1"/>
  <c r="BB21" i="3" s="1"/>
  <c r="BA62" i="13" s="1"/>
  <c r="BA15" i="13"/>
  <c r="AR14" i="39" s="1"/>
  <c r="AS6" i="39"/>
  <c r="AS10" i="39" s="1"/>
  <c r="AS65" i="39"/>
  <c r="AR66" i="39"/>
  <c r="AR93" i="39"/>
  <c r="AP38" i="39"/>
  <c r="AS92" i="39"/>
  <c r="AS73" i="39" s="1"/>
  <c r="AS91" i="39"/>
  <c r="AS72" i="39" s="1"/>
  <c r="AS90" i="39"/>
  <c r="AS71" i="39" s="1"/>
  <c r="AS89" i="39"/>
  <c r="AS70" i="39" s="1"/>
  <c r="BT69" i="39"/>
  <c r="AZ57" i="13" a="1"/>
  <c r="AZ57" i="13" s="1"/>
  <c r="AZ55" i="13" a="1"/>
  <c r="AZ55" i="13" s="1"/>
  <c r="AZ58" i="13" a="1"/>
  <c r="AZ58" i="13" s="1"/>
  <c r="AZ53" i="13" a="1"/>
  <c r="AZ53" i="13" s="1"/>
  <c r="AZ54" i="13" a="1"/>
  <c r="AZ54" i="13" s="1"/>
  <c r="AZ59" i="13" a="1"/>
  <c r="AZ59" i="13" s="1"/>
  <c r="AZ56" i="13" a="1"/>
  <c r="AZ56" i="13" s="1"/>
  <c r="BA7" i="13"/>
  <c r="BA12" i="13" s="1"/>
  <c r="BB8" i="3"/>
  <c r="AZ20" i="13"/>
  <c r="BB6" i="13"/>
  <c r="BC11" i="3"/>
  <c r="BA12" i="3"/>
  <c r="AZ8" i="13"/>
  <c r="BA11" i="13"/>
  <c r="BB23" i="3" a="1"/>
  <c r="BB23" i="3" s="1"/>
  <c r="BD6" i="3"/>
  <c r="BC7" i="3"/>
  <c r="BC15" i="3" s="1"/>
  <c r="AT4" i="39"/>
  <c r="AT5" i="39" s="1"/>
  <c r="AT49" i="39" s="1"/>
  <c r="AS9" i="39"/>
  <c r="BB15" i="13" l="1"/>
  <c r="AS14" i="39" s="1"/>
  <c r="BC21" i="3" a="1"/>
  <c r="BC21" i="3" s="1"/>
  <c r="BB62" i="13" s="1"/>
  <c r="AT6" i="39"/>
  <c r="AT10" i="39" s="1"/>
  <c r="AT65" i="39"/>
  <c r="AS93" i="39"/>
  <c r="AS66" i="39"/>
  <c r="AQ38" i="39"/>
  <c r="AT92" i="39"/>
  <c r="AT73" i="39" s="1"/>
  <c r="AT91" i="39"/>
  <c r="AT72" i="39" s="1"/>
  <c r="AT90" i="39"/>
  <c r="AT71" i="39" s="1"/>
  <c r="AT89" i="39"/>
  <c r="AT70" i="39" s="1"/>
  <c r="BU69" i="39"/>
  <c r="BA58" i="13" a="1"/>
  <c r="BA58" i="13" s="1"/>
  <c r="BA59" i="13" a="1"/>
  <c r="BA59" i="13" s="1"/>
  <c r="BA56" i="13" a="1"/>
  <c r="BA56" i="13" s="1"/>
  <c r="BA54" i="13" a="1"/>
  <c r="BA54" i="13" s="1"/>
  <c r="BA57" i="13" a="1"/>
  <c r="BA57" i="13" s="1"/>
  <c r="BA53" i="13" a="1"/>
  <c r="BA53" i="13" s="1"/>
  <c r="BA55" i="13" a="1"/>
  <c r="BA55" i="13" s="1"/>
  <c r="BA20" i="13"/>
  <c r="BB11" i="13"/>
  <c r="BA8" i="13"/>
  <c r="BB12" i="3"/>
  <c r="BB7" i="13"/>
  <c r="BB12" i="13" s="1"/>
  <c r="BC8" i="3"/>
  <c r="BC6" i="13"/>
  <c r="BD11" i="3"/>
  <c r="BE6" i="3"/>
  <c r="BD7" i="3"/>
  <c r="BD15" i="3" s="1"/>
  <c r="AU4" i="39"/>
  <c r="AU5" i="39" s="1"/>
  <c r="AU49" i="39" s="1"/>
  <c r="AT9" i="39"/>
  <c r="BC23" i="3" l="1" a="1"/>
  <c r="BC23" i="3" s="1"/>
  <c r="BB20" i="13" s="1"/>
  <c r="BD21" i="3" a="1"/>
  <c r="BD21" i="3" s="1"/>
  <c r="BC62" i="13" s="1"/>
  <c r="BC15" i="13"/>
  <c r="AT14" i="39" s="1"/>
  <c r="AT66" i="39"/>
  <c r="AT93" i="39"/>
  <c r="AU6" i="39"/>
  <c r="AU10" i="39" s="1"/>
  <c r="AU65" i="39"/>
  <c r="AR38" i="39"/>
  <c r="AU91" i="39"/>
  <c r="AU72" i="39" s="1"/>
  <c r="AU90" i="39"/>
  <c r="AU71" i="39" s="1"/>
  <c r="AU89" i="39"/>
  <c r="AU70" i="39" s="1"/>
  <c r="AU92" i="39"/>
  <c r="AU73" i="39" s="1"/>
  <c r="BV69" i="39"/>
  <c r="BB57" i="13" a="1"/>
  <c r="BB57" i="13" s="1"/>
  <c r="BB55" i="13" a="1"/>
  <c r="BB55" i="13" s="1"/>
  <c r="BB58" i="13" a="1"/>
  <c r="BB58" i="13" s="1"/>
  <c r="BB59" i="13" a="1"/>
  <c r="BB59" i="13" s="1"/>
  <c r="BB56" i="13" a="1"/>
  <c r="BB56" i="13" s="1"/>
  <c r="BB54" i="13" a="1"/>
  <c r="BB54" i="13" s="1"/>
  <c r="BB53" i="13" a="1"/>
  <c r="BB53" i="13" s="1"/>
  <c r="BC11" i="13"/>
  <c r="BD23" i="3" a="1"/>
  <c r="BD23" i="3" s="1"/>
  <c r="BB8" i="13"/>
  <c r="BC12" i="3"/>
  <c r="BD8" i="3"/>
  <c r="BC7" i="13"/>
  <c r="BC12" i="13" s="1"/>
  <c r="BD6" i="13"/>
  <c r="BE11" i="3"/>
  <c r="BF6" i="3"/>
  <c r="BE7" i="3"/>
  <c r="BE15" i="3" s="1"/>
  <c r="AV4" i="39"/>
  <c r="AV5" i="39" s="1"/>
  <c r="AV49" i="39" s="1"/>
  <c r="AU9" i="39"/>
  <c r="BD15" i="13" l="1"/>
  <c r="AU14" i="39" s="1"/>
  <c r="BE21" i="3" a="1"/>
  <c r="BE21" i="3" s="1"/>
  <c r="BD62" i="13" s="1"/>
  <c r="AV6" i="39"/>
  <c r="AV10" i="39" s="1"/>
  <c r="AV65" i="39"/>
  <c r="AU93" i="39"/>
  <c r="AU66" i="39"/>
  <c r="AS38" i="39"/>
  <c r="AV92" i="39"/>
  <c r="AV73" i="39" s="1"/>
  <c r="AV91" i="39"/>
  <c r="AV72" i="39" s="1"/>
  <c r="AV90" i="39"/>
  <c r="AV71" i="39" s="1"/>
  <c r="AV89" i="39"/>
  <c r="AV70" i="39" s="1"/>
  <c r="BW69" i="39"/>
  <c r="BC58" i="13" a="1"/>
  <c r="BC58" i="13" s="1"/>
  <c r="BC59" i="13" a="1"/>
  <c r="BC59" i="13" s="1"/>
  <c r="BC55" i="13" a="1"/>
  <c r="BC55" i="13" s="1"/>
  <c r="BC57" i="13" a="1"/>
  <c r="BC57" i="13" s="1"/>
  <c r="BC53" i="13" a="1"/>
  <c r="BC53" i="13" s="1"/>
  <c r="BC54" i="13" a="1"/>
  <c r="BC54" i="13" s="1"/>
  <c r="BC56" i="13" a="1"/>
  <c r="BC56" i="13" s="1"/>
  <c r="BC20" i="13"/>
  <c r="BC8" i="13"/>
  <c r="BD12" i="3"/>
  <c r="BD11" i="13"/>
  <c r="BE23" i="3" a="1"/>
  <c r="BE23" i="3" s="1"/>
  <c r="BD7" i="13"/>
  <c r="BD12" i="13" s="1"/>
  <c r="BE8" i="3"/>
  <c r="BE6" i="13"/>
  <c r="BF11" i="3"/>
  <c r="BF7" i="3"/>
  <c r="BF15" i="3" s="1"/>
  <c r="BG6" i="3"/>
  <c r="AW4" i="39"/>
  <c r="AW5" i="39" s="1"/>
  <c r="AW49" i="39" s="1"/>
  <c r="AV9" i="39"/>
  <c r="BE15" i="13" l="1"/>
  <c r="AV14" i="39" s="1"/>
  <c r="BF21" i="3" a="1"/>
  <c r="BF21" i="3" s="1"/>
  <c r="BE62" i="13" s="1"/>
  <c r="AW6" i="39"/>
  <c r="AW10" i="39" s="1"/>
  <c r="AW65" i="39"/>
  <c r="AV93" i="39"/>
  <c r="AV66" i="39"/>
  <c r="AT38" i="39"/>
  <c r="AW92" i="39"/>
  <c r="AW73" i="39" s="1"/>
  <c r="AW91" i="39"/>
  <c r="AW72" i="39" s="1"/>
  <c r="AW90" i="39"/>
  <c r="AW71" i="39" s="1"/>
  <c r="AW89" i="39"/>
  <c r="AW70" i="39" s="1"/>
  <c r="BD58" i="13" a="1"/>
  <c r="BD58" i="13" s="1"/>
  <c r="BD59" i="13" a="1"/>
  <c r="BD59" i="13" s="1"/>
  <c r="BD56" i="13" a="1"/>
  <c r="BD56" i="13" s="1"/>
  <c r="BD57" i="13" a="1"/>
  <c r="BD57" i="13" s="1"/>
  <c r="BD54" i="13" a="1"/>
  <c r="BD54" i="13" s="1"/>
  <c r="BD55" i="13" a="1"/>
  <c r="BD55" i="13" s="1"/>
  <c r="BD53" i="13" a="1"/>
  <c r="BD53" i="13" s="1"/>
  <c r="BE7" i="13"/>
  <c r="BE12" i="13" s="1"/>
  <c r="BF8" i="3"/>
  <c r="BF6" i="13"/>
  <c r="BG11" i="3"/>
  <c r="BD20" i="13"/>
  <c r="BE11" i="13"/>
  <c r="BD8" i="13"/>
  <c r="BE12" i="3"/>
  <c r="BH6" i="3"/>
  <c r="BG7" i="3"/>
  <c r="BG15" i="3" s="1"/>
  <c r="AX4" i="39"/>
  <c r="AX5" i="39" s="1"/>
  <c r="AX49" i="39" s="1"/>
  <c r="AW9" i="39"/>
  <c r="BF23" i="3" l="1" a="1"/>
  <c r="BF23" i="3" s="1"/>
  <c r="BF15" i="13"/>
  <c r="AW14" i="39" s="1"/>
  <c r="BG21" i="3" a="1"/>
  <c r="BG21" i="3" s="1"/>
  <c r="BF62" i="13" s="1"/>
  <c r="AX6" i="39"/>
  <c r="AX10" i="39" s="1"/>
  <c r="AX65" i="39"/>
  <c r="AW93" i="39"/>
  <c r="AW66" i="39"/>
  <c r="AU38" i="39"/>
  <c r="AX92" i="39"/>
  <c r="AX73" i="39" s="1"/>
  <c r="AX91" i="39"/>
  <c r="AX72" i="39" s="1"/>
  <c r="AX90" i="39"/>
  <c r="AX71" i="39" s="1"/>
  <c r="AX89" i="39"/>
  <c r="AX70" i="39" s="1"/>
  <c r="BE59" i="13" a="1"/>
  <c r="BE59" i="13" s="1"/>
  <c r="BE58" i="13" a="1"/>
  <c r="BE58" i="13" s="1"/>
  <c r="BE57" i="13" a="1"/>
  <c r="BE57" i="13" s="1"/>
  <c r="BE54" i="13" a="1"/>
  <c r="BE54" i="13" s="1"/>
  <c r="BE53" i="13" a="1"/>
  <c r="BE53" i="13" s="1"/>
  <c r="BE55" i="13" a="1"/>
  <c r="BE55" i="13" s="1"/>
  <c r="BE56" i="13" a="1"/>
  <c r="BE56" i="13" s="1"/>
  <c r="BE20" i="13"/>
  <c r="BF7" i="13"/>
  <c r="BF12" i="13" s="1"/>
  <c r="BG8" i="3"/>
  <c r="BG6" i="13"/>
  <c r="BH11" i="3"/>
  <c r="BF11" i="13"/>
  <c r="BE8" i="13"/>
  <c r="BF12" i="3"/>
  <c r="BI6" i="3"/>
  <c r="BH7" i="3"/>
  <c r="BH15" i="3" s="1"/>
  <c r="AY4" i="39"/>
  <c r="AY5" i="39" s="1"/>
  <c r="AY49" i="39" s="1"/>
  <c r="AX9" i="39"/>
  <c r="BG23" i="3" l="1" a="1"/>
  <c r="BG23" i="3" s="1"/>
  <c r="BF20" i="13" s="1"/>
  <c r="BH21" i="3" a="1"/>
  <c r="BH21" i="3" s="1"/>
  <c r="BG62" i="13" s="1"/>
  <c r="BG15" i="13"/>
  <c r="AX14" i="39" s="1"/>
  <c r="AY6" i="39"/>
  <c r="AY10" i="39" s="1"/>
  <c r="AY65" i="39"/>
  <c r="AX93" i="39"/>
  <c r="AX66" i="39"/>
  <c r="AV38" i="39"/>
  <c r="AY92" i="39"/>
  <c r="AY73" i="39" s="1"/>
  <c r="AY91" i="39"/>
  <c r="AY72" i="39" s="1"/>
  <c r="AY90" i="39"/>
  <c r="AY71" i="39" s="1"/>
  <c r="AY89" i="39"/>
  <c r="AY70" i="39" s="1"/>
  <c r="BF55" i="13" a="1"/>
  <c r="BF55" i="13" s="1"/>
  <c r="BF59" i="13" a="1"/>
  <c r="BF59" i="13" s="1"/>
  <c r="BF56" i="13" a="1"/>
  <c r="BF56" i="13" s="1"/>
  <c r="BF58" i="13" a="1"/>
  <c r="BF58" i="13" s="1"/>
  <c r="BF53" i="13" a="1"/>
  <c r="BF53" i="13" s="1"/>
  <c r="BF54" i="13" a="1"/>
  <c r="BF54" i="13" s="1"/>
  <c r="BF57" i="13" a="1"/>
  <c r="BF57" i="13" s="1"/>
  <c r="BG11" i="13"/>
  <c r="BF8" i="13"/>
  <c r="BG12" i="3"/>
  <c r="BG7" i="13"/>
  <c r="BG12" i="13" s="1"/>
  <c r="BH8" i="3"/>
  <c r="BH6" i="13"/>
  <c r="BI11" i="3"/>
  <c r="BJ6" i="3"/>
  <c r="BI7" i="3"/>
  <c r="BI15" i="3" s="1"/>
  <c r="AZ4" i="39"/>
  <c r="AZ5" i="39" s="1"/>
  <c r="AZ49" i="39" s="1"/>
  <c r="AY9" i="39"/>
  <c r="BH23" i="3" l="1" a="1"/>
  <c r="BH23" i="3" s="1"/>
  <c r="BG20" i="13" s="1"/>
  <c r="BH15" i="13"/>
  <c r="AY14" i="39" s="1"/>
  <c r="BI21" i="3" a="1"/>
  <c r="BI21" i="3" s="1"/>
  <c r="BH62" i="13" s="1"/>
  <c r="AZ6" i="39"/>
  <c r="AZ10" i="39" s="1"/>
  <c r="AZ65" i="39"/>
  <c r="AY93" i="39"/>
  <c r="AY66" i="39"/>
  <c r="AW38" i="39"/>
  <c r="AZ92" i="39"/>
  <c r="AZ73" i="39" s="1"/>
  <c r="AZ91" i="39"/>
  <c r="AZ72" i="39" s="1"/>
  <c r="AZ90" i="39"/>
  <c r="AZ71" i="39" s="1"/>
  <c r="AZ89" i="39"/>
  <c r="AZ70" i="39" s="1"/>
  <c r="BG55" i="13" a="1"/>
  <c r="BG55" i="13" s="1"/>
  <c r="BG57" i="13" a="1"/>
  <c r="BG57" i="13" s="1"/>
  <c r="BG53" i="13" a="1"/>
  <c r="BG53" i="13" s="1"/>
  <c r="BG54" i="13" a="1"/>
  <c r="BG54" i="13" s="1"/>
  <c r="BG59" i="13" a="1"/>
  <c r="BG59" i="13" s="1"/>
  <c r="BG56" i="13" a="1"/>
  <c r="BG56" i="13" s="1"/>
  <c r="BG58" i="13" a="1"/>
  <c r="BG58" i="13" s="1"/>
  <c r="BH11" i="13"/>
  <c r="BI23" i="3" a="1"/>
  <c r="BI23" i="3" s="1"/>
  <c r="BI6" i="13"/>
  <c r="BJ11" i="3"/>
  <c r="BH7" i="13"/>
  <c r="BH12" i="13" s="1"/>
  <c r="BI8" i="3"/>
  <c r="BG8" i="13"/>
  <c r="BH12" i="3"/>
  <c r="BK6" i="3"/>
  <c r="BJ7" i="3"/>
  <c r="BJ15" i="3" s="1"/>
  <c r="BA4" i="39"/>
  <c r="BA5" i="39" s="1"/>
  <c r="BA49" i="39" s="1"/>
  <c r="AZ9" i="39"/>
  <c r="BJ21" i="3" l="1" a="1"/>
  <c r="BJ21" i="3" s="1"/>
  <c r="BI62" i="13" s="1"/>
  <c r="BI15" i="13"/>
  <c r="AZ14" i="39" s="1"/>
  <c r="BA6" i="39"/>
  <c r="BA10" i="39" s="1"/>
  <c r="BA65" i="39"/>
  <c r="AZ66" i="39"/>
  <c r="AZ93" i="39"/>
  <c r="AX38" i="39"/>
  <c r="BA92" i="39"/>
  <c r="BA73" i="39" s="1"/>
  <c r="BA91" i="39"/>
  <c r="BA72" i="39" s="1"/>
  <c r="BA90" i="39"/>
  <c r="BA71" i="39" s="1"/>
  <c r="BA89" i="39"/>
  <c r="BA70" i="39" s="1"/>
  <c r="BH57" i="13" a="1"/>
  <c r="BH57" i="13" s="1"/>
  <c r="BH58" i="13" a="1"/>
  <c r="BH58" i="13" s="1"/>
  <c r="BH54" i="13" a="1"/>
  <c r="BH54" i="13" s="1"/>
  <c r="BH55" i="13" a="1"/>
  <c r="BH55" i="13" s="1"/>
  <c r="BH56" i="13" a="1"/>
  <c r="BH56" i="13" s="1"/>
  <c r="BH59" i="13" a="1"/>
  <c r="BH59" i="13" s="1"/>
  <c r="BH53" i="13" a="1"/>
  <c r="BH53" i="13" s="1"/>
  <c r="BH20" i="13"/>
  <c r="BI11" i="13"/>
  <c r="BJ23" i="3" a="1"/>
  <c r="BJ23" i="3" s="1"/>
  <c r="BJ6" i="13"/>
  <c r="BK11" i="3"/>
  <c r="BI7" i="13"/>
  <c r="BI12" i="13" s="1"/>
  <c r="BJ8" i="3"/>
  <c r="BI12" i="3"/>
  <c r="BH8" i="13"/>
  <c r="BL6" i="3"/>
  <c r="BK7" i="3"/>
  <c r="BK15" i="3" s="1"/>
  <c r="BB4" i="39"/>
  <c r="BB5" i="39" s="1"/>
  <c r="BB49" i="39" s="1"/>
  <c r="BA9" i="39"/>
  <c r="BK21" i="3" l="1" a="1"/>
  <c r="BK21" i="3" s="1"/>
  <c r="BJ62" i="13" s="1"/>
  <c r="BJ15" i="13"/>
  <c r="BA14" i="39" s="1"/>
  <c r="BB6" i="39"/>
  <c r="BB10" i="39" s="1"/>
  <c r="BB65" i="39"/>
  <c r="BA66" i="39"/>
  <c r="BA93" i="39"/>
  <c r="AY38" i="39"/>
  <c r="BB92" i="39"/>
  <c r="BB73" i="39" s="1"/>
  <c r="BB91" i="39"/>
  <c r="BB72" i="39" s="1"/>
  <c r="BB90" i="39"/>
  <c r="BB71" i="39" s="1"/>
  <c r="BB89" i="39"/>
  <c r="BB70" i="39" s="1"/>
  <c r="BI55" i="13" a="1"/>
  <c r="BI55" i="13" s="1"/>
  <c r="BI58" i="13" a="1"/>
  <c r="BI58" i="13" s="1"/>
  <c r="BI59" i="13" a="1"/>
  <c r="BI59" i="13" s="1"/>
  <c r="BI56" i="13" a="1"/>
  <c r="BI56" i="13" s="1"/>
  <c r="BI54" i="13" a="1"/>
  <c r="BI54" i="13" s="1"/>
  <c r="BI57" i="13" a="1"/>
  <c r="BI57" i="13" s="1"/>
  <c r="BI53" i="13" a="1"/>
  <c r="BI53" i="13" s="1"/>
  <c r="BI8" i="13"/>
  <c r="BJ12" i="3"/>
  <c r="BK6" i="13"/>
  <c r="BL11" i="3"/>
  <c r="BI20" i="13"/>
  <c r="BJ11" i="13"/>
  <c r="BJ7" i="13"/>
  <c r="BJ12" i="13" s="1"/>
  <c r="BK8" i="3"/>
  <c r="BM6" i="3"/>
  <c r="BL7" i="3"/>
  <c r="BL15" i="3" s="1"/>
  <c r="BC4" i="39"/>
  <c r="BC5" i="39" s="1"/>
  <c r="BC49" i="39" s="1"/>
  <c r="BB9" i="39"/>
  <c r="BK23" i="3" l="1" a="1"/>
  <c r="BK23" i="3" s="1"/>
  <c r="BL21" i="3" a="1"/>
  <c r="BL21" i="3" s="1"/>
  <c r="BK62" i="13" s="1"/>
  <c r="BK15" i="13"/>
  <c r="BB14" i="39" s="1"/>
  <c r="BC6" i="39"/>
  <c r="BC10" i="39" s="1"/>
  <c r="BC65" i="39"/>
  <c r="BB93" i="39"/>
  <c r="BB66" i="39"/>
  <c r="AZ38" i="39"/>
  <c r="BC91" i="39"/>
  <c r="BC72" i="39" s="1"/>
  <c r="BC92" i="39"/>
  <c r="BC73" i="39" s="1"/>
  <c r="BC90" i="39"/>
  <c r="BC71" i="39" s="1"/>
  <c r="BC89" i="39"/>
  <c r="BC70" i="39" s="1"/>
  <c r="BJ57" i="13" a="1"/>
  <c r="BJ57" i="13" s="1"/>
  <c r="BJ58" i="13" a="1"/>
  <c r="BJ58" i="13" s="1"/>
  <c r="BJ59" i="13" a="1"/>
  <c r="BJ59" i="13" s="1"/>
  <c r="BJ56" i="13" a="1"/>
  <c r="BJ56" i="13" s="1"/>
  <c r="BJ53" i="13" a="1"/>
  <c r="BJ53" i="13" s="1"/>
  <c r="BJ54" i="13" a="1"/>
  <c r="BJ54" i="13" s="1"/>
  <c r="BJ55" i="13" a="1"/>
  <c r="BJ55" i="13" s="1"/>
  <c r="BJ8" i="13"/>
  <c r="BK12" i="3"/>
  <c r="BK11" i="13"/>
  <c r="BJ20" i="13"/>
  <c r="BK7" i="13"/>
  <c r="BK12" i="13" s="1"/>
  <c r="BL8" i="3"/>
  <c r="BL6" i="13"/>
  <c r="BM11" i="3"/>
  <c r="BN6" i="3"/>
  <c r="BM7" i="3"/>
  <c r="BM15" i="3" s="1"/>
  <c r="BD4" i="39"/>
  <c r="BD5" i="39" s="1"/>
  <c r="BD49" i="39" s="1"/>
  <c r="BC9" i="39"/>
  <c r="BL23" i="3" l="1" a="1"/>
  <c r="BL23" i="3" s="1"/>
  <c r="BK20" i="13" s="1"/>
  <c r="BL15" i="13"/>
  <c r="BC14" i="39" s="1"/>
  <c r="BM21" i="3" a="1"/>
  <c r="BM21" i="3" s="1"/>
  <c r="BL62" i="13" s="1"/>
  <c r="BD6" i="39"/>
  <c r="BD10" i="39" s="1"/>
  <c r="BD65" i="39"/>
  <c r="BC93" i="39"/>
  <c r="BC66" i="39"/>
  <c r="BA38" i="39"/>
  <c r="BD92" i="39"/>
  <c r="BD73" i="39" s="1"/>
  <c r="BD91" i="39"/>
  <c r="BD72" i="39" s="1"/>
  <c r="BD90" i="39"/>
  <c r="BD71" i="39" s="1"/>
  <c r="BD89" i="39"/>
  <c r="BD70" i="39" s="1"/>
  <c r="BK58" i="13" a="1"/>
  <c r="BK58" i="13" s="1"/>
  <c r="BK59" i="13" a="1"/>
  <c r="BK59" i="13" s="1"/>
  <c r="BK55" i="13" a="1"/>
  <c r="BK55" i="13" s="1"/>
  <c r="BK57" i="13" a="1"/>
  <c r="BK57" i="13" s="1"/>
  <c r="BK56" i="13" a="1"/>
  <c r="BK56" i="13" s="1"/>
  <c r="BK54" i="13" a="1"/>
  <c r="BK54" i="13" s="1"/>
  <c r="BK53" i="13" a="1"/>
  <c r="BK53" i="13" s="1"/>
  <c r="BM6" i="13"/>
  <c r="BN11" i="3"/>
  <c r="BL11" i="13"/>
  <c r="BL7" i="13"/>
  <c r="BL12" i="13" s="1"/>
  <c r="BM8" i="3"/>
  <c r="BK8" i="13"/>
  <c r="BL12" i="3"/>
  <c r="BO6" i="3"/>
  <c r="BN7" i="3"/>
  <c r="BN15" i="3" s="1"/>
  <c r="BE4" i="39"/>
  <c r="BE5" i="39" s="1"/>
  <c r="BE49" i="39" s="1"/>
  <c r="BD9" i="39"/>
  <c r="BM23" i="3" l="1" a="1"/>
  <c r="BM23" i="3" s="1"/>
  <c r="BM15" i="13"/>
  <c r="BD14" i="39" s="1"/>
  <c r="BN21" i="3" a="1"/>
  <c r="BN21" i="3" s="1"/>
  <c r="BM62" i="13" s="1"/>
  <c r="BE6" i="39"/>
  <c r="BE10" i="39" s="1"/>
  <c r="BE65" i="39"/>
  <c r="BD93" i="39"/>
  <c r="BD66" i="39"/>
  <c r="BB38" i="39"/>
  <c r="BE92" i="39"/>
  <c r="BE73" i="39" s="1"/>
  <c r="BE91" i="39"/>
  <c r="BE72" i="39" s="1"/>
  <c r="BE90" i="39"/>
  <c r="BE71" i="39" s="1"/>
  <c r="BE89" i="39"/>
  <c r="BE70" i="39" s="1"/>
  <c r="BL58" i="13" a="1"/>
  <c r="BL58" i="13" s="1"/>
  <c r="BL59" i="13" a="1"/>
  <c r="BL59" i="13" s="1"/>
  <c r="BL56" i="13" a="1"/>
  <c r="BL56" i="13" s="1"/>
  <c r="BL57" i="13" a="1"/>
  <c r="BL57" i="13" s="1"/>
  <c r="BL55" i="13" a="1"/>
  <c r="BL55" i="13" s="1"/>
  <c r="BL53" i="13" a="1"/>
  <c r="BL53" i="13" s="1"/>
  <c r="BL54" i="13" a="1"/>
  <c r="BL54" i="13" s="1"/>
  <c r="BM7" i="13"/>
  <c r="BM12" i="13" s="1"/>
  <c r="BN8" i="3"/>
  <c r="BM11" i="13"/>
  <c r="BL20" i="13"/>
  <c r="BN6" i="13"/>
  <c r="BO11" i="3"/>
  <c r="BL8" i="13"/>
  <c r="BM12" i="3"/>
  <c r="BP6" i="3"/>
  <c r="BO7" i="3"/>
  <c r="BO15" i="3" s="1"/>
  <c r="BF4" i="39"/>
  <c r="BF5" i="39" s="1"/>
  <c r="BF49" i="39" s="1"/>
  <c r="BE9" i="39"/>
  <c r="BN23" i="3" l="1" a="1"/>
  <c r="BN23" i="3" s="1"/>
  <c r="BN15" i="13"/>
  <c r="BE14" i="39" s="1"/>
  <c r="BO21" i="3" a="1"/>
  <c r="BO21" i="3" s="1"/>
  <c r="BN62" i="13" s="1"/>
  <c r="BF6" i="39"/>
  <c r="BF10" i="39" s="1"/>
  <c r="BF65" i="39"/>
  <c r="BE93" i="39"/>
  <c r="BE66" i="39"/>
  <c r="BC38" i="39"/>
  <c r="BF92" i="39"/>
  <c r="BF73" i="39" s="1"/>
  <c r="BF91" i="39"/>
  <c r="BF72" i="39" s="1"/>
  <c r="BF90" i="39"/>
  <c r="BF71" i="39" s="1"/>
  <c r="BF89" i="39"/>
  <c r="BF70" i="39" s="1"/>
  <c r="BM59" i="13" a="1"/>
  <c r="BM59" i="13" s="1"/>
  <c r="BM58" i="13" a="1"/>
  <c r="BM58" i="13" s="1"/>
  <c r="BM56" i="13" a="1"/>
  <c r="BM56" i="13" s="1"/>
  <c r="BM53" i="13" a="1"/>
  <c r="BM53" i="13" s="1"/>
  <c r="BM54" i="13" a="1"/>
  <c r="BM54" i="13" s="1"/>
  <c r="BM57" i="13" a="1"/>
  <c r="BM57" i="13" s="1"/>
  <c r="BM55" i="13" a="1"/>
  <c r="BM55" i="13" s="1"/>
  <c r="BM20" i="13"/>
  <c r="BO6" i="13"/>
  <c r="BP11" i="3"/>
  <c r="BM8" i="13"/>
  <c r="BN12" i="3"/>
  <c r="BN7" i="13"/>
  <c r="BN12" i="13" s="1"/>
  <c r="BO8" i="3"/>
  <c r="BN11" i="13"/>
  <c r="BQ6" i="3"/>
  <c r="BP7" i="3"/>
  <c r="BP15" i="3" s="1"/>
  <c r="BG4" i="39"/>
  <c r="BG5" i="39" s="1"/>
  <c r="BG49" i="39" s="1"/>
  <c r="BF9" i="39"/>
  <c r="BO23" i="3" l="1" a="1"/>
  <c r="BO23" i="3" s="1"/>
  <c r="BN20" i="13" s="1"/>
  <c r="BP21" i="3" a="1"/>
  <c r="BP21" i="3" s="1"/>
  <c r="BO62" i="13" s="1"/>
  <c r="BO15" i="13"/>
  <c r="BF14" i="39" s="1"/>
  <c r="BG6" i="39"/>
  <c r="BG10" i="39" s="1"/>
  <c r="BG65" i="39"/>
  <c r="BF93" i="39"/>
  <c r="BF66" i="39"/>
  <c r="BD38" i="39"/>
  <c r="BG92" i="39"/>
  <c r="BG73" i="39" s="1"/>
  <c r="BG91" i="39"/>
  <c r="BG72" i="39" s="1"/>
  <c r="BG90" i="39"/>
  <c r="BG71" i="39" s="1"/>
  <c r="BG89" i="39"/>
  <c r="BG70" i="39" s="1"/>
  <c r="BN55" i="13" a="1"/>
  <c r="BN55" i="13" s="1"/>
  <c r="BN59" i="13" a="1"/>
  <c r="BN59" i="13" s="1"/>
  <c r="BN56" i="13" a="1"/>
  <c r="BN56" i="13" s="1"/>
  <c r="BN53" i="13" a="1"/>
  <c r="BN53" i="13" s="1"/>
  <c r="BN58" i="13" a="1"/>
  <c r="BN58" i="13" s="1"/>
  <c r="BN54" i="13" a="1"/>
  <c r="BN54" i="13" s="1"/>
  <c r="BN57" i="13" a="1"/>
  <c r="BN57" i="13" s="1"/>
  <c r="BO7" i="13"/>
  <c r="BO12" i="13" s="1"/>
  <c r="BP8" i="3"/>
  <c r="BN8" i="13"/>
  <c r="BO12" i="3"/>
  <c r="BP6" i="13"/>
  <c r="BQ11" i="3"/>
  <c r="BO11" i="13"/>
  <c r="BP23" i="3" a="1"/>
  <c r="BP23" i="3" s="1"/>
  <c r="BR6" i="3"/>
  <c r="BQ7" i="3"/>
  <c r="BQ15" i="3" s="1"/>
  <c r="BH4" i="39"/>
  <c r="BH5" i="39" s="1"/>
  <c r="BH49" i="39" s="1"/>
  <c r="BG9" i="39"/>
  <c r="BP15" i="13" l="1"/>
  <c r="BG14" i="39" s="1"/>
  <c r="BQ21" i="3" a="1"/>
  <c r="BQ21" i="3" s="1"/>
  <c r="BP62" i="13" s="1"/>
  <c r="BH6" i="39"/>
  <c r="BH10" i="39" s="1"/>
  <c r="BH65" i="39"/>
  <c r="BG93" i="39"/>
  <c r="BG66" i="39"/>
  <c r="BE38" i="39"/>
  <c r="BH92" i="39"/>
  <c r="BH73" i="39" s="1"/>
  <c r="BH91" i="39"/>
  <c r="BH72" i="39" s="1"/>
  <c r="BH90" i="39"/>
  <c r="BH71" i="39" s="1"/>
  <c r="BH89" i="39"/>
  <c r="BH70" i="39" s="1"/>
  <c r="BO55" i="13" a="1"/>
  <c r="BO55" i="13" s="1"/>
  <c r="BO57" i="13" a="1"/>
  <c r="BO57" i="13" s="1"/>
  <c r="BO56" i="13" a="1"/>
  <c r="BO56" i="13" s="1"/>
  <c r="BO58" i="13" a="1"/>
  <c r="BO58" i="13" s="1"/>
  <c r="BO54" i="13" a="1"/>
  <c r="BO54" i="13" s="1"/>
  <c r="BO59" i="13" a="1"/>
  <c r="BO59" i="13" s="1"/>
  <c r="BO53" i="13" a="1"/>
  <c r="BO53" i="13" s="1"/>
  <c r="BP7" i="13"/>
  <c r="BP12" i="13" s="1"/>
  <c r="BQ8" i="3"/>
  <c r="BO8" i="13"/>
  <c r="BP12" i="3"/>
  <c r="BO20" i="13"/>
  <c r="BQ6" i="13"/>
  <c r="BR11" i="3"/>
  <c r="BP11" i="13"/>
  <c r="BQ23" i="3" a="1"/>
  <c r="BQ23" i="3" s="1"/>
  <c r="BS6" i="3"/>
  <c r="BR7" i="3"/>
  <c r="BR15" i="3" s="1"/>
  <c r="BH9" i="39"/>
  <c r="BI4" i="39"/>
  <c r="BI5" i="39" s="1"/>
  <c r="BI49" i="39" s="1"/>
  <c r="BR21" i="3" l="1" a="1"/>
  <c r="BR21" i="3" s="1"/>
  <c r="BQ62" i="13" s="1"/>
  <c r="BQ15" i="13"/>
  <c r="BH14" i="39" s="1"/>
  <c r="BI6" i="39"/>
  <c r="BI10" i="39" s="1"/>
  <c r="BI65" i="39"/>
  <c r="BH66" i="39"/>
  <c r="BH93" i="39"/>
  <c r="BF38" i="39"/>
  <c r="BI92" i="39"/>
  <c r="BI73" i="39" s="1"/>
  <c r="BI91" i="39"/>
  <c r="BI72" i="39" s="1"/>
  <c r="BI90" i="39"/>
  <c r="BI71" i="39" s="1"/>
  <c r="BI89" i="39"/>
  <c r="BI70" i="39" s="1"/>
  <c r="BP57" i="13" a="1"/>
  <c r="BP57" i="13" s="1"/>
  <c r="BP58" i="13" a="1"/>
  <c r="BP58" i="13" s="1"/>
  <c r="BP56" i="13" a="1"/>
  <c r="BP56" i="13" s="1"/>
  <c r="BP54" i="13" a="1"/>
  <c r="BP54" i="13" s="1"/>
  <c r="BP55" i="13" a="1"/>
  <c r="BP55" i="13" s="1"/>
  <c r="BP53" i="13" a="1"/>
  <c r="BP53" i="13" s="1"/>
  <c r="BP59" i="13" a="1"/>
  <c r="BP59" i="13" s="1"/>
  <c r="BP20" i="13"/>
  <c r="BQ11" i="13"/>
  <c r="BQ7" i="13"/>
  <c r="BQ12" i="13" s="1"/>
  <c r="BR8" i="3"/>
  <c r="BR6" i="13"/>
  <c r="BS11" i="3"/>
  <c r="BP8" i="13"/>
  <c r="BQ12" i="3"/>
  <c r="BS7" i="3"/>
  <c r="BS15" i="3" s="1"/>
  <c r="BT6" i="3"/>
  <c r="BI9" i="39"/>
  <c r="BJ4" i="39"/>
  <c r="BJ5" i="39" s="1"/>
  <c r="BJ49" i="39" s="1"/>
  <c r="BR23" i="3" l="1" a="1"/>
  <c r="BR23" i="3" s="1"/>
  <c r="BQ20" i="13" s="1"/>
  <c r="BS21" i="3" a="1"/>
  <c r="BS21" i="3" s="1"/>
  <c r="BR62" i="13" s="1"/>
  <c r="BR15" i="13"/>
  <c r="BI14" i="39" s="1"/>
  <c r="BJ6" i="39"/>
  <c r="BJ10" i="39" s="1"/>
  <c r="BJ65" i="39"/>
  <c r="BI66" i="39"/>
  <c r="BI93" i="39"/>
  <c r="BG38" i="39"/>
  <c r="BJ92" i="39"/>
  <c r="BJ73" i="39" s="1"/>
  <c r="BJ91" i="39"/>
  <c r="BJ72" i="39" s="1"/>
  <c r="BJ90" i="39"/>
  <c r="BJ71" i="39" s="1"/>
  <c r="BJ89" i="39"/>
  <c r="BJ70" i="39" s="1"/>
  <c r="BQ55" i="13" a="1"/>
  <c r="BQ55" i="13" s="1"/>
  <c r="BQ58" i="13" a="1"/>
  <c r="BQ58" i="13" s="1"/>
  <c r="BQ56" i="13" a="1"/>
  <c r="BQ56" i="13" s="1"/>
  <c r="BQ59" i="13" a="1"/>
  <c r="BQ59" i="13" s="1"/>
  <c r="BQ57" i="13" a="1"/>
  <c r="BQ57" i="13" s="1"/>
  <c r="BQ53" i="13" a="1"/>
  <c r="BQ53" i="13" s="1"/>
  <c r="BQ54" i="13" a="1"/>
  <c r="BQ54" i="13" s="1"/>
  <c r="BS6" i="13"/>
  <c r="BT11" i="3"/>
  <c r="BQ8" i="13"/>
  <c r="BR12" i="3"/>
  <c r="BR7" i="13"/>
  <c r="BR12" i="13" s="1"/>
  <c r="BS8" i="3"/>
  <c r="BR11" i="13"/>
  <c r="BT7" i="3"/>
  <c r="BT15" i="3" s="1"/>
  <c r="BU6" i="3"/>
  <c r="BJ9" i="39"/>
  <c r="BK4" i="39"/>
  <c r="BK5" i="39" s="1"/>
  <c r="BK49" i="39" s="1"/>
  <c r="BS23" i="3" l="1" a="1"/>
  <c r="BS23" i="3" s="1"/>
  <c r="BS15" i="13"/>
  <c r="BJ14" i="39" s="1"/>
  <c r="BT21" i="3" a="1"/>
  <c r="BT21" i="3" s="1"/>
  <c r="BS62" i="13" s="1"/>
  <c r="BK6" i="39"/>
  <c r="BK10" i="39" s="1"/>
  <c r="BK65" i="39"/>
  <c r="BJ66" i="39"/>
  <c r="BJ93" i="39"/>
  <c r="BH38" i="39"/>
  <c r="BK92" i="39"/>
  <c r="BK73" i="39" s="1"/>
  <c r="BK91" i="39"/>
  <c r="BK72" i="39" s="1"/>
  <c r="BK90" i="39"/>
  <c r="BK71" i="39" s="1"/>
  <c r="BK89" i="39"/>
  <c r="BK70" i="39" s="1"/>
  <c r="BL4" i="39"/>
  <c r="BL5" i="39" s="1"/>
  <c r="BL49" i="39" s="1"/>
  <c r="BR57" i="13" a="1"/>
  <c r="BR57" i="13" s="1"/>
  <c r="BR58" i="13" a="1"/>
  <c r="BR58" i="13" s="1"/>
  <c r="BR59" i="13" a="1"/>
  <c r="BR59" i="13" s="1"/>
  <c r="BR55" i="13" a="1"/>
  <c r="BR55" i="13" s="1"/>
  <c r="BR53" i="13" a="1"/>
  <c r="BR53" i="13" s="1"/>
  <c r="BR56" i="13" a="1"/>
  <c r="BR56" i="13" s="1"/>
  <c r="BR54" i="13" a="1"/>
  <c r="BR54" i="13" s="1"/>
  <c r="BR20" i="13"/>
  <c r="BT6" i="13"/>
  <c r="BU11" i="3"/>
  <c r="BR8" i="13"/>
  <c r="BS12" i="3"/>
  <c r="BS11" i="13"/>
  <c r="BT23" i="3" a="1"/>
  <c r="BT23" i="3" s="1"/>
  <c r="BT8" i="3"/>
  <c r="BS7" i="13"/>
  <c r="BS12" i="13" s="1"/>
  <c r="BV6" i="3"/>
  <c r="BU7" i="3"/>
  <c r="BU15" i="3" s="1"/>
  <c r="BK9" i="39"/>
  <c r="BU21" i="3" l="1" a="1"/>
  <c r="BU21" i="3" s="1"/>
  <c r="BT62" i="13" s="1"/>
  <c r="BT15" i="13"/>
  <c r="BK14" i="39" s="1"/>
  <c r="BL6" i="39"/>
  <c r="BL10" i="39" s="1"/>
  <c r="BL65" i="39"/>
  <c r="BK93" i="39"/>
  <c r="BK66" i="39"/>
  <c r="BI38" i="39"/>
  <c r="BL92" i="39"/>
  <c r="BL73" i="39" s="1"/>
  <c r="BL91" i="39"/>
  <c r="BL72" i="39" s="1"/>
  <c r="BL90" i="39"/>
  <c r="BL71" i="39" s="1"/>
  <c r="BL89" i="39"/>
  <c r="BL70" i="39" s="1"/>
  <c r="BM4" i="39"/>
  <c r="BM5" i="39" s="1"/>
  <c r="BM49" i="39" s="1"/>
  <c r="BL9" i="39"/>
  <c r="BS58" i="13" a="1"/>
  <c r="BS58" i="13" s="1"/>
  <c r="BS56" i="13" a="1"/>
  <c r="BS56" i="13" s="1"/>
  <c r="BS59" i="13" a="1"/>
  <c r="BS59" i="13" s="1"/>
  <c r="BS55" i="13" a="1"/>
  <c r="BS55" i="13" s="1"/>
  <c r="BS57" i="13" a="1"/>
  <c r="BS57" i="13" s="1"/>
  <c r="BS53" i="13" a="1"/>
  <c r="BS53" i="13" s="1"/>
  <c r="BS54" i="13" a="1"/>
  <c r="BS54" i="13" s="1"/>
  <c r="BS20" i="13"/>
  <c r="BS8" i="13"/>
  <c r="BT12" i="3"/>
  <c r="BU6" i="13"/>
  <c r="BV11" i="3"/>
  <c r="BT11" i="13"/>
  <c r="BU23" i="3" a="1"/>
  <c r="BU23" i="3" s="1"/>
  <c r="BT7" i="13"/>
  <c r="BT12" i="13" s="1"/>
  <c r="BU8" i="3"/>
  <c r="BW6" i="3"/>
  <c r="BV7" i="3"/>
  <c r="BV15" i="3" s="1"/>
  <c r="BV21" i="3" l="1" a="1"/>
  <c r="BV21" i="3" s="1"/>
  <c r="BU62" i="13" s="1"/>
  <c r="BU15" i="13"/>
  <c r="BL14" i="39" s="1"/>
  <c r="BL93" i="39"/>
  <c r="BL66" i="39"/>
  <c r="BM6" i="39"/>
  <c r="BM10" i="39" s="1"/>
  <c r="BM65" i="39"/>
  <c r="BJ38" i="39"/>
  <c r="BM92" i="39"/>
  <c r="BM73" i="39" s="1"/>
  <c r="BM91" i="39"/>
  <c r="BM72" i="39" s="1"/>
  <c r="BM90" i="39"/>
  <c r="BM71" i="39" s="1"/>
  <c r="BM89" i="39"/>
  <c r="BM70" i="39" s="1"/>
  <c r="BM9" i="39"/>
  <c r="BN4" i="39"/>
  <c r="BN5" i="39" s="1"/>
  <c r="BN49" i="39" s="1"/>
  <c r="BT58" i="13" a="1"/>
  <c r="BT58" i="13" s="1"/>
  <c r="BT59" i="13" a="1"/>
  <c r="BT59" i="13" s="1"/>
  <c r="BT57" i="13" a="1"/>
  <c r="BT57" i="13" s="1"/>
  <c r="BT56" i="13" a="1"/>
  <c r="BT56" i="13" s="1"/>
  <c r="BT53" i="13" a="1"/>
  <c r="BT53" i="13" s="1"/>
  <c r="BT55" i="13" a="1"/>
  <c r="BT55" i="13" s="1"/>
  <c r="BT54" i="13" a="1"/>
  <c r="BT54" i="13" s="1"/>
  <c r="BT20" i="13"/>
  <c r="BU11" i="13"/>
  <c r="BV23" i="3" a="1"/>
  <c r="BV23" i="3" s="1"/>
  <c r="BU7" i="13"/>
  <c r="BU12" i="13" s="1"/>
  <c r="BV8" i="3"/>
  <c r="BV6" i="13"/>
  <c r="BW11" i="3"/>
  <c r="BT8" i="13"/>
  <c r="BU12" i="3"/>
  <c r="BX6" i="3"/>
  <c r="BW7" i="3"/>
  <c r="BW15" i="3" s="1"/>
  <c r="BW21" i="3" l="1" a="1"/>
  <c r="BW21" i="3" s="1"/>
  <c r="BV62" i="13" s="1"/>
  <c r="BV15" i="13"/>
  <c r="BM14" i="39" s="1"/>
  <c r="BM93" i="39"/>
  <c r="BM66" i="39"/>
  <c r="BN6" i="39"/>
  <c r="BN10" i="39" s="1"/>
  <c r="BN65" i="39"/>
  <c r="BK38" i="39"/>
  <c r="BN92" i="39"/>
  <c r="BN73" i="39" s="1"/>
  <c r="BN91" i="39"/>
  <c r="BN72" i="39" s="1"/>
  <c r="BN90" i="39"/>
  <c r="BN71" i="39" s="1"/>
  <c r="BN89" i="39"/>
  <c r="BN70" i="39" s="1"/>
  <c r="BN9" i="39"/>
  <c r="BO4" i="39"/>
  <c r="BO5" i="39" s="1"/>
  <c r="BO49" i="39" s="1"/>
  <c r="BU59" i="13" a="1"/>
  <c r="BU59" i="13" s="1"/>
  <c r="BU58" i="13" a="1"/>
  <c r="BU58" i="13" s="1"/>
  <c r="BU56" i="13" a="1"/>
  <c r="BU56" i="13" s="1"/>
  <c r="BU57" i="13" a="1"/>
  <c r="BU57" i="13" s="1"/>
  <c r="BU53" i="13" a="1"/>
  <c r="BU53" i="13" s="1"/>
  <c r="BU55" i="13" a="1"/>
  <c r="BU55" i="13" s="1"/>
  <c r="BU54" i="13" a="1"/>
  <c r="BU54" i="13" s="1"/>
  <c r="BU20" i="13"/>
  <c r="BV11" i="13"/>
  <c r="BW23" i="3" a="1"/>
  <c r="BW23" i="3" s="1"/>
  <c r="BU8" i="13"/>
  <c r="BV12" i="3"/>
  <c r="BW6" i="13"/>
  <c r="BX11" i="3"/>
  <c r="BW8" i="3"/>
  <c r="BV7" i="13"/>
  <c r="BV12" i="13" s="1"/>
  <c r="BX7" i="3"/>
  <c r="BX15" i="3" s="1"/>
  <c r="BY6" i="3"/>
  <c r="BX21" i="3" l="1" a="1"/>
  <c r="BX21" i="3" s="1"/>
  <c r="BW62" i="13" s="1"/>
  <c r="BW15" i="13"/>
  <c r="BN14" i="39" s="1"/>
  <c r="BN93" i="39"/>
  <c r="BN66" i="39"/>
  <c r="BO6" i="39"/>
  <c r="BO10" i="39" s="1"/>
  <c r="BO65" i="39"/>
  <c r="BL38" i="39"/>
  <c r="BO92" i="39"/>
  <c r="BO73" i="39" s="1"/>
  <c r="BO91" i="39"/>
  <c r="BO72" i="39" s="1"/>
  <c r="BO90" i="39"/>
  <c r="BO71" i="39" s="1"/>
  <c r="BO89" i="39"/>
  <c r="BO70" i="39" s="1"/>
  <c r="BO9" i="39"/>
  <c r="BP4" i="39"/>
  <c r="BP5" i="39" s="1"/>
  <c r="BP49" i="39" s="1"/>
  <c r="BV55" i="13" a="1"/>
  <c r="BV55" i="13" s="1"/>
  <c r="BV59" i="13" a="1"/>
  <c r="BV59" i="13" s="1"/>
  <c r="BV54" i="13" a="1"/>
  <c r="BV54" i="13" s="1"/>
  <c r="BV58" i="13" a="1"/>
  <c r="BV58" i="13" s="1"/>
  <c r="BV56" i="13" a="1"/>
  <c r="BV56" i="13" s="1"/>
  <c r="BV57" i="13" a="1"/>
  <c r="BV57" i="13" s="1"/>
  <c r="BV53" i="13" a="1"/>
  <c r="BV53" i="13" s="1"/>
  <c r="BV20" i="13"/>
  <c r="BV8" i="13"/>
  <c r="BW12" i="3"/>
  <c r="BX6" i="13"/>
  <c r="BY11" i="3"/>
  <c r="BW7" i="13"/>
  <c r="BW12" i="13" s="1"/>
  <c r="BX8" i="3"/>
  <c r="BW11" i="13"/>
  <c r="BX23" i="3" a="1"/>
  <c r="BX23" i="3" s="1"/>
  <c r="BY7" i="3"/>
  <c r="BY15" i="3" s="1"/>
  <c r="BZ6" i="3"/>
  <c r="BX15" i="13" l="1"/>
  <c r="BO14" i="39" s="1"/>
  <c r="BY21" i="3" a="1"/>
  <c r="BY21" i="3" s="1"/>
  <c r="BX62" i="13" s="1"/>
  <c r="BO93" i="39"/>
  <c r="BO66" i="39"/>
  <c r="BP6" i="39"/>
  <c r="BP10" i="39" s="1"/>
  <c r="BP65" i="39"/>
  <c r="BM38" i="39"/>
  <c r="BP92" i="39"/>
  <c r="BP73" i="39" s="1"/>
  <c r="BP91" i="39"/>
  <c r="BP72" i="39" s="1"/>
  <c r="BP90" i="39"/>
  <c r="BP71" i="39" s="1"/>
  <c r="BP89" i="39"/>
  <c r="BP70" i="39" s="1"/>
  <c r="BQ4" i="39"/>
  <c r="BQ5" i="39" s="1"/>
  <c r="BQ49" i="39" s="1"/>
  <c r="BP9" i="39"/>
  <c r="BW57" i="13" a="1"/>
  <c r="BW57" i="13" s="1"/>
  <c r="BW54" i="13" a="1"/>
  <c r="BW54" i="13" s="1"/>
  <c r="BW59" i="13" a="1"/>
  <c r="BW59" i="13" s="1"/>
  <c r="BW55" i="13" a="1"/>
  <c r="BW55" i="13" s="1"/>
  <c r="BW58" i="13" a="1"/>
  <c r="BW58" i="13" s="1"/>
  <c r="BW56" i="13" a="1"/>
  <c r="BW56" i="13" s="1"/>
  <c r="BW53" i="13" a="1"/>
  <c r="BW53" i="13" s="1"/>
  <c r="BY6" i="13"/>
  <c r="BZ11" i="3"/>
  <c r="BX11" i="13"/>
  <c r="BW8" i="13"/>
  <c r="BX12" i="3"/>
  <c r="BW20" i="13"/>
  <c r="BX7" i="13"/>
  <c r="BX12" i="13" s="1"/>
  <c r="BY8" i="3"/>
  <c r="BZ7" i="3"/>
  <c r="BZ15" i="3" s="1"/>
  <c r="CA6" i="3"/>
  <c r="BY23" i="3" l="1" a="1"/>
  <c r="BY23" i="3" s="1"/>
  <c r="BZ21" i="3" a="1"/>
  <c r="BZ21" i="3" s="1"/>
  <c r="BY62" i="13" s="1"/>
  <c r="BY15" i="13"/>
  <c r="BP14" i="39" s="1"/>
  <c r="BP66" i="39"/>
  <c r="BP93" i="39"/>
  <c r="BQ6" i="39"/>
  <c r="BQ10" i="39" s="1"/>
  <c r="BQ65" i="39"/>
  <c r="BN38" i="39"/>
  <c r="BQ92" i="39"/>
  <c r="BQ73" i="39" s="1"/>
  <c r="BQ91" i="39"/>
  <c r="BQ72" i="39" s="1"/>
  <c r="BQ90" i="39"/>
  <c r="BQ71" i="39" s="1"/>
  <c r="BQ89" i="39"/>
  <c r="BQ70" i="39" s="1"/>
  <c r="BR4" i="39"/>
  <c r="BR5" i="39" s="1"/>
  <c r="BR49" i="39" s="1"/>
  <c r="BQ9" i="39"/>
  <c r="BX55" i="13" a="1"/>
  <c r="BX55" i="13" s="1"/>
  <c r="BX57" i="13" a="1"/>
  <c r="BX57" i="13" s="1"/>
  <c r="BX58" i="13" a="1"/>
  <c r="BX58" i="13" s="1"/>
  <c r="BX56" i="13" a="1"/>
  <c r="BX56" i="13" s="1"/>
  <c r="BX54" i="13" a="1"/>
  <c r="BX54" i="13" s="1"/>
  <c r="BX59" i="13" a="1"/>
  <c r="BX59" i="13" s="1"/>
  <c r="BX53" i="13" a="1"/>
  <c r="BX53" i="13" s="1"/>
  <c r="BZ6" i="13"/>
  <c r="CA11" i="3"/>
  <c r="BY7" i="13"/>
  <c r="BY12" i="13" s="1"/>
  <c r="BZ8" i="3"/>
  <c r="BX20" i="13"/>
  <c r="BX8" i="13"/>
  <c r="BY12" i="3"/>
  <c r="BY11" i="13"/>
  <c r="CB6" i="3"/>
  <c r="CA7" i="3"/>
  <c r="CA15" i="3" s="1"/>
  <c r="BZ23" i="3" l="1" a="1"/>
  <c r="BZ23" i="3" s="1"/>
  <c r="BY20" i="13" s="1"/>
  <c r="CA21" i="3" a="1"/>
  <c r="CA21" i="3" s="1"/>
  <c r="BZ62" i="13" s="1"/>
  <c r="BZ15" i="13"/>
  <c r="BQ14" i="39" s="1"/>
  <c r="BQ66" i="39"/>
  <c r="BQ93" i="39"/>
  <c r="BR6" i="39"/>
  <c r="BR10" i="39" s="1"/>
  <c r="BR65" i="39"/>
  <c r="BO38" i="39"/>
  <c r="BR92" i="39"/>
  <c r="BR73" i="39" s="1"/>
  <c r="BR91" i="39"/>
  <c r="BR72" i="39" s="1"/>
  <c r="BR90" i="39"/>
  <c r="BR71" i="39" s="1"/>
  <c r="BR89" i="39"/>
  <c r="BR70" i="39" s="1"/>
  <c r="BR9" i="39"/>
  <c r="BS4" i="39"/>
  <c r="BS5" i="39" s="1"/>
  <c r="BS49" i="39" s="1"/>
  <c r="BY58" i="13" a="1"/>
  <c r="BY58" i="13" s="1"/>
  <c r="BY56" i="13" a="1"/>
  <c r="BY56" i="13" s="1"/>
  <c r="BY59" i="13" a="1"/>
  <c r="BY59" i="13" s="1"/>
  <c r="BY55" i="13" a="1"/>
  <c r="BY55" i="13" s="1"/>
  <c r="BY53" i="13" a="1"/>
  <c r="BY53" i="13" s="1"/>
  <c r="BY57" i="13" a="1"/>
  <c r="BY57" i="13" s="1"/>
  <c r="BY54" i="13" a="1"/>
  <c r="BY54" i="13" s="1"/>
  <c r="CA6" i="13"/>
  <c r="CB11" i="3"/>
  <c r="BY8" i="13"/>
  <c r="BZ12" i="3"/>
  <c r="BZ7" i="13"/>
  <c r="BZ12" i="13" s="1"/>
  <c r="CA8" i="3"/>
  <c r="BZ11" i="13"/>
  <c r="CC6" i="3"/>
  <c r="CB7" i="3"/>
  <c r="CB15" i="3" s="1"/>
  <c r="CA23" i="3" l="1" a="1"/>
  <c r="CA23" i="3" s="1"/>
  <c r="BZ20" i="13" s="1"/>
  <c r="CB21" i="3" a="1"/>
  <c r="CB21" i="3" s="1"/>
  <c r="CA62" i="13" s="1"/>
  <c r="CA15" i="13"/>
  <c r="BR14" i="39" s="1"/>
  <c r="BR66" i="39"/>
  <c r="BR93" i="39"/>
  <c r="BS6" i="39"/>
  <c r="BS10" i="39" s="1"/>
  <c r="BS65" i="39"/>
  <c r="BP38" i="39"/>
  <c r="BS91" i="39"/>
  <c r="BS72" i="39" s="1"/>
  <c r="BS90" i="39"/>
  <c r="BS71" i="39" s="1"/>
  <c r="BS89" i="39"/>
  <c r="BS70" i="39" s="1"/>
  <c r="BS92" i="39"/>
  <c r="BS73" i="39" s="1"/>
  <c r="BT4" i="39"/>
  <c r="BT5" i="39" s="1"/>
  <c r="BT49" i="39" s="1"/>
  <c r="BS9" i="39"/>
  <c r="BZ57" i="13" a="1"/>
  <c r="BZ57" i="13" s="1"/>
  <c r="BZ58" i="13" a="1"/>
  <c r="BZ58" i="13" s="1"/>
  <c r="BZ59" i="13" a="1"/>
  <c r="BZ59" i="13" s="1"/>
  <c r="BZ55" i="13" a="1"/>
  <c r="BZ55" i="13" s="1"/>
  <c r="BZ56" i="13" a="1"/>
  <c r="BZ56" i="13" s="1"/>
  <c r="BZ53" i="13" a="1"/>
  <c r="BZ53" i="13" s="1"/>
  <c r="BZ54" i="13" a="1"/>
  <c r="BZ54" i="13" s="1"/>
  <c r="CA11" i="13"/>
  <c r="CA7" i="13"/>
  <c r="CA12" i="13" s="1"/>
  <c r="CB8" i="3"/>
  <c r="CB6" i="13"/>
  <c r="CC11" i="3"/>
  <c r="BZ8" i="13"/>
  <c r="CA12" i="3"/>
  <c r="CC7" i="3"/>
  <c r="CC15" i="3" s="1"/>
  <c r="CD6" i="3"/>
  <c r="CB23" i="3" l="1" a="1"/>
  <c r="CB23" i="3" s="1"/>
  <c r="CC21" i="3" a="1"/>
  <c r="CC21" i="3" s="1"/>
  <c r="CB62" i="13" s="1"/>
  <c r="CB15" i="13"/>
  <c r="BS14" i="39" s="1"/>
  <c r="BS93" i="39"/>
  <c r="BS66" i="39"/>
  <c r="BT6" i="39"/>
  <c r="BT10" i="39" s="1"/>
  <c r="BT65" i="39"/>
  <c r="BQ38" i="39"/>
  <c r="BT92" i="39"/>
  <c r="BT73" i="39" s="1"/>
  <c r="BT91" i="39"/>
  <c r="BT72" i="39" s="1"/>
  <c r="BT90" i="39"/>
  <c r="BT71" i="39" s="1"/>
  <c r="BT89" i="39"/>
  <c r="BT70" i="39" s="1"/>
  <c r="BT9" i="39"/>
  <c r="BU4" i="39"/>
  <c r="BU5" i="39" s="1"/>
  <c r="BU49" i="39" s="1"/>
  <c r="CA58" i="13" a="1"/>
  <c r="CA58" i="13" s="1"/>
  <c r="CA56" i="13" a="1"/>
  <c r="CA56" i="13" s="1"/>
  <c r="CA59" i="13" a="1"/>
  <c r="CA59" i="13" s="1"/>
  <c r="CA55" i="13" a="1"/>
  <c r="CA55" i="13" s="1"/>
  <c r="CA54" i="13" a="1"/>
  <c r="CA54" i="13" s="1"/>
  <c r="CA53" i="13" a="1"/>
  <c r="CA53" i="13" s="1"/>
  <c r="CA57" i="13" a="1"/>
  <c r="CA57" i="13" s="1"/>
  <c r="CA20" i="13"/>
  <c r="CA8" i="13"/>
  <c r="CB12" i="3"/>
  <c r="CC6" i="13"/>
  <c r="CD11" i="3"/>
  <c r="CB7" i="13"/>
  <c r="CB12" i="13" s="1"/>
  <c r="CC8" i="3"/>
  <c r="CB11" i="13"/>
  <c r="CD7" i="3"/>
  <c r="CD15" i="3" s="1"/>
  <c r="CE6" i="3"/>
  <c r="CC23" i="3" l="1" a="1"/>
  <c r="CC23" i="3" s="1"/>
  <c r="CB20" i="13" s="1"/>
  <c r="CC15" i="13"/>
  <c r="BT14" i="39" s="1"/>
  <c r="CD21" i="3" a="1"/>
  <c r="CD21" i="3" s="1"/>
  <c r="CC62" i="13" s="1"/>
  <c r="BT93" i="39"/>
  <c r="BT66" i="39"/>
  <c r="BU6" i="39"/>
  <c r="BU10" i="39" s="1"/>
  <c r="BU65" i="39"/>
  <c r="BR38" i="39"/>
  <c r="BU92" i="39"/>
  <c r="BU73" i="39" s="1"/>
  <c r="BU91" i="39"/>
  <c r="BU72" i="39" s="1"/>
  <c r="BU90" i="39"/>
  <c r="BU71" i="39" s="1"/>
  <c r="BU89" i="39"/>
  <c r="BU70" i="39" s="1"/>
  <c r="BU9" i="39"/>
  <c r="BV4" i="39"/>
  <c r="BV5" i="39" s="1"/>
  <c r="BV49" i="39" s="1"/>
  <c r="CB58" i="13" a="1"/>
  <c r="CB58" i="13" s="1"/>
  <c r="CB59" i="13" a="1"/>
  <c r="CB59" i="13" s="1"/>
  <c r="CB57" i="13" a="1"/>
  <c r="CB57" i="13" s="1"/>
  <c r="CB56" i="13" a="1"/>
  <c r="CB56" i="13" s="1"/>
  <c r="CB53" i="13" a="1"/>
  <c r="CB53" i="13" s="1"/>
  <c r="CB54" i="13" a="1"/>
  <c r="CB54" i="13" s="1"/>
  <c r="CB55" i="13" a="1"/>
  <c r="CB55" i="13" s="1"/>
  <c r="CB8" i="13"/>
  <c r="CC12" i="3"/>
  <c r="CC11" i="13"/>
  <c r="CC7" i="13"/>
  <c r="CC12" i="13" s="1"/>
  <c r="CD8" i="3"/>
  <c r="CE11" i="3"/>
  <c r="CD6" i="13"/>
  <c r="CE7" i="3"/>
  <c r="CE15" i="3" s="1"/>
  <c r="CF6" i="3"/>
  <c r="CD23" i="3" l="1" a="1"/>
  <c r="CD23" i="3" s="1"/>
  <c r="CC20" i="13" s="1"/>
  <c r="CD15" i="13"/>
  <c r="BU14" i="39" s="1"/>
  <c r="CE21" i="3" a="1"/>
  <c r="CE21" i="3" s="1"/>
  <c r="CD62" i="13" s="1"/>
  <c r="BU93" i="39"/>
  <c r="BU66" i="39"/>
  <c r="BV6" i="39"/>
  <c r="BV10" i="39" s="1"/>
  <c r="BV65" i="39"/>
  <c r="BS38" i="39"/>
  <c r="BV92" i="39"/>
  <c r="BV73" i="39" s="1"/>
  <c r="BV91" i="39"/>
  <c r="BV72" i="39" s="1"/>
  <c r="BV90" i="39"/>
  <c r="BV71" i="39" s="1"/>
  <c r="BV89" i="39"/>
  <c r="BV70" i="39" s="1"/>
  <c r="BV9" i="39"/>
  <c r="BW4" i="39"/>
  <c r="BW5" i="39" s="1"/>
  <c r="BW49" i="39" s="1"/>
  <c r="CC59" i="13" a="1"/>
  <c r="CC59" i="13" s="1"/>
  <c r="CC55" i="13" a="1"/>
  <c r="CC55" i="13" s="1"/>
  <c r="CC58" i="13" a="1"/>
  <c r="CC58" i="13" s="1"/>
  <c r="CC56" i="13" a="1"/>
  <c r="CC56" i="13" s="1"/>
  <c r="CC53" i="13" a="1"/>
  <c r="CC53" i="13" s="1"/>
  <c r="CC54" i="13" a="1"/>
  <c r="CC54" i="13" s="1"/>
  <c r="CC57" i="13" a="1"/>
  <c r="CC57" i="13" s="1"/>
  <c r="CD11" i="13"/>
  <c r="CC8" i="13"/>
  <c r="CD12" i="3"/>
  <c r="CE6" i="13"/>
  <c r="CF11" i="3"/>
  <c r="CD7" i="13"/>
  <c r="CD12" i="13" s="1"/>
  <c r="CE8" i="3"/>
  <c r="CF7" i="3"/>
  <c r="CF15" i="3" s="1"/>
  <c r="CG6" i="3"/>
  <c r="CE23" i="3" l="1" a="1"/>
  <c r="CE23" i="3" s="1"/>
  <c r="CF21" i="3" a="1"/>
  <c r="CF21" i="3" s="1"/>
  <c r="CE62" i="13" s="1"/>
  <c r="CE15" i="13"/>
  <c r="BV14" i="39" s="1"/>
  <c r="BV93" i="39"/>
  <c r="BV66" i="39"/>
  <c r="BW6" i="39"/>
  <c r="BW10" i="39" s="1"/>
  <c r="BW65" i="39"/>
  <c r="BT38" i="39"/>
  <c r="BW92" i="39"/>
  <c r="BW73" i="39" s="1"/>
  <c r="BW91" i="39"/>
  <c r="BW72" i="39" s="1"/>
  <c r="BW90" i="39"/>
  <c r="BW71" i="39" s="1"/>
  <c r="BW89" i="39"/>
  <c r="BW70" i="39" s="1"/>
  <c r="BW9" i="39"/>
  <c r="CD55" i="13" a="1"/>
  <c r="CD55" i="13" s="1"/>
  <c r="CD59" i="13" a="1"/>
  <c r="CD59" i="13" s="1"/>
  <c r="CD56" i="13" a="1"/>
  <c r="CD56" i="13" s="1"/>
  <c r="CD54" i="13" a="1"/>
  <c r="CD54" i="13" s="1"/>
  <c r="CD58" i="13" a="1"/>
  <c r="CD58" i="13" s="1"/>
  <c r="CD57" i="13" a="1"/>
  <c r="CD57" i="13" s="1"/>
  <c r="CD53" i="13" a="1"/>
  <c r="CD53" i="13" s="1"/>
  <c r="CD20" i="13"/>
  <c r="CD8" i="13"/>
  <c r="CE12" i="3"/>
  <c r="CG7" i="3"/>
  <c r="CG15" i="3" s="1"/>
  <c r="CF6" i="13"/>
  <c r="CG11" i="3"/>
  <c r="CE7" i="13"/>
  <c r="CE12" i="13" s="1"/>
  <c r="CF8" i="3"/>
  <c r="CE11" i="13"/>
  <c r="CF23" i="3" l="1" a="1"/>
  <c r="CF23" i="3" s="1"/>
  <c r="CF15" i="13"/>
  <c r="BW14" i="39" s="1"/>
  <c r="CG21" i="3" a="1"/>
  <c r="CG21" i="3" s="1"/>
  <c r="CF62" i="13" s="1"/>
  <c r="BW93" i="39"/>
  <c r="BW66" i="39"/>
  <c r="BU38" i="39"/>
  <c r="CE55" i="13" a="1"/>
  <c r="CE55" i="13" s="1"/>
  <c r="CE57" i="13" a="1"/>
  <c r="CE57" i="13" s="1"/>
  <c r="CE59" i="13" a="1"/>
  <c r="CE59" i="13" s="1"/>
  <c r="CE54" i="13" a="1"/>
  <c r="CE54" i="13" s="1"/>
  <c r="CE58" i="13" a="1"/>
  <c r="CE58" i="13" s="1"/>
  <c r="CE56" i="13" a="1"/>
  <c r="CE56" i="13" s="1"/>
  <c r="CE53" i="13" a="1"/>
  <c r="CE53" i="13" s="1"/>
  <c r="CE20" i="13"/>
  <c r="CF7" i="13"/>
  <c r="CF12" i="13" s="1"/>
  <c r="CG8" i="3"/>
  <c r="CE8" i="13"/>
  <c r="CF12" i="3"/>
  <c r="CF11" i="13"/>
  <c r="CG23" i="3" l="1" a="1"/>
  <c r="CG23" i="3" s="1"/>
  <c r="CF20" i="13" s="1"/>
  <c r="BV38" i="39"/>
  <c r="CF57" i="13" a="1"/>
  <c r="CF57" i="13" s="1"/>
  <c r="CF58" i="13" a="1"/>
  <c r="CF58" i="13" s="1"/>
  <c r="CF56" i="13" a="1"/>
  <c r="CF56" i="13" s="1"/>
  <c r="CF55" i="13" a="1"/>
  <c r="CF55" i="13" s="1"/>
  <c r="CF53" i="13" a="1"/>
  <c r="CF53" i="13" s="1"/>
  <c r="CF59" i="13" a="1"/>
  <c r="CF59" i="13" s="1"/>
  <c r="CF54" i="13" a="1"/>
  <c r="CF54" i="13" s="1"/>
  <c r="CF8" i="13"/>
  <c r="CG12" i="3"/>
  <c r="BW38" i="39" l="1"/>
  <c r="E47" i="13"/>
  <c r="E41" i="13"/>
  <c r="E99" i="3"/>
  <c r="L54" i="3"/>
  <c r="K54" i="3"/>
  <c r="J54" i="3"/>
  <c r="I54" i="3"/>
  <c r="H54" i="3"/>
  <c r="G54" i="3"/>
  <c r="H33" i="3"/>
  <c r="I33" i="3" s="1"/>
  <c r="J33" i="3" s="1"/>
  <c r="K33" i="3" s="1"/>
  <c r="L33" i="3" s="1"/>
  <c r="L24" i="3"/>
  <c r="K24" i="3"/>
  <c r="J24" i="3"/>
  <c r="I24" i="3"/>
  <c r="H24" i="3"/>
  <c r="G24" i="3"/>
  <c r="H26" i="3"/>
  <c r="I26" i="3" s="1"/>
  <c r="AL24" i="3" l="1" a="1"/>
  <c r="AL24" i="3" s="1"/>
  <c r="AM24" i="3" a="1"/>
  <c r="AM24" i="3" s="1"/>
  <c r="AN24" i="3" a="1"/>
  <c r="AN24" i="3" s="1"/>
  <c r="AO24" i="3" a="1"/>
  <c r="AO24" i="3" s="1"/>
  <c r="AP24" i="3" a="1"/>
  <c r="AP24" i="3" s="1"/>
  <c r="AQ24" i="3" a="1"/>
  <c r="AQ24" i="3" s="1"/>
  <c r="AR24" i="3" a="1"/>
  <c r="AR24" i="3" s="1"/>
  <c r="AS24" i="3" a="1"/>
  <c r="AS24" i="3" s="1"/>
  <c r="AT24" i="3" a="1"/>
  <c r="AT24" i="3" s="1"/>
  <c r="AU24" i="3" a="1"/>
  <c r="AU24" i="3" s="1"/>
  <c r="AV24" i="3" a="1"/>
  <c r="AV24" i="3" s="1"/>
  <c r="AW24" i="3" a="1"/>
  <c r="AW24" i="3" s="1"/>
  <c r="J26" i="3"/>
  <c r="AL30" i="3" a="1"/>
  <c r="AL30" i="3" s="1"/>
  <c r="AL31" i="3" s="1" a="1"/>
  <c r="AL31" i="3" s="1"/>
  <c r="AB18" i="39" s="1"/>
  <c r="AM30" i="3" a="1"/>
  <c r="AM30" i="3" s="1"/>
  <c r="AM31" i="3" s="1" a="1"/>
  <c r="AM31" i="3" s="1"/>
  <c r="AC18" i="39" s="1"/>
  <c r="AN30" i="3" a="1"/>
  <c r="AN30" i="3" s="1"/>
  <c r="AN31" i="3" s="1" a="1"/>
  <c r="AN31" i="3" s="1"/>
  <c r="AD18" i="39" s="1"/>
  <c r="AO30" i="3" a="1"/>
  <c r="AO30" i="3" s="1"/>
  <c r="AO31" i="3" s="1" a="1"/>
  <c r="AO31" i="3" s="1"/>
  <c r="AE18" i="39" s="1"/>
  <c r="AP30" i="3" a="1"/>
  <c r="AP30" i="3" s="1"/>
  <c r="AP31" i="3" s="1" a="1"/>
  <c r="AP31" i="3" s="1"/>
  <c r="AF18" i="39" s="1"/>
  <c r="AQ30" i="3" a="1"/>
  <c r="AQ30" i="3" s="1"/>
  <c r="AQ31" i="3" s="1" a="1"/>
  <c r="AQ31" i="3" s="1"/>
  <c r="AG18" i="39" s="1"/>
  <c r="AR30" i="3" a="1"/>
  <c r="AR30" i="3" s="1"/>
  <c r="AR31" i="3" s="1" a="1"/>
  <c r="AR31" i="3" s="1"/>
  <c r="AH18" i="39" s="1"/>
  <c r="AS30" i="3" a="1"/>
  <c r="AS30" i="3" s="1"/>
  <c r="AS31" i="3" s="1" a="1"/>
  <c r="AS31" i="3" s="1"/>
  <c r="AI18" i="39" s="1"/>
  <c r="AT30" i="3" a="1"/>
  <c r="AT30" i="3" s="1"/>
  <c r="AT31" i="3" s="1" a="1"/>
  <c r="AT31" i="3" s="1"/>
  <c r="AJ18" i="39" s="1"/>
  <c r="AU30" i="3" a="1"/>
  <c r="AU30" i="3" s="1"/>
  <c r="AU31" i="3" s="1" a="1"/>
  <c r="AU31" i="3" s="1"/>
  <c r="AK18" i="39" s="1"/>
  <c r="AV30" i="3" a="1"/>
  <c r="AV30" i="3" s="1"/>
  <c r="AV31" i="3" s="1" a="1"/>
  <c r="AV31" i="3" s="1"/>
  <c r="AL18" i="39" s="1"/>
  <c r="AW30" i="3" a="1"/>
  <c r="AW30" i="3" s="1"/>
  <c r="AW31" i="3" s="1" a="1"/>
  <c r="AW31" i="3" s="1"/>
  <c r="AM18" i="39" s="1"/>
  <c r="AX24" i="3" a="1"/>
  <c r="AX24" i="3" s="1"/>
  <c r="AY24" i="3" a="1"/>
  <c r="AY24" i="3" s="1"/>
  <c r="AZ24" i="3" a="1"/>
  <c r="AZ24" i="3" s="1"/>
  <c r="BA24" i="3" a="1"/>
  <c r="BA24" i="3" s="1"/>
  <c r="BB24" i="3" a="1"/>
  <c r="BB24" i="3" s="1"/>
  <c r="BC24" i="3" a="1"/>
  <c r="BC24" i="3" s="1"/>
  <c r="BD24" i="3" a="1"/>
  <c r="BD24" i="3" s="1"/>
  <c r="BE24" i="3" a="1"/>
  <c r="BE24" i="3" s="1"/>
  <c r="BF24" i="3" a="1"/>
  <c r="BF24" i="3" s="1"/>
  <c r="BG24" i="3" a="1"/>
  <c r="BG24" i="3" s="1"/>
  <c r="BH24" i="3" a="1"/>
  <c r="BH24" i="3" s="1"/>
  <c r="BI24" i="3" a="1"/>
  <c r="BI24" i="3" s="1"/>
  <c r="BJ24" i="3" a="1"/>
  <c r="BJ24" i="3" s="1"/>
  <c r="BK24" i="3" a="1"/>
  <c r="BK24" i="3" s="1"/>
  <c r="BL24" i="3" a="1"/>
  <c r="BL24" i="3" s="1"/>
  <c r="BM24" i="3" a="1"/>
  <c r="BM24" i="3" s="1"/>
  <c r="BN24" i="3" a="1"/>
  <c r="BN24" i="3" s="1"/>
  <c r="BO24" i="3" a="1"/>
  <c r="BO24" i="3" s="1"/>
  <c r="BP24" i="3" a="1"/>
  <c r="BP24" i="3" s="1"/>
  <c r="BQ24" i="3" a="1"/>
  <c r="BQ24" i="3" s="1"/>
  <c r="BR24" i="3" a="1"/>
  <c r="BR24" i="3" s="1"/>
  <c r="BS24" i="3" a="1"/>
  <c r="BS24" i="3" s="1"/>
  <c r="BT24" i="3" a="1"/>
  <c r="BT24" i="3" s="1"/>
  <c r="BU24" i="3" a="1"/>
  <c r="BU24" i="3" s="1"/>
  <c r="BV24" i="3" a="1"/>
  <c r="BV24" i="3" s="1"/>
  <c r="BW24" i="3" a="1"/>
  <c r="BW24" i="3" s="1"/>
  <c r="BX24" i="3" a="1"/>
  <c r="BX24" i="3" s="1"/>
  <c r="BY24" i="3" a="1"/>
  <c r="BY24" i="3" s="1"/>
  <c r="BZ24" i="3" a="1"/>
  <c r="BZ24" i="3" s="1"/>
  <c r="CA24" i="3" a="1"/>
  <c r="CA24" i="3" s="1"/>
  <c r="CB24" i="3" a="1"/>
  <c r="CB24" i="3" s="1"/>
  <c r="CC24" i="3" a="1"/>
  <c r="CC24" i="3" s="1"/>
  <c r="CD24" i="3" a="1"/>
  <c r="CD24" i="3" s="1"/>
  <c r="CE24" i="3" a="1"/>
  <c r="CE24" i="3" s="1"/>
  <c r="CF24" i="3" a="1"/>
  <c r="CF24" i="3" s="1"/>
  <c r="CG24" i="3" a="1"/>
  <c r="CG24" i="3" s="1"/>
  <c r="H236" i="3"/>
  <c r="H234" i="3"/>
  <c r="H232" i="3"/>
  <c r="CG16" i="3" l="1"/>
  <c r="BY16" i="3"/>
  <c r="BQ16" i="3"/>
  <c r="BI16" i="3"/>
  <c r="BA16" i="3"/>
  <c r="AS16" i="3"/>
  <c r="AK16" i="3"/>
  <c r="AC16" i="3"/>
  <c r="U16" i="3"/>
  <c r="BS16" i="3"/>
  <c r="AT16" i="3"/>
  <c r="CF16" i="3"/>
  <c r="BX16" i="3"/>
  <c r="BP16" i="3"/>
  <c r="BH16" i="3"/>
  <c r="AZ16" i="3"/>
  <c r="AR16" i="3"/>
  <c r="AJ16" i="3"/>
  <c r="AB16" i="3"/>
  <c r="T16" i="3"/>
  <c r="BK16" i="3"/>
  <c r="AE16" i="3"/>
  <c r="BB16" i="3"/>
  <c r="AD16" i="3"/>
  <c r="CE16" i="3"/>
  <c r="BW16" i="3"/>
  <c r="BO16" i="3"/>
  <c r="BG16" i="3"/>
  <c r="AY16" i="3"/>
  <c r="AQ16" i="3"/>
  <c r="AI16" i="3"/>
  <c r="AA16" i="3"/>
  <c r="S16" i="3"/>
  <c r="CA16" i="3"/>
  <c r="AM16" i="3"/>
  <c r="BJ16" i="3"/>
  <c r="N16" i="3"/>
  <c r="CD16" i="3"/>
  <c r="BV16" i="3"/>
  <c r="BN16" i="3"/>
  <c r="BF16" i="3"/>
  <c r="AX16" i="3"/>
  <c r="AP16" i="3"/>
  <c r="AH16" i="3"/>
  <c r="Z16" i="3"/>
  <c r="R16" i="3"/>
  <c r="BC16" i="3"/>
  <c r="O16" i="3"/>
  <c r="BR16" i="3"/>
  <c r="CC16" i="3"/>
  <c r="BU16" i="3"/>
  <c r="BM16" i="3"/>
  <c r="BE16" i="3"/>
  <c r="AW16" i="3"/>
  <c r="AO16" i="3"/>
  <c r="AG16" i="3"/>
  <c r="Y16" i="3"/>
  <c r="Q16" i="3"/>
  <c r="AU16" i="3"/>
  <c r="BZ16" i="3"/>
  <c r="V16" i="3"/>
  <c r="CB16" i="3"/>
  <c r="BT16" i="3"/>
  <c r="BL16" i="3"/>
  <c r="BD16" i="3"/>
  <c r="AV16" i="3"/>
  <c r="AN16" i="3"/>
  <c r="AF16" i="3"/>
  <c r="X16" i="3"/>
  <c r="P16" i="3"/>
  <c r="W16" i="3"/>
  <c r="AL16" i="3"/>
  <c r="BT21" i="13"/>
  <c r="BU37" i="3" a="1"/>
  <c r="BU37" i="3" s="1"/>
  <c r="BU38" i="3" s="1" a="1"/>
  <c r="BU38" i="3" s="1"/>
  <c r="AN53" i="3" a="1"/>
  <c r="AN53" i="3" s="1"/>
  <c r="AN52" i="3" a="1"/>
  <c r="AN52" i="3" s="1"/>
  <c r="AN57" i="3" s="1"/>
  <c r="BJ21" i="13"/>
  <c r="BK37" i="3" a="1"/>
  <c r="BK37" i="3" s="1"/>
  <c r="BK38" i="3" s="1" a="1"/>
  <c r="BK38" i="3" s="1"/>
  <c r="BB21" i="13"/>
  <c r="BC37" i="3" a="1"/>
  <c r="BC37" i="3" s="1"/>
  <c r="BC38" i="3" s="1" a="1"/>
  <c r="BC38" i="3" s="1"/>
  <c r="AU53" i="3" a="1"/>
  <c r="AU53" i="3" s="1"/>
  <c r="AU52" i="3" a="1"/>
  <c r="AU52" i="3" s="1"/>
  <c r="AU57" i="3" s="1"/>
  <c r="AM52" i="3" a="1"/>
  <c r="AM52" i="3" s="1"/>
  <c r="AM57" i="3" s="1"/>
  <c r="AM53" i="3" a="1"/>
  <c r="AM53" i="3" s="1"/>
  <c r="AQ21" i="13"/>
  <c r="AR37" i="3" a="1"/>
  <c r="AR37" i="3" s="1"/>
  <c r="AR38" i="3" s="1" a="1"/>
  <c r="AR38" i="3" s="1"/>
  <c r="BY21" i="13"/>
  <c r="BZ37" i="3" a="1"/>
  <c r="BZ37" i="3" s="1"/>
  <c r="BZ38" i="3" s="1" a="1"/>
  <c r="BZ38" i="3" s="1"/>
  <c r="BQ21" i="13"/>
  <c r="BR37" i="3" a="1"/>
  <c r="BR37" i="3" s="1"/>
  <c r="BR38" i="3" s="1" a="1"/>
  <c r="BR38" i="3" s="1"/>
  <c r="BI21" i="13"/>
  <c r="BJ37" i="3" a="1"/>
  <c r="BJ37" i="3" s="1"/>
  <c r="BJ38" i="3" s="1" a="1"/>
  <c r="BJ38" i="3" s="1"/>
  <c r="BA21" i="13"/>
  <c r="BB37" i="3" a="1"/>
  <c r="BB37" i="3" s="1"/>
  <c r="BB38" i="3" s="1" a="1"/>
  <c r="BB38" i="3" s="1"/>
  <c r="AT52" i="3" a="1"/>
  <c r="AT52" i="3" s="1"/>
  <c r="AT57" i="3" s="1"/>
  <c r="AT53" i="3" a="1"/>
  <c r="AT53" i="3" s="1"/>
  <c r="AL53" i="3" a="1"/>
  <c r="AL53" i="3" s="1"/>
  <c r="AL52" i="3" a="1"/>
  <c r="AL52" i="3" s="1"/>
  <c r="AL57" i="3" s="1"/>
  <c r="AP21" i="13"/>
  <c r="AQ37" i="3" a="1"/>
  <c r="AQ37" i="3" s="1"/>
  <c r="AQ38" i="3" s="1" a="1"/>
  <c r="AQ38" i="3" s="1"/>
  <c r="BL21" i="13"/>
  <c r="BM37" i="3" a="1"/>
  <c r="BM37" i="3" s="1"/>
  <c r="BM38" i="3" s="1" a="1"/>
  <c r="BM38" i="3" s="1"/>
  <c r="AV52" i="3" a="1"/>
  <c r="AV52" i="3" s="1"/>
  <c r="AV57" i="3" s="1"/>
  <c r="AV53" i="3" a="1"/>
  <c r="AV53" i="3" s="1"/>
  <c r="CA37" i="3" a="1"/>
  <c r="CA37" i="3" s="1"/>
  <c r="CA38" i="3" s="1" a="1"/>
  <c r="CA38" i="3" s="1"/>
  <c r="BZ21" i="13"/>
  <c r="CF21" i="13"/>
  <c r="CG37" i="3" a="1"/>
  <c r="CG37" i="3" s="1"/>
  <c r="CG38" i="3" s="1" a="1"/>
  <c r="CG38" i="3" s="1"/>
  <c r="BX21" i="13"/>
  <c r="BY37" i="3" a="1"/>
  <c r="BY37" i="3" s="1"/>
  <c r="BY38" i="3" s="1" a="1"/>
  <c r="BY38" i="3" s="1"/>
  <c r="BP21" i="13"/>
  <c r="BQ37" i="3" a="1"/>
  <c r="BQ37" i="3" s="1"/>
  <c r="BQ38" i="3" s="1" a="1"/>
  <c r="BQ38" i="3" s="1"/>
  <c r="BI37" i="3" a="1"/>
  <c r="BI37" i="3" s="1"/>
  <c r="BI38" i="3" s="1" a="1"/>
  <c r="BI38" i="3" s="1"/>
  <c r="BH21" i="13"/>
  <c r="AZ21" i="13"/>
  <c r="BA37" i="3" a="1"/>
  <c r="BA37" i="3" s="1"/>
  <c r="BA38" i="3" s="1" a="1"/>
  <c r="BA38" i="3" s="1"/>
  <c r="AS53" i="3" a="1"/>
  <c r="AS53" i="3" s="1"/>
  <c r="AS52" i="3" a="1"/>
  <c r="AS52" i="3" s="1"/>
  <c r="AS57" i="3" s="1"/>
  <c r="K26" i="3"/>
  <c r="AX30" i="3" a="1"/>
  <c r="AX30" i="3" s="1"/>
  <c r="AX31" i="3" s="1" a="1"/>
  <c r="AX31" i="3" s="1"/>
  <c r="AN18" i="39" s="1"/>
  <c r="AY30" i="3" a="1"/>
  <c r="AY30" i="3" s="1"/>
  <c r="AY31" i="3" s="1" a="1"/>
  <c r="AY31" i="3" s="1"/>
  <c r="AO18" i="39" s="1"/>
  <c r="AZ30" i="3" a="1"/>
  <c r="AZ30" i="3" s="1"/>
  <c r="AZ31" i="3" s="1" a="1"/>
  <c r="AZ31" i="3" s="1"/>
  <c r="AP18" i="39" s="1"/>
  <c r="BA30" i="3" a="1"/>
  <c r="BA30" i="3" s="1"/>
  <c r="BA31" i="3" s="1" a="1"/>
  <c r="BA31" i="3" s="1"/>
  <c r="AQ18" i="39" s="1"/>
  <c r="BB30" i="3" a="1"/>
  <c r="BB30" i="3" s="1"/>
  <c r="BB31" i="3" s="1" a="1"/>
  <c r="BB31" i="3" s="1"/>
  <c r="AR18" i="39" s="1"/>
  <c r="BC30" i="3" a="1"/>
  <c r="BC30" i="3" s="1"/>
  <c r="BC31" i="3" s="1" a="1"/>
  <c r="BC31" i="3" s="1"/>
  <c r="AS18" i="39" s="1"/>
  <c r="BD30" i="3" a="1"/>
  <c r="BD30" i="3" s="1"/>
  <c r="BD31" i="3" s="1" a="1"/>
  <c r="BD31" i="3" s="1"/>
  <c r="AT18" i="39" s="1"/>
  <c r="BE30" i="3" a="1"/>
  <c r="BE30" i="3" s="1"/>
  <c r="BE31" i="3" s="1" a="1"/>
  <c r="BE31" i="3" s="1"/>
  <c r="AU18" i="39" s="1"/>
  <c r="BF30" i="3" a="1"/>
  <c r="BF30" i="3" s="1"/>
  <c r="BF31" i="3" s="1" a="1"/>
  <c r="BF31" i="3" s="1"/>
  <c r="AV18" i="39" s="1"/>
  <c r="BG30" i="3" a="1"/>
  <c r="BG30" i="3" s="1"/>
  <c r="BG31" i="3" s="1" a="1"/>
  <c r="BG31" i="3" s="1"/>
  <c r="AW18" i="39" s="1"/>
  <c r="BH30" i="3" a="1"/>
  <c r="BH30" i="3" s="1"/>
  <c r="BH31" i="3" s="1" a="1"/>
  <c r="BH31" i="3" s="1"/>
  <c r="AX18" i="39" s="1"/>
  <c r="BI30" i="3" a="1"/>
  <c r="BI30" i="3" s="1"/>
  <c r="BI31" i="3" s="1" a="1"/>
  <c r="BI31" i="3" s="1"/>
  <c r="AY18" i="39" s="1"/>
  <c r="AO21" i="13"/>
  <c r="AP37" i="3" a="1"/>
  <c r="AP37" i="3" s="1"/>
  <c r="AP38" i="3" s="1" a="1"/>
  <c r="AP38" i="3" s="1"/>
  <c r="AO52" i="3" a="1"/>
  <c r="AO52" i="3" s="1"/>
  <c r="AO57" i="3" s="1"/>
  <c r="AO53" i="3" a="1"/>
  <c r="AO53" i="3" s="1"/>
  <c r="AV21" i="13"/>
  <c r="AW37" i="3" a="1"/>
  <c r="AW37" i="3" s="1"/>
  <c r="AW38" i="3" s="1" a="1"/>
  <c r="AW38" i="3" s="1"/>
  <c r="BD21" i="13"/>
  <c r="BE37" i="3" a="1"/>
  <c r="BE37" i="3" s="1"/>
  <c r="BE38" i="3" s="1" a="1"/>
  <c r="BE38" i="3" s="1"/>
  <c r="CA21" i="13"/>
  <c r="CB37" i="3" a="1"/>
  <c r="CB37" i="3" s="1"/>
  <c r="CB38" i="3" s="1" a="1"/>
  <c r="CB38" i="3" s="1"/>
  <c r="BK21" i="13"/>
  <c r="BL37" i="3" a="1"/>
  <c r="BL37" i="3" s="1"/>
  <c r="BL38" i="3" s="1" a="1"/>
  <c r="BL38" i="3" s="1"/>
  <c r="AS37" i="3" a="1"/>
  <c r="AS37" i="3" s="1"/>
  <c r="AS38" i="3" s="1" a="1"/>
  <c r="AS38" i="3" s="1"/>
  <c r="AR21" i="13"/>
  <c r="CE21" i="13"/>
  <c r="CF37" i="3" a="1"/>
  <c r="CF37" i="3" s="1"/>
  <c r="CF38" i="3" s="1" a="1"/>
  <c r="CF38" i="3" s="1"/>
  <c r="BG21" i="13"/>
  <c r="BH37" i="3" a="1"/>
  <c r="BH37" i="3" s="1"/>
  <c r="BH38" i="3" s="1" a="1"/>
  <c r="BH38" i="3" s="1"/>
  <c r="AR53" i="3" a="1"/>
  <c r="AR53" i="3" s="1"/>
  <c r="AR52" i="3" a="1"/>
  <c r="AR52" i="3" s="1"/>
  <c r="AR57" i="3" s="1"/>
  <c r="AN21" i="13"/>
  <c r="AO37" i="3" a="1"/>
  <c r="AO37" i="3" s="1"/>
  <c r="AO38" i="3" s="1" a="1"/>
  <c r="AO38" i="3" s="1"/>
  <c r="CD21" i="13"/>
  <c r="CE37" i="3" a="1"/>
  <c r="CE37" i="3" s="1"/>
  <c r="CE38" i="3" s="1" a="1"/>
  <c r="CE38" i="3" s="1"/>
  <c r="BV21" i="13"/>
  <c r="BW37" i="3" a="1"/>
  <c r="BW37" i="3" s="1"/>
  <c r="BW38" i="3" s="1" a="1"/>
  <c r="BW38" i="3" s="1"/>
  <c r="BN21" i="13"/>
  <c r="BO37" i="3" a="1"/>
  <c r="BO37" i="3" s="1"/>
  <c r="BO38" i="3" s="1" a="1"/>
  <c r="BO38" i="3" s="1"/>
  <c r="BF21" i="13"/>
  <c r="BG37" i="3" a="1"/>
  <c r="BG37" i="3" s="1"/>
  <c r="BG38" i="3" s="1" a="1"/>
  <c r="BG38" i="3" s="1"/>
  <c r="AX21" i="13"/>
  <c r="AY37" i="3" a="1"/>
  <c r="AY37" i="3" s="1"/>
  <c r="AY38" i="3" s="1" a="1"/>
  <c r="AY38" i="3" s="1"/>
  <c r="AQ53" i="3" a="1"/>
  <c r="AQ53" i="3" s="1"/>
  <c r="AQ52" i="3" a="1"/>
  <c r="AQ52" i="3" s="1"/>
  <c r="AQ57" i="3" s="1"/>
  <c r="AU21" i="13"/>
  <c r="AV37" i="3" a="1"/>
  <c r="AV37" i="3" s="1"/>
  <c r="AV38" i="3" s="1" a="1"/>
  <c r="AV38" i="3" s="1"/>
  <c r="AM21" i="13"/>
  <c r="AN37" i="3" a="1"/>
  <c r="AN37" i="3" s="1"/>
  <c r="AN38" i="3" s="1" a="1"/>
  <c r="AN38" i="3" s="1"/>
  <c r="AW53" i="3" a="1"/>
  <c r="AW53" i="3" s="1"/>
  <c r="AW52" i="3" a="1"/>
  <c r="AW52" i="3" s="1"/>
  <c r="AW57" i="3" s="1"/>
  <c r="BS21" i="13"/>
  <c r="BT37" i="3" a="1"/>
  <c r="BT37" i="3" s="1"/>
  <c r="BT38" i="3" s="1" a="1"/>
  <c r="BT38" i="3" s="1"/>
  <c r="BC21" i="13"/>
  <c r="BD37" i="3" a="1"/>
  <c r="BD37" i="3" s="1"/>
  <c r="BD38" i="3" s="1" a="1"/>
  <c r="BD38" i="3" s="1"/>
  <c r="BR21" i="13"/>
  <c r="BS37" i="3" a="1"/>
  <c r="BS37" i="3" s="1"/>
  <c r="BS38" i="3" s="1" a="1"/>
  <c r="BS38" i="3" s="1"/>
  <c r="BW21" i="13"/>
  <c r="BX37" i="3" a="1"/>
  <c r="BX37" i="3" s="1"/>
  <c r="BX38" i="3" s="1" a="1"/>
  <c r="BX38" i="3" s="1"/>
  <c r="BO21" i="13"/>
  <c r="BP37" i="3" a="1"/>
  <c r="BP37" i="3" s="1"/>
  <c r="BP38" i="3" s="1" a="1"/>
  <c r="BP38" i="3" s="1"/>
  <c r="AY21" i="13"/>
  <c r="AZ37" i="3" a="1"/>
  <c r="AZ37" i="3" s="1"/>
  <c r="AZ38" i="3" s="1" a="1"/>
  <c r="AZ38" i="3" s="1"/>
  <c r="CC21" i="13"/>
  <c r="CD37" i="3" a="1"/>
  <c r="CD37" i="3" s="1"/>
  <c r="CD38" i="3" s="1" a="1"/>
  <c r="CD38" i="3" s="1"/>
  <c r="BU21" i="13"/>
  <c r="BV37" i="3" a="1"/>
  <c r="BV37" i="3" s="1"/>
  <c r="BV38" i="3" s="1" a="1"/>
  <c r="BV38" i="3" s="1"/>
  <c r="BM21" i="13"/>
  <c r="BN37" i="3" a="1"/>
  <c r="BN37" i="3" s="1"/>
  <c r="BN38" i="3" s="1" a="1"/>
  <c r="BN38" i="3" s="1"/>
  <c r="BE21" i="13"/>
  <c r="BF37" i="3" a="1"/>
  <c r="BF37" i="3" s="1"/>
  <c r="BF38" i="3" s="1" a="1"/>
  <c r="BF38" i="3" s="1"/>
  <c r="AW21" i="13"/>
  <c r="AX37" i="3" a="1"/>
  <c r="AX37" i="3" s="1"/>
  <c r="AX38" i="3" s="1" a="1"/>
  <c r="AX38" i="3" s="1"/>
  <c r="AP52" i="3" a="1"/>
  <c r="AP52" i="3" s="1"/>
  <c r="AP57" i="3" s="1"/>
  <c r="AP53" i="3" a="1"/>
  <c r="AP53" i="3" s="1"/>
  <c r="AT21" i="13"/>
  <c r="AU37" i="3" a="1"/>
  <c r="AU37" i="3" s="1"/>
  <c r="AU38" i="3" s="1" a="1"/>
  <c r="AU38" i="3" s="1"/>
  <c r="AL21" i="13"/>
  <c r="AM37" i="3" a="1"/>
  <c r="AM37" i="3" s="1"/>
  <c r="AM38" i="3" s="1" a="1"/>
  <c r="AM38" i="3" s="1"/>
  <c r="CB21" i="13"/>
  <c r="CC37" i="3" a="1"/>
  <c r="CC37" i="3" s="1"/>
  <c r="CC38" i="3" s="1" a="1"/>
  <c r="CC38" i="3" s="1"/>
  <c r="AS21" i="13"/>
  <c r="AT37" i="3" a="1"/>
  <c r="AT37" i="3" s="1"/>
  <c r="AT38" i="3" s="1" a="1"/>
  <c r="AT38" i="3" s="1"/>
  <c r="AK21" i="13"/>
  <c r="AL37" i="3" a="1"/>
  <c r="AL37" i="3" s="1"/>
  <c r="AL38" i="3" s="1" a="1"/>
  <c r="AL38" i="3" s="1"/>
  <c r="N23" i="3" a="1"/>
  <c r="N23" i="3" s="1"/>
  <c r="O24" i="3" a="1"/>
  <c r="O24" i="3" s="1"/>
  <c r="O37" i="3" s="1" a="1"/>
  <c r="O37" i="3" s="1"/>
  <c r="O38" i="3" s="1" a="1"/>
  <c r="O38" i="3" s="1"/>
  <c r="P23" i="3" a="1"/>
  <c r="P23" i="3" s="1"/>
  <c r="Q23" i="3" a="1"/>
  <c r="Q23" i="3" s="1"/>
  <c r="D56" i="29"/>
  <c r="J21" i="29"/>
  <c r="J52" i="29" s="1"/>
  <c r="K21" i="29"/>
  <c r="K52" i="29" s="1"/>
  <c r="L21" i="29"/>
  <c r="L52" i="29" s="1"/>
  <c r="M21" i="29"/>
  <c r="M52" i="29" s="1"/>
  <c r="N21" i="29"/>
  <c r="N52" i="29" s="1"/>
  <c r="O21" i="29"/>
  <c r="O52" i="29" s="1"/>
  <c r="J22" i="29"/>
  <c r="J53" i="29" s="1"/>
  <c r="K22" i="29"/>
  <c r="K53" i="29" s="1"/>
  <c r="L22" i="29"/>
  <c r="L53" i="29" s="1"/>
  <c r="M22" i="29"/>
  <c r="M53" i="29" s="1"/>
  <c r="N22" i="29"/>
  <c r="N53" i="29" s="1"/>
  <c r="O22" i="29"/>
  <c r="O53" i="29" s="1"/>
  <c r="D25" i="29"/>
  <c r="C29" i="38"/>
  <c r="C48" i="38" s="1"/>
  <c r="C6" i="38"/>
  <c r="D6" i="38" s="1"/>
  <c r="E6" i="38" s="1"/>
  <c r="F6" i="38" s="1"/>
  <c r="G6" i="38" s="1"/>
  <c r="C43" i="38" l="1"/>
  <c r="C35" i="38"/>
  <c r="C39" i="38"/>
  <c r="C33" i="38"/>
  <c r="C46" i="38"/>
  <c r="C49" i="38" s="1"/>
  <c r="D29" i="38"/>
  <c r="D48" i="38" s="1"/>
  <c r="C30" i="38"/>
  <c r="C34" i="38" s="1"/>
  <c r="C31" i="38"/>
  <c r="BK16" i="13"/>
  <c r="BB15" i="39" s="1"/>
  <c r="BL17" i="3"/>
  <c r="BK17" i="13" s="1"/>
  <c r="BB16" i="39" s="1"/>
  <c r="Z16" i="13"/>
  <c r="Q15" i="39" s="1"/>
  <c r="AA17" i="3"/>
  <c r="Z17" i="13" s="1"/>
  <c r="Q16" i="39" s="1"/>
  <c r="AM62" i="3"/>
  <c r="AM63" i="3" s="1" a="1"/>
  <c r="AM63" i="3" s="1"/>
  <c r="AC19" i="39"/>
  <c r="BO62" i="3"/>
  <c r="BO63" i="3" s="1" a="1"/>
  <c r="BO63" i="3" s="1"/>
  <c r="BE19" i="39"/>
  <c r="V16" i="13"/>
  <c r="M15" i="39" s="1"/>
  <c r="W17" i="3"/>
  <c r="V17" i="13" s="1"/>
  <c r="M16" i="39" s="1"/>
  <c r="BB16" i="13"/>
  <c r="AS15" i="39" s="1"/>
  <c r="BC17" i="3"/>
  <c r="BB17" i="13" s="1"/>
  <c r="AS16" i="39" s="1"/>
  <c r="AH16" i="13"/>
  <c r="Y15" i="39" s="1"/>
  <c r="AI17" i="3"/>
  <c r="AH17" i="13" s="1"/>
  <c r="Y16" i="39" s="1"/>
  <c r="AJ16" i="13"/>
  <c r="AA15" i="39" s="1"/>
  <c r="AK17" i="3"/>
  <c r="AJ17" i="13" s="1"/>
  <c r="AA16" i="39" s="1"/>
  <c r="BY62" i="3"/>
  <c r="BY63" i="3" s="1" a="1"/>
  <c r="BY63" i="3" s="1"/>
  <c r="BO19" i="39"/>
  <c r="BM62" i="3"/>
  <c r="BM63" i="3" s="1" a="1"/>
  <c r="BM63" i="3" s="1"/>
  <c r="BC19" i="39"/>
  <c r="BB62" i="3"/>
  <c r="BB63" i="3" s="1" a="1"/>
  <c r="BB63" i="3" s="1"/>
  <c r="AR19" i="39"/>
  <c r="AR62" i="3"/>
  <c r="AR63" i="3" s="1" a="1"/>
  <c r="AR63" i="3" s="1"/>
  <c r="AH19" i="39"/>
  <c r="BK62" i="3"/>
  <c r="BK63" i="3" s="1" a="1"/>
  <c r="BK63" i="3" s="1"/>
  <c r="BA19" i="39"/>
  <c r="O16" i="13"/>
  <c r="F15" i="39" s="1"/>
  <c r="P17" i="3"/>
  <c r="O17" i="13" s="1"/>
  <c r="F16" i="39" s="1"/>
  <c r="CA16" i="13"/>
  <c r="BR15" i="39" s="1"/>
  <c r="CB17" i="3"/>
  <c r="CA17" i="13" s="1"/>
  <c r="BR16" i="39" s="1"/>
  <c r="AV16" i="13"/>
  <c r="AM15" i="39" s="1"/>
  <c r="AW17" i="3"/>
  <c r="AV17" i="13" s="1"/>
  <c r="AM16" i="39" s="1"/>
  <c r="Q16" i="13"/>
  <c r="H15" i="39" s="1"/>
  <c r="R17" i="3"/>
  <c r="Q17" i="13" s="1"/>
  <c r="H16" i="39" s="1"/>
  <c r="CC16" i="13"/>
  <c r="BT15" i="39" s="1"/>
  <c r="CD17" i="3"/>
  <c r="CC17" i="13" s="1"/>
  <c r="BT16" i="39" s="1"/>
  <c r="AP16" i="13"/>
  <c r="AG15" i="39" s="1"/>
  <c r="AQ17" i="3"/>
  <c r="AP17" i="13" s="1"/>
  <c r="AG16" i="39" s="1"/>
  <c r="AD16" i="13"/>
  <c r="U15" i="39" s="1"/>
  <c r="AE17" i="3"/>
  <c r="AD17" i="13" s="1"/>
  <c r="U16" i="39" s="1"/>
  <c r="BO16" i="13"/>
  <c r="BF15" i="39" s="1"/>
  <c r="BP17" i="3"/>
  <c r="BO17" i="13" s="1"/>
  <c r="BF16" i="39" s="1"/>
  <c r="AR16" i="13"/>
  <c r="AI15" i="39" s="1"/>
  <c r="AS17" i="3"/>
  <c r="AR17" i="13" s="1"/>
  <c r="AI16" i="39" s="1"/>
  <c r="AF16" i="13"/>
  <c r="W15" i="39" s="1"/>
  <c r="AG17" i="3"/>
  <c r="AF17" i="13" s="1"/>
  <c r="W16" i="39" s="1"/>
  <c r="AY16" i="13"/>
  <c r="AP15" i="39" s="1"/>
  <c r="AZ17" i="3"/>
  <c r="AY17" i="13" s="1"/>
  <c r="AP16" i="39" s="1"/>
  <c r="AV62" i="3"/>
  <c r="AV63" i="3" s="1" a="1"/>
  <c r="AV63" i="3" s="1"/>
  <c r="AL19" i="39"/>
  <c r="AN16" i="13"/>
  <c r="AE15" i="39" s="1"/>
  <c r="AO17" i="3"/>
  <c r="AN17" i="13" s="1"/>
  <c r="AE16" i="39" s="1"/>
  <c r="BU16" i="13"/>
  <c r="BL15" i="39" s="1"/>
  <c r="BV17" i="3"/>
  <c r="BU17" i="13" s="1"/>
  <c r="BL16" i="39" s="1"/>
  <c r="BG16" i="13"/>
  <c r="AX15" i="39" s="1"/>
  <c r="BH17" i="3"/>
  <c r="BG17" i="13" s="1"/>
  <c r="AX16" i="39" s="1"/>
  <c r="AL62" i="3"/>
  <c r="AL63" i="3" s="1" a="1"/>
  <c r="AL63" i="3" s="1"/>
  <c r="AB19" i="39"/>
  <c r="AU62" i="3"/>
  <c r="AU63" i="3" s="1" a="1"/>
  <c r="AU63" i="3" s="1"/>
  <c r="AK19" i="39"/>
  <c r="BN62" i="3"/>
  <c r="BN63" i="3" s="1" a="1"/>
  <c r="BN63" i="3" s="1"/>
  <c r="BD19" i="39"/>
  <c r="BP62" i="3"/>
  <c r="BP63" i="3" s="1" a="1"/>
  <c r="BP63" i="3" s="1"/>
  <c r="BF19" i="39"/>
  <c r="BT62" i="3"/>
  <c r="BT63" i="3" s="1" a="1"/>
  <c r="BT63" i="3" s="1"/>
  <c r="BJ19" i="39"/>
  <c r="BW62" i="3"/>
  <c r="BW63" i="3" s="1" a="1"/>
  <c r="BW63" i="3" s="1"/>
  <c r="BM19" i="39"/>
  <c r="BH62" i="3"/>
  <c r="BH63" i="3" s="1" a="1"/>
  <c r="BH63" i="3" s="1"/>
  <c r="AX19" i="39"/>
  <c r="CB62" i="3"/>
  <c r="CB63" i="3" s="1" a="1"/>
  <c r="CB63" i="3" s="1"/>
  <c r="BR19" i="39"/>
  <c r="AP62" i="3"/>
  <c r="AP63" i="3" s="1" a="1"/>
  <c r="AP63" i="3" s="1"/>
  <c r="AF19" i="39"/>
  <c r="W16" i="13"/>
  <c r="N15" i="39" s="1"/>
  <c r="X17" i="3"/>
  <c r="W17" i="13" s="1"/>
  <c r="N16" i="39" s="1"/>
  <c r="U16" i="13"/>
  <c r="L15" i="39" s="1"/>
  <c r="V17" i="3"/>
  <c r="U17" i="13" s="1"/>
  <c r="L16" i="39" s="1"/>
  <c r="BD16" i="13"/>
  <c r="AU15" i="39" s="1"/>
  <c r="BE17" i="3"/>
  <c r="BD17" i="13" s="1"/>
  <c r="AU16" i="39" s="1"/>
  <c r="Y16" i="13"/>
  <c r="P15" i="39" s="1"/>
  <c r="Z17" i="3"/>
  <c r="Y17" i="13" s="1"/>
  <c r="P16" i="39" s="1"/>
  <c r="M16" i="13"/>
  <c r="D15" i="39" s="1"/>
  <c r="N17" i="3"/>
  <c r="M17" i="13" s="1"/>
  <c r="D16" i="39" s="1"/>
  <c r="AX16" i="13"/>
  <c r="AO15" i="39" s="1"/>
  <c r="AY17" i="3"/>
  <c r="AX17" i="13" s="1"/>
  <c r="AO16" i="39" s="1"/>
  <c r="BJ16" i="13"/>
  <c r="BA15" i="39" s="1"/>
  <c r="BK17" i="3"/>
  <c r="BJ17" i="13" s="1"/>
  <c r="BA16" i="39" s="1"/>
  <c r="BW16" i="13"/>
  <c r="BN15" i="39" s="1"/>
  <c r="BX17" i="3"/>
  <c r="BW17" i="13" s="1"/>
  <c r="BN16" i="39" s="1"/>
  <c r="AZ16" i="13"/>
  <c r="AQ15" i="39" s="1"/>
  <c r="BA17" i="3"/>
  <c r="AZ17" i="13" s="1"/>
  <c r="AQ16" i="39" s="1"/>
  <c r="AS62" i="3"/>
  <c r="AS63" i="3" s="1" a="1"/>
  <c r="AS63" i="3" s="1"/>
  <c r="AI19" i="39"/>
  <c r="BZ62" i="3"/>
  <c r="BZ63" i="3" s="1" a="1"/>
  <c r="BZ63" i="3" s="1"/>
  <c r="BP19" i="39"/>
  <c r="N16" i="13"/>
  <c r="E15" i="39" s="1"/>
  <c r="O17" i="3"/>
  <c r="N17" i="13" s="1"/>
  <c r="E16" i="39" s="1"/>
  <c r="AB16" i="13"/>
  <c r="S15" i="39" s="1"/>
  <c r="AC17" i="3"/>
  <c r="AB17" i="13" s="1"/>
  <c r="S16" i="39" s="1"/>
  <c r="AZ62" i="3"/>
  <c r="AZ63" i="3" s="1" a="1"/>
  <c r="AZ63" i="3" s="1"/>
  <c r="AP19" i="39"/>
  <c r="BL62" i="3"/>
  <c r="BL63" i="3" s="1" a="1"/>
  <c r="BL63" i="3" s="1"/>
  <c r="BB19" i="39"/>
  <c r="BS16" i="13"/>
  <c r="BJ15" i="39" s="1"/>
  <c r="BT17" i="3"/>
  <c r="BS17" i="13" s="1"/>
  <c r="BJ16" i="39" s="1"/>
  <c r="BA16" i="13"/>
  <c r="AR15" i="39" s="1"/>
  <c r="BB17" i="3"/>
  <c r="BA17" i="13" s="1"/>
  <c r="AR16" i="39" s="1"/>
  <c r="BA62" i="3"/>
  <c r="BA63" i="3" s="1" a="1"/>
  <c r="BA63" i="3" s="1"/>
  <c r="AQ19" i="39"/>
  <c r="CG62" i="3"/>
  <c r="CG63" i="3" s="1" a="1"/>
  <c r="CG63" i="3" s="1"/>
  <c r="BW19" i="39"/>
  <c r="AQ62" i="3"/>
  <c r="AQ63" i="3" s="1" a="1"/>
  <c r="AQ63" i="3" s="1"/>
  <c r="AG19" i="39"/>
  <c r="BJ62" i="3"/>
  <c r="BJ63" i="3" s="1" a="1"/>
  <c r="BJ63" i="3" s="1"/>
  <c r="AZ19" i="39"/>
  <c r="AE16" i="13"/>
  <c r="V15" i="39" s="1"/>
  <c r="AF17" i="3"/>
  <c r="AE17" i="13" s="1"/>
  <c r="V16" i="39" s="1"/>
  <c r="BY16" i="13"/>
  <c r="BP15" i="39" s="1"/>
  <c r="BZ17" i="3"/>
  <c r="BY17" i="13" s="1"/>
  <c r="BP16" i="39" s="1"/>
  <c r="BL16" i="13"/>
  <c r="BC15" i="39" s="1"/>
  <c r="BM17" i="3"/>
  <c r="BL17" i="13" s="1"/>
  <c r="BC16" i="39" s="1"/>
  <c r="AG16" i="13"/>
  <c r="X15" i="39" s="1"/>
  <c r="AH17" i="3"/>
  <c r="AG17" i="13" s="1"/>
  <c r="X16" i="39" s="1"/>
  <c r="BI16" i="13"/>
  <c r="AZ15" i="39" s="1"/>
  <c r="BJ17" i="3"/>
  <c r="BI17" i="13" s="1"/>
  <c r="AZ16" i="39" s="1"/>
  <c r="BF16" i="13"/>
  <c r="AW15" i="39" s="1"/>
  <c r="BG17" i="3"/>
  <c r="BF17" i="13" s="1"/>
  <c r="AW16" i="39" s="1"/>
  <c r="S16" i="13"/>
  <c r="J15" i="39" s="1"/>
  <c r="T17" i="3"/>
  <c r="S17" i="13" s="1"/>
  <c r="J16" i="39" s="1"/>
  <c r="CE16" i="13"/>
  <c r="BV15" i="39" s="1"/>
  <c r="CF17" i="3"/>
  <c r="CE17" i="13" s="1"/>
  <c r="BV16" i="39" s="1"/>
  <c r="BH16" i="13"/>
  <c r="AY15" i="39" s="1"/>
  <c r="BI17" i="3"/>
  <c r="BH17" i="13" s="1"/>
  <c r="AY16" i="39" s="1"/>
  <c r="BM16" i="13"/>
  <c r="BD15" i="39" s="1"/>
  <c r="BN17" i="3"/>
  <c r="BM17" i="13" s="1"/>
  <c r="BD16" i="39" s="1"/>
  <c r="BF62" i="3"/>
  <c r="BF63" i="3" s="1" a="1"/>
  <c r="BF63" i="3" s="1"/>
  <c r="AV19" i="39"/>
  <c r="AT62" i="3"/>
  <c r="AT63" i="3" s="1" a="1"/>
  <c r="AT63" i="3" s="1"/>
  <c r="AJ19" i="39"/>
  <c r="BV62" i="3"/>
  <c r="BV63" i="3" s="1" a="1"/>
  <c r="BV63" i="3" s="1"/>
  <c r="BL19" i="39"/>
  <c r="BX62" i="3"/>
  <c r="BX63" i="3" s="1" a="1"/>
  <c r="BX63" i="3" s="1"/>
  <c r="BN19" i="39"/>
  <c r="AY62" i="3"/>
  <c r="AY63" i="3" s="1" a="1"/>
  <c r="AY63" i="3" s="1"/>
  <c r="AO19" i="39"/>
  <c r="CE62" i="3"/>
  <c r="CE63" i="3" s="1" a="1"/>
  <c r="CE63" i="3" s="1"/>
  <c r="BU19" i="39"/>
  <c r="CF62" i="3"/>
  <c r="CF63" i="3" s="1" a="1"/>
  <c r="CF63" i="3" s="1"/>
  <c r="BV19" i="39"/>
  <c r="BE62" i="3"/>
  <c r="BE63" i="3" s="1" a="1"/>
  <c r="BE63" i="3" s="1"/>
  <c r="AU19" i="39"/>
  <c r="AM16" i="13"/>
  <c r="AD15" i="39" s="1"/>
  <c r="AN17" i="3"/>
  <c r="AM17" i="13" s="1"/>
  <c r="AD16" i="39" s="1"/>
  <c r="AT16" i="13"/>
  <c r="AK15" i="39" s="1"/>
  <c r="AU17" i="3"/>
  <c r="AT17" i="13" s="1"/>
  <c r="AK16" i="39" s="1"/>
  <c r="BT16" i="13"/>
  <c r="BK15" i="39" s="1"/>
  <c r="BU17" i="3"/>
  <c r="BT17" i="13" s="1"/>
  <c r="BK16" i="39" s="1"/>
  <c r="AO16" i="13"/>
  <c r="AF15" i="39" s="1"/>
  <c r="AP17" i="3"/>
  <c r="AO17" i="13" s="1"/>
  <c r="AF16" i="39" s="1"/>
  <c r="AL16" i="13"/>
  <c r="AC15" i="39" s="1"/>
  <c r="AM17" i="3"/>
  <c r="AL17" i="13" s="1"/>
  <c r="AC16" i="39" s="1"/>
  <c r="BN16" i="13"/>
  <c r="BE15" i="39" s="1"/>
  <c r="BO17" i="3"/>
  <c r="BN17" i="13" s="1"/>
  <c r="BE16" i="39" s="1"/>
  <c r="AA16" i="13"/>
  <c r="R15" i="39" s="1"/>
  <c r="AB17" i="3"/>
  <c r="AA17" i="13" s="1"/>
  <c r="R16" i="39" s="1"/>
  <c r="AS16" i="13"/>
  <c r="AJ15" i="39" s="1"/>
  <c r="AT17" i="3"/>
  <c r="AS17" i="13" s="1"/>
  <c r="AJ16" i="39" s="1"/>
  <c r="BP16" i="13"/>
  <c r="BG15" i="39" s="1"/>
  <c r="BQ17" i="3"/>
  <c r="BP17" i="13" s="1"/>
  <c r="BG16" i="39" s="1"/>
  <c r="BQ62" i="3"/>
  <c r="BQ63" i="3" s="1" a="1"/>
  <c r="BQ63" i="3" s="1"/>
  <c r="BG19" i="39"/>
  <c r="AK16" i="13"/>
  <c r="AB15" i="39" s="1"/>
  <c r="AL17" i="3"/>
  <c r="AK17" i="13" s="1"/>
  <c r="AB16" i="39" s="1"/>
  <c r="AC16" i="13"/>
  <c r="T15" i="39" s="1"/>
  <c r="AD17" i="3"/>
  <c r="AC17" i="13" s="1"/>
  <c r="T16" i="39" s="1"/>
  <c r="BD62" i="3"/>
  <c r="BD63" i="3" s="1" a="1"/>
  <c r="BD63" i="3" s="1"/>
  <c r="AT19" i="39"/>
  <c r="BR62" i="3"/>
  <c r="BR63" i="3" s="1" a="1"/>
  <c r="BR63" i="3" s="1"/>
  <c r="BH19" i="39"/>
  <c r="BU62" i="3"/>
  <c r="BU63" i="3" s="1" a="1"/>
  <c r="BU63" i="3" s="1"/>
  <c r="BK19" i="39"/>
  <c r="AU16" i="13"/>
  <c r="AL15" i="39" s="1"/>
  <c r="AV17" i="3"/>
  <c r="AU17" i="13" s="1"/>
  <c r="AL16" i="39" s="1"/>
  <c r="P16" i="13"/>
  <c r="G15" i="39" s="1"/>
  <c r="Q17" i="3"/>
  <c r="P17" i="13" s="1"/>
  <c r="G16" i="39" s="1"/>
  <c r="CB16" i="13"/>
  <c r="BS15" i="39" s="1"/>
  <c r="CC17" i="3"/>
  <c r="CB17" i="13" s="1"/>
  <c r="BS16" i="39" s="1"/>
  <c r="AW16" i="13"/>
  <c r="AN15" i="39" s="1"/>
  <c r="AX17" i="3"/>
  <c r="AW17" i="13" s="1"/>
  <c r="AN16" i="39" s="1"/>
  <c r="BZ16" i="13"/>
  <c r="BQ15" i="39" s="1"/>
  <c r="CA17" i="3"/>
  <c r="BZ17" i="13" s="1"/>
  <c r="BQ16" i="39" s="1"/>
  <c r="BV16" i="13"/>
  <c r="BM15" i="39" s="1"/>
  <c r="BW17" i="3"/>
  <c r="BV17" i="13" s="1"/>
  <c r="BM16" i="39" s="1"/>
  <c r="AI16" i="13"/>
  <c r="Z15" i="39" s="1"/>
  <c r="AJ17" i="3"/>
  <c r="AI17" i="13" s="1"/>
  <c r="Z16" i="39" s="1"/>
  <c r="BR16" i="13"/>
  <c r="BI15" i="39" s="1"/>
  <c r="BS17" i="3"/>
  <c r="BR17" i="13" s="1"/>
  <c r="BI16" i="39" s="1"/>
  <c r="BX16" i="13"/>
  <c r="BO15" i="39" s="1"/>
  <c r="BY17" i="3"/>
  <c r="BX17" i="13" s="1"/>
  <c r="BO16" i="39" s="1"/>
  <c r="BC62" i="3"/>
  <c r="BC63" i="3" s="1" a="1"/>
  <c r="BC63" i="3" s="1"/>
  <c r="AS19" i="39"/>
  <c r="CC62" i="3"/>
  <c r="CC63" i="3" s="1" a="1"/>
  <c r="CC63" i="3" s="1"/>
  <c r="BS19" i="39"/>
  <c r="AX62" i="3"/>
  <c r="AX63" i="3" s="1" a="1"/>
  <c r="AX63" i="3" s="1"/>
  <c r="AN19" i="39"/>
  <c r="CD62" i="3"/>
  <c r="CD63" i="3" s="1" a="1"/>
  <c r="CD63" i="3" s="1"/>
  <c r="BT19" i="39"/>
  <c r="BS62" i="3"/>
  <c r="BS63" i="3" s="1" a="1"/>
  <c r="BS63" i="3" s="1"/>
  <c r="BI19" i="39"/>
  <c r="AN62" i="3"/>
  <c r="AN63" i="3" s="1" a="1"/>
  <c r="AN63" i="3" s="1"/>
  <c r="AD19" i="39"/>
  <c r="BG62" i="3"/>
  <c r="BG63" i="3" s="1" a="1"/>
  <c r="BG63" i="3" s="1"/>
  <c r="AW19" i="39"/>
  <c r="AO62" i="3"/>
  <c r="AO63" i="3" s="1" a="1"/>
  <c r="AO63" i="3" s="1"/>
  <c r="AE19" i="39"/>
  <c r="AW62" i="3"/>
  <c r="AW63" i="3" s="1" a="1"/>
  <c r="AW63" i="3" s="1"/>
  <c r="AM19" i="39"/>
  <c r="BI62" i="3"/>
  <c r="BI63" i="3" s="1" a="1"/>
  <c r="BI63" i="3" s="1"/>
  <c r="AY19" i="39"/>
  <c r="CA62" i="3"/>
  <c r="CA63" i="3" s="1" a="1"/>
  <c r="CA63" i="3" s="1"/>
  <c r="BQ19" i="39"/>
  <c r="BC16" i="13"/>
  <c r="AT15" i="39" s="1"/>
  <c r="BD17" i="3"/>
  <c r="BC17" i="13" s="1"/>
  <c r="AT16" i="39" s="1"/>
  <c r="X16" i="13"/>
  <c r="O15" i="39" s="1"/>
  <c r="Y17" i="3"/>
  <c r="X17" i="13" s="1"/>
  <c r="O16" i="39" s="1"/>
  <c r="BQ16" i="13"/>
  <c r="BH15" i="39" s="1"/>
  <c r="BR17" i="3"/>
  <c r="BQ17" i="13" s="1"/>
  <c r="BH16" i="39" s="1"/>
  <c r="BE16" i="13"/>
  <c r="AV15" i="39" s="1"/>
  <c r="BF17" i="3"/>
  <c r="BE17" i="13" s="1"/>
  <c r="AV16" i="39" s="1"/>
  <c r="R16" i="13"/>
  <c r="I15" i="39" s="1"/>
  <c r="S17" i="3"/>
  <c r="R17" i="13" s="1"/>
  <c r="I16" i="39" s="1"/>
  <c r="CD16" i="13"/>
  <c r="BU15" i="39" s="1"/>
  <c r="CE17" i="3"/>
  <c r="CD17" i="13" s="1"/>
  <c r="BU16" i="39" s="1"/>
  <c r="AQ16" i="13"/>
  <c r="AH15" i="39" s="1"/>
  <c r="AR17" i="3"/>
  <c r="AQ17" i="13" s="1"/>
  <c r="AH16" i="39" s="1"/>
  <c r="T16" i="13"/>
  <c r="K15" i="39" s="1"/>
  <c r="U17" i="3"/>
  <c r="T17" i="13" s="1"/>
  <c r="K16" i="39" s="1"/>
  <c r="CF16" i="13"/>
  <c r="BW15" i="39" s="1"/>
  <c r="CG17" i="3"/>
  <c r="CF17" i="13" s="1"/>
  <c r="BW16" i="39" s="1"/>
  <c r="BF53" i="3" a="1"/>
  <c r="BF53" i="3" s="1"/>
  <c r="BF52" i="3" a="1"/>
  <c r="BF52" i="3" s="1"/>
  <c r="BF57" i="3" s="1"/>
  <c r="AX53" i="3" a="1"/>
  <c r="AX53" i="3" s="1"/>
  <c r="AX52" i="3" a="1"/>
  <c r="AX52" i="3" s="1"/>
  <c r="AX57" i="3" s="1"/>
  <c r="BE52" i="3" a="1"/>
  <c r="BE52" i="3" s="1"/>
  <c r="BE57" i="3" s="1"/>
  <c r="BE53" i="3" a="1"/>
  <c r="BE53" i="3" s="1"/>
  <c r="AV58" i="3" a="1"/>
  <c r="AV58" i="3" s="1"/>
  <c r="AU25" i="13"/>
  <c r="AU28" i="13" s="1"/>
  <c r="AT58" i="3" a="1"/>
  <c r="AT58" i="3" s="1"/>
  <c r="AS25" i="13"/>
  <c r="AS28" i="13" s="1"/>
  <c r="AN25" i="13"/>
  <c r="AN28" i="13" s="1"/>
  <c r="AO58" i="3" a="1"/>
  <c r="AO58" i="3" s="1"/>
  <c r="BD52" i="3" a="1"/>
  <c r="BD52" i="3" s="1"/>
  <c r="BD57" i="3" s="1"/>
  <c r="BD53" i="3" a="1"/>
  <c r="BD53" i="3" s="1"/>
  <c r="AR25" i="13"/>
  <c r="AR28" i="13" s="1"/>
  <c r="AS58" i="3" a="1"/>
  <c r="AS58" i="3" s="1"/>
  <c r="AR58" i="3" a="1"/>
  <c r="AR58" i="3" s="1"/>
  <c r="AQ25" i="13"/>
  <c r="AQ28" i="13" s="1"/>
  <c r="L26" i="3"/>
  <c r="BJ30" i="3" a="1"/>
  <c r="BJ30" i="3" s="1"/>
  <c r="BJ31" i="3" s="1" a="1"/>
  <c r="BJ31" i="3" s="1"/>
  <c r="AZ18" i="39" s="1"/>
  <c r="BK30" i="3" a="1"/>
  <c r="BK30" i="3" s="1"/>
  <c r="BK31" i="3" s="1" a="1"/>
  <c r="BK31" i="3" s="1"/>
  <c r="BA18" i="39" s="1"/>
  <c r="BL30" i="3" a="1"/>
  <c r="BL30" i="3" s="1"/>
  <c r="BL31" i="3" s="1" a="1"/>
  <c r="BL31" i="3" s="1"/>
  <c r="BB18" i="39" s="1"/>
  <c r="BM30" i="3" a="1"/>
  <c r="BM30" i="3" s="1"/>
  <c r="BM31" i="3" s="1" a="1"/>
  <c r="BM31" i="3" s="1"/>
  <c r="BC18" i="39" s="1"/>
  <c r="BN30" i="3" a="1"/>
  <c r="BN30" i="3" s="1"/>
  <c r="BN31" i="3" s="1" a="1"/>
  <c r="BN31" i="3" s="1"/>
  <c r="BD18" i="39" s="1"/>
  <c r="BO30" i="3" a="1"/>
  <c r="BO30" i="3" s="1"/>
  <c r="BO31" i="3" s="1" a="1"/>
  <c r="BO31" i="3" s="1"/>
  <c r="BE18" i="39" s="1"/>
  <c r="BP30" i="3" a="1"/>
  <c r="BP30" i="3" s="1"/>
  <c r="BP31" i="3" s="1" a="1"/>
  <c r="BP31" i="3" s="1"/>
  <c r="BF18" i="39" s="1"/>
  <c r="BQ30" i="3" a="1"/>
  <c r="BQ30" i="3" s="1"/>
  <c r="BQ31" i="3" s="1" a="1"/>
  <c r="BQ31" i="3" s="1"/>
  <c r="BG18" i="39" s="1"/>
  <c r="BR30" i="3" a="1"/>
  <c r="BR30" i="3" s="1"/>
  <c r="BR31" i="3" s="1" a="1"/>
  <c r="BR31" i="3" s="1"/>
  <c r="BH18" i="39" s="1"/>
  <c r="BS30" i="3" a="1"/>
  <c r="BS30" i="3" s="1"/>
  <c r="BS31" i="3" s="1" a="1"/>
  <c r="BS31" i="3" s="1"/>
  <c r="BI18" i="39" s="1"/>
  <c r="BT30" i="3" a="1"/>
  <c r="BT30" i="3" s="1"/>
  <c r="BT31" i="3" s="1" a="1"/>
  <c r="BT31" i="3" s="1"/>
  <c r="BJ18" i="39" s="1"/>
  <c r="BU30" i="3" a="1"/>
  <c r="BU30" i="3" s="1"/>
  <c r="BU31" i="3" s="1" a="1"/>
  <c r="BU31" i="3" s="1"/>
  <c r="BK18" i="39" s="1"/>
  <c r="AP25" i="13"/>
  <c r="AP28" i="13" s="1"/>
  <c r="AQ58" i="3" a="1"/>
  <c r="AQ58" i="3" s="1"/>
  <c r="BC52" i="3" a="1"/>
  <c r="BC52" i="3" s="1"/>
  <c r="BC57" i="3" s="1"/>
  <c r="BC53" i="3" a="1"/>
  <c r="BC53" i="3" s="1"/>
  <c r="BB53" i="3" a="1"/>
  <c r="BB53" i="3" s="1"/>
  <c r="BB52" i="3" a="1"/>
  <c r="BB52" i="3" s="1"/>
  <c r="BB57" i="3" s="1"/>
  <c r="AN58" i="3" a="1"/>
  <c r="AN58" i="3" s="1"/>
  <c r="AM25" i="13"/>
  <c r="AM28" i="13" s="1"/>
  <c r="AV25" i="13"/>
  <c r="AV28" i="13" s="1"/>
  <c r="AW58" i="3" a="1"/>
  <c r="AW58" i="3" s="1"/>
  <c r="BI53" i="3" a="1"/>
  <c r="BI53" i="3" s="1"/>
  <c r="BI52" i="3" a="1"/>
  <c r="BI52" i="3" s="1"/>
  <c r="BI57" i="3" s="1"/>
  <c r="BA52" i="3" a="1"/>
  <c r="BA52" i="3" s="1"/>
  <c r="BA57" i="3" s="1"/>
  <c r="BA53" i="3" a="1"/>
  <c r="BA53" i="3" s="1"/>
  <c r="AM58" i="3" a="1"/>
  <c r="AM58" i="3" s="1"/>
  <c r="AL25" i="13"/>
  <c r="AL28" i="13" s="1"/>
  <c r="AP58" i="3" a="1"/>
  <c r="AP58" i="3" s="1"/>
  <c r="AO25" i="13"/>
  <c r="AO28" i="13" s="1"/>
  <c r="BH53" i="3" a="1"/>
  <c r="BH53" i="3" s="1"/>
  <c r="BH52" i="3" a="1"/>
  <c r="BH52" i="3" s="1"/>
  <c r="BH57" i="3" s="1"/>
  <c r="AZ53" i="3" a="1"/>
  <c r="AZ53" i="3" s="1"/>
  <c r="AZ52" i="3" a="1"/>
  <c r="AZ52" i="3" s="1"/>
  <c r="AZ57" i="3" s="1"/>
  <c r="AL58" i="3" a="1"/>
  <c r="AL58" i="3" s="1"/>
  <c r="AK25" i="13"/>
  <c r="AK28" i="13" s="1"/>
  <c r="AU58" i="3" a="1"/>
  <c r="AU58" i="3" s="1"/>
  <c r="AT25" i="13"/>
  <c r="AT28" i="13" s="1"/>
  <c r="BG53" i="3" a="1"/>
  <c r="BG53" i="3" s="1"/>
  <c r="BG52" i="3" a="1"/>
  <c r="BG52" i="3" s="1"/>
  <c r="BG57" i="3" s="1"/>
  <c r="AY52" i="3" a="1"/>
  <c r="AY52" i="3" s="1"/>
  <c r="AY57" i="3" s="1"/>
  <c r="AY53" i="3" a="1"/>
  <c r="AY53" i="3" s="1"/>
  <c r="CC93" i="3"/>
  <c r="BU93" i="3"/>
  <c r="BM93" i="3"/>
  <c r="BE93" i="3"/>
  <c r="AW93" i="3"/>
  <c r="AO93" i="3"/>
  <c r="CB93" i="3"/>
  <c r="BT93" i="3"/>
  <c r="BL93" i="3"/>
  <c r="BD93" i="3"/>
  <c r="AV93" i="3"/>
  <c r="AN93" i="3"/>
  <c r="BO93" i="3"/>
  <c r="AY93" i="3"/>
  <c r="CA93" i="3"/>
  <c r="BS93" i="3"/>
  <c r="BK93" i="3"/>
  <c r="BC93" i="3"/>
  <c r="AU93" i="3"/>
  <c r="AM93" i="3"/>
  <c r="BW93" i="3"/>
  <c r="BG93" i="3"/>
  <c r="BZ93" i="3"/>
  <c r="BR93" i="3"/>
  <c r="BJ93" i="3"/>
  <c r="BB93" i="3"/>
  <c r="AT93" i="3"/>
  <c r="AL93" i="3"/>
  <c r="CG93" i="3"/>
  <c r="BY93" i="3"/>
  <c r="BQ93" i="3"/>
  <c r="BI93" i="3"/>
  <c r="BA93" i="3"/>
  <c r="AS93" i="3"/>
  <c r="CE93" i="3"/>
  <c r="AQ93" i="3"/>
  <c r="CF93" i="3"/>
  <c r="BX93" i="3"/>
  <c r="BP93" i="3"/>
  <c r="BH93" i="3"/>
  <c r="AZ93" i="3"/>
  <c r="AR93" i="3"/>
  <c r="CD93" i="3"/>
  <c r="BV93" i="3"/>
  <c r="BN93" i="3"/>
  <c r="BF93" i="3"/>
  <c r="AX93" i="3"/>
  <c r="AP93" i="3"/>
  <c r="Q30" i="3" a="1"/>
  <c r="Q30" i="3" s="1"/>
  <c r="Q31" i="3" s="1" a="1"/>
  <c r="Q31" i="3" s="1"/>
  <c r="Q52" i="3" s="1" a="1"/>
  <c r="Q52" i="3" s="1"/>
  <c r="Q57" i="3" s="1"/>
  <c r="P20" i="13"/>
  <c r="P30" i="3" a="1"/>
  <c r="P30" i="3" s="1"/>
  <c r="P31" i="3" s="1" a="1"/>
  <c r="P31" i="3" s="1"/>
  <c r="F18" i="39" s="1"/>
  <c r="O20" i="13"/>
  <c r="N21" i="13"/>
  <c r="N30" i="3" a="1"/>
  <c r="N30" i="3" s="1"/>
  <c r="N31" i="3" s="1" a="1"/>
  <c r="N31" i="3" s="1"/>
  <c r="N53" i="3" s="1" a="1"/>
  <c r="N53" i="3" s="1"/>
  <c r="M20" i="13"/>
  <c r="P24" i="3" a="1"/>
  <c r="P24" i="3" s="1"/>
  <c r="P37" i="3" s="1" a="1"/>
  <c r="P37" i="3" s="1"/>
  <c r="P38" i="3" s="1" a="1"/>
  <c r="P38" i="3" s="1"/>
  <c r="R23" i="3" a="1"/>
  <c r="R23" i="3" s="1"/>
  <c r="N24" i="3" a="1"/>
  <c r="N24" i="3" s="1"/>
  <c r="O23" i="3" a="1"/>
  <c r="O23" i="3" s="1"/>
  <c r="Q24" i="3" a="1"/>
  <c r="Q24" i="3" s="1"/>
  <c r="Q37" i="3" s="1" a="1"/>
  <c r="Q37" i="3" s="1"/>
  <c r="Q38" i="3" s="1" a="1"/>
  <c r="Q38" i="3" s="1"/>
  <c r="U24" i="3" a="1"/>
  <c r="U24" i="3" s="1"/>
  <c r="U37" i="3" s="1" a="1"/>
  <c r="U37" i="3" s="1"/>
  <c r="U38" i="3" s="1" a="1"/>
  <c r="U38" i="3" s="1"/>
  <c r="T23" i="3" a="1"/>
  <c r="T23" i="3" s="1"/>
  <c r="S24" i="3" a="1"/>
  <c r="S24" i="3" s="1"/>
  <c r="S37" i="3" s="1" a="1"/>
  <c r="S37" i="3" s="1"/>
  <c r="S38" i="3" s="1" a="1"/>
  <c r="S38" i="3" s="1"/>
  <c r="C36" i="38" l="1"/>
  <c r="D39" i="38"/>
  <c r="D33" i="38"/>
  <c r="D46" i="38"/>
  <c r="D49" i="38" s="1"/>
  <c r="D35" i="38"/>
  <c r="D43" i="38"/>
  <c r="E29" i="38"/>
  <c r="E48" i="38" s="1"/>
  <c r="D30" i="38"/>
  <c r="D31" i="38"/>
  <c r="BB58" i="3" a="1"/>
  <c r="BB58" i="3" s="1"/>
  <c r="BA25" i="13"/>
  <c r="BA28" i="13" s="1"/>
  <c r="BU52" i="3" a="1"/>
  <c r="BU52" i="3" s="1"/>
  <c r="BU57" i="3" s="1"/>
  <c r="BU53" i="3" a="1"/>
  <c r="BU53" i="3" s="1"/>
  <c r="BM52" i="3" a="1"/>
  <c r="BM52" i="3" s="1"/>
  <c r="BM57" i="3" s="1"/>
  <c r="BM53" i="3" a="1"/>
  <c r="BM53" i="3" s="1"/>
  <c r="BS53" i="3" a="1"/>
  <c r="BS53" i="3" s="1"/>
  <c r="BS52" i="3" a="1"/>
  <c r="BS52" i="3" s="1"/>
  <c r="BS57" i="3" s="1"/>
  <c r="BK52" i="3" a="1"/>
  <c r="BK52" i="3" s="1"/>
  <c r="BK57" i="3" s="1"/>
  <c r="BK53" i="3" a="1"/>
  <c r="BK53" i="3" s="1"/>
  <c r="BD58" i="3" a="1"/>
  <c r="BD58" i="3" s="1"/>
  <c r="BC25" i="13"/>
  <c r="BC28" i="13" s="1"/>
  <c r="BD25" i="13"/>
  <c r="BD28" i="13" s="1"/>
  <c r="BE58" i="3" a="1"/>
  <c r="BE58" i="3" s="1"/>
  <c r="BL53" i="3" a="1"/>
  <c r="BL53" i="3" s="1"/>
  <c r="BL52" i="3" a="1"/>
  <c r="BL52" i="3" s="1"/>
  <c r="BL57" i="3" s="1"/>
  <c r="AZ25" i="13"/>
  <c r="AZ28" i="13" s="1"/>
  <c r="BA58" i="3" a="1"/>
  <c r="BA58" i="3" s="1"/>
  <c r="BC58" i="3" a="1"/>
  <c r="BC58" i="3" s="1"/>
  <c r="BB25" i="13"/>
  <c r="BB28" i="13" s="1"/>
  <c r="BR53" i="3" a="1"/>
  <c r="BR53" i="3" s="1"/>
  <c r="BR52" i="3" a="1"/>
  <c r="BR52" i="3" s="1"/>
  <c r="BR57" i="3" s="1"/>
  <c r="BJ52" i="3" a="1"/>
  <c r="BJ52" i="3" s="1"/>
  <c r="BJ57" i="3" s="1"/>
  <c r="BJ53" i="3" a="1"/>
  <c r="BJ53" i="3" s="1"/>
  <c r="AX58" i="3" a="1"/>
  <c r="AX58" i="3" s="1"/>
  <c r="AW25" i="13"/>
  <c r="AW28" i="13" s="1"/>
  <c r="BH25" i="13"/>
  <c r="BH28" i="13" s="1"/>
  <c r="BI58" i="3" a="1"/>
  <c r="BI58" i="3" s="1"/>
  <c r="BQ52" i="3" a="1"/>
  <c r="BQ52" i="3" s="1"/>
  <c r="BQ57" i="3" s="1"/>
  <c r="BQ53" i="3" a="1"/>
  <c r="BQ53" i="3" s="1"/>
  <c r="BV30" i="3" a="1"/>
  <c r="BV30" i="3" s="1"/>
  <c r="BV31" i="3" s="1" a="1"/>
  <c r="BV31" i="3" s="1"/>
  <c r="BL18" i="39" s="1"/>
  <c r="BW30" i="3" a="1"/>
  <c r="BW30" i="3" s="1"/>
  <c r="BW31" i="3" s="1" a="1"/>
  <c r="BW31" i="3" s="1"/>
  <c r="BM18" i="39" s="1"/>
  <c r="BX30" i="3" a="1"/>
  <c r="BX30" i="3" s="1"/>
  <c r="BX31" i="3" s="1" a="1"/>
  <c r="BX31" i="3" s="1"/>
  <c r="BN18" i="39" s="1"/>
  <c r="BY30" i="3" a="1"/>
  <c r="BY30" i="3" s="1"/>
  <c r="BY31" i="3" s="1" a="1"/>
  <c r="BY31" i="3" s="1"/>
  <c r="BO18" i="39" s="1"/>
  <c r="BZ30" i="3" a="1"/>
  <c r="BZ30" i="3" s="1"/>
  <c r="BZ31" i="3" s="1" a="1"/>
  <c r="BZ31" i="3" s="1"/>
  <c r="BP18" i="39" s="1"/>
  <c r="CA30" i="3" a="1"/>
  <c r="CA30" i="3" s="1"/>
  <c r="CA31" i="3" s="1" a="1"/>
  <c r="CA31" i="3" s="1"/>
  <c r="BQ18" i="39" s="1"/>
  <c r="CB30" i="3" a="1"/>
  <c r="CB30" i="3" s="1"/>
  <c r="CB31" i="3" s="1" a="1"/>
  <c r="CB31" i="3" s="1"/>
  <c r="BR18" i="39" s="1"/>
  <c r="CC30" i="3" a="1"/>
  <c r="CC30" i="3" s="1"/>
  <c r="CC31" i="3" s="1" a="1"/>
  <c r="CC31" i="3" s="1"/>
  <c r="BS18" i="39" s="1"/>
  <c r="CD30" i="3" a="1"/>
  <c r="CD30" i="3" s="1"/>
  <c r="CD31" i="3" s="1" a="1"/>
  <c r="CD31" i="3" s="1"/>
  <c r="BT18" i="39" s="1"/>
  <c r="CE30" i="3" a="1"/>
  <c r="CE30" i="3" s="1"/>
  <c r="CE31" i="3" s="1" a="1"/>
  <c r="CE31" i="3" s="1"/>
  <c r="BU18" i="39" s="1"/>
  <c r="CF30" i="3" a="1"/>
  <c r="CF30" i="3" s="1"/>
  <c r="CF31" i="3" s="1" a="1"/>
  <c r="CF31" i="3" s="1"/>
  <c r="BV18" i="39" s="1"/>
  <c r="CG30" i="3" a="1"/>
  <c r="CG30" i="3" s="1"/>
  <c r="CG31" i="3" s="1" a="1"/>
  <c r="CG31" i="3" s="1"/>
  <c r="BW18" i="39" s="1"/>
  <c r="BH58" i="3" a="1"/>
  <c r="BH58" i="3" s="1"/>
  <c r="BG25" i="13"/>
  <c r="BG28" i="13" s="1"/>
  <c r="BP53" i="3" a="1"/>
  <c r="BP53" i="3" s="1"/>
  <c r="BP52" i="3" a="1"/>
  <c r="BP52" i="3" s="1"/>
  <c r="BP57" i="3" s="1"/>
  <c r="BF58" i="3" a="1"/>
  <c r="BF58" i="3" s="1"/>
  <c r="BE25" i="13"/>
  <c r="BE28" i="13" s="1"/>
  <c r="AX25" i="13"/>
  <c r="AX28" i="13" s="1"/>
  <c r="AY58" i="3" a="1"/>
  <c r="AY58" i="3" s="1"/>
  <c r="BO53" i="3" a="1"/>
  <c r="BO53" i="3" s="1"/>
  <c r="BO52" i="3" a="1"/>
  <c r="BO52" i="3" s="1"/>
  <c r="BO57" i="3" s="1"/>
  <c r="BT53" i="3" a="1"/>
  <c r="BT53" i="3" s="1"/>
  <c r="BT52" i="3" a="1"/>
  <c r="BT52" i="3" s="1"/>
  <c r="BT57" i="3" s="1"/>
  <c r="BF25" i="13"/>
  <c r="BF28" i="13" s="1"/>
  <c r="BG58" i="3" a="1"/>
  <c r="BG58" i="3" s="1"/>
  <c r="AZ58" i="3" a="1"/>
  <c r="AZ58" i="3" s="1"/>
  <c r="AY25" i="13"/>
  <c r="AY28" i="13" s="1"/>
  <c r="BN52" i="3" a="1"/>
  <c r="BN52" i="3" s="1"/>
  <c r="BN57" i="3" s="1"/>
  <c r="BN53" i="3" a="1"/>
  <c r="BN53" i="3" s="1"/>
  <c r="P52" i="3" a="1"/>
  <c r="P52" i="3" s="1"/>
  <c r="P57" i="3" s="1"/>
  <c r="O25" i="13" s="1"/>
  <c r="O28" i="13" s="1"/>
  <c r="P53" i="3" a="1"/>
  <c r="P53" i="3" s="1"/>
  <c r="D18" i="39"/>
  <c r="O62" i="3"/>
  <c r="O63" i="3" s="1" a="1"/>
  <c r="O63" i="3" s="1"/>
  <c r="E19" i="39"/>
  <c r="Q53" i="3" a="1"/>
  <c r="Q53" i="3" s="1"/>
  <c r="G18" i="39"/>
  <c r="N52" i="3" a="1"/>
  <c r="N52" i="3" s="1"/>
  <c r="N57" i="3" s="1"/>
  <c r="N58" i="3" s="1" a="1"/>
  <c r="N58" i="3" s="1"/>
  <c r="N59" i="3" s="1"/>
  <c r="T21" i="13"/>
  <c r="O30" i="3" a="1"/>
  <c r="O30" i="3" s="1"/>
  <c r="O31" i="3" s="1" a="1"/>
  <c r="O31" i="3" s="1"/>
  <c r="N20" i="13"/>
  <c r="T30" i="3" a="1"/>
  <c r="T30" i="3" s="1"/>
  <c r="T31" i="3" s="1" a="1"/>
  <c r="T31" i="3" s="1"/>
  <c r="S20" i="13"/>
  <c r="P21" i="13"/>
  <c r="N37" i="3" a="1"/>
  <c r="N37" i="3" s="1"/>
  <c r="N38" i="3" s="1" a="1"/>
  <c r="N38" i="3" s="1"/>
  <c r="M21" i="13"/>
  <c r="R30" i="3" a="1"/>
  <c r="R30" i="3" s="1"/>
  <c r="R31" i="3" s="1" a="1"/>
  <c r="R31" i="3" s="1"/>
  <c r="R52" i="3" s="1" a="1"/>
  <c r="R52" i="3" s="1"/>
  <c r="R57" i="3" s="1"/>
  <c r="Q20" i="13"/>
  <c r="Q58" i="3" a="1"/>
  <c r="Q58" i="3" s="1"/>
  <c r="P25" i="13"/>
  <c r="P28" i="13" s="1"/>
  <c r="R21" i="13"/>
  <c r="O21" i="13"/>
  <c r="R24" i="3" a="1"/>
  <c r="R24" i="3" s="1"/>
  <c r="R37" i="3" s="1" a="1"/>
  <c r="R37" i="3" s="1"/>
  <c r="R38" i="3" s="1" a="1"/>
  <c r="R38" i="3" s="1"/>
  <c r="U23" i="3" a="1"/>
  <c r="U23" i="3" s="1"/>
  <c r="S23" i="3" a="1"/>
  <c r="S23" i="3" s="1"/>
  <c r="T24" i="3" a="1"/>
  <c r="T24" i="3" s="1"/>
  <c r="T37" i="3" s="1" a="1"/>
  <c r="T37" i="3" s="1"/>
  <c r="T38" i="3" s="1" a="1"/>
  <c r="T38" i="3" s="1"/>
  <c r="X23" i="3" a="1"/>
  <c r="X23" i="3" s="1"/>
  <c r="W23" i="3" a="1"/>
  <c r="W23" i="3" s="1"/>
  <c r="Y23" i="3" a="1"/>
  <c r="Y23" i="3" s="1"/>
  <c r="D34" i="38" l="1"/>
  <c r="D36" i="38"/>
  <c r="E39" i="38"/>
  <c r="E33" i="38"/>
  <c r="E46" i="38"/>
  <c r="E49" i="38" s="1"/>
  <c r="E35" i="38"/>
  <c r="E43" i="38"/>
  <c r="F29" i="38"/>
  <c r="F48" i="38" s="1"/>
  <c r="E30" i="38"/>
  <c r="E34" i="38" s="1"/>
  <c r="E31" i="38"/>
  <c r="CF52" i="3" a="1"/>
  <c r="CF52" i="3" s="1"/>
  <c r="CF57" i="3" s="1"/>
  <c r="CF53" i="3" a="1"/>
  <c r="CF53" i="3" s="1"/>
  <c r="CE53" i="3" a="1"/>
  <c r="CE53" i="3" s="1"/>
  <c r="CE52" i="3" a="1"/>
  <c r="CE52" i="3" s="1"/>
  <c r="CE57" i="3" s="1"/>
  <c r="BW53" i="3" a="1"/>
  <c r="BW53" i="3" s="1"/>
  <c r="BW52" i="3" a="1"/>
  <c r="BW52" i="3" s="1"/>
  <c r="BW57" i="3" s="1"/>
  <c r="BL58" i="3" a="1"/>
  <c r="BL58" i="3" s="1"/>
  <c r="BK25" i="13"/>
  <c r="BK28" i="13" s="1"/>
  <c r="BS58" i="3" a="1"/>
  <c r="BS58" i="3" s="1"/>
  <c r="BR25" i="13"/>
  <c r="BR28" i="13" s="1"/>
  <c r="CD52" i="3" a="1"/>
  <c r="CD52" i="3" s="1"/>
  <c r="CD57" i="3" s="1"/>
  <c r="CD53" i="3" a="1"/>
  <c r="CD53" i="3" s="1"/>
  <c r="BT58" i="3" a="1"/>
  <c r="BT58" i="3" s="1"/>
  <c r="BS25" i="13"/>
  <c r="BS28" i="13" s="1"/>
  <c r="BP58" i="3" a="1"/>
  <c r="BP58" i="3" s="1"/>
  <c r="BO25" i="13"/>
  <c r="BO28" i="13" s="1"/>
  <c r="CC53" i="3" a="1"/>
  <c r="CC53" i="3" s="1"/>
  <c r="CC52" i="3" a="1"/>
  <c r="CC52" i="3" s="1"/>
  <c r="CC57" i="3" s="1"/>
  <c r="BR58" i="3" a="1"/>
  <c r="BR58" i="3" s="1"/>
  <c r="BQ25" i="13"/>
  <c r="BQ28" i="13" s="1"/>
  <c r="CB53" i="3" a="1"/>
  <c r="CB53" i="3" s="1"/>
  <c r="CB52" i="3" a="1"/>
  <c r="CB52" i="3" s="1"/>
  <c r="CB57" i="3" s="1"/>
  <c r="BP25" i="13"/>
  <c r="BP28" i="13" s="1"/>
  <c r="BQ58" i="3" a="1"/>
  <c r="BQ58" i="3" s="1"/>
  <c r="BL25" i="13"/>
  <c r="BL28" i="13" s="1"/>
  <c r="BM58" i="3" a="1"/>
  <c r="BM58" i="3" s="1"/>
  <c r="BV53" i="3" a="1"/>
  <c r="BV53" i="3" s="1"/>
  <c r="BV52" i="3" a="1"/>
  <c r="BV52" i="3" s="1"/>
  <c r="BV57" i="3" s="1"/>
  <c r="BN25" i="13"/>
  <c r="BN28" i="13" s="1"/>
  <c r="BO58" i="3" a="1"/>
  <c r="BO58" i="3" s="1"/>
  <c r="BT25" i="13"/>
  <c r="BT28" i="13" s="1"/>
  <c r="BU58" i="3" a="1"/>
  <c r="BU58" i="3" s="1"/>
  <c r="BN58" i="3" a="1"/>
  <c r="BN58" i="3" s="1"/>
  <c r="BM25" i="13"/>
  <c r="BM28" i="13" s="1"/>
  <c r="BZ53" i="3" a="1"/>
  <c r="BZ53" i="3" s="1"/>
  <c r="BZ52" i="3" a="1"/>
  <c r="BZ52" i="3" s="1"/>
  <c r="BZ57" i="3" s="1"/>
  <c r="CG52" i="3" a="1"/>
  <c r="CG52" i="3" s="1"/>
  <c r="CG57" i="3" s="1"/>
  <c r="CG53" i="3" a="1"/>
  <c r="CG53" i="3" s="1"/>
  <c r="BY53" i="3" a="1"/>
  <c r="BY53" i="3" s="1"/>
  <c r="BY52" i="3" a="1"/>
  <c r="BY52" i="3" s="1"/>
  <c r="BY57" i="3" s="1"/>
  <c r="BJ58" i="3" a="1"/>
  <c r="BJ58" i="3" s="1"/>
  <c r="BI25" i="13"/>
  <c r="BI28" i="13" s="1"/>
  <c r="CA52" i="3" a="1"/>
  <c r="CA52" i="3" s="1"/>
  <c r="CA57" i="3" s="1"/>
  <c r="CA53" i="3" a="1"/>
  <c r="CA53" i="3" s="1"/>
  <c r="BX52" i="3" a="1"/>
  <c r="BX52" i="3" s="1"/>
  <c r="BX57" i="3" s="1"/>
  <c r="BX53" i="3" a="1"/>
  <c r="BX53" i="3" s="1"/>
  <c r="BK58" i="3" a="1"/>
  <c r="BK58" i="3" s="1"/>
  <c r="BJ25" i="13"/>
  <c r="BJ28" i="13" s="1"/>
  <c r="P58" i="3" a="1"/>
  <c r="P58" i="3" s="1"/>
  <c r="T53" i="3" a="1"/>
  <c r="T53" i="3" s="1"/>
  <c r="J18" i="39"/>
  <c r="R53" i="3" a="1"/>
  <c r="R53" i="3" s="1"/>
  <c r="H18" i="39"/>
  <c r="P62" i="3"/>
  <c r="P63" i="3" s="1" a="1"/>
  <c r="P63" i="3" s="1"/>
  <c r="F19" i="39"/>
  <c r="N62" i="3"/>
  <c r="N63" i="3" s="1" a="1"/>
  <c r="N63" i="3" s="1"/>
  <c r="D19" i="39"/>
  <c r="U62" i="3"/>
  <c r="U63" i="3" s="1" a="1"/>
  <c r="U63" i="3" s="1"/>
  <c r="K19" i="39"/>
  <c r="S62" i="3"/>
  <c r="S63" i="3" s="1" a="1"/>
  <c r="S63" i="3" s="1"/>
  <c r="I19" i="39"/>
  <c r="M25" i="13"/>
  <c r="M28" i="13" s="1"/>
  <c r="Q62" i="3"/>
  <c r="Q63" i="3" s="1" a="1"/>
  <c r="Q63" i="3" s="1"/>
  <c r="G19" i="39"/>
  <c r="O53" i="3" a="1"/>
  <c r="O53" i="3" s="1"/>
  <c r="E18" i="39"/>
  <c r="T52" i="3" a="1"/>
  <c r="T52" i="3" s="1"/>
  <c r="T57" i="3" s="1"/>
  <c r="S25" i="13" s="1"/>
  <c r="S28" i="13" s="1"/>
  <c r="O52" i="3" a="1"/>
  <c r="O52" i="3" s="1"/>
  <c r="O57" i="3" s="1"/>
  <c r="N25" i="13" s="1"/>
  <c r="N28" i="13" s="1"/>
  <c r="S21" i="13"/>
  <c r="Q21" i="13"/>
  <c r="W30" i="3" a="1"/>
  <c r="W30" i="3" s="1"/>
  <c r="W31" i="3" s="1" a="1"/>
  <c r="W31" i="3" s="1"/>
  <c r="W52" i="3" s="1" a="1"/>
  <c r="W52" i="3" s="1"/>
  <c r="W57" i="3" s="1"/>
  <c r="V20" i="13"/>
  <c r="S30" i="3" a="1"/>
  <c r="S30" i="3" s="1"/>
  <c r="S31" i="3" s="1" a="1"/>
  <c r="S31" i="3" s="1"/>
  <c r="R20" i="13"/>
  <c r="R58" i="3" a="1"/>
  <c r="R58" i="3" s="1"/>
  <c r="Q25" i="13"/>
  <c r="Q28" i="13" s="1"/>
  <c r="U30" i="3" a="1"/>
  <c r="U30" i="3" s="1"/>
  <c r="U31" i="3" s="1" a="1"/>
  <c r="U31" i="3" s="1"/>
  <c r="T20" i="13"/>
  <c r="X30" i="3" a="1"/>
  <c r="X30" i="3" s="1"/>
  <c r="X31" i="3" s="1" a="1"/>
  <c r="X31" i="3" s="1"/>
  <c r="W20" i="13"/>
  <c r="Y30" i="3" a="1"/>
  <c r="Y30" i="3" s="1"/>
  <c r="Y31" i="3" s="1" a="1"/>
  <c r="Y31" i="3" s="1"/>
  <c r="Y53" i="3" s="1" a="1"/>
  <c r="Y53" i="3" s="1"/>
  <c r="X20" i="13"/>
  <c r="V23" i="3" a="1"/>
  <c r="V23" i="3" s="1"/>
  <c r="V24" i="3" a="1"/>
  <c r="V24" i="3" s="1"/>
  <c r="V37" i="3" s="1" a="1"/>
  <c r="V37" i="3" s="1"/>
  <c r="V38" i="3" s="1" a="1"/>
  <c r="V38" i="3" s="1"/>
  <c r="Y24" i="3" a="1"/>
  <c r="Y24" i="3" s="1"/>
  <c r="Y37" i="3" s="1" a="1"/>
  <c r="Y37" i="3" s="1"/>
  <c r="Y38" i="3" s="1" a="1"/>
  <c r="Y38" i="3" s="1"/>
  <c r="W24" i="3" a="1"/>
  <c r="W24" i="3" s="1"/>
  <c r="W37" i="3" s="1" a="1"/>
  <c r="W37" i="3" s="1"/>
  <c r="W38" i="3" s="1" a="1"/>
  <c r="W38" i="3" s="1"/>
  <c r="AC23" i="3" a="1"/>
  <c r="AC23" i="3" s="1"/>
  <c r="AA23" i="3" a="1"/>
  <c r="AA23" i="3" s="1"/>
  <c r="AB24" i="3" a="1"/>
  <c r="AB24" i="3" s="1"/>
  <c r="AB37" i="3" s="1" a="1"/>
  <c r="AB37" i="3" s="1"/>
  <c r="AB38" i="3" s="1" a="1"/>
  <c r="AB38" i="3" s="1"/>
  <c r="X24" i="3" a="1"/>
  <c r="X24" i="3" s="1"/>
  <c r="X37" i="3" s="1" a="1"/>
  <c r="X37" i="3" s="1"/>
  <c r="X38" i="3" s="1" a="1"/>
  <c r="X38" i="3" s="1"/>
  <c r="D8" i="10"/>
  <c r="K4" i="10"/>
  <c r="K5" i="10"/>
  <c r="L79" i="13"/>
  <c r="E41" i="39"/>
  <c r="F41" i="39"/>
  <c r="G41" i="39"/>
  <c r="H41" i="39"/>
  <c r="I41" i="39"/>
  <c r="J41" i="39"/>
  <c r="K41" i="39"/>
  <c r="L41" i="39"/>
  <c r="M41" i="39"/>
  <c r="N41" i="39"/>
  <c r="O41" i="39"/>
  <c r="E43" i="39"/>
  <c r="F43" i="39"/>
  <c r="G43" i="39"/>
  <c r="H43" i="39"/>
  <c r="I43" i="39"/>
  <c r="J43" i="39"/>
  <c r="K43" i="39"/>
  <c r="L43" i="39"/>
  <c r="M43" i="39"/>
  <c r="N43" i="39"/>
  <c r="O43" i="39"/>
  <c r="D43" i="39"/>
  <c r="B46" i="39"/>
  <c r="E60" i="13"/>
  <c r="B39" i="39" s="1"/>
  <c r="B40" i="39"/>
  <c r="B41" i="39"/>
  <c r="B42" i="39"/>
  <c r="B43" i="39"/>
  <c r="B44" i="39"/>
  <c r="B45" i="39"/>
  <c r="E45" i="13"/>
  <c r="E43" i="13"/>
  <c r="E42" i="13"/>
  <c r="D7" i="29"/>
  <c r="E34" i="13"/>
  <c r="D46" i="39"/>
  <c r="D45" i="39"/>
  <c r="D44" i="39"/>
  <c r="D42" i="39"/>
  <c r="D40" i="39"/>
  <c r="D39" i="39"/>
  <c r="D41" i="39"/>
  <c r="E54" i="13"/>
  <c r="E55" i="13"/>
  <c r="E56" i="13"/>
  <c r="E57" i="13"/>
  <c r="E58" i="13"/>
  <c r="E59" i="13"/>
  <c r="E53" i="13"/>
  <c r="F90" i="3"/>
  <c r="E90" i="3"/>
  <c r="E89" i="3"/>
  <c r="E88" i="3"/>
  <c r="E35" i="13" s="1"/>
  <c r="E98" i="3"/>
  <c r="E36" i="13" s="1"/>
  <c r="N66" i="3"/>
  <c r="N68" i="3" s="1"/>
  <c r="G9" i="37"/>
  <c r="G33" i="37"/>
  <c r="G21" i="37"/>
  <c r="G22" i="37" s="1"/>
  <c r="F42" i="1"/>
  <c r="G10" i="37"/>
  <c r="F46" i="38" l="1"/>
  <c r="F49" i="38" s="1"/>
  <c r="F35" i="38"/>
  <c r="F43" i="38"/>
  <c r="F39" i="38"/>
  <c r="F33" i="38"/>
  <c r="E36" i="38"/>
  <c r="G29" i="38"/>
  <c r="G48" i="38" s="1"/>
  <c r="F31" i="38"/>
  <c r="F36" i="38" s="1"/>
  <c r="F30" i="38"/>
  <c r="T58" i="3" a="1"/>
  <c r="T58" i="3" s="1"/>
  <c r="BX25" i="13"/>
  <c r="BX28" i="13" s="1"/>
  <c r="BY58" i="3" a="1"/>
  <c r="BY58" i="3" s="1"/>
  <c r="CB58" i="3" a="1"/>
  <c r="CB58" i="3" s="1"/>
  <c r="CA25" i="13"/>
  <c r="CA28" i="13" s="1"/>
  <c r="BV25" i="13"/>
  <c r="BV28" i="13" s="1"/>
  <c r="BW58" i="3" a="1"/>
  <c r="BW58" i="3" s="1"/>
  <c r="BX58" i="3" a="1"/>
  <c r="BX58" i="3" s="1"/>
  <c r="BW25" i="13"/>
  <c r="BW28" i="13" s="1"/>
  <c r="CG58" i="3" a="1"/>
  <c r="CG58" i="3" s="1"/>
  <c r="CF25" i="13"/>
  <c r="CF28" i="13" s="1"/>
  <c r="BZ58" i="3" a="1"/>
  <c r="BZ58" i="3" s="1"/>
  <c r="BY25" i="13"/>
  <c r="BY28" i="13" s="1"/>
  <c r="BV58" i="3" a="1"/>
  <c r="BV58" i="3" s="1"/>
  <c r="BU25" i="13"/>
  <c r="BU28" i="13" s="1"/>
  <c r="CD25" i="13"/>
  <c r="CD28" i="13" s="1"/>
  <c r="CE58" i="3" a="1"/>
  <c r="CE58" i="3" s="1"/>
  <c r="CA58" i="3" a="1"/>
  <c r="CA58" i="3" s="1"/>
  <c r="BZ25" i="13"/>
  <c r="BZ28" i="13" s="1"/>
  <c r="CD58" i="3" a="1"/>
  <c r="CD58" i="3" s="1"/>
  <c r="CC25" i="13"/>
  <c r="CC28" i="13" s="1"/>
  <c r="CB25" i="13"/>
  <c r="CB28" i="13" s="1"/>
  <c r="CC58" i="3" a="1"/>
  <c r="CC58" i="3" s="1"/>
  <c r="CF58" i="3" a="1"/>
  <c r="CF58" i="3" s="1"/>
  <c r="CE25" i="13"/>
  <c r="CE28" i="13" s="1"/>
  <c r="V38" i="39"/>
  <c r="N38" i="39"/>
  <c r="F38" i="39"/>
  <c r="U38" i="39"/>
  <c r="M38" i="39"/>
  <c r="E38" i="39"/>
  <c r="L38" i="39"/>
  <c r="AA38" i="39"/>
  <c r="S38" i="39"/>
  <c r="K38" i="39"/>
  <c r="G91" i="3"/>
  <c r="R94" i="3" s="1"/>
  <c r="N64" i="3"/>
  <c r="N65" i="3" s="1"/>
  <c r="N90" i="3" s="1"/>
  <c r="Z38" i="39"/>
  <c r="R38" i="39"/>
  <c r="J38" i="39"/>
  <c r="T38" i="39"/>
  <c r="Y38" i="39"/>
  <c r="Q38" i="39"/>
  <c r="I38" i="39"/>
  <c r="X38" i="39"/>
  <c r="P38" i="39"/>
  <c r="H38" i="39"/>
  <c r="W38" i="39"/>
  <c r="O38" i="39"/>
  <c r="G38" i="39"/>
  <c r="R62" i="3"/>
  <c r="R63" i="3" s="1" a="1"/>
  <c r="R63" i="3" s="1"/>
  <c r="H19" i="39"/>
  <c r="Y52" i="3" a="1"/>
  <c r="Y52" i="3" s="1"/>
  <c r="Y57" i="3" s="1"/>
  <c r="X25" i="13" s="1"/>
  <c r="X28" i="13" s="1"/>
  <c r="O18" i="39"/>
  <c r="T62" i="3"/>
  <c r="T63" i="3" s="1" a="1"/>
  <c r="T63" i="3" s="1"/>
  <c r="J19" i="39"/>
  <c r="X53" i="3" a="1"/>
  <c r="X53" i="3" s="1"/>
  <c r="N18" i="39"/>
  <c r="S53" i="3" a="1"/>
  <c r="S53" i="3" s="1"/>
  <c r="I18" i="39"/>
  <c r="O58" i="3" a="1"/>
  <c r="O58" i="3" s="1"/>
  <c r="O59" i="3" s="1"/>
  <c r="P59" i="3" s="1"/>
  <c r="S52" i="3" a="1"/>
  <c r="S52" i="3" s="1"/>
  <c r="S57" i="3" s="1"/>
  <c r="R25" i="13" s="1"/>
  <c r="R28" i="13" s="1"/>
  <c r="U53" i="3" a="1"/>
  <c r="U53" i="3" s="1"/>
  <c r="K18" i="39"/>
  <c r="W53" i="3" a="1"/>
  <c r="W53" i="3" s="1"/>
  <c r="M18" i="39"/>
  <c r="AA21" i="13"/>
  <c r="U21" i="13"/>
  <c r="V30" i="3" a="1"/>
  <c r="V30" i="3" s="1"/>
  <c r="V31" i="3" s="1" a="1"/>
  <c r="V31" i="3" s="1"/>
  <c r="L18" i="39" s="1"/>
  <c r="U20" i="13"/>
  <c r="AC30" i="3" a="1"/>
  <c r="AC30" i="3" s="1"/>
  <c r="AC31" i="3" s="1" a="1"/>
  <c r="AC31" i="3" s="1"/>
  <c r="AC52" i="3" s="1" a="1"/>
  <c r="AC52" i="3" s="1"/>
  <c r="AC57" i="3" s="1"/>
  <c r="AB20" i="13"/>
  <c r="AA30" i="3" a="1"/>
  <c r="AA30" i="3" s="1"/>
  <c r="AA31" i="3" s="1" a="1"/>
  <c r="AA31" i="3" s="1"/>
  <c r="Z20" i="13"/>
  <c r="X52" i="3" a="1"/>
  <c r="X52" i="3" s="1"/>
  <c r="X57" i="3" s="1"/>
  <c r="W58" i="3" a="1"/>
  <c r="W58" i="3" s="1"/>
  <c r="V25" i="13"/>
  <c r="V28" i="13" s="1"/>
  <c r="V21" i="13"/>
  <c r="U52" i="3" a="1"/>
  <c r="U52" i="3" s="1"/>
  <c r="U57" i="3" s="1"/>
  <c r="W21" i="13"/>
  <c r="X21" i="13"/>
  <c r="AJ94" i="3"/>
  <c r="AC94" i="3"/>
  <c r="V94" i="3"/>
  <c r="Z94" i="3"/>
  <c r="AH94" i="3"/>
  <c r="AK94" i="3"/>
  <c r="AD23" i="3" a="1"/>
  <c r="AD23" i="3" s="1"/>
  <c r="Z23" i="3" a="1"/>
  <c r="Z23" i="3" s="1"/>
  <c r="Z24" i="3" a="1"/>
  <c r="Z24" i="3" s="1"/>
  <c r="Z37" i="3" s="1" a="1"/>
  <c r="Z37" i="3" s="1"/>
  <c r="Z38" i="3" s="1" a="1"/>
  <c r="Z38" i="3" s="1"/>
  <c r="AB23" i="3" a="1"/>
  <c r="AB23" i="3" s="1"/>
  <c r="AE23" i="3" a="1"/>
  <c r="AE23" i="3" s="1"/>
  <c r="AA24" i="3" a="1"/>
  <c r="AA24" i="3" s="1"/>
  <c r="AA37" i="3" s="1" a="1"/>
  <c r="AA37" i="3" s="1"/>
  <c r="AA38" i="3" s="1" a="1"/>
  <c r="AA38" i="3" s="1"/>
  <c r="AF24" i="3" a="1"/>
  <c r="AF24" i="3" s="1"/>
  <c r="AF37" i="3" s="1" a="1"/>
  <c r="AF37" i="3" s="1"/>
  <c r="AF38" i="3" s="1" a="1"/>
  <c r="AF38" i="3" s="1"/>
  <c r="AC24" i="3" a="1"/>
  <c r="AC24" i="3" s="1"/>
  <c r="AC37" i="3" s="1" a="1"/>
  <c r="AC37" i="3" s="1"/>
  <c r="AC38" i="3" s="1" a="1"/>
  <c r="AC38" i="3" s="1"/>
  <c r="AG23" i="3" a="1"/>
  <c r="AG23" i="3" s="1"/>
  <c r="O23" i="29"/>
  <c r="O54" i="29"/>
  <c r="K6" i="10" s="1"/>
  <c r="O66" i="3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AG66" i="3" s="1"/>
  <c r="AH66" i="3" s="1"/>
  <c r="AI66" i="3" s="1"/>
  <c r="AJ66" i="3" s="1"/>
  <c r="AK66" i="3" s="1"/>
  <c r="AL66" i="3" s="1"/>
  <c r="M10" i="13"/>
  <c r="AG94" i="3" l="1"/>
  <c r="N94" i="3"/>
  <c r="S94" i="3"/>
  <c r="O94" i="3"/>
  <c r="AA94" i="3"/>
  <c r="AI94" i="3"/>
  <c r="AB94" i="3"/>
  <c r="Y94" i="3"/>
  <c r="P94" i="3"/>
  <c r="W94" i="3"/>
  <c r="Q94" i="3"/>
  <c r="AE94" i="3"/>
  <c r="U94" i="3"/>
  <c r="X94" i="3"/>
  <c r="AF94" i="3"/>
  <c r="AD94" i="3"/>
  <c r="T94" i="3"/>
  <c r="F34" i="38"/>
  <c r="G46" i="38"/>
  <c r="G49" i="38" s="1"/>
  <c r="G35" i="38"/>
  <c r="G39" i="38"/>
  <c r="G33" i="38"/>
  <c r="G43" i="38"/>
  <c r="G31" i="38"/>
  <c r="G30" i="38"/>
  <c r="BL94" i="3"/>
  <c r="BS94" i="3"/>
  <c r="AS94" i="3"/>
  <c r="BF94" i="3"/>
  <c r="AP94" i="3"/>
  <c r="AO94" i="3"/>
  <c r="CC94" i="3"/>
  <c r="BD94" i="3"/>
  <c r="BK94" i="3"/>
  <c r="BZ94" i="3"/>
  <c r="CG94" i="3"/>
  <c r="AX94" i="3"/>
  <c r="BN94" i="3"/>
  <c r="CD94" i="3"/>
  <c r="AV94" i="3"/>
  <c r="BW94" i="3"/>
  <c r="BC94" i="3"/>
  <c r="BR94" i="3"/>
  <c r="BX94" i="3"/>
  <c r="BI94" i="3"/>
  <c r="BU94" i="3"/>
  <c r="AN94" i="3"/>
  <c r="BG94" i="3"/>
  <c r="AU94" i="3"/>
  <c r="BA94" i="3"/>
  <c r="BJ94" i="3"/>
  <c r="BP94" i="3"/>
  <c r="BM94" i="3"/>
  <c r="AQ94" i="3"/>
  <c r="AM94" i="3"/>
  <c r="CF94" i="3"/>
  <c r="BB94" i="3"/>
  <c r="BH94" i="3"/>
  <c r="CA94" i="3"/>
  <c r="BE94" i="3"/>
  <c r="BO94" i="3"/>
  <c r="AT94" i="3"/>
  <c r="BY94" i="3"/>
  <c r="AZ94" i="3"/>
  <c r="CE94" i="3"/>
  <c r="AW94" i="3"/>
  <c r="CB94" i="3"/>
  <c r="AY94" i="3"/>
  <c r="AL94" i="3"/>
  <c r="BQ94" i="3"/>
  <c r="AR94" i="3"/>
  <c r="BV94" i="3"/>
  <c r="BT94" i="3"/>
  <c r="AL68" i="3"/>
  <c r="AM66" i="3"/>
  <c r="V52" i="3" a="1"/>
  <c r="V52" i="3" s="1"/>
  <c r="V57" i="3" s="1"/>
  <c r="V58" i="3" s="1" a="1"/>
  <c r="V58" i="3" s="1"/>
  <c r="Y58" i="3" a="1"/>
  <c r="Y58" i="3" s="1"/>
  <c r="V53" i="3" a="1"/>
  <c r="V53" i="3" s="1"/>
  <c r="N69" i="3"/>
  <c r="N89" i="3" s="1"/>
  <c r="N72" i="3"/>
  <c r="N74" i="3" s="1" a="1"/>
  <c r="N74" i="3" s="1"/>
  <c r="S58" i="3" a="1"/>
  <c r="S58" i="3" s="1"/>
  <c r="N95" i="3"/>
  <c r="X62" i="3"/>
  <c r="X63" i="3" s="1" a="1"/>
  <c r="X63" i="3" s="1"/>
  <c r="N19" i="39"/>
  <c r="V62" i="3"/>
  <c r="V63" i="3" s="1" a="1"/>
  <c r="V63" i="3" s="1"/>
  <c r="L19" i="39"/>
  <c r="AC53" i="3" a="1"/>
  <c r="AC53" i="3" s="1"/>
  <c r="S18" i="39"/>
  <c r="AB62" i="3"/>
  <c r="AB63" i="3" s="1" a="1"/>
  <c r="AB63" i="3" s="1"/>
  <c r="R19" i="39"/>
  <c r="W62" i="3"/>
  <c r="W63" i="3" s="1" a="1"/>
  <c r="W63" i="3" s="1"/>
  <c r="M19" i="39"/>
  <c r="Y62" i="3"/>
  <c r="Y63" i="3" s="1" a="1"/>
  <c r="Y63" i="3" s="1"/>
  <c r="O19" i="39"/>
  <c r="AA53" i="3" a="1"/>
  <c r="AA53" i="3" s="1"/>
  <c r="Q18" i="39"/>
  <c r="Z30" i="3" a="1"/>
  <c r="Z30" i="3" s="1"/>
  <c r="Z31" i="3" s="1" a="1"/>
  <c r="Z31" i="3" s="1"/>
  <c r="P18" i="39" s="1"/>
  <c r="Y20" i="13"/>
  <c r="AE21" i="13"/>
  <c r="X58" i="3" a="1"/>
  <c r="X58" i="3" s="1"/>
  <c r="W25" i="13"/>
  <c r="W28" i="13" s="1"/>
  <c r="Y21" i="13"/>
  <c r="U58" i="3" a="1"/>
  <c r="U58" i="3" s="1"/>
  <c r="T25" i="13"/>
  <c r="T28" i="13" s="1"/>
  <c r="AA52" i="3" a="1"/>
  <c r="AA52" i="3" s="1"/>
  <c r="AA57" i="3" s="1"/>
  <c r="AD30" i="3" a="1"/>
  <c r="AD30" i="3" s="1"/>
  <c r="AD31" i="3" s="1" a="1"/>
  <c r="AD31" i="3" s="1"/>
  <c r="AC20" i="13"/>
  <c r="AG30" i="3" a="1"/>
  <c r="AG30" i="3" s="1"/>
  <c r="AG31" i="3" s="1" a="1"/>
  <c r="AG31" i="3" s="1"/>
  <c r="AG53" i="3" s="1" a="1"/>
  <c r="AG53" i="3" s="1"/>
  <c r="AF20" i="13"/>
  <c r="AB30" i="3" a="1"/>
  <c r="AB30" i="3" s="1"/>
  <c r="AB31" i="3" s="1" a="1"/>
  <c r="AB31" i="3" s="1"/>
  <c r="AB52" i="3" s="1" a="1"/>
  <c r="AB52" i="3" s="1"/>
  <c r="AB57" i="3" s="1"/>
  <c r="AA20" i="13"/>
  <c r="AC58" i="3" a="1"/>
  <c r="AC58" i="3" s="1"/>
  <c r="AB25" i="13"/>
  <c r="AB28" i="13" s="1"/>
  <c r="Z21" i="13"/>
  <c r="AE30" i="3" a="1"/>
  <c r="AE30" i="3" s="1"/>
  <c r="AE31" i="3" s="1" a="1"/>
  <c r="AE31" i="3" s="1"/>
  <c r="AD20" i="13"/>
  <c r="AB21" i="13"/>
  <c r="Q59" i="3"/>
  <c r="AD24" i="3" a="1"/>
  <c r="AD24" i="3" s="1"/>
  <c r="AD37" i="3" s="1" a="1"/>
  <c r="AD37" i="3" s="1"/>
  <c r="AD38" i="3" s="1" a="1"/>
  <c r="AD38" i="3" s="1"/>
  <c r="AG24" i="3" a="1"/>
  <c r="AG24" i="3" s="1"/>
  <c r="AG37" i="3" s="1" a="1"/>
  <c r="AG37" i="3" s="1"/>
  <c r="AG38" i="3" s="1" a="1"/>
  <c r="AG38" i="3" s="1"/>
  <c r="AE24" i="3" a="1"/>
  <c r="AE24" i="3" s="1"/>
  <c r="AE37" i="3" s="1" a="1"/>
  <c r="AE37" i="3" s="1"/>
  <c r="AE38" i="3" s="1" a="1"/>
  <c r="AE38" i="3" s="1"/>
  <c r="AJ23" i="3" a="1"/>
  <c r="AJ23" i="3" s="1"/>
  <c r="AK23" i="3" a="1"/>
  <c r="AK23" i="3" s="1"/>
  <c r="AF23" i="3" a="1"/>
  <c r="AF23" i="3" s="1"/>
  <c r="AI24" i="3" a="1"/>
  <c r="AI24" i="3" s="1"/>
  <c r="AI37" i="3" s="1" a="1"/>
  <c r="AI37" i="3" s="1"/>
  <c r="AI38" i="3" s="1" a="1"/>
  <c r="AI38" i="3" s="1"/>
  <c r="N80" i="3"/>
  <c r="N7" i="13"/>
  <c r="N12" i="13" s="1"/>
  <c r="M7" i="13"/>
  <c r="M12" i="13" s="1"/>
  <c r="O68" i="3"/>
  <c r="P68" i="3"/>
  <c r="Q68" i="3"/>
  <c r="R68" i="3"/>
  <c r="G34" i="38" l="1"/>
  <c r="G36" i="38"/>
  <c r="N81" i="3" a="1"/>
  <c r="N81" i="3" s="1"/>
  <c r="N83" i="3" a="1"/>
  <c r="N83" i="3" s="1"/>
  <c r="N86" i="3" s="1"/>
  <c r="D24" i="39" s="1"/>
  <c r="AM68" i="3"/>
  <c r="AN66" i="3"/>
  <c r="U25" i="13"/>
  <c r="U28" i="13" s="1"/>
  <c r="M26" i="13"/>
  <c r="M29" i="13" s="1"/>
  <c r="Z52" i="3" a="1"/>
  <c r="Z52" i="3" s="1"/>
  <c r="Z57" i="3" s="1"/>
  <c r="Z58" i="3" s="1" a="1"/>
  <c r="Z58" i="3" s="1"/>
  <c r="Z53" i="3" a="1"/>
  <c r="Z53" i="3" s="1"/>
  <c r="AD53" i="3" a="1"/>
  <c r="AD53" i="3" s="1"/>
  <c r="T18" i="39"/>
  <c r="AC62" i="3"/>
  <c r="AC63" i="3" s="1" a="1"/>
  <c r="AC63" i="3" s="1"/>
  <c r="S19" i="39"/>
  <c r="AF62" i="3"/>
  <c r="AF63" i="3" s="1" a="1"/>
  <c r="AF63" i="3" s="1"/>
  <c r="V19" i="39"/>
  <c r="AB53" i="3" a="1"/>
  <c r="AB53" i="3" s="1"/>
  <c r="R18" i="39"/>
  <c r="AE53" i="3" a="1"/>
  <c r="AE53" i="3" s="1"/>
  <c r="U18" i="39"/>
  <c r="AA62" i="3"/>
  <c r="AA63" i="3" s="1" a="1"/>
  <c r="AA63" i="3" s="1"/>
  <c r="Q19" i="39"/>
  <c r="AG52" i="3" a="1"/>
  <c r="AG52" i="3" s="1"/>
  <c r="AG57" i="3" s="1"/>
  <c r="AG58" i="3" s="1" a="1"/>
  <c r="AG58" i="3" s="1"/>
  <c r="W18" i="39"/>
  <c r="Z62" i="3"/>
  <c r="Z63" i="3" s="1" a="1"/>
  <c r="Z63" i="3" s="1"/>
  <c r="P19" i="39"/>
  <c r="N99" i="3"/>
  <c r="N100" i="3" s="1" a="1"/>
  <c r="N100" i="3" s="1"/>
  <c r="N102" i="3" s="1" a="1"/>
  <c r="N102" i="3" s="1"/>
  <c r="N104" i="3" s="1"/>
  <c r="D20" i="39"/>
  <c r="AB58" i="3" a="1"/>
  <c r="AB58" i="3" s="1"/>
  <c r="AA25" i="13"/>
  <c r="AA28" i="13" s="1"/>
  <c r="AH21" i="13"/>
  <c r="AA58" i="3" a="1"/>
  <c r="AA58" i="3" s="1"/>
  <c r="Z25" i="13"/>
  <c r="Z28" i="13" s="1"/>
  <c r="AF30" i="3" a="1"/>
  <c r="AF30" i="3" s="1"/>
  <c r="AF31" i="3" s="1" a="1"/>
  <c r="AF31" i="3" s="1"/>
  <c r="AE20" i="13"/>
  <c r="AK30" i="3" a="1"/>
  <c r="AK30" i="3" s="1"/>
  <c r="AK31" i="3" s="1" a="1"/>
  <c r="AK31" i="3" s="1"/>
  <c r="AK52" i="3" s="1" a="1"/>
  <c r="AK52" i="3" s="1"/>
  <c r="AK57" i="3" s="1"/>
  <c r="AJ20" i="13"/>
  <c r="AJ30" i="3" a="1"/>
  <c r="AJ30" i="3" s="1"/>
  <c r="AJ31" i="3" s="1" a="1"/>
  <c r="AJ31" i="3" s="1"/>
  <c r="AI20" i="13"/>
  <c r="AD21" i="13"/>
  <c r="AE52" i="3" a="1"/>
  <c r="AE52" i="3" s="1"/>
  <c r="AE57" i="3" s="1"/>
  <c r="AF21" i="13"/>
  <c r="AD52" i="3" a="1"/>
  <c r="AD52" i="3" s="1"/>
  <c r="AD57" i="3" s="1"/>
  <c r="AC21" i="13"/>
  <c r="R59" i="3"/>
  <c r="AH24" i="3" a="1"/>
  <c r="AH24" i="3" s="1"/>
  <c r="AH37" i="3" s="1" a="1"/>
  <c r="AH37" i="3" s="1"/>
  <c r="AH38" i="3" s="1" a="1"/>
  <c r="AH38" i="3" s="1"/>
  <c r="AH23" i="3" a="1"/>
  <c r="AH23" i="3" s="1"/>
  <c r="AI23" i="3" a="1"/>
  <c r="AI23" i="3" s="1"/>
  <c r="AK24" i="3" a="1"/>
  <c r="AK24" i="3" s="1"/>
  <c r="AK37" i="3" s="1" a="1"/>
  <c r="AK37" i="3" s="1"/>
  <c r="AK38" i="3" s="1" a="1"/>
  <c r="AK38" i="3" s="1"/>
  <c r="AJ24" i="3" a="1"/>
  <c r="AJ24" i="3" s="1"/>
  <c r="AJ37" i="3" s="1" a="1"/>
  <c r="AJ37" i="3" s="1"/>
  <c r="AJ38" i="3" s="1" a="1"/>
  <c r="AJ38" i="3" s="1"/>
  <c r="N8" i="13"/>
  <c r="N12" i="3"/>
  <c r="M8" i="13"/>
  <c r="N96" i="3"/>
  <c r="S68" i="3"/>
  <c r="O12" i="3"/>
  <c r="D25" i="39" l="1"/>
  <c r="D28" i="39" s="1"/>
  <c r="D26" i="39"/>
  <c r="AO66" i="3"/>
  <c r="AN68" i="3"/>
  <c r="Y25" i="13"/>
  <c r="Y28" i="13" s="1"/>
  <c r="M36" i="13"/>
  <c r="E46" i="39"/>
  <c r="E45" i="39"/>
  <c r="E44" i="39"/>
  <c r="E42" i="39"/>
  <c r="E40" i="39"/>
  <c r="E39" i="39"/>
  <c r="N117" i="3"/>
  <c r="D33" i="39" s="1"/>
  <c r="AG62" i="3"/>
  <c r="AG63" i="3" s="1" a="1"/>
  <c r="AG63" i="3" s="1"/>
  <c r="W19" i="39"/>
  <c r="AJ53" i="3" a="1"/>
  <c r="AJ53" i="3" s="1"/>
  <c r="Z18" i="39"/>
  <c r="AI62" i="3"/>
  <c r="AI63" i="3" s="1" a="1"/>
  <c r="AI63" i="3" s="1"/>
  <c r="Y19" i="39"/>
  <c r="AK53" i="3" a="1"/>
  <c r="AK53" i="3" s="1"/>
  <c r="AA18" i="39"/>
  <c r="AD62" i="3"/>
  <c r="AD63" i="3" s="1" a="1"/>
  <c r="AD63" i="3" s="1"/>
  <c r="T19" i="39"/>
  <c r="AE62" i="3"/>
  <c r="AE63" i="3" s="1" a="1"/>
  <c r="AE63" i="3" s="1"/>
  <c r="U19" i="39"/>
  <c r="AF25" i="13"/>
  <c r="AF28" i="13" s="1"/>
  <c r="AF53" i="3" a="1"/>
  <c r="AF53" i="3" s="1"/>
  <c r="V18" i="39"/>
  <c r="AF52" i="3" a="1"/>
  <c r="AF52" i="3" s="1"/>
  <c r="AF57" i="3" s="1"/>
  <c r="AF58" i="3" s="1" a="1"/>
  <c r="AF58" i="3" s="1"/>
  <c r="AH30" i="3" a="1"/>
  <c r="AH30" i="3" s="1"/>
  <c r="AH31" i="3" s="1" a="1"/>
  <c r="AH31" i="3" s="1"/>
  <c r="X18" i="39" s="1"/>
  <c r="AG20" i="13"/>
  <c r="AG21" i="13"/>
  <c r="AE58" i="3" a="1"/>
  <c r="AE58" i="3" s="1"/>
  <c r="AD25" i="13"/>
  <c r="AD28" i="13" s="1"/>
  <c r="AK58" i="3" a="1"/>
  <c r="AK58" i="3" s="1"/>
  <c r="AJ25" i="13"/>
  <c r="AJ28" i="13" s="1"/>
  <c r="AI21" i="13"/>
  <c r="AJ52" i="3" a="1"/>
  <c r="AJ52" i="3" s="1"/>
  <c r="AJ57" i="3" s="1"/>
  <c r="AJ21" i="13"/>
  <c r="AD58" i="3" a="1"/>
  <c r="AD58" i="3" s="1"/>
  <c r="AC25" i="13"/>
  <c r="AI30" i="3" a="1"/>
  <c r="AI30" i="3" s="1"/>
  <c r="AI31" i="3" s="1" a="1"/>
  <c r="AI31" i="3" s="1"/>
  <c r="AH20" i="13"/>
  <c r="N110" i="3"/>
  <c r="M34" i="13"/>
  <c r="S59" i="3"/>
  <c r="O7" i="13"/>
  <c r="O12" i="13" s="1"/>
  <c r="N115" i="3"/>
  <c r="M35" i="13"/>
  <c r="T68" i="3"/>
  <c r="AP66" i="3" l="1"/>
  <c r="AO68" i="3"/>
  <c r="AH53" i="3" a="1"/>
  <c r="AH53" i="3" s="1"/>
  <c r="AH52" i="3" a="1"/>
  <c r="AH52" i="3" s="1"/>
  <c r="AH57" i="3" s="1"/>
  <c r="AG25" i="13" s="1"/>
  <c r="AG28" i="13" s="1"/>
  <c r="E47" i="39"/>
  <c r="AE25" i="13"/>
  <c r="AE28" i="13" s="1"/>
  <c r="M44" i="13"/>
  <c r="D31" i="39"/>
  <c r="AK62" i="3"/>
  <c r="AK63" i="3" s="1" a="1"/>
  <c r="AK63" i="3" s="1"/>
  <c r="AA19" i="39"/>
  <c r="AI53" i="3" a="1"/>
  <c r="AI53" i="3" s="1"/>
  <c r="Y18" i="39"/>
  <c r="AH62" i="3"/>
  <c r="AH63" i="3" s="1" a="1"/>
  <c r="AH63" i="3" s="1"/>
  <c r="X19" i="39"/>
  <c r="AJ62" i="3"/>
  <c r="AJ63" i="3" s="1" a="1"/>
  <c r="AJ63" i="3" s="1"/>
  <c r="Z19" i="39"/>
  <c r="AI52" i="3" a="1"/>
  <c r="AI52" i="3" s="1"/>
  <c r="AI57" i="3" s="1"/>
  <c r="AJ58" i="3" a="1"/>
  <c r="AJ58" i="3" s="1"/>
  <c r="AI25" i="13"/>
  <c r="AI28" i="13" s="1"/>
  <c r="T59" i="3"/>
  <c r="O8" i="13"/>
  <c r="N74" i="13"/>
  <c r="U68" i="3"/>
  <c r="P12" i="3"/>
  <c r="AQ66" i="3" l="1"/>
  <c r="AP68" i="3"/>
  <c r="AH58" i="3" a="1"/>
  <c r="AH58" i="3" s="1"/>
  <c r="F46" i="39"/>
  <c r="F44" i="39"/>
  <c r="F42" i="39"/>
  <c r="F40" i="39"/>
  <c r="F39" i="39"/>
  <c r="AI58" i="3" a="1"/>
  <c r="AI58" i="3" s="1"/>
  <c r="AH25" i="13"/>
  <c r="AH28" i="13" s="1"/>
  <c r="U59" i="3"/>
  <c r="P7" i="13"/>
  <c r="P12" i="13" s="1"/>
  <c r="F45" i="39"/>
  <c r="V68" i="3"/>
  <c r="AR66" i="3" l="1"/>
  <c r="AQ68" i="3"/>
  <c r="F47" i="39"/>
  <c r="V59" i="3"/>
  <c r="P8" i="13"/>
  <c r="O74" i="13"/>
  <c r="W68" i="3"/>
  <c r="Q12" i="3"/>
  <c r="AR68" i="3" l="1"/>
  <c r="AS66" i="3"/>
  <c r="G46" i="39"/>
  <c r="G45" i="39"/>
  <c r="G44" i="39"/>
  <c r="G42" i="39"/>
  <c r="G40" i="39"/>
  <c r="G39" i="39"/>
  <c r="W59" i="3"/>
  <c r="O80" i="3"/>
  <c r="Q7" i="13"/>
  <c r="Q12" i="13" s="1"/>
  <c r="X68" i="3"/>
  <c r="O81" i="3" l="1" a="1"/>
  <c r="O81" i="3" s="1"/>
  <c r="O83" i="3" a="1"/>
  <c r="O83" i="3" s="1"/>
  <c r="AS68" i="3"/>
  <c r="AT66" i="3"/>
  <c r="G47" i="39"/>
  <c r="X59" i="3"/>
  <c r="Q8" i="13"/>
  <c r="P74" i="13"/>
  <c r="Y68" i="3"/>
  <c r="R12" i="3"/>
  <c r="O86" i="3" l="1"/>
  <c r="E24" i="39" s="1"/>
  <c r="AT68" i="3"/>
  <c r="AU66" i="3"/>
  <c r="H46" i="39"/>
  <c r="H45" i="39"/>
  <c r="H44" i="39"/>
  <c r="H42" i="39"/>
  <c r="H40" i="39"/>
  <c r="H39" i="39"/>
  <c r="Y59" i="3"/>
  <c r="P80" i="3"/>
  <c r="R7" i="13"/>
  <c r="Z68" i="3"/>
  <c r="N34" i="13" l="1"/>
  <c r="P81" i="3" a="1"/>
  <c r="P81" i="3" s="1"/>
  <c r="P83" i="3" a="1"/>
  <c r="P83" i="3" s="1"/>
  <c r="AU68" i="3"/>
  <c r="AV66" i="3"/>
  <c r="H47" i="39"/>
  <c r="Z59" i="3"/>
  <c r="R8" i="13"/>
  <c r="R12" i="13"/>
  <c r="Q74" i="13"/>
  <c r="AA68" i="3"/>
  <c r="S12" i="3"/>
  <c r="P86" i="3" l="1"/>
  <c r="F24" i="39" s="1"/>
  <c r="AW66" i="3"/>
  <c r="AV68" i="3"/>
  <c r="I46" i="39"/>
  <c r="I45" i="39"/>
  <c r="I44" i="39"/>
  <c r="I42" i="39"/>
  <c r="I40" i="39"/>
  <c r="I39" i="39"/>
  <c r="O34" i="13"/>
  <c r="AA59" i="3"/>
  <c r="Q80" i="3"/>
  <c r="S7" i="13"/>
  <c r="S12" i="13" s="1"/>
  <c r="AB68" i="3"/>
  <c r="Q81" i="3" l="1" a="1"/>
  <c r="Q81" i="3" s="1"/>
  <c r="Q83" i="3" a="1"/>
  <c r="Q83" i="3" s="1"/>
  <c r="AX66" i="3"/>
  <c r="AW68" i="3"/>
  <c r="I47" i="39"/>
  <c r="AB59" i="3"/>
  <c r="S8" i="13"/>
  <c r="R74" i="13"/>
  <c r="AC68" i="3"/>
  <c r="T12" i="3"/>
  <c r="Q86" i="3" l="1"/>
  <c r="G24" i="39" s="1"/>
  <c r="AY66" i="3"/>
  <c r="AX68" i="3"/>
  <c r="J40" i="39"/>
  <c r="J39" i="39"/>
  <c r="J44" i="39"/>
  <c r="J45" i="39"/>
  <c r="J42" i="39"/>
  <c r="J46" i="39"/>
  <c r="P34" i="13"/>
  <c r="AC59" i="3"/>
  <c r="R80" i="3"/>
  <c r="T7" i="13"/>
  <c r="T12" i="13" s="1"/>
  <c r="AD68" i="3"/>
  <c r="R81" i="3" l="1" a="1"/>
  <c r="R81" i="3" s="1"/>
  <c r="R83" i="3" a="1"/>
  <c r="R83" i="3" s="1"/>
  <c r="R86" i="3" s="1"/>
  <c r="H24" i="39" s="1"/>
  <c r="AY68" i="3"/>
  <c r="AZ66" i="3"/>
  <c r="J47" i="39"/>
  <c r="AD59" i="3"/>
  <c r="T8" i="13"/>
  <c r="S74" i="13"/>
  <c r="AE68" i="3"/>
  <c r="U12" i="3"/>
  <c r="AZ68" i="3" l="1"/>
  <c r="BA66" i="3"/>
  <c r="K46" i="39"/>
  <c r="K45" i="39"/>
  <c r="K44" i="39"/>
  <c r="K39" i="39"/>
  <c r="K40" i="39"/>
  <c r="Q34" i="13"/>
  <c r="AE59" i="3"/>
  <c r="S80" i="3"/>
  <c r="U7" i="13"/>
  <c r="U12" i="13" s="1"/>
  <c r="K42" i="39"/>
  <c r="AF68" i="3"/>
  <c r="S81" i="3" l="1" a="1"/>
  <c r="S81" i="3" s="1"/>
  <c r="S83" i="3" a="1"/>
  <c r="S83" i="3" s="1"/>
  <c r="BB66" i="3"/>
  <c r="BA68" i="3"/>
  <c r="K47" i="39"/>
  <c r="AF59" i="3"/>
  <c r="U8" i="13"/>
  <c r="T74" i="13"/>
  <c r="AG68" i="3"/>
  <c r="V12" i="3"/>
  <c r="S86" i="3" l="1"/>
  <c r="I24" i="39" s="1"/>
  <c r="BB68" i="3"/>
  <c r="BC66" i="3"/>
  <c r="L39" i="39"/>
  <c r="L40" i="39"/>
  <c r="L46" i="39"/>
  <c r="L45" i="39"/>
  <c r="L44" i="39"/>
  <c r="L42" i="39"/>
  <c r="AG59" i="3"/>
  <c r="T80" i="3"/>
  <c r="V7" i="13"/>
  <c r="V12" i="13" s="1"/>
  <c r="AH68" i="3"/>
  <c r="R34" i="13" l="1"/>
  <c r="T81" i="3" a="1"/>
  <c r="T81" i="3" s="1"/>
  <c r="T83" i="3" a="1"/>
  <c r="T83" i="3" s="1"/>
  <c r="T86" i="3" s="1"/>
  <c r="J24" i="39" s="1"/>
  <c r="BD66" i="3"/>
  <c r="BC68" i="3"/>
  <c r="L47" i="39"/>
  <c r="AH59" i="3"/>
  <c r="V8" i="13"/>
  <c r="U74" i="13"/>
  <c r="AI68" i="3"/>
  <c r="W12" i="3"/>
  <c r="BE66" i="3" l="1"/>
  <c r="BD68" i="3"/>
  <c r="M46" i="39"/>
  <c r="M45" i="39"/>
  <c r="M44" i="39"/>
  <c r="M42" i="39"/>
  <c r="M40" i="39"/>
  <c r="M39" i="39"/>
  <c r="AI59" i="3"/>
  <c r="S34" i="13"/>
  <c r="U80" i="3"/>
  <c r="W7" i="13"/>
  <c r="W12" i="13" s="1"/>
  <c r="AK68" i="3"/>
  <c r="AJ68" i="3"/>
  <c r="U81" i="3" l="1" a="1"/>
  <c r="U81" i="3" s="1"/>
  <c r="U83" i="3" a="1"/>
  <c r="U83" i="3" s="1"/>
  <c r="BF66" i="3"/>
  <c r="BE68" i="3"/>
  <c r="M47" i="39"/>
  <c r="AJ59" i="3"/>
  <c r="W8" i="13"/>
  <c r="V74" i="13"/>
  <c r="X12" i="3"/>
  <c r="U86" i="3" l="1"/>
  <c r="K24" i="39" s="1"/>
  <c r="BG66" i="3"/>
  <c r="BF68" i="3"/>
  <c r="N46" i="39"/>
  <c r="N45" i="39"/>
  <c r="N44" i="39"/>
  <c r="N42" i="39"/>
  <c r="N40" i="39"/>
  <c r="N39" i="39"/>
  <c r="AK59" i="3"/>
  <c r="AL59" i="3" s="1"/>
  <c r="V80" i="3"/>
  <c r="X7" i="13"/>
  <c r="X12" i="13" s="1"/>
  <c r="T34" i="13" l="1"/>
  <c r="V83" i="3" a="1"/>
  <c r="V83" i="3" s="1"/>
  <c r="V81" i="3" a="1"/>
  <c r="V81" i="3" s="1"/>
  <c r="AM59" i="3"/>
  <c r="AL80" i="3"/>
  <c r="BG68" i="3"/>
  <c r="BH66" i="3"/>
  <c r="N47" i="39"/>
  <c r="X8" i="13"/>
  <c r="W74" i="13"/>
  <c r="Y12" i="3"/>
  <c r="V86" i="3" l="1"/>
  <c r="L24" i="39" s="1"/>
  <c r="AL81" i="3" a="1"/>
  <c r="AL81" i="3" s="1"/>
  <c r="AL83" i="3" a="1"/>
  <c r="AL83" i="3" s="1"/>
  <c r="BI66" i="3"/>
  <c r="BH68" i="3"/>
  <c r="AN59" i="3"/>
  <c r="AM80" i="3"/>
  <c r="O46" i="39"/>
  <c r="O45" i="39"/>
  <c r="O44" i="39"/>
  <c r="O42" i="39"/>
  <c r="O40" i="39"/>
  <c r="O39" i="39"/>
  <c r="U34" i="13"/>
  <c r="W80" i="3"/>
  <c r="Y7" i="13"/>
  <c r="Y12" i="13" s="1"/>
  <c r="AM81" i="3" l="1" a="1"/>
  <c r="AM81" i="3" s="1"/>
  <c r="AM83" i="3" a="1"/>
  <c r="AM83" i="3" s="1"/>
  <c r="AL86" i="3"/>
  <c r="W81" i="3" a="1"/>
  <c r="W81" i="3" s="1"/>
  <c r="W83" i="3" a="1"/>
  <c r="W83" i="3" s="1"/>
  <c r="AO59" i="3"/>
  <c r="AN80" i="3"/>
  <c r="BI68" i="3"/>
  <c r="BJ66" i="3"/>
  <c r="O47" i="39"/>
  <c r="Y8" i="13"/>
  <c r="X74" i="13"/>
  <c r="Z12" i="3"/>
  <c r="AM86" i="3" l="1"/>
  <c r="AC24" i="39" s="1"/>
  <c r="AN81" i="3" a="1"/>
  <c r="AN81" i="3" s="1"/>
  <c r="AN83" i="3" a="1"/>
  <c r="AN83" i="3" s="1"/>
  <c r="AN86" i="3" s="1"/>
  <c r="AD24" i="39" s="1"/>
  <c r="AB24" i="39"/>
  <c r="AK34" i="13"/>
  <c r="W86" i="3"/>
  <c r="M24" i="39" s="1"/>
  <c r="AL34" i="13"/>
  <c r="AP59" i="3"/>
  <c r="AO80" i="3"/>
  <c r="BK66" i="3"/>
  <c r="BJ68" i="3"/>
  <c r="X80" i="3"/>
  <c r="Z7" i="13"/>
  <c r="Z12" i="13" s="1"/>
  <c r="X81" i="3" l="1" a="1"/>
  <c r="X81" i="3" s="1"/>
  <c r="X83" i="3" a="1"/>
  <c r="X83" i="3" s="1"/>
  <c r="X86" i="3" s="1"/>
  <c r="N24" i="39" s="1"/>
  <c r="V34" i="13"/>
  <c r="AM34" i="13"/>
  <c r="AO81" i="3" a="1"/>
  <c r="AO81" i="3" s="1"/>
  <c r="AO83" i="3" a="1"/>
  <c r="AO83" i="3" s="1"/>
  <c r="AQ59" i="3"/>
  <c r="AP80" i="3"/>
  <c r="BL66" i="3"/>
  <c r="BK68" i="3"/>
  <c r="Z8" i="13"/>
  <c r="AA12" i="3"/>
  <c r="AO86" i="3" l="1"/>
  <c r="AE24" i="39" s="1"/>
  <c r="AP81" i="3" a="1"/>
  <c r="AP81" i="3" s="1"/>
  <c r="AP83" i="3" a="1"/>
  <c r="AP83" i="3" s="1"/>
  <c r="AR59" i="3"/>
  <c r="AQ80" i="3"/>
  <c r="BL68" i="3"/>
  <c r="BM66" i="3"/>
  <c r="W34" i="13"/>
  <c r="Y80" i="3"/>
  <c r="AA7" i="13"/>
  <c r="AA12" i="13" s="1"/>
  <c r="AP86" i="3" l="1"/>
  <c r="AO34" i="13" s="1"/>
  <c r="AN34" i="13"/>
  <c r="AQ81" i="3" a="1"/>
  <c r="AQ81" i="3" s="1"/>
  <c r="AQ83" i="3" a="1"/>
  <c r="AQ83" i="3" s="1"/>
  <c r="Y81" i="3" a="1"/>
  <c r="Y81" i="3" s="1"/>
  <c r="Y83" i="3" a="1"/>
  <c r="Y83" i="3" s="1"/>
  <c r="Y86" i="3" s="1"/>
  <c r="O24" i="39" s="1"/>
  <c r="AF24" i="39"/>
  <c r="BM68" i="3"/>
  <c r="BN66" i="3"/>
  <c r="AS59" i="3"/>
  <c r="AR80" i="3"/>
  <c r="AA8" i="13"/>
  <c r="AB12" i="3"/>
  <c r="AQ86" i="3" l="1"/>
  <c r="AR81" i="3" a="1"/>
  <c r="AR81" i="3" s="1"/>
  <c r="AR83" i="3" a="1"/>
  <c r="AR83" i="3" s="1"/>
  <c r="AR86" i="3" s="1"/>
  <c r="AH24" i="39" s="1"/>
  <c r="AT59" i="3"/>
  <c r="AS80" i="3"/>
  <c r="BO66" i="3"/>
  <c r="BN68" i="3"/>
  <c r="X34" i="13"/>
  <c r="Z80" i="3"/>
  <c r="AB7" i="13"/>
  <c r="AB12" i="13" s="1"/>
  <c r="AG24" i="39" l="1"/>
  <c r="AP34" i="13"/>
  <c r="AS81" i="3" a="1"/>
  <c r="AS81" i="3" s="1"/>
  <c r="AS83" i="3" a="1"/>
  <c r="AS83" i="3" s="1"/>
  <c r="AQ34" i="13"/>
  <c r="Z81" i="3" a="1"/>
  <c r="Z81" i="3" s="1"/>
  <c r="Z83" i="3" a="1"/>
  <c r="Z83" i="3" s="1"/>
  <c r="AU59" i="3"/>
  <c r="AT80" i="3"/>
  <c r="BO68" i="3"/>
  <c r="BP66" i="3"/>
  <c r="AB8" i="13"/>
  <c r="AC12" i="3"/>
  <c r="Z86" i="3" l="1"/>
  <c r="P24" i="39" s="1"/>
  <c r="AS86" i="3"/>
  <c r="AT81" i="3" a="1"/>
  <c r="AT81" i="3" s="1"/>
  <c r="AT83" i="3" a="1"/>
  <c r="AT83" i="3" s="1"/>
  <c r="AV59" i="3"/>
  <c r="AU80" i="3"/>
  <c r="BQ66" i="3"/>
  <c r="BP68" i="3"/>
  <c r="Y34" i="13"/>
  <c r="AA80" i="3"/>
  <c r="AC7" i="13"/>
  <c r="AC12" i="13" s="1"/>
  <c r="AI24" i="39" l="1"/>
  <c r="AR34" i="13"/>
  <c r="AT86" i="3"/>
  <c r="AU81" i="3" a="1"/>
  <c r="AU81" i="3" s="1"/>
  <c r="AU83" i="3" a="1"/>
  <c r="AU83" i="3" s="1"/>
  <c r="AA81" i="3" a="1"/>
  <c r="AA81" i="3" s="1"/>
  <c r="AA83" i="3" a="1"/>
  <c r="AA83" i="3" s="1"/>
  <c r="BQ68" i="3"/>
  <c r="BR66" i="3"/>
  <c r="AW59" i="3"/>
  <c r="AV80" i="3"/>
  <c r="AC8" i="13"/>
  <c r="AD12" i="3"/>
  <c r="D4" i="1"/>
  <c r="D3" i="1"/>
  <c r="AU86" i="3" l="1"/>
  <c r="AK24" i="39" s="1"/>
  <c r="AT34" i="13"/>
  <c r="AA86" i="3"/>
  <c r="Q24" i="39" s="1"/>
  <c r="AV81" i="3" a="1"/>
  <c r="AV81" i="3" s="1"/>
  <c r="AV83" i="3" a="1"/>
  <c r="AV83" i="3" s="1"/>
  <c r="AJ24" i="39"/>
  <c r="AS34" i="13"/>
  <c r="BR68" i="3"/>
  <c r="BS66" i="3"/>
  <c r="AX59" i="3"/>
  <c r="AW80" i="3"/>
  <c r="Z34" i="13"/>
  <c r="AB80" i="3"/>
  <c r="D51" i="29"/>
  <c r="D20" i="29"/>
  <c r="AD7" i="13"/>
  <c r="AD12" i="13" s="1"/>
  <c r="D2" i="37"/>
  <c r="D2" i="29"/>
  <c r="D2" i="10"/>
  <c r="D2" i="3"/>
  <c r="AV86" i="3" l="1"/>
  <c r="AB81" i="3" a="1"/>
  <c r="AB81" i="3" s="1"/>
  <c r="AB83" i="3" a="1"/>
  <c r="AB83" i="3" s="1"/>
  <c r="AW81" i="3" a="1"/>
  <c r="AW81" i="3" s="1"/>
  <c r="AW83" i="3" a="1"/>
  <c r="AW83" i="3" s="1"/>
  <c r="AY59" i="3"/>
  <c r="AX80" i="3"/>
  <c r="BS68" i="3"/>
  <c r="BT66" i="3"/>
  <c r="AD8" i="13"/>
  <c r="AE12" i="3"/>
  <c r="F4" i="10"/>
  <c r="AW86" i="3" l="1"/>
  <c r="AV34" i="13" s="1"/>
  <c r="AB86" i="3"/>
  <c r="R24" i="39" s="1"/>
  <c r="AL24" i="39"/>
  <c r="AU34" i="13"/>
  <c r="AX81" i="3" a="1"/>
  <c r="AX81" i="3" s="1"/>
  <c r="AX83" i="3" a="1"/>
  <c r="AX83" i="3" s="1"/>
  <c r="AM24" i="39"/>
  <c r="AZ59" i="3"/>
  <c r="AY80" i="3"/>
  <c r="BU66" i="3"/>
  <c r="BT68" i="3"/>
  <c r="AC80" i="3"/>
  <c r="AE7" i="13"/>
  <c r="AE12" i="13" s="1"/>
  <c r="AA34" i="13" l="1"/>
  <c r="AC81" i="3" a="1"/>
  <c r="AC81" i="3" s="1"/>
  <c r="AC83" i="3" a="1"/>
  <c r="AC83" i="3" s="1"/>
  <c r="AX86" i="3"/>
  <c r="AY81" i="3" a="1"/>
  <c r="AY81" i="3" s="1"/>
  <c r="AY83" i="3" a="1"/>
  <c r="AY83" i="3" s="1"/>
  <c r="BA59" i="3"/>
  <c r="AZ80" i="3"/>
  <c r="BV66" i="3"/>
  <c r="BU68" i="3"/>
  <c r="AE8" i="13"/>
  <c r="AF12" i="3"/>
  <c r="AC86" i="3" l="1"/>
  <c r="S24" i="39" s="1"/>
  <c r="AY86" i="3"/>
  <c r="AX34" i="13" s="1"/>
  <c r="AO24" i="39"/>
  <c r="AN24" i="39"/>
  <c r="AW34" i="13"/>
  <c r="AZ81" i="3" a="1"/>
  <c r="AZ81" i="3" s="1"/>
  <c r="AZ83" i="3" a="1"/>
  <c r="AZ83" i="3" s="1"/>
  <c r="BB59" i="3"/>
  <c r="BA80" i="3"/>
  <c r="BV68" i="3"/>
  <c r="BW66" i="3"/>
  <c r="AB34" i="13"/>
  <c r="AD80" i="3"/>
  <c r="AF7" i="13"/>
  <c r="AF12" i="13" s="1"/>
  <c r="AZ86" i="3" l="1"/>
  <c r="BA81" i="3" a="1"/>
  <c r="BA81" i="3" s="1"/>
  <c r="BA83" i="3" a="1"/>
  <c r="BA83" i="3" s="1"/>
  <c r="AD81" i="3" a="1"/>
  <c r="AD81" i="3" s="1"/>
  <c r="AD83" i="3" a="1"/>
  <c r="AD83" i="3" s="1"/>
  <c r="BC59" i="3"/>
  <c r="BB80" i="3"/>
  <c r="BX66" i="3"/>
  <c r="BW68" i="3"/>
  <c r="AF8" i="13"/>
  <c r="AG12" i="3"/>
  <c r="BB81" i="3" l="1" a="1"/>
  <c r="BB81" i="3" s="1"/>
  <c r="BB83" i="3" a="1"/>
  <c r="BB83" i="3" s="1"/>
  <c r="AD86" i="3"/>
  <c r="T24" i="39" s="1"/>
  <c r="BA86" i="3"/>
  <c r="AY34" i="13"/>
  <c r="AP24" i="39"/>
  <c r="BY66" i="3"/>
  <c r="BX68" i="3"/>
  <c r="BD59" i="3"/>
  <c r="BC80" i="3"/>
  <c r="AC34" i="13"/>
  <c r="AE80" i="3"/>
  <c r="AG7" i="13"/>
  <c r="AG12" i="13" s="1"/>
  <c r="AQ24" i="39" l="1"/>
  <c r="AZ34" i="13"/>
  <c r="BB86" i="3"/>
  <c r="AE81" i="3" a="1"/>
  <c r="AE81" i="3" s="1"/>
  <c r="AE83" i="3" a="1"/>
  <c r="AE83" i="3" s="1"/>
  <c r="BC81" i="3" a="1"/>
  <c r="BC81" i="3" s="1"/>
  <c r="BC83" i="3" a="1"/>
  <c r="BC83" i="3" s="1"/>
  <c r="BE59" i="3"/>
  <c r="BD80" i="3"/>
  <c r="BZ66" i="3"/>
  <c r="BY68" i="3"/>
  <c r="AG8" i="13"/>
  <c r="AH12" i="3"/>
  <c r="BC86" i="3" l="1"/>
  <c r="BB34" i="13" s="1"/>
  <c r="AS24" i="39"/>
  <c r="AE86" i="3"/>
  <c r="U24" i="39" s="1"/>
  <c r="AR24" i="39"/>
  <c r="BA34" i="13"/>
  <c r="BD81" i="3" a="1"/>
  <c r="BD81" i="3" s="1"/>
  <c r="BD83" i="3" a="1"/>
  <c r="BD83" i="3" s="1"/>
  <c r="BZ68" i="3"/>
  <c r="CA66" i="3"/>
  <c r="BF59" i="3"/>
  <c r="BE80" i="3"/>
  <c r="AD34" i="13"/>
  <c r="AF80" i="3"/>
  <c r="AH7" i="13"/>
  <c r="AH12" i="13" s="1"/>
  <c r="F5" i="10"/>
  <c r="J54" i="29"/>
  <c r="BE81" i="3" l="1" a="1"/>
  <c r="BE81" i="3" s="1"/>
  <c r="BE83" i="3" a="1"/>
  <c r="BE83" i="3" s="1"/>
  <c r="BE86" i="3" s="1"/>
  <c r="AU24" i="39" s="1"/>
  <c r="BD86" i="3"/>
  <c r="AF81" i="3" a="1"/>
  <c r="AF81" i="3" s="1"/>
  <c r="AF83" i="3" a="1"/>
  <c r="AF83" i="3" s="1"/>
  <c r="BG59" i="3"/>
  <c r="BF80" i="3"/>
  <c r="CA68" i="3"/>
  <c r="CB66" i="3"/>
  <c r="AH8" i="13"/>
  <c r="J23" i="29"/>
  <c r="F6" i="10"/>
  <c r="AI12" i="3"/>
  <c r="BD34" i="13" l="1"/>
  <c r="AF86" i="3"/>
  <c r="V24" i="39" s="1"/>
  <c r="BC34" i="13"/>
  <c r="AT24" i="39"/>
  <c r="BF81" i="3" a="1"/>
  <c r="BF81" i="3" s="1"/>
  <c r="BF83" i="3" a="1"/>
  <c r="BF83" i="3" s="1"/>
  <c r="BF86" i="3" s="1"/>
  <c r="BE34" i="13" s="1"/>
  <c r="BH59" i="3"/>
  <c r="BG80" i="3"/>
  <c r="CC66" i="3"/>
  <c r="CB68" i="3"/>
  <c r="AE34" i="13"/>
  <c r="AG80" i="3"/>
  <c r="AI7" i="13"/>
  <c r="AI12" i="13" s="1"/>
  <c r="G4" i="10"/>
  <c r="G5" i="10"/>
  <c r="K54" i="29"/>
  <c r="BG81" i="3" l="1" a="1"/>
  <c r="BG81" i="3" s="1"/>
  <c r="BG83" i="3" a="1"/>
  <c r="BG83" i="3" s="1"/>
  <c r="AG81" i="3" a="1"/>
  <c r="AG81" i="3" s="1"/>
  <c r="AG83" i="3" a="1"/>
  <c r="AG83" i="3" s="1"/>
  <c r="AV24" i="39"/>
  <c r="CC68" i="3"/>
  <c r="CD66" i="3"/>
  <c r="BI59" i="3"/>
  <c r="BH80" i="3"/>
  <c r="AI8" i="13"/>
  <c r="K23" i="29"/>
  <c r="G6" i="10"/>
  <c r="AJ12" i="3"/>
  <c r="AG86" i="3" l="1"/>
  <c r="W24" i="39" s="1"/>
  <c r="BG86" i="3"/>
  <c r="BH81" i="3" a="1"/>
  <c r="BH81" i="3" s="1"/>
  <c r="BH83" i="3" a="1"/>
  <c r="BH83" i="3" s="1"/>
  <c r="BJ59" i="3"/>
  <c r="BI80" i="3"/>
  <c r="CE66" i="3"/>
  <c r="CD68" i="3"/>
  <c r="AF34" i="13"/>
  <c r="AH80" i="3"/>
  <c r="AJ7" i="13"/>
  <c r="AJ12" i="13" s="1"/>
  <c r="N114" i="3"/>
  <c r="D30" i="39" s="1"/>
  <c r="L54" i="29"/>
  <c r="H5" i="10"/>
  <c r="H4" i="10"/>
  <c r="BH86" i="3" l="1"/>
  <c r="BG34" i="13" s="1"/>
  <c r="BI81" i="3" a="1"/>
  <c r="BI81" i="3" s="1"/>
  <c r="BI83" i="3" a="1"/>
  <c r="BI83" i="3" s="1"/>
  <c r="AX24" i="39"/>
  <c r="AH81" i="3" a="1"/>
  <c r="AH81" i="3" s="1"/>
  <c r="AH83" i="3" a="1"/>
  <c r="AH83" i="3" s="1"/>
  <c r="AW24" i="39"/>
  <c r="BF34" i="13"/>
  <c r="CF66" i="3"/>
  <c r="CE68" i="3"/>
  <c r="BK59" i="3"/>
  <c r="BJ80" i="3"/>
  <c r="AJ8" i="13"/>
  <c r="L23" i="29"/>
  <c r="H6" i="10"/>
  <c r="M48" i="13"/>
  <c r="M22" i="13"/>
  <c r="M37" i="13"/>
  <c r="M42" i="13"/>
  <c r="N116" i="3"/>
  <c r="AK12" i="3"/>
  <c r="I4" i="10"/>
  <c r="I5" i="10"/>
  <c r="M54" i="29"/>
  <c r="AH86" i="3" l="1"/>
  <c r="X24" i="39" s="1"/>
  <c r="BI86" i="3"/>
  <c r="BJ83" i="3" a="1"/>
  <c r="BJ83" i="3" s="1"/>
  <c r="BJ81" i="3" a="1"/>
  <c r="BJ81" i="3" s="1"/>
  <c r="BL59" i="3"/>
  <c r="BK80" i="3"/>
  <c r="CF68" i="3"/>
  <c r="CG66" i="3"/>
  <c r="CG68" i="3" s="1"/>
  <c r="M46" i="13"/>
  <c r="M49" i="13" s="1"/>
  <c r="D32" i="39"/>
  <c r="D35" i="39" s="1"/>
  <c r="AG34" i="13"/>
  <c r="M24" i="13"/>
  <c r="AI80" i="3"/>
  <c r="M77" i="13"/>
  <c r="D57" i="39" s="1"/>
  <c r="D83" i="39" s="1"/>
  <c r="M23" i="29"/>
  <c r="I6" i="10"/>
  <c r="AI81" i="3" l="1" a="1"/>
  <c r="AI81" i="3" s="1"/>
  <c r="AI83" i="3" a="1"/>
  <c r="AI83" i="3" s="1"/>
  <c r="BK81" i="3" a="1"/>
  <c r="BK81" i="3" s="1"/>
  <c r="BK83" i="3" a="1"/>
  <c r="BK83" i="3" s="1"/>
  <c r="BJ86" i="3"/>
  <c r="AY24" i="39"/>
  <c r="BH34" i="13"/>
  <c r="D36" i="39"/>
  <c r="BM59" i="3"/>
  <c r="BL80" i="3"/>
  <c r="M78" i="13"/>
  <c r="D62" i="39" s="1"/>
  <c r="J4" i="10"/>
  <c r="J5" i="10"/>
  <c r="N54" i="29"/>
  <c r="AI86" i="3" l="1"/>
  <c r="Y24" i="39" s="1"/>
  <c r="AZ24" i="39"/>
  <c r="BI34" i="13"/>
  <c r="BL81" i="3" a="1"/>
  <c r="BL81" i="3" s="1"/>
  <c r="BL83" i="3" a="1"/>
  <c r="BL83" i="3" s="1"/>
  <c r="BK86" i="3"/>
  <c r="D84" i="39"/>
  <c r="D63" i="39"/>
  <c r="D67" i="39" s="1"/>
  <c r="BN59" i="3"/>
  <c r="BM80" i="3"/>
  <c r="AH34" i="13"/>
  <c r="AJ80" i="3"/>
  <c r="N23" i="29"/>
  <c r="J6" i="10"/>
  <c r="M79" i="13"/>
  <c r="BL86" i="3" l="1"/>
  <c r="BK34" i="13" s="1"/>
  <c r="AJ81" i="3" a="1"/>
  <c r="AJ81" i="3" s="1"/>
  <c r="AJ83" i="3" a="1"/>
  <c r="AJ83" i="3" s="1"/>
  <c r="BJ34" i="13"/>
  <c r="BA24" i="39"/>
  <c r="BB24" i="39"/>
  <c r="BM81" i="3" a="1"/>
  <c r="BM81" i="3" s="1"/>
  <c r="BM83" i="3" a="1"/>
  <c r="BM83" i="3" s="1"/>
  <c r="BO59" i="3"/>
  <c r="BN80" i="3"/>
  <c r="AJ86" i="3" l="1"/>
  <c r="Z24" i="39" s="1"/>
  <c r="BM86" i="3"/>
  <c r="BN81" i="3" a="1"/>
  <c r="BN81" i="3" s="1"/>
  <c r="BN86" i="3" s="1"/>
  <c r="BD24" i="39" s="1"/>
  <c r="BN83" i="3" a="1"/>
  <c r="BN83" i="3" s="1"/>
  <c r="BP59" i="3"/>
  <c r="BO80" i="3"/>
  <c r="AI34" i="13"/>
  <c r="O64" i="3"/>
  <c r="O65" i="3" s="1"/>
  <c r="AK80" i="3"/>
  <c r="BO81" i="3" l="1" a="1"/>
  <c r="BO81" i="3" s="1"/>
  <c r="BO83" i="3" a="1"/>
  <c r="BO83" i="3" s="1"/>
  <c r="BO86" i="3" s="1"/>
  <c r="BE24" i="39" s="1"/>
  <c r="BM34" i="13"/>
  <c r="AK81" i="3" a="1"/>
  <c r="AK81" i="3" s="1"/>
  <c r="AK83" i="3" a="1"/>
  <c r="AK83" i="3" s="1"/>
  <c r="AK86" i="3" s="1"/>
  <c r="AA24" i="39" s="1"/>
  <c r="BC24" i="39"/>
  <c r="BL34" i="13"/>
  <c r="BQ59" i="3"/>
  <c r="BP80" i="3"/>
  <c r="O90" i="3"/>
  <c r="O95" i="3" s="1"/>
  <c r="O72" i="3"/>
  <c r="O74" i="3" s="1" a="1"/>
  <c r="O74" i="3" s="1"/>
  <c r="O69" i="3"/>
  <c r="O89" i="3" s="1"/>
  <c r="O93" i="3" s="1"/>
  <c r="P64" i="3"/>
  <c r="P65" i="3" s="1"/>
  <c r="BP81" i="3" l="1" a="1"/>
  <c r="BP81" i="3" s="1"/>
  <c r="BP83" i="3" a="1"/>
  <c r="BP83" i="3" s="1"/>
  <c r="BN34" i="13"/>
  <c r="BR59" i="3"/>
  <c r="BQ80" i="3"/>
  <c r="N26" i="13"/>
  <c r="N29" i="13" s="1"/>
  <c r="AJ34" i="13"/>
  <c r="Q64" i="3"/>
  <c r="P72" i="3"/>
  <c r="P74" i="3" s="1" a="1"/>
  <c r="P74" i="3" s="1"/>
  <c r="P69" i="3"/>
  <c r="P89" i="3" s="1"/>
  <c r="P93" i="3" s="1"/>
  <c r="P90" i="3"/>
  <c r="P95" i="3" s="1"/>
  <c r="O96" i="3"/>
  <c r="O117" i="3" l="1"/>
  <c r="E33" i="39" s="1"/>
  <c r="BQ81" i="3" a="1"/>
  <c r="BQ81" i="3" s="1"/>
  <c r="BQ83" i="3" a="1"/>
  <c r="BQ83" i="3" s="1"/>
  <c r="BP86" i="3"/>
  <c r="BS59" i="3"/>
  <c r="BR80" i="3"/>
  <c r="O99" i="3"/>
  <c r="O100" i="3" s="1" a="1"/>
  <c r="O100" i="3" s="1"/>
  <c r="O102" i="3" s="1" a="1"/>
  <c r="O102" i="3" s="1"/>
  <c r="O104" i="3" s="1"/>
  <c r="E20" i="39"/>
  <c r="N22" i="13"/>
  <c r="N24" i="13" s="1"/>
  <c r="E25" i="39"/>
  <c r="E28" i="39" s="1"/>
  <c r="O26" i="13"/>
  <c r="O29" i="13" s="1"/>
  <c r="Q72" i="3"/>
  <c r="Q74" i="3" s="1" a="1"/>
  <c r="Q74" i="3" s="1"/>
  <c r="Q65" i="3"/>
  <c r="Q90" i="3" s="1"/>
  <c r="Q95" i="3" s="1"/>
  <c r="P96" i="3"/>
  <c r="P117" i="3" s="1"/>
  <c r="F33" i="39" s="1"/>
  <c r="N48" i="13"/>
  <c r="Q69" i="3"/>
  <c r="Q89" i="3" s="1"/>
  <c r="Q93" i="3" s="1"/>
  <c r="N35" i="13"/>
  <c r="O115" i="3"/>
  <c r="R64" i="3"/>
  <c r="R65" i="3" s="1"/>
  <c r="E26" i="39" l="1"/>
  <c r="BR83" i="3" a="1"/>
  <c r="BR83" i="3" s="1"/>
  <c r="BR81" i="3" a="1"/>
  <c r="BR81" i="3" s="1"/>
  <c r="BF24" i="39"/>
  <c r="BO34" i="13"/>
  <c r="BQ86" i="3"/>
  <c r="BT59" i="3"/>
  <c r="BS80" i="3"/>
  <c r="O110" i="3"/>
  <c r="O114" i="3" s="1"/>
  <c r="E30" i="39" s="1"/>
  <c r="N36" i="13"/>
  <c r="N37" i="13" s="1"/>
  <c r="N77" i="13" s="1"/>
  <c r="E57" i="39" s="1"/>
  <c r="E83" i="39" s="1"/>
  <c r="N44" i="13"/>
  <c r="E31" i="39"/>
  <c r="O48" i="13"/>
  <c r="F25" i="39"/>
  <c r="F28" i="39" s="1"/>
  <c r="P99" i="3"/>
  <c r="P100" i="3" s="1" a="1"/>
  <c r="P100" i="3" s="1"/>
  <c r="P102" i="3" s="1" a="1"/>
  <c r="P102" i="3" s="1"/>
  <c r="P104" i="3" s="1"/>
  <c r="F20" i="39"/>
  <c r="P26" i="13"/>
  <c r="P29" i="13" s="1"/>
  <c r="O22" i="13"/>
  <c r="O24" i="13" s="1"/>
  <c r="O35" i="13"/>
  <c r="P115" i="3"/>
  <c r="R69" i="3"/>
  <c r="R89" i="3" s="1"/>
  <c r="R93" i="3" s="1"/>
  <c r="R72" i="3"/>
  <c r="R74" i="3" s="1" a="1"/>
  <c r="R74" i="3" s="1"/>
  <c r="R90" i="3"/>
  <c r="R95" i="3" s="1"/>
  <c r="S64" i="3"/>
  <c r="S65" i="3" s="1"/>
  <c r="Q96" i="3"/>
  <c r="Q117" i="3" l="1"/>
  <c r="G33" i="39" s="1"/>
  <c r="BR86" i="3"/>
  <c r="BH24" i="39" s="1"/>
  <c r="BQ34" i="13"/>
  <c r="F26" i="39"/>
  <c r="BG24" i="39"/>
  <c r="BP34" i="13"/>
  <c r="BS81" i="3" a="1"/>
  <c r="BS81" i="3" s="1"/>
  <c r="BS83" i="3" a="1"/>
  <c r="BS83" i="3" s="1"/>
  <c r="BU59" i="3"/>
  <c r="BT80" i="3"/>
  <c r="O116" i="3"/>
  <c r="N46" i="13" s="1"/>
  <c r="N42" i="13"/>
  <c r="P110" i="3"/>
  <c r="P116" i="3" s="1"/>
  <c r="O36" i="13"/>
  <c r="O37" i="13" s="1"/>
  <c r="O77" i="13" s="1"/>
  <c r="F57" i="39" s="1"/>
  <c r="F83" i="39" s="1"/>
  <c r="O44" i="13"/>
  <c r="F31" i="39"/>
  <c r="Q99" i="3"/>
  <c r="Q100" i="3" s="1" a="1"/>
  <c r="Q100" i="3" s="1"/>
  <c r="Q102" i="3" s="1" a="1"/>
  <c r="Q102" i="3" s="1"/>
  <c r="Q104" i="3" s="1"/>
  <c r="G20" i="39"/>
  <c r="G25" i="39"/>
  <c r="G28" i="39" s="1"/>
  <c r="H20" i="39"/>
  <c r="Q26" i="13"/>
  <c r="Q29" i="13" s="1"/>
  <c r="Q115" i="3"/>
  <c r="S90" i="3"/>
  <c r="S95" i="3" s="1"/>
  <c r="S72" i="3"/>
  <c r="S74" i="3" s="1" a="1"/>
  <c r="S74" i="3" s="1"/>
  <c r="R96" i="3"/>
  <c r="R117" i="3" s="1"/>
  <c r="H33" i="39" s="1"/>
  <c r="P35" i="13"/>
  <c r="S69" i="3"/>
  <c r="S89" i="3" s="1"/>
  <c r="T64" i="3"/>
  <c r="T65" i="3" s="1"/>
  <c r="P48" i="13" l="1"/>
  <c r="G26" i="39"/>
  <c r="BT81" i="3" a="1"/>
  <c r="BT81" i="3" s="1"/>
  <c r="BT83" i="3" a="1"/>
  <c r="BT83" i="3" s="1"/>
  <c r="BS86" i="3"/>
  <c r="BV59" i="3"/>
  <c r="BU80" i="3"/>
  <c r="E32" i="39"/>
  <c r="E35" i="39" s="1"/>
  <c r="N49" i="13"/>
  <c r="N78" i="13" s="1"/>
  <c r="P114" i="3"/>
  <c r="O42" i="13" s="1"/>
  <c r="O46" i="13"/>
  <c r="F32" i="39"/>
  <c r="P44" i="13"/>
  <c r="G31" i="39"/>
  <c r="P36" i="13"/>
  <c r="P37" i="13" s="1"/>
  <c r="H25" i="39"/>
  <c r="H28" i="39" s="1"/>
  <c r="R99" i="3"/>
  <c r="R100" i="3" s="1" a="1"/>
  <c r="R100" i="3" s="1"/>
  <c r="R102" i="3" s="1" a="1"/>
  <c r="R102" i="3" s="1"/>
  <c r="R104" i="3" s="1"/>
  <c r="Q110" i="3"/>
  <c r="Q114" i="3" s="1"/>
  <c r="R26" i="13"/>
  <c r="R29" i="13" s="1"/>
  <c r="Q35" i="13"/>
  <c r="R115" i="3"/>
  <c r="T90" i="3"/>
  <c r="T95" i="3" s="1"/>
  <c r="T72" i="3"/>
  <c r="T74" i="3" s="1" a="1"/>
  <c r="T74" i="3" s="1"/>
  <c r="U64" i="3"/>
  <c r="U65" i="3" s="1"/>
  <c r="S96" i="3"/>
  <c r="S117" i="3" s="1"/>
  <c r="I33" i="39" s="1"/>
  <c r="P22" i="13"/>
  <c r="P24" i="13" s="1"/>
  <c r="T69" i="3"/>
  <c r="T89" i="3" s="1"/>
  <c r="T93" i="3" s="1"/>
  <c r="Q48" i="13"/>
  <c r="Q22" i="13"/>
  <c r="H26" i="39" l="1"/>
  <c r="BU81" i="3" a="1"/>
  <c r="BU81" i="3" s="1"/>
  <c r="BU83" i="3" a="1"/>
  <c r="BU83" i="3" s="1"/>
  <c r="BI24" i="39"/>
  <c r="BR34" i="13"/>
  <c r="BT86" i="3"/>
  <c r="E36" i="39"/>
  <c r="E48" i="39" s="1"/>
  <c r="E101" i="39" s="1"/>
  <c r="E104" i="39" s="1"/>
  <c r="N79" i="13"/>
  <c r="E62" i="39"/>
  <c r="BW59" i="3"/>
  <c r="BV80" i="3"/>
  <c r="F30" i="39"/>
  <c r="P77" i="13"/>
  <c r="R110" i="3"/>
  <c r="R114" i="3" s="1"/>
  <c r="Q36" i="13"/>
  <c r="Q37" i="13" s="1"/>
  <c r="Q77" i="13" s="1"/>
  <c r="H57" i="39" s="1"/>
  <c r="P42" i="13"/>
  <c r="G30" i="39"/>
  <c r="O49" i="13"/>
  <c r="O78" i="13" s="1"/>
  <c r="Q44" i="13"/>
  <c r="H31" i="39"/>
  <c r="I25" i="39"/>
  <c r="I28" i="39" s="1"/>
  <c r="S99" i="3"/>
  <c r="S100" i="3" s="1" a="1"/>
  <c r="S100" i="3" s="1"/>
  <c r="S102" i="3" s="1" a="1"/>
  <c r="S102" i="3" s="1"/>
  <c r="S104" i="3" s="1"/>
  <c r="I20" i="39"/>
  <c r="Q116" i="3"/>
  <c r="J20" i="39"/>
  <c r="S26" i="13"/>
  <c r="S29" i="13" s="1"/>
  <c r="S115" i="3"/>
  <c r="U90" i="3"/>
  <c r="U95" i="3" s="1"/>
  <c r="U72" i="3"/>
  <c r="U74" i="3" s="1" a="1"/>
  <c r="U74" i="3" s="1"/>
  <c r="R35" i="13"/>
  <c r="U69" i="3"/>
  <c r="U89" i="3" s="1"/>
  <c r="U93" i="3" s="1"/>
  <c r="T96" i="3"/>
  <c r="T117" i="3" s="1"/>
  <c r="J33" i="39" s="1"/>
  <c r="V64" i="3"/>
  <c r="V65" i="3" s="1"/>
  <c r="Q24" i="13"/>
  <c r="R48" i="13"/>
  <c r="R22" i="13"/>
  <c r="F35" i="39" l="1"/>
  <c r="F36" i="39" s="1"/>
  <c r="F48" i="39" s="1"/>
  <c r="F101" i="39" s="1"/>
  <c r="F104" i="39" s="1"/>
  <c r="S110" i="3"/>
  <c r="S116" i="3" s="1"/>
  <c r="R46" i="13" s="1"/>
  <c r="BJ24" i="39"/>
  <c r="BS34" i="13"/>
  <c r="BV81" i="3" a="1"/>
  <c r="BV81" i="3" s="1"/>
  <c r="BV83" i="3" a="1"/>
  <c r="BV83" i="3" s="1"/>
  <c r="BV86" i="3" s="1"/>
  <c r="BU34" i="13" s="1"/>
  <c r="BU86" i="3"/>
  <c r="G57" i="39"/>
  <c r="G83" i="39" s="1"/>
  <c r="O79" i="13"/>
  <c r="F62" i="39"/>
  <c r="E84" i="39"/>
  <c r="E63" i="39"/>
  <c r="E67" i="39" s="1"/>
  <c r="BX59" i="3"/>
  <c r="BW80" i="3"/>
  <c r="R116" i="3"/>
  <c r="Q46" i="13" s="1"/>
  <c r="I32" i="39"/>
  <c r="P46" i="13"/>
  <c r="P49" i="13" s="1"/>
  <c r="G32" i="39"/>
  <c r="G35" i="39" s="1"/>
  <c r="T99" i="3"/>
  <c r="T100" i="3" s="1" a="1"/>
  <c r="T100" i="3" s="1"/>
  <c r="T102" i="3" s="1" a="1"/>
  <c r="T102" i="3" s="1"/>
  <c r="T104" i="3" s="1"/>
  <c r="Q42" i="13"/>
  <c r="H30" i="39"/>
  <c r="R44" i="13"/>
  <c r="I31" i="39"/>
  <c r="J25" i="39"/>
  <c r="J28" i="39" s="1"/>
  <c r="R36" i="13"/>
  <c r="R37" i="13" s="1"/>
  <c r="R77" i="13" s="1"/>
  <c r="I57" i="39" s="1"/>
  <c r="I83" i="39" s="1"/>
  <c r="I26" i="39"/>
  <c r="T26" i="13"/>
  <c r="T29" i="13" s="1"/>
  <c r="T115" i="3"/>
  <c r="V69" i="3"/>
  <c r="V89" i="3" s="1"/>
  <c r="V93" i="3" s="1"/>
  <c r="V72" i="3"/>
  <c r="V74" i="3" s="1" a="1"/>
  <c r="V74" i="3" s="1"/>
  <c r="U96" i="3"/>
  <c r="U117" i="3" s="1"/>
  <c r="K33" i="39" s="1"/>
  <c r="S114" i="3"/>
  <c r="S35" i="13"/>
  <c r="V90" i="3"/>
  <c r="V95" i="3" s="1"/>
  <c r="W64" i="3"/>
  <c r="W65" i="3" s="1"/>
  <c r="R24" i="13"/>
  <c r="S48" i="13"/>
  <c r="S22" i="13"/>
  <c r="J26" i="39" l="1"/>
  <c r="BW81" i="3" a="1"/>
  <c r="BW81" i="3" s="1"/>
  <c r="BW83" i="3" a="1"/>
  <c r="BW83" i="3" s="1"/>
  <c r="BW86" i="3" s="1"/>
  <c r="BM24" i="39" s="1"/>
  <c r="BL24" i="39"/>
  <c r="BK24" i="39"/>
  <c r="BT34" i="13"/>
  <c r="G36" i="39"/>
  <c r="G48" i="39" s="1"/>
  <c r="G101" i="39" s="1"/>
  <c r="G104" i="39" s="1"/>
  <c r="H83" i="39"/>
  <c r="F84" i="39"/>
  <c r="F63" i="39"/>
  <c r="F67" i="39" s="1"/>
  <c r="BV34" i="13"/>
  <c r="BY59" i="3"/>
  <c r="BX80" i="3"/>
  <c r="H32" i="39"/>
  <c r="T110" i="3"/>
  <c r="T114" i="3" s="1"/>
  <c r="R42" i="13"/>
  <c r="R49" i="13" s="1"/>
  <c r="R78" i="13" s="1"/>
  <c r="I30" i="39"/>
  <c r="S36" i="13"/>
  <c r="S37" i="13" s="1"/>
  <c r="S77" i="13" s="1"/>
  <c r="J57" i="39" s="1"/>
  <c r="J83" i="39" s="1"/>
  <c r="P78" i="13"/>
  <c r="S44" i="13"/>
  <c r="J31" i="39"/>
  <c r="K25" i="39"/>
  <c r="K28" i="39" s="1"/>
  <c r="U99" i="3"/>
  <c r="U100" i="3" s="1" a="1"/>
  <c r="U100" i="3" s="1"/>
  <c r="U102" i="3" s="1" a="1"/>
  <c r="U102" i="3" s="1"/>
  <c r="U104" i="3" s="1"/>
  <c r="K20" i="39"/>
  <c r="U26" i="13"/>
  <c r="U29" i="13" s="1"/>
  <c r="U115" i="3"/>
  <c r="W69" i="3"/>
  <c r="W89" i="3" s="1"/>
  <c r="W93" i="3" s="1"/>
  <c r="W72" i="3"/>
  <c r="W74" i="3" s="1" a="1"/>
  <c r="W74" i="3" s="1"/>
  <c r="T35" i="13"/>
  <c r="W90" i="3"/>
  <c r="W95" i="3" s="1"/>
  <c r="X64" i="3"/>
  <c r="X65" i="3" s="1"/>
  <c r="V96" i="3"/>
  <c r="V117" i="3" s="1"/>
  <c r="L33" i="39" s="1"/>
  <c r="S24" i="13"/>
  <c r="T48" i="13"/>
  <c r="T22" i="13"/>
  <c r="I35" i="39" l="1"/>
  <c r="I36" i="39" s="1"/>
  <c r="I48" i="39" s="1"/>
  <c r="I101" i="39" s="1"/>
  <c r="H35" i="39"/>
  <c r="H36" i="39" s="1"/>
  <c r="H48" i="39" s="1"/>
  <c r="H101" i="39" s="1"/>
  <c r="H104" i="39" s="1"/>
  <c r="K26" i="39"/>
  <c r="BX81" i="3" a="1"/>
  <c r="BX81" i="3" s="1"/>
  <c r="BX83" i="3" a="1"/>
  <c r="BX83" i="3" s="1"/>
  <c r="G62" i="39"/>
  <c r="R79" i="13"/>
  <c r="I62" i="39"/>
  <c r="BZ59" i="3"/>
  <c r="BY80" i="3"/>
  <c r="U110" i="3"/>
  <c r="U114" i="3" s="1"/>
  <c r="T42" i="13" s="1"/>
  <c r="S42" i="13"/>
  <c r="J30" i="39"/>
  <c r="P79" i="13"/>
  <c r="T116" i="3"/>
  <c r="T44" i="13"/>
  <c r="K31" i="39"/>
  <c r="L25" i="39"/>
  <c r="L28" i="39" s="1"/>
  <c r="T36" i="13"/>
  <c r="T37" i="13" s="1"/>
  <c r="T77" i="13" s="1"/>
  <c r="V99" i="3"/>
  <c r="V100" i="3" s="1" a="1"/>
  <c r="V100" i="3" s="1"/>
  <c r="V102" i="3" s="1" a="1"/>
  <c r="V102" i="3" s="1"/>
  <c r="V104" i="3" s="1"/>
  <c r="L20" i="39"/>
  <c r="V26" i="13"/>
  <c r="V29" i="13" s="1"/>
  <c r="U35" i="13"/>
  <c r="X90" i="3"/>
  <c r="X95" i="3" s="1"/>
  <c r="X72" i="3"/>
  <c r="X74" i="3" s="1" a="1"/>
  <c r="X74" i="3" s="1"/>
  <c r="Y64" i="3"/>
  <c r="X69" i="3"/>
  <c r="X89" i="3" s="1"/>
  <c r="X93" i="3" s="1"/>
  <c r="V115" i="3"/>
  <c r="W96" i="3"/>
  <c r="W117" i="3" s="1"/>
  <c r="M33" i="39" s="1"/>
  <c r="T24" i="13"/>
  <c r="U48" i="13"/>
  <c r="U22" i="13"/>
  <c r="I105" i="39" l="1"/>
  <c r="I108" i="39" s="1"/>
  <c r="I104" i="39"/>
  <c r="L26" i="39"/>
  <c r="BX86" i="3"/>
  <c r="BY81" i="3" a="1"/>
  <c r="BY81" i="3" s="1"/>
  <c r="BY83" i="3" a="1"/>
  <c r="BY83" i="3" s="1"/>
  <c r="I63" i="39"/>
  <c r="I67" i="39" s="1"/>
  <c r="G63" i="39"/>
  <c r="G67" i="39" s="1"/>
  <c r="G84" i="39"/>
  <c r="K57" i="39"/>
  <c r="K83" i="39" s="1"/>
  <c r="CA59" i="3"/>
  <c r="BZ80" i="3"/>
  <c r="U116" i="3"/>
  <c r="K32" i="39" s="1"/>
  <c r="K30" i="39"/>
  <c r="S46" i="13"/>
  <c r="S49" i="13" s="1"/>
  <c r="S78" i="13" s="1"/>
  <c r="J32" i="39"/>
  <c r="J35" i="39" s="1"/>
  <c r="V110" i="3"/>
  <c r="V114" i="3" s="1"/>
  <c r="U36" i="13"/>
  <c r="U37" i="13" s="1"/>
  <c r="U77" i="13" s="1"/>
  <c r="L57" i="39" s="1"/>
  <c r="U44" i="13"/>
  <c r="L31" i="39"/>
  <c r="I112" i="39"/>
  <c r="I50" i="39" s="1"/>
  <c r="W99" i="3"/>
  <c r="W100" i="3" s="1" a="1"/>
  <c r="W100" i="3" s="1"/>
  <c r="W102" i="3" s="1" a="1"/>
  <c r="W102" i="3" s="1"/>
  <c r="W104" i="3" s="1"/>
  <c r="M20" i="39"/>
  <c r="V22" i="13"/>
  <c r="M25" i="39"/>
  <c r="M28" i="39" s="1"/>
  <c r="W26" i="13"/>
  <c r="W29" i="13" s="1"/>
  <c r="Y72" i="3"/>
  <c r="Y74" i="3" s="1" a="1"/>
  <c r="Y74" i="3" s="1"/>
  <c r="Y65" i="3"/>
  <c r="Y90" i="3" s="1"/>
  <c r="Y95" i="3" s="1"/>
  <c r="W115" i="3"/>
  <c r="Y69" i="3"/>
  <c r="V35" i="13"/>
  <c r="Z64" i="3"/>
  <c r="Z65" i="3" s="1"/>
  <c r="X96" i="3"/>
  <c r="X117" i="3" s="1"/>
  <c r="N33" i="39" s="1"/>
  <c r="U24" i="13"/>
  <c r="K35" i="39" l="1"/>
  <c r="K36" i="39" s="1"/>
  <c r="K48" i="39" s="1"/>
  <c r="K101" i="39" s="1"/>
  <c r="K104" i="39" s="1"/>
  <c r="M26" i="39"/>
  <c r="BZ83" i="3" a="1"/>
  <c r="BZ83" i="3" s="1"/>
  <c r="BZ81" i="3" a="1"/>
  <c r="BZ81" i="3" s="1"/>
  <c r="BY86" i="3"/>
  <c r="BN24" i="39"/>
  <c r="BW34" i="13"/>
  <c r="J36" i="39"/>
  <c r="J48" i="39" s="1"/>
  <c r="J101" i="39" s="1"/>
  <c r="J104" i="39" s="1"/>
  <c r="L83" i="39"/>
  <c r="S79" i="13"/>
  <c r="J62" i="39"/>
  <c r="CB59" i="3"/>
  <c r="CA80" i="3"/>
  <c r="T46" i="13"/>
  <c r="T49" i="13" s="1"/>
  <c r="T78" i="13" s="1"/>
  <c r="V116" i="3"/>
  <c r="L32" i="39" s="1"/>
  <c r="U42" i="13"/>
  <c r="L30" i="39"/>
  <c r="W110" i="3"/>
  <c r="W114" i="3" s="1"/>
  <c r="V36" i="13"/>
  <c r="V37" i="13" s="1"/>
  <c r="V77" i="13" s="1"/>
  <c r="M57" i="39" s="1"/>
  <c r="M83" i="39" s="1"/>
  <c r="V44" i="13"/>
  <c r="M31" i="39"/>
  <c r="V48" i="13"/>
  <c r="N25" i="39"/>
  <c r="N28" i="39" s="1"/>
  <c r="X99" i="3"/>
  <c r="X100" i="3" s="1" a="1"/>
  <c r="X100" i="3" s="1"/>
  <c r="X102" i="3" s="1" a="1"/>
  <c r="X102" i="3" s="1"/>
  <c r="X104" i="3" s="1"/>
  <c r="N20" i="39"/>
  <c r="X26" i="13"/>
  <c r="X29" i="13" s="1"/>
  <c r="Y89" i="3"/>
  <c r="Y93" i="3" s="1"/>
  <c r="Y96" i="3" s="1"/>
  <c r="W35" i="13"/>
  <c r="AA64" i="3"/>
  <c r="AA69" i="3" s="1"/>
  <c r="AA89" i="3" s="1"/>
  <c r="AA93" i="3" s="1"/>
  <c r="Z72" i="3"/>
  <c r="Z74" i="3" s="1" a="1"/>
  <c r="Z74" i="3" s="1"/>
  <c r="Z69" i="3"/>
  <c r="Z89" i="3" s="1"/>
  <c r="Z93" i="3" s="1"/>
  <c r="X115" i="3"/>
  <c r="W48" i="13"/>
  <c r="Z90" i="3"/>
  <c r="Z95" i="3" s="1"/>
  <c r="V24" i="13"/>
  <c r="L35" i="39" l="1"/>
  <c r="BZ86" i="3"/>
  <c r="N26" i="39"/>
  <c r="CA81" i="3" a="1"/>
  <c r="CA81" i="3" s="1"/>
  <c r="CA83" i="3" a="1"/>
  <c r="CA83" i="3" s="1"/>
  <c r="BX34" i="13"/>
  <c r="BO24" i="39"/>
  <c r="J105" i="39"/>
  <c r="J108" i="39" s="1"/>
  <c r="J112" i="39" s="1"/>
  <c r="J50" i="39" s="1"/>
  <c r="T79" i="13"/>
  <c r="K62" i="39"/>
  <c r="J84" i="39"/>
  <c r="J63" i="39"/>
  <c r="J67" i="39" s="1"/>
  <c r="U46" i="13"/>
  <c r="U49" i="13" s="1"/>
  <c r="U78" i="13" s="1"/>
  <c r="CC59" i="3"/>
  <c r="CB80" i="3"/>
  <c r="K105" i="39"/>
  <c r="K108" i="39" s="1"/>
  <c r="K112" i="39" s="1"/>
  <c r="K50" i="39" s="1"/>
  <c r="L36" i="39"/>
  <c r="L48" i="39" s="1"/>
  <c r="L101" i="39" s="1"/>
  <c r="L105" i="39" s="1"/>
  <c r="L108" i="39" s="1"/>
  <c r="L112" i="39" s="1"/>
  <c r="L50" i="39" s="1"/>
  <c r="V42" i="13"/>
  <c r="M30" i="39"/>
  <c r="W116" i="3"/>
  <c r="O25" i="39"/>
  <c r="O28" i="39" s="1"/>
  <c r="Y117" i="3"/>
  <c r="O33" i="39" s="1"/>
  <c r="W44" i="13"/>
  <c r="N31" i="39"/>
  <c r="X110" i="3"/>
  <c r="X114" i="3" s="1"/>
  <c r="W36" i="13"/>
  <c r="W37" i="13" s="1"/>
  <c r="W77" i="13" s="1"/>
  <c r="N57" i="39" s="1"/>
  <c r="N83" i="39" s="1"/>
  <c r="Y99" i="3"/>
  <c r="Y100" i="3" s="1" a="1"/>
  <c r="Y100" i="3" s="1"/>
  <c r="Y102" i="3" s="1" a="1"/>
  <c r="Y102" i="3" s="1"/>
  <c r="Y104" i="3" s="1"/>
  <c r="O20" i="39"/>
  <c r="Y26" i="13"/>
  <c r="Y29" i="13" s="1"/>
  <c r="AA72" i="3"/>
  <c r="AA74" i="3" s="1" a="1"/>
  <c r="AA74" i="3" s="1"/>
  <c r="AA65" i="3"/>
  <c r="AA90" i="3" s="1"/>
  <c r="AA95" i="3" s="1"/>
  <c r="Y115" i="3"/>
  <c r="X35" i="13"/>
  <c r="AB64" i="3"/>
  <c r="AB65" i="3" s="1"/>
  <c r="W22" i="13"/>
  <c r="W24" i="13" s="1"/>
  <c r="Z96" i="3"/>
  <c r="O26" i="39" l="1"/>
  <c r="BP24" i="39"/>
  <c r="BY34" i="13"/>
  <c r="CB81" i="3" a="1"/>
  <c r="CB81" i="3" s="1"/>
  <c r="CB83" i="3" a="1"/>
  <c r="CB83" i="3" s="1"/>
  <c r="CA86" i="3"/>
  <c r="K84" i="39"/>
  <c r="K63" i="39"/>
  <c r="K67" i="39" s="1"/>
  <c r="U79" i="13"/>
  <c r="L62" i="39"/>
  <c r="CD59" i="3"/>
  <c r="CC80" i="3"/>
  <c r="L104" i="39"/>
  <c r="X48" i="13"/>
  <c r="W42" i="13"/>
  <c r="N30" i="39"/>
  <c r="P25" i="39"/>
  <c r="P28" i="39" s="1"/>
  <c r="Z117" i="3"/>
  <c r="P33" i="39" s="1"/>
  <c r="V46" i="13"/>
  <c r="V49" i="13" s="1"/>
  <c r="V78" i="13" s="1"/>
  <c r="M32" i="39"/>
  <c r="Y110" i="3"/>
  <c r="Y116" i="3" s="1"/>
  <c r="X36" i="13"/>
  <c r="X37" i="13" s="1"/>
  <c r="X77" i="13" s="1"/>
  <c r="X116" i="3"/>
  <c r="X44" i="13"/>
  <c r="O31" i="39"/>
  <c r="Z99" i="3"/>
  <c r="Z100" i="3" s="1" a="1"/>
  <c r="Z100" i="3" s="1"/>
  <c r="Z102" i="3" s="1" a="1"/>
  <c r="Z102" i="3" s="1"/>
  <c r="Z104" i="3" s="1"/>
  <c r="P20" i="39"/>
  <c r="X22" i="13"/>
  <c r="X24" i="13" s="1"/>
  <c r="Z26" i="13"/>
  <c r="Z29" i="13" s="1"/>
  <c r="AB90" i="3"/>
  <c r="AB95" i="3" s="1"/>
  <c r="AB72" i="3"/>
  <c r="AB74" i="3" s="1" a="1"/>
  <c r="AB74" i="3" s="1"/>
  <c r="AC64" i="3"/>
  <c r="AA96" i="3"/>
  <c r="AA117" i="3" s="1"/>
  <c r="Q33" i="39" s="1"/>
  <c r="AB69" i="3"/>
  <c r="AB89" i="3" s="1"/>
  <c r="AB93" i="3" s="1"/>
  <c r="Y35" i="13"/>
  <c r="Z115" i="3"/>
  <c r="M35" i="39" l="1"/>
  <c r="M36" i="39" s="1"/>
  <c r="M48" i="39" s="1"/>
  <c r="M101" i="39" s="1"/>
  <c r="P26" i="39"/>
  <c r="BQ24" i="39"/>
  <c r="BZ34" i="13"/>
  <c r="CC81" i="3" a="1"/>
  <c r="CC81" i="3" s="1"/>
  <c r="CC83" i="3" a="1"/>
  <c r="CC83" i="3" s="1"/>
  <c r="CB86" i="3"/>
  <c r="L84" i="39"/>
  <c r="L63" i="39"/>
  <c r="L67" i="39" s="1"/>
  <c r="V79" i="13"/>
  <c r="M62" i="39"/>
  <c r="O57" i="39"/>
  <c r="CE59" i="3"/>
  <c r="CD80" i="3"/>
  <c r="Z110" i="3"/>
  <c r="Z114" i="3" s="1"/>
  <c r="Y114" i="3"/>
  <c r="X46" i="13"/>
  <c r="O32" i="39"/>
  <c r="W46" i="13"/>
  <c r="W49" i="13" s="1"/>
  <c r="W78" i="13" s="1"/>
  <c r="N32" i="39"/>
  <c r="N35" i="39" s="1"/>
  <c r="Y22" i="13"/>
  <c r="Y24" i="13" s="1"/>
  <c r="Y44" i="13"/>
  <c r="P31" i="39"/>
  <c r="Y36" i="13"/>
  <c r="Y37" i="13" s="1"/>
  <c r="Q25" i="39"/>
  <c r="Q28" i="39" s="1"/>
  <c r="AA99" i="3"/>
  <c r="AA100" i="3" s="1" a="1"/>
  <c r="AA100" i="3" s="1"/>
  <c r="AA102" i="3" s="1" a="1"/>
  <c r="AA102" i="3" s="1"/>
  <c r="AA104" i="3" s="1"/>
  <c r="Q20" i="39"/>
  <c r="Y48" i="13"/>
  <c r="AA26" i="13"/>
  <c r="AA29" i="13" s="1"/>
  <c r="AC72" i="3"/>
  <c r="AC74" i="3" s="1" a="1"/>
  <c r="AC74" i="3" s="1"/>
  <c r="AC65" i="3"/>
  <c r="AC90" i="3" s="1"/>
  <c r="AC95" i="3" s="1"/>
  <c r="AA115" i="3"/>
  <c r="AC69" i="3"/>
  <c r="AC89" i="3" s="1"/>
  <c r="AC93" i="3" s="1"/>
  <c r="Z35" i="13"/>
  <c r="AD64" i="3"/>
  <c r="AD65" i="3" s="1"/>
  <c r="AB96" i="3"/>
  <c r="Z48" i="13"/>
  <c r="Z22" i="13"/>
  <c r="M104" i="39" l="1"/>
  <c r="M105" i="39"/>
  <c r="M108" i="39" s="1"/>
  <c r="M112" i="39" s="1"/>
  <c r="M50" i="39" s="1"/>
  <c r="N36" i="39"/>
  <c r="N48" i="39" s="1"/>
  <c r="N101" i="39" s="1"/>
  <c r="N104" i="39" s="1"/>
  <c r="Q26" i="39"/>
  <c r="CD81" i="3" a="1"/>
  <c r="CD81" i="3" s="1"/>
  <c r="CD83" i="3" a="1"/>
  <c r="CD83" i="3" s="1"/>
  <c r="BR24" i="39"/>
  <c r="CA34" i="13"/>
  <c r="CC86" i="3"/>
  <c r="O83" i="39"/>
  <c r="M84" i="39"/>
  <c r="M63" i="39"/>
  <c r="M67" i="39" s="1"/>
  <c r="W79" i="13"/>
  <c r="N62" i="39"/>
  <c r="Y72" i="13" a="1"/>
  <c r="Y72" i="13" s="1"/>
  <c r="Y69" i="13" a="1"/>
  <c r="Y69" i="13" s="1"/>
  <c r="Y66" i="13" a="1"/>
  <c r="Y66" i="13" s="1"/>
  <c r="P45" i="39" s="1"/>
  <c r="Y67" i="13" a="1"/>
  <c r="Y67" i="13" s="1"/>
  <c r="Y71" i="13" a="1"/>
  <c r="Y71" i="13" s="1"/>
  <c r="Y70" i="13" a="1"/>
  <c r="Y70" i="13" s="1"/>
  <c r="Y68" i="13" a="1"/>
  <c r="Y68" i="13" s="1"/>
  <c r="Y73" i="13" a="1"/>
  <c r="Y73" i="13" s="1"/>
  <c r="P46" i="39" s="1"/>
  <c r="Y61" i="13" a="1"/>
  <c r="Y61" i="13" s="1"/>
  <c r="P40" i="39" s="1"/>
  <c r="Y65" i="13" a="1"/>
  <c r="Y65" i="13" s="1"/>
  <c r="P44" i="39" s="1"/>
  <c r="Y64" i="13" a="1"/>
  <c r="Y64" i="13" s="1"/>
  <c r="P43" i="39" s="1"/>
  <c r="P41" i="39"/>
  <c r="Y63" i="13" a="1"/>
  <c r="Y63" i="13" s="1"/>
  <c r="P42" i="39" s="1"/>
  <c r="Y60" i="13" a="1"/>
  <c r="Y60" i="13" s="1"/>
  <c r="CF59" i="3"/>
  <c r="CE80" i="3"/>
  <c r="Y77" i="13"/>
  <c r="P57" i="39" s="1"/>
  <c r="P83" i="39" s="1"/>
  <c r="Z116" i="3"/>
  <c r="Y46" i="13" s="1"/>
  <c r="AA110" i="3"/>
  <c r="AA114" i="3" s="1"/>
  <c r="X42" i="13"/>
  <c r="X49" i="13" s="1"/>
  <c r="O30" i="39"/>
  <c r="Z36" i="13"/>
  <c r="Z37" i="13" s="1"/>
  <c r="R25" i="39"/>
  <c r="R28" i="39" s="1"/>
  <c r="AB117" i="3"/>
  <c r="R33" i="39" s="1"/>
  <c r="Y42" i="13"/>
  <c r="P30" i="39"/>
  <c r="Z44" i="13"/>
  <c r="Q31" i="39"/>
  <c r="AB99" i="3"/>
  <c r="AB100" i="3" s="1" a="1"/>
  <c r="AB100" i="3" s="1"/>
  <c r="AB102" i="3" s="1" a="1"/>
  <c r="AB102" i="3" s="1"/>
  <c r="AB104" i="3" s="1"/>
  <c r="R20" i="39"/>
  <c r="AB26" i="13"/>
  <c r="AB29" i="13" s="1"/>
  <c r="AD69" i="3"/>
  <c r="AD89" i="3" s="1"/>
  <c r="AD93" i="3" s="1"/>
  <c r="AD72" i="3"/>
  <c r="AD74" i="3" s="1" a="1"/>
  <c r="AD74" i="3" s="1"/>
  <c r="AD90" i="3"/>
  <c r="AD95" i="3" s="1"/>
  <c r="AE64" i="3"/>
  <c r="AE65" i="3" s="1"/>
  <c r="AB115" i="3"/>
  <c r="AC96" i="3"/>
  <c r="AA35" i="13"/>
  <c r="Z24" i="13"/>
  <c r="N105" i="39" l="1"/>
  <c r="N108" i="39" s="1"/>
  <c r="N112" i="39" s="1"/>
  <c r="N50" i="39" s="1"/>
  <c r="O35" i="39"/>
  <c r="O36" i="39" s="1"/>
  <c r="O48" i="39" s="1"/>
  <c r="O101" i="39" s="1"/>
  <c r="O104" i="39" s="1"/>
  <c r="R26" i="39"/>
  <c r="BS24" i="39"/>
  <c r="CB34" i="13"/>
  <c r="CE81" i="3" a="1"/>
  <c r="CE81" i="3" s="1"/>
  <c r="CE83" i="3" a="1"/>
  <c r="CE83" i="3" s="1"/>
  <c r="CE86" i="3" s="1"/>
  <c r="BU24" i="39" s="1"/>
  <c r="CD86" i="3"/>
  <c r="N84" i="39"/>
  <c r="N63" i="39"/>
  <c r="N67" i="39" s="1"/>
  <c r="Z72" i="13" a="1"/>
  <c r="Z72" i="13" s="1"/>
  <c r="Z69" i="13" a="1"/>
  <c r="Z69" i="13" s="1"/>
  <c r="Z66" i="13" a="1"/>
  <c r="Z66" i="13" s="1"/>
  <c r="Q45" i="39" s="1"/>
  <c r="Z67" i="13" a="1"/>
  <c r="Z67" i="13" s="1"/>
  <c r="Z71" i="13" a="1"/>
  <c r="Z71" i="13" s="1"/>
  <c r="Z73" i="13" a="1"/>
  <c r="Z73" i="13" s="1"/>
  <c r="Q46" i="39" s="1"/>
  <c r="Z61" i="13" a="1"/>
  <c r="Z61" i="13" s="1"/>
  <c r="Q40" i="39" s="1"/>
  <c r="Z70" i="13" a="1"/>
  <c r="Z70" i="13" s="1"/>
  <c r="Z65" i="13" a="1"/>
  <c r="Z65" i="13" s="1"/>
  <c r="Q44" i="39" s="1"/>
  <c r="Z64" i="13" a="1"/>
  <c r="Z64" i="13" s="1"/>
  <c r="Q43" i="39" s="1"/>
  <c r="Q41" i="39"/>
  <c r="Z63" i="13" a="1"/>
  <c r="Z63" i="13" s="1"/>
  <c r="Q42" i="39" s="1"/>
  <c r="Z68" i="13" a="1"/>
  <c r="Z68" i="13" s="1"/>
  <c r="Z60" i="13" a="1"/>
  <c r="Z60" i="13" s="1"/>
  <c r="CD34" i="13"/>
  <c r="CG59" i="3"/>
  <c r="CG80" i="3" s="1"/>
  <c r="CF80" i="3"/>
  <c r="P39" i="39"/>
  <c r="P47" i="39" s="1"/>
  <c r="Y74" i="13"/>
  <c r="Z77" i="13"/>
  <c r="Q57" i="39" s="1"/>
  <c r="Q83" i="39" s="1"/>
  <c r="AA116" i="3"/>
  <c r="Q32" i="39" s="1"/>
  <c r="P32" i="39"/>
  <c r="P35" i="39" s="1"/>
  <c r="Y49" i="13"/>
  <c r="Y78" i="13" s="1"/>
  <c r="AA48" i="13"/>
  <c r="AB110" i="3"/>
  <c r="AB116" i="3" s="1"/>
  <c r="X78" i="13"/>
  <c r="O62" i="39" s="1"/>
  <c r="S25" i="39"/>
  <c r="S28" i="39" s="1"/>
  <c r="AC117" i="3"/>
  <c r="S33" i="39" s="1"/>
  <c r="AA36" i="13"/>
  <c r="AA37" i="13" s="1"/>
  <c r="Z42" i="13"/>
  <c r="Q30" i="39"/>
  <c r="AA44" i="13"/>
  <c r="R31" i="39"/>
  <c r="AC99" i="3"/>
  <c r="AC100" i="3" s="1" a="1"/>
  <c r="AC100" i="3" s="1"/>
  <c r="AC102" i="3" s="1" a="1"/>
  <c r="AC102" i="3" s="1"/>
  <c r="AC104" i="3" s="1"/>
  <c r="S20" i="39"/>
  <c r="T20" i="39"/>
  <c r="AC26" i="13"/>
  <c r="AC29" i="13" s="1"/>
  <c r="AA22" i="13"/>
  <c r="AA24" i="13" s="1"/>
  <c r="AE69" i="3"/>
  <c r="AE89" i="3" s="1"/>
  <c r="AE93" i="3" s="1"/>
  <c r="AE72" i="3"/>
  <c r="AE74" i="3" s="1" a="1"/>
  <c r="AE74" i="3" s="1"/>
  <c r="AE90" i="3"/>
  <c r="AE95" i="3" s="1"/>
  <c r="AB35" i="13"/>
  <c r="AC115" i="3"/>
  <c r="AD96" i="3"/>
  <c r="AD117" i="3" s="1"/>
  <c r="T33" i="39" s="1"/>
  <c r="AF64" i="3"/>
  <c r="AF65" i="3" s="1"/>
  <c r="Q35" i="39" l="1"/>
  <c r="S26" i="39"/>
  <c r="BT24" i="39"/>
  <c r="CC34" i="13"/>
  <c r="CG81" i="3" a="1"/>
  <c r="CG81" i="3" s="1"/>
  <c r="CG83" i="3" a="1"/>
  <c r="CG83" i="3" s="1"/>
  <c r="CF81" i="3" a="1"/>
  <c r="CF81" i="3" s="1"/>
  <c r="CF83" i="3" a="1"/>
  <c r="CF83" i="3" s="1"/>
  <c r="P36" i="39"/>
  <c r="P48" i="39" s="1"/>
  <c r="P101" i="39" s="1"/>
  <c r="P104" i="39" s="1"/>
  <c r="O84" i="39"/>
  <c r="O63" i="39"/>
  <c r="O67" i="39" s="1"/>
  <c r="Y79" i="13"/>
  <c r="P62" i="39"/>
  <c r="AA66" i="13" a="1"/>
  <c r="AA66" i="13" s="1"/>
  <c r="R45" i="39" s="1"/>
  <c r="AA67" i="13" a="1"/>
  <c r="AA67" i="13" s="1"/>
  <c r="AA71" i="13" a="1"/>
  <c r="AA71" i="13" s="1"/>
  <c r="AA73" i="13" a="1"/>
  <c r="AA73" i="13" s="1"/>
  <c r="R46" i="39" s="1"/>
  <c r="AA70" i="13" a="1"/>
  <c r="AA70" i="13" s="1"/>
  <c r="AA68" i="13" a="1"/>
  <c r="AA68" i="13" s="1"/>
  <c r="AA72" i="13" a="1"/>
  <c r="AA72" i="13" s="1"/>
  <c r="AA69" i="13" a="1"/>
  <c r="AA69" i="13" s="1"/>
  <c r="AA65" i="13" a="1"/>
  <c r="AA65" i="13" s="1"/>
  <c r="R44" i="39" s="1"/>
  <c r="R41" i="39"/>
  <c r="AA64" i="13" a="1"/>
  <c r="AA64" i="13" s="1"/>
  <c r="R43" i="39" s="1"/>
  <c r="AA63" i="13" a="1"/>
  <c r="AA63" i="13" s="1"/>
  <c r="R42" i="39" s="1"/>
  <c r="AA60" i="13" a="1"/>
  <c r="AA60" i="13" s="1"/>
  <c r="AA61" i="13" a="1"/>
  <c r="AA61" i="13" s="1"/>
  <c r="R40" i="39" s="1"/>
  <c r="Q39" i="39"/>
  <c r="Q47" i="39" s="1"/>
  <c r="Z74" i="13"/>
  <c r="AA77" i="13"/>
  <c r="R57" i="39" s="1"/>
  <c r="R83" i="39" s="1"/>
  <c r="Z46" i="13"/>
  <c r="Z49" i="13" s="1"/>
  <c r="Z78" i="13" s="1"/>
  <c r="AC110" i="3"/>
  <c r="AC116" i="3" s="1"/>
  <c r="AB46" i="13" s="1"/>
  <c r="AB22" i="13"/>
  <c r="AB24" i="13" s="1"/>
  <c r="Q36" i="39"/>
  <c r="AB114" i="3"/>
  <c r="R30" i="39" s="1"/>
  <c r="R35" i="39" s="1"/>
  <c r="AB36" i="13"/>
  <c r="AB37" i="13" s="1"/>
  <c r="AA46" i="13"/>
  <c r="R32" i="39"/>
  <c r="X79" i="13"/>
  <c r="AB44" i="13"/>
  <c r="S31" i="39"/>
  <c r="AD99" i="3"/>
  <c r="AD100" i="3" s="1" a="1"/>
  <c r="AD100" i="3" s="1"/>
  <c r="AD102" i="3" s="1" a="1"/>
  <c r="AD102" i="3" s="1"/>
  <c r="AD104" i="3" s="1"/>
  <c r="T25" i="39"/>
  <c r="T28" i="39" s="1"/>
  <c r="AB48" i="13"/>
  <c r="AD26" i="13"/>
  <c r="AD29" i="13" s="1"/>
  <c r="AD115" i="3"/>
  <c r="AG64" i="3"/>
  <c r="AH64" i="3" s="1"/>
  <c r="AF72" i="3"/>
  <c r="AF74" i="3" s="1" a="1"/>
  <c r="AF74" i="3" s="1"/>
  <c r="AC35" i="13"/>
  <c r="AF90" i="3"/>
  <c r="AF95" i="3" s="1"/>
  <c r="AF69" i="3"/>
  <c r="AF89" i="3" s="1"/>
  <c r="AF93" i="3" s="1"/>
  <c r="AE96" i="3"/>
  <c r="AE117" i="3" s="1"/>
  <c r="U33" i="39" s="1"/>
  <c r="AC48" i="13"/>
  <c r="AC22" i="13"/>
  <c r="Q49" i="13"/>
  <c r="T26" i="39" l="1"/>
  <c r="CF86" i="3"/>
  <c r="BV24" i="39" s="1"/>
  <c r="CG86" i="3"/>
  <c r="CE34" i="13"/>
  <c r="P63" i="39"/>
  <c r="P67" i="39" s="1"/>
  <c r="P84" i="39"/>
  <c r="Z79" i="13"/>
  <c r="Q62" i="39"/>
  <c r="AB67" i="13" a="1"/>
  <c r="AB67" i="13" s="1"/>
  <c r="AB71" i="13" a="1"/>
  <c r="AB71" i="13" s="1"/>
  <c r="AB73" i="13" a="1"/>
  <c r="AB73" i="13" s="1"/>
  <c r="S46" i="39" s="1"/>
  <c r="AB70" i="13" a="1"/>
  <c r="AB70" i="13" s="1"/>
  <c r="AB68" i="13" a="1"/>
  <c r="AB68" i="13" s="1"/>
  <c r="AB66" i="13" a="1"/>
  <c r="AB66" i="13" s="1"/>
  <c r="S45" i="39" s="1"/>
  <c r="AB65" i="13" a="1"/>
  <c r="AB65" i="13" s="1"/>
  <c r="S44" i="39" s="1"/>
  <c r="S41" i="39"/>
  <c r="AB64" i="13" a="1"/>
  <c r="AB64" i="13" s="1"/>
  <c r="S43" i="39" s="1"/>
  <c r="AB63" i="13" a="1"/>
  <c r="AB63" i="13" s="1"/>
  <c r="S42" i="39" s="1"/>
  <c r="AB72" i="13" a="1"/>
  <c r="AB72" i="13" s="1"/>
  <c r="AB69" i="13" a="1"/>
  <c r="AB69" i="13" s="1"/>
  <c r="AB60" i="13" a="1"/>
  <c r="AB60" i="13" s="1"/>
  <c r="AB61" i="13" a="1"/>
  <c r="AB61" i="13" s="1"/>
  <c r="S40" i="39" s="1"/>
  <c r="Q48" i="39"/>
  <c r="Q101" i="39" s="1"/>
  <c r="Q104" i="39" s="1"/>
  <c r="AB77" i="13"/>
  <c r="R39" i="39"/>
  <c r="R47" i="39" s="1"/>
  <c r="AA74" i="13"/>
  <c r="AA42" i="13"/>
  <c r="AA49" i="13" s="1"/>
  <c r="AA78" i="13" s="1"/>
  <c r="AC114" i="3"/>
  <c r="S30" i="39" s="1"/>
  <c r="S32" i="39"/>
  <c r="R36" i="39"/>
  <c r="AC44" i="13"/>
  <c r="T31" i="39"/>
  <c r="AE99" i="3"/>
  <c r="AE100" i="3" s="1" a="1"/>
  <c r="AE100" i="3" s="1"/>
  <c r="AE102" i="3" s="1" a="1"/>
  <c r="AE102" i="3" s="1"/>
  <c r="AE104" i="3" s="1"/>
  <c r="U20" i="39"/>
  <c r="U25" i="39"/>
  <c r="U28" i="39" s="1"/>
  <c r="AD110" i="3"/>
  <c r="AD114" i="3" s="1"/>
  <c r="AC36" i="13"/>
  <c r="AC37" i="13" s="1"/>
  <c r="AE26" i="13"/>
  <c r="AE29" i="13" s="1"/>
  <c r="AH72" i="3"/>
  <c r="AH74" i="3" s="1" a="1"/>
  <c r="AH74" i="3" s="1"/>
  <c r="AH65" i="3"/>
  <c r="AH90" i="3" s="1"/>
  <c r="AH95" i="3" s="1"/>
  <c r="AG72" i="3"/>
  <c r="AG74" i="3" s="1" a="1"/>
  <c r="AG74" i="3" s="1"/>
  <c r="AG65" i="3"/>
  <c r="AG90" i="3" s="1"/>
  <c r="AG95" i="3" s="1"/>
  <c r="AG69" i="3"/>
  <c r="AG89" i="3" s="1"/>
  <c r="AG93" i="3" s="1"/>
  <c r="AE115" i="3"/>
  <c r="AD35" i="13"/>
  <c r="AF96" i="3"/>
  <c r="AI64" i="3"/>
  <c r="AH69" i="3"/>
  <c r="AC24" i="13"/>
  <c r="AD48" i="13"/>
  <c r="AD22" i="13"/>
  <c r="Q78" i="13"/>
  <c r="H62" i="39" s="1"/>
  <c r="S35" i="39" l="1"/>
  <c r="U26" i="39"/>
  <c r="BW24" i="39"/>
  <c r="CF34" i="13"/>
  <c r="S57" i="39"/>
  <c r="S83" i="39" s="1"/>
  <c r="Q84" i="39"/>
  <c r="Q63" i="39"/>
  <c r="Q67" i="39" s="1"/>
  <c r="AA79" i="13"/>
  <c r="R62" i="39"/>
  <c r="H84" i="39"/>
  <c r="H63" i="39"/>
  <c r="H67" i="39" s="1"/>
  <c r="I84" i="39"/>
  <c r="AC67" i="13" a="1"/>
  <c r="AC67" i="13" s="1"/>
  <c r="AC71" i="13" a="1"/>
  <c r="AC71" i="13" s="1"/>
  <c r="AC73" i="13" a="1"/>
  <c r="AC73" i="13" s="1"/>
  <c r="T46" i="39" s="1"/>
  <c r="AC70" i="13" a="1"/>
  <c r="AC70" i="13" s="1"/>
  <c r="AC68" i="13" a="1"/>
  <c r="AC68" i="13" s="1"/>
  <c r="AC72" i="13" a="1"/>
  <c r="AC72" i="13" s="1"/>
  <c r="AC69" i="13" a="1"/>
  <c r="AC69" i="13" s="1"/>
  <c r="AC66" i="13" a="1"/>
  <c r="AC66" i="13" s="1"/>
  <c r="T45" i="39" s="1"/>
  <c r="AC63" i="13" a="1"/>
  <c r="AC63" i="13" s="1"/>
  <c r="T42" i="39" s="1"/>
  <c r="AC60" i="13" a="1"/>
  <c r="AC60" i="13" s="1"/>
  <c r="AC61" i="13" a="1"/>
  <c r="AC61" i="13" s="1"/>
  <c r="T40" i="39" s="1"/>
  <c r="AC65" i="13" a="1"/>
  <c r="AC65" i="13" s="1"/>
  <c r="T44" i="39" s="1"/>
  <c r="AC64" i="13" a="1"/>
  <c r="AC64" i="13" s="1"/>
  <c r="T43" i="39" s="1"/>
  <c r="T41" i="39"/>
  <c r="R48" i="39"/>
  <c r="R101" i="39" s="1"/>
  <c r="R104" i="39" s="1"/>
  <c r="S39" i="39"/>
  <c r="S47" i="39" s="1"/>
  <c r="AB74" i="13"/>
  <c r="AC77" i="13"/>
  <c r="T57" i="39" s="1"/>
  <c r="Q105" i="39"/>
  <c r="Q108" i="39" s="1"/>
  <c r="Q112" i="39" s="1"/>
  <c r="Q50" i="39" s="1"/>
  <c r="AB42" i="13"/>
  <c r="AB49" i="13" s="1"/>
  <c r="AB78" i="13" s="1"/>
  <c r="S36" i="39"/>
  <c r="AE110" i="3"/>
  <c r="AE114" i="3" s="1"/>
  <c r="AD42" i="13" s="1"/>
  <c r="AD36" i="13"/>
  <c r="AD37" i="13" s="1"/>
  <c r="AC42" i="13"/>
  <c r="T30" i="39"/>
  <c r="V25" i="39"/>
  <c r="V28" i="39" s="1"/>
  <c r="AF117" i="3"/>
  <c r="V33" i="39" s="1"/>
  <c r="AD116" i="3"/>
  <c r="AD44" i="13"/>
  <c r="U31" i="39"/>
  <c r="AF99" i="3"/>
  <c r="AF100" i="3" s="1" a="1"/>
  <c r="AF100" i="3" s="1"/>
  <c r="AF102" i="3" s="1" a="1"/>
  <c r="AF102" i="3" s="1"/>
  <c r="AF104" i="3" s="1"/>
  <c r="V20" i="39"/>
  <c r="AG26" i="13"/>
  <c r="AG29" i="13" s="1"/>
  <c r="AF26" i="13"/>
  <c r="AF29" i="13" s="1"/>
  <c r="AI72" i="3"/>
  <c r="AI74" i="3" s="1" a="1"/>
  <c r="AI74" i="3" s="1"/>
  <c r="AI65" i="3"/>
  <c r="AI90" i="3" s="1"/>
  <c r="AI95" i="3" s="1"/>
  <c r="AE35" i="13"/>
  <c r="AF115" i="3"/>
  <c r="AG96" i="3"/>
  <c r="AG117" i="3" s="1"/>
  <c r="W33" i="39" s="1"/>
  <c r="AH89" i="3"/>
  <c r="AH93" i="3" s="1"/>
  <c r="AI69" i="3"/>
  <c r="AI89" i="3" s="1"/>
  <c r="AI93" i="3" s="1"/>
  <c r="AD24" i="13"/>
  <c r="Q79" i="13"/>
  <c r="V26" i="39" l="1"/>
  <c r="T83" i="39"/>
  <c r="R63" i="39"/>
  <c r="R67" i="39" s="1"/>
  <c r="R84" i="39"/>
  <c r="AB79" i="13"/>
  <c r="S62" i="39"/>
  <c r="S48" i="39"/>
  <c r="S101" i="39" s="1"/>
  <c r="S104" i="39" s="1"/>
  <c r="AD71" i="13" a="1"/>
  <c r="AD71" i="13" s="1"/>
  <c r="AD73" i="13" a="1"/>
  <c r="AD73" i="13" s="1"/>
  <c r="U46" i="39" s="1"/>
  <c r="AD70" i="13" a="1"/>
  <c r="AD70" i="13" s="1"/>
  <c r="AD68" i="13" a="1"/>
  <c r="AD68" i="13" s="1"/>
  <c r="AD72" i="13" a="1"/>
  <c r="AD72" i="13" s="1"/>
  <c r="AD69" i="13" a="1"/>
  <c r="AD69" i="13" s="1"/>
  <c r="AD66" i="13" a="1"/>
  <c r="AD66" i="13" s="1"/>
  <c r="U45" i="39" s="1"/>
  <c r="AD67" i="13" a="1"/>
  <c r="AD67" i="13" s="1"/>
  <c r="AD60" i="13" a="1"/>
  <c r="AD60" i="13" s="1"/>
  <c r="AD64" i="13" a="1"/>
  <c r="AD64" i="13" s="1"/>
  <c r="U43" i="39" s="1"/>
  <c r="U41" i="39"/>
  <c r="AD61" i="13" a="1"/>
  <c r="AD61" i="13" s="1"/>
  <c r="U40" i="39" s="1"/>
  <c r="AD63" i="13" a="1"/>
  <c r="AD63" i="13" s="1"/>
  <c r="U42" i="39" s="1"/>
  <c r="AD65" i="13" a="1"/>
  <c r="AD65" i="13" s="1"/>
  <c r="U44" i="39" s="1"/>
  <c r="AD77" i="13"/>
  <c r="U57" i="39" s="1"/>
  <c r="U83" i="39" s="1"/>
  <c r="T39" i="39"/>
  <c r="T47" i="39" s="1"/>
  <c r="AC74" i="13"/>
  <c r="U30" i="39"/>
  <c r="AE116" i="3"/>
  <c r="AD46" i="13" s="1"/>
  <c r="AD49" i="13" s="1"/>
  <c r="AD78" i="13" s="1"/>
  <c r="AE36" i="13"/>
  <c r="AE37" i="13" s="1"/>
  <c r="AC46" i="13"/>
  <c r="AC49" i="13" s="1"/>
  <c r="AC78" i="13" s="1"/>
  <c r="T32" i="39"/>
  <c r="AE22" i="13"/>
  <c r="AE24" i="13" s="1"/>
  <c r="AF110" i="3"/>
  <c r="AF114" i="3" s="1"/>
  <c r="AE44" i="13"/>
  <c r="V31" i="39"/>
  <c r="AG99" i="3"/>
  <c r="AG100" i="3" s="1" a="1"/>
  <c r="AG100" i="3" s="1"/>
  <c r="AG102" i="3" s="1" a="1"/>
  <c r="AG102" i="3" s="1"/>
  <c r="AG104" i="3" s="1"/>
  <c r="W20" i="39"/>
  <c r="AH99" i="3"/>
  <c r="AH100" i="3" s="1" a="1"/>
  <c r="AH100" i="3" s="1"/>
  <c r="AH102" i="3" s="1" a="1"/>
  <c r="AH102" i="3" s="1"/>
  <c r="AH104" i="3" s="1"/>
  <c r="X20" i="39"/>
  <c r="W25" i="39"/>
  <c r="W28" i="39" s="1"/>
  <c r="AH26" i="13"/>
  <c r="AH29" i="13" s="1"/>
  <c r="AE48" i="13"/>
  <c r="AF35" i="13"/>
  <c r="AG115" i="3"/>
  <c r="AH96" i="3"/>
  <c r="AH117" i="3" s="1"/>
  <c r="X33" i="39" s="1"/>
  <c r="AJ64" i="3"/>
  <c r="AJ65" i="3" s="1"/>
  <c r="AF48" i="13"/>
  <c r="AF22" i="13"/>
  <c r="T35" i="39" l="1"/>
  <c r="T36" i="39" s="1"/>
  <c r="T48" i="39" s="1"/>
  <c r="T101" i="39" s="1"/>
  <c r="T104" i="39" s="1"/>
  <c r="AG110" i="3"/>
  <c r="AG114" i="3" s="1"/>
  <c r="S84" i="39"/>
  <c r="S63" i="39"/>
  <c r="S67" i="39" s="1"/>
  <c r="AC79" i="13"/>
  <c r="T62" i="39"/>
  <c r="AD79" i="13"/>
  <c r="U62" i="39"/>
  <c r="AE73" i="13" a="1"/>
  <c r="AE73" i="13" s="1"/>
  <c r="V46" i="39" s="1"/>
  <c r="AE70" i="13" a="1"/>
  <c r="AE70" i="13" s="1"/>
  <c r="AE68" i="13" a="1"/>
  <c r="AE68" i="13" s="1"/>
  <c r="AE72" i="13" a="1"/>
  <c r="AE72" i="13" s="1"/>
  <c r="AE69" i="13" a="1"/>
  <c r="AE69" i="13" s="1"/>
  <c r="AE71" i="13" a="1"/>
  <c r="AE71" i="13" s="1"/>
  <c r="AE60" i="13" a="1"/>
  <c r="AE60" i="13" s="1"/>
  <c r="AE67" i="13" a="1"/>
  <c r="AE67" i="13" s="1"/>
  <c r="AE61" i="13" a="1"/>
  <c r="AE61" i="13" s="1"/>
  <c r="V40" i="39" s="1"/>
  <c r="V41" i="39"/>
  <c r="AE65" i="13" a="1"/>
  <c r="AE65" i="13" s="1"/>
  <c r="V44" i="39" s="1"/>
  <c r="AE64" i="13" a="1"/>
  <c r="AE64" i="13" s="1"/>
  <c r="V43" i="39" s="1"/>
  <c r="AE66" i="13" a="1"/>
  <c r="AE66" i="13" s="1"/>
  <c r="V45" i="39" s="1"/>
  <c r="AE63" i="13" a="1"/>
  <c r="AE63" i="13" s="1"/>
  <c r="V42" i="39" s="1"/>
  <c r="U39" i="39"/>
  <c r="U47" i="39" s="1"/>
  <c r="AD74" i="13"/>
  <c r="AE77" i="13"/>
  <c r="V57" i="39" s="1"/>
  <c r="V83" i="39" s="1"/>
  <c r="U32" i="39"/>
  <c r="AF42" i="13"/>
  <c r="W30" i="39"/>
  <c r="AF116" i="3"/>
  <c r="AE42" i="13"/>
  <c r="V30" i="39"/>
  <c r="AF44" i="13"/>
  <c r="W31" i="39"/>
  <c r="AH110" i="3"/>
  <c r="AH114" i="3" s="1"/>
  <c r="X25" i="39"/>
  <c r="X28" i="39" s="1"/>
  <c r="AF36" i="13"/>
  <c r="AF37" i="13" s="1"/>
  <c r="W26" i="39"/>
  <c r="AI99" i="3"/>
  <c r="AI100" i="3" s="1" a="1"/>
  <c r="AI100" i="3" s="1"/>
  <c r="AI102" i="3" s="1" a="1"/>
  <c r="AI102" i="3" s="1"/>
  <c r="AI104" i="3" s="1"/>
  <c r="Y20" i="39"/>
  <c r="AG36" i="13"/>
  <c r="X26" i="39"/>
  <c r="AG48" i="13"/>
  <c r="AK64" i="3"/>
  <c r="AJ72" i="3"/>
  <c r="AJ74" i="3" s="1" a="1"/>
  <c r="AJ74" i="3" s="1"/>
  <c r="AH115" i="3"/>
  <c r="AG35" i="13"/>
  <c r="AJ90" i="3"/>
  <c r="AJ95" i="3" s="1"/>
  <c r="AJ69" i="3"/>
  <c r="AJ89" i="3" s="1"/>
  <c r="AJ93" i="3" s="1"/>
  <c r="AI96" i="3"/>
  <c r="AF24" i="13"/>
  <c r="AG116" i="3" l="1"/>
  <c r="U35" i="39"/>
  <c r="U36" i="39" s="1"/>
  <c r="U48" i="39" s="1"/>
  <c r="U101" i="39" s="1"/>
  <c r="U104" i="39" s="1"/>
  <c r="U84" i="39"/>
  <c r="U63" i="39"/>
  <c r="U67" i="39" s="1"/>
  <c r="T63" i="39"/>
  <c r="T67" i="39" s="1"/>
  <c r="T84" i="39"/>
  <c r="AF72" i="13" a="1"/>
  <c r="AF72" i="13" s="1"/>
  <c r="AF69" i="13" a="1"/>
  <c r="AF69" i="13" s="1"/>
  <c r="AF66" i="13" a="1"/>
  <c r="AF66" i="13" s="1"/>
  <c r="W45" i="39" s="1"/>
  <c r="AF67" i="13" a="1"/>
  <c r="AF67" i="13" s="1"/>
  <c r="AF73" i="13" a="1"/>
  <c r="AF73" i="13" s="1"/>
  <c r="W46" i="39" s="1"/>
  <c r="AF70" i="13" a="1"/>
  <c r="AF70" i="13" s="1"/>
  <c r="AF68" i="13" a="1"/>
  <c r="AF68" i="13" s="1"/>
  <c r="AF60" i="13" a="1"/>
  <c r="AF60" i="13" s="1"/>
  <c r="AF71" i="13" a="1"/>
  <c r="AF71" i="13" s="1"/>
  <c r="AF61" i="13" a="1"/>
  <c r="AF61" i="13" s="1"/>
  <c r="W40" i="39" s="1"/>
  <c r="W41" i="39"/>
  <c r="AF65" i="13" a="1"/>
  <c r="AF65" i="13" s="1"/>
  <c r="W44" i="39" s="1"/>
  <c r="AF64" i="13" a="1"/>
  <c r="AF64" i="13" s="1"/>
  <c r="W43" i="39" s="1"/>
  <c r="AF63" i="13" a="1"/>
  <c r="AF63" i="13" s="1"/>
  <c r="W42" i="39" s="1"/>
  <c r="V39" i="39"/>
  <c r="V47" i="39" s="1"/>
  <c r="AE74" i="13"/>
  <c r="AK69" i="3"/>
  <c r="AK89" i="3" s="1"/>
  <c r="AK93" i="3" s="1"/>
  <c r="AL64" i="3"/>
  <c r="AL72" i="3" s="1"/>
  <c r="AL74" i="3" s="1" a="1"/>
  <c r="AL74" i="3" s="1"/>
  <c r="AB20" i="39" s="1"/>
  <c r="AF77" i="13"/>
  <c r="AE46" i="13"/>
  <c r="AE49" i="13" s="1"/>
  <c r="AE78" i="13" s="1"/>
  <c r="V32" i="39"/>
  <c r="V35" i="39" s="1"/>
  <c r="AG42" i="13"/>
  <c r="X30" i="39"/>
  <c r="Y25" i="39"/>
  <c r="Y28" i="39" s="1"/>
  <c r="AI117" i="3"/>
  <c r="Y33" i="39" s="1"/>
  <c r="AF46" i="13"/>
  <c r="AF49" i="13" s="1"/>
  <c r="AF78" i="13" s="1"/>
  <c r="W62" i="39" s="1"/>
  <c r="W32" i="39"/>
  <c r="W35" i="39" s="1"/>
  <c r="AG44" i="13"/>
  <c r="X31" i="39"/>
  <c r="Y26" i="39"/>
  <c r="AH36" i="13"/>
  <c r="AG37" i="13"/>
  <c r="Z20" i="39"/>
  <c r="AI26" i="13"/>
  <c r="AI29" i="13" s="1"/>
  <c r="AI110" i="3"/>
  <c r="AI114" i="3" s="1"/>
  <c r="AG22" i="13"/>
  <c r="AG24" i="13" s="1"/>
  <c r="AK72" i="3"/>
  <c r="AK74" i="3" s="1" a="1"/>
  <c r="AK74" i="3" s="1"/>
  <c r="AK65" i="3"/>
  <c r="AK90" i="3" s="1"/>
  <c r="AK95" i="3" s="1"/>
  <c r="AI115" i="3"/>
  <c r="AH116" i="3"/>
  <c r="AJ96" i="3"/>
  <c r="AH35" i="13"/>
  <c r="V36" i="39" l="1"/>
  <c r="W63" i="39"/>
  <c r="W67" i="39" s="1"/>
  <c r="W57" i="39"/>
  <c r="W83" i="39" s="1"/>
  <c r="AE79" i="13"/>
  <c r="V62" i="39"/>
  <c r="AG72" i="13" a="1"/>
  <c r="AG72" i="13" s="1"/>
  <c r="AG69" i="13" a="1"/>
  <c r="AG69" i="13" s="1"/>
  <c r="AG66" i="13" a="1"/>
  <c r="AG66" i="13" s="1"/>
  <c r="X45" i="39" s="1"/>
  <c r="AG67" i="13" a="1"/>
  <c r="AG67" i="13" s="1"/>
  <c r="AG71" i="13" a="1"/>
  <c r="AG71" i="13" s="1"/>
  <c r="AG70" i="13" a="1"/>
  <c r="AG70" i="13" s="1"/>
  <c r="AG68" i="13" a="1"/>
  <c r="AG68" i="13" s="1"/>
  <c r="AG61" i="13" a="1"/>
  <c r="AG61" i="13" s="1"/>
  <c r="X40" i="39" s="1"/>
  <c r="AG64" i="13" a="1"/>
  <c r="AG64" i="13" s="1"/>
  <c r="X43" i="39" s="1"/>
  <c r="X41" i="39"/>
  <c r="AG65" i="13" a="1"/>
  <c r="AG65" i="13" s="1"/>
  <c r="X44" i="39" s="1"/>
  <c r="AG63" i="13" a="1"/>
  <c r="AG63" i="13" s="1"/>
  <c r="X42" i="39" s="1"/>
  <c r="AG73" i="13" a="1"/>
  <c r="AG73" i="13" s="1"/>
  <c r="X46" i="39" s="1"/>
  <c r="AG60" i="13" a="1"/>
  <c r="AG60" i="13" s="1"/>
  <c r="V48" i="39"/>
  <c r="V101" i="39" s="1"/>
  <c r="V104" i="39" s="1"/>
  <c r="AF79" i="13"/>
  <c r="AL99" i="3"/>
  <c r="AL100" i="3" s="1" a="1"/>
  <c r="AL100" i="3" s="1"/>
  <c r="AL102" i="3" s="1" a="1"/>
  <c r="AL102" i="3" s="1"/>
  <c r="AL104" i="3" s="1"/>
  <c r="AK26" i="13"/>
  <c r="AK29" i="13" s="1"/>
  <c r="AG77" i="13"/>
  <c r="X57" i="39" s="1"/>
  <c r="W39" i="39"/>
  <c r="W47" i="39" s="1"/>
  <c r="AF74" i="13"/>
  <c r="AK96" i="3"/>
  <c r="AK117" i="3" s="1"/>
  <c r="AA33" i="39" s="1"/>
  <c r="AL65" i="3"/>
  <c r="AL90" i="3" s="1"/>
  <c r="AL95" i="3" s="1"/>
  <c r="AL96" i="3" s="1"/>
  <c r="AM64" i="3"/>
  <c r="AM72" i="3" s="1"/>
  <c r="AM74" i="3" s="1" a="1"/>
  <c r="AM74" i="3" s="1"/>
  <c r="AC20" i="39" s="1"/>
  <c r="AL69" i="3"/>
  <c r="AL89" i="3" s="1"/>
  <c r="AH48" i="13"/>
  <c r="Z25" i="39"/>
  <c r="Z28" i="39" s="1"/>
  <c r="AJ117" i="3"/>
  <c r="Z33" i="39" s="1"/>
  <c r="AH42" i="13"/>
  <c r="Y30" i="39"/>
  <c r="AG46" i="13"/>
  <c r="AG49" i="13" s="1"/>
  <c r="AG78" i="13" s="1"/>
  <c r="X62" i="39" s="1"/>
  <c r="X32" i="39"/>
  <c r="W36" i="39"/>
  <c r="AH44" i="13"/>
  <c r="Y31" i="39"/>
  <c r="AJ99" i="3"/>
  <c r="AJ100" i="3" s="1" a="1"/>
  <c r="AJ100" i="3" s="1"/>
  <c r="AJ102" i="3" s="1" a="1"/>
  <c r="AJ102" i="3" s="1"/>
  <c r="AJ104" i="3" s="1"/>
  <c r="AH37" i="13"/>
  <c r="AJ26" i="13"/>
  <c r="AJ29" i="13" s="1"/>
  <c r="AJ115" i="3"/>
  <c r="AI35" i="13"/>
  <c r="AH22" i="13"/>
  <c r="AH24" i="13" s="1"/>
  <c r="AI116" i="3"/>
  <c r="AB25" i="39" l="1"/>
  <c r="AB28" i="39" s="1"/>
  <c r="X35" i="39"/>
  <c r="X36" i="39" s="1"/>
  <c r="AB26" i="39"/>
  <c r="Z26" i="39"/>
  <c r="X83" i="39"/>
  <c r="V84" i="39"/>
  <c r="V63" i="39"/>
  <c r="V67" i="39" s="1"/>
  <c r="X84" i="39"/>
  <c r="X63" i="39"/>
  <c r="X67" i="39" s="1"/>
  <c r="W84" i="39"/>
  <c r="AH69" i="13" a="1"/>
  <c r="AH69" i="13" s="1"/>
  <c r="AH66" i="13" a="1"/>
  <c r="AH66" i="13" s="1"/>
  <c r="Y45" i="39" s="1"/>
  <c r="AH67" i="13" a="1"/>
  <c r="AH67" i="13" s="1"/>
  <c r="AH71" i="13" a="1"/>
  <c r="AH71" i="13" s="1"/>
  <c r="AH68" i="13" a="1"/>
  <c r="AH68" i="13" s="1"/>
  <c r="AH73" i="13" a="1"/>
  <c r="AH73" i="13" s="1"/>
  <c r="Y46" i="39" s="1"/>
  <c r="AH70" i="13" a="1"/>
  <c r="AH70" i="13" s="1"/>
  <c r="AH72" i="13" a="1"/>
  <c r="AH72" i="13" s="1"/>
  <c r="AH60" i="13" a="1"/>
  <c r="AH60" i="13" s="1"/>
  <c r="AH64" i="13" a="1"/>
  <c r="AH64" i="13" s="1"/>
  <c r="Y43" i="39" s="1"/>
  <c r="Y41" i="39"/>
  <c r="AH65" i="13" a="1"/>
  <c r="AH65" i="13" s="1"/>
  <c r="Y44" i="39" s="1"/>
  <c r="AH63" i="13" a="1"/>
  <c r="AH63" i="13" s="1"/>
  <c r="Y42" i="39" s="1"/>
  <c r="AH61" i="13" a="1"/>
  <c r="AH61" i="13" s="1"/>
  <c r="Y40" i="39" s="1"/>
  <c r="W48" i="39"/>
  <c r="W101" i="39" s="1"/>
  <c r="W104" i="39" s="1"/>
  <c r="AL26" i="13"/>
  <c r="AL29" i="13" s="1"/>
  <c r="AM99" i="3"/>
  <c r="AM100" i="3" s="1" a="1"/>
  <c r="AM100" i="3" s="1"/>
  <c r="AM102" i="3" s="1" a="1"/>
  <c r="AM102" i="3" s="1"/>
  <c r="AM104" i="3" s="1"/>
  <c r="AK35" i="13"/>
  <c r="AL115" i="3"/>
  <c r="AL117" i="3"/>
  <c r="AB33" i="39" s="1"/>
  <c r="AK36" i="13"/>
  <c r="AL110" i="3"/>
  <c r="AH77" i="13"/>
  <c r="Y57" i="39" s="1"/>
  <c r="Y83" i="39" s="1"/>
  <c r="X39" i="39"/>
  <c r="X47" i="39" s="1"/>
  <c r="AG74" i="13"/>
  <c r="AJ35" i="13"/>
  <c r="AA25" i="39"/>
  <c r="AA28" i="39" s="1"/>
  <c r="AK115" i="3"/>
  <c r="AJ44" i="13" s="1"/>
  <c r="AM65" i="3"/>
  <c r="AM90" i="3" s="1"/>
  <c r="AM95" i="3" s="1"/>
  <c r="AM96" i="3" s="1"/>
  <c r="AC25" i="39" s="1"/>
  <c r="AC28" i="39" s="1"/>
  <c r="AN64" i="3"/>
  <c r="AN72" i="3" s="1"/>
  <c r="AN74" i="3" s="1" a="1"/>
  <c r="AN74" i="3" s="1"/>
  <c r="AD20" i="39" s="1"/>
  <c r="AM69" i="3"/>
  <c r="AM89" i="3" s="1"/>
  <c r="AI22" i="13"/>
  <c r="AI24" i="13" s="1"/>
  <c r="AH46" i="13"/>
  <c r="AH49" i="13" s="1"/>
  <c r="AH78" i="13" s="1"/>
  <c r="Y62" i="39" s="1"/>
  <c r="Y32" i="39"/>
  <c r="AI44" i="13"/>
  <c r="Z31" i="39"/>
  <c r="AK99" i="3"/>
  <c r="AK100" i="3" s="1" a="1"/>
  <c r="AK100" i="3" s="1"/>
  <c r="AK102" i="3" s="1" a="1"/>
  <c r="AK102" i="3" s="1"/>
  <c r="AK104" i="3" s="1"/>
  <c r="AA20" i="39"/>
  <c r="AJ110" i="3"/>
  <c r="AJ114" i="3" s="1"/>
  <c r="AI36" i="13"/>
  <c r="AI37" i="13" s="1"/>
  <c r="AI48" i="13"/>
  <c r="AG79" i="13"/>
  <c r="AJ48" i="13"/>
  <c r="AJ22" i="13"/>
  <c r="X48" i="39" l="1"/>
  <c r="X101" i="39" s="1"/>
  <c r="X104" i="39" s="1"/>
  <c r="Y35" i="39"/>
  <c r="Y36" i="39" s="1"/>
  <c r="AC26" i="39"/>
  <c r="AK110" i="3"/>
  <c r="AK116" i="3" s="1"/>
  <c r="AK44" i="13"/>
  <c r="AB31" i="39"/>
  <c r="Y84" i="39"/>
  <c r="Y63" i="39"/>
  <c r="Y67" i="39" s="1"/>
  <c r="AI66" i="13" a="1"/>
  <c r="AI66" i="13" s="1"/>
  <c r="Z45" i="39" s="1"/>
  <c r="AI67" i="13" a="1"/>
  <c r="AI67" i="13" s="1"/>
  <c r="AI71" i="13" a="1"/>
  <c r="AI71" i="13" s="1"/>
  <c r="AI68" i="13" a="1"/>
  <c r="AI68" i="13" s="1"/>
  <c r="AI73" i="13" a="1"/>
  <c r="AI73" i="13" s="1"/>
  <c r="Z46" i="39" s="1"/>
  <c r="AI70" i="13" a="1"/>
  <c r="AI70" i="13" s="1"/>
  <c r="AI69" i="13" a="1"/>
  <c r="AI69" i="13" s="1"/>
  <c r="AI64" i="13" a="1"/>
  <c r="AI64" i="13" s="1"/>
  <c r="Z43" i="39" s="1"/>
  <c r="AI65" i="13" a="1"/>
  <c r="AI65" i="13" s="1"/>
  <c r="Z44" i="39" s="1"/>
  <c r="AI63" i="13" a="1"/>
  <c r="AI63" i="13" s="1"/>
  <c r="Z42" i="39" s="1"/>
  <c r="AI72" i="13" a="1"/>
  <c r="AI72" i="13" s="1"/>
  <c r="AI61" i="13" a="1"/>
  <c r="AI61" i="13" s="1"/>
  <c r="Z40" i="39" s="1"/>
  <c r="AI60" i="13" a="1"/>
  <c r="AI60" i="13" s="1"/>
  <c r="Z41" i="39"/>
  <c r="AH79" i="13"/>
  <c r="AA31" i="39"/>
  <c r="AM115" i="3"/>
  <c r="AL35" i="13"/>
  <c r="AM117" i="3"/>
  <c r="AC33" i="39" s="1"/>
  <c r="AN99" i="3"/>
  <c r="AN100" i="3" s="1" a="1"/>
  <c r="AN100" i="3" s="1"/>
  <c r="AN102" i="3" s="1" a="1"/>
  <c r="AN102" i="3" s="1"/>
  <c r="AN104" i="3" s="1"/>
  <c r="AM26" i="13"/>
  <c r="AM29" i="13" s="1"/>
  <c r="AK22" i="13"/>
  <c r="AK24" i="13" s="1"/>
  <c r="AK48" i="13"/>
  <c r="AK37" i="13"/>
  <c r="AL36" i="13"/>
  <c r="AM110" i="3"/>
  <c r="AL116" i="3"/>
  <c r="AL114" i="3"/>
  <c r="AI77" i="13"/>
  <c r="Z57" i="39" s="1"/>
  <c r="Z83" i="39" s="1"/>
  <c r="Y39" i="39"/>
  <c r="Y47" i="39" s="1"/>
  <c r="AH74" i="13"/>
  <c r="AO64" i="3"/>
  <c r="AO72" i="3" s="1"/>
  <c r="AO74" i="3" s="1" a="1"/>
  <c r="AO74" i="3" s="1"/>
  <c r="AE20" i="39" s="1"/>
  <c r="AN65" i="3"/>
  <c r="AN90" i="3" s="1"/>
  <c r="AN95" i="3" s="1"/>
  <c r="AN96" i="3" s="1"/>
  <c r="AN69" i="3"/>
  <c r="AN89" i="3" s="1"/>
  <c r="AJ46" i="13"/>
  <c r="AA32" i="39"/>
  <c r="AI42" i="13"/>
  <c r="Z30" i="39"/>
  <c r="AJ116" i="3"/>
  <c r="AJ36" i="13"/>
  <c r="AJ37" i="13" s="1"/>
  <c r="AA26" i="39"/>
  <c r="AJ24" i="13"/>
  <c r="AK114" i="3" l="1"/>
  <c r="AD25" i="39"/>
  <c r="AD28" i="39" s="1"/>
  <c r="Y48" i="39"/>
  <c r="Y101" i="39" s="1"/>
  <c r="Y104" i="39" s="1"/>
  <c r="AD26" i="39"/>
  <c r="AL44" i="13"/>
  <c r="AC31" i="39"/>
  <c r="AK42" i="13"/>
  <c r="AB30" i="39"/>
  <c r="AK46" i="13"/>
  <c r="AB32" i="39"/>
  <c r="AK71" i="13" a="1"/>
  <c r="AK71" i="13" s="1"/>
  <c r="AK68" i="13" a="1"/>
  <c r="AK68" i="13" s="1"/>
  <c r="AK73" i="13" a="1"/>
  <c r="AK73" i="13" s="1"/>
  <c r="AB46" i="39" s="1"/>
  <c r="AK70" i="13" a="1"/>
  <c r="AK70" i="13" s="1"/>
  <c r="AK72" i="13" a="1"/>
  <c r="AK72" i="13" s="1"/>
  <c r="AK69" i="13" a="1"/>
  <c r="AK69" i="13" s="1"/>
  <c r="AK66" i="13" a="1"/>
  <c r="AK66" i="13" s="1"/>
  <c r="AB45" i="39" s="1"/>
  <c r="AK67" i="13" a="1"/>
  <c r="AK67" i="13" s="1"/>
  <c r="AK60" i="13" a="1"/>
  <c r="AK60" i="13" s="1"/>
  <c r="AB39" i="39" s="1"/>
  <c r="AK63" i="13" a="1"/>
  <c r="AK63" i="13" s="1"/>
  <c r="AB42" i="39" s="1"/>
  <c r="AK61" i="13" a="1"/>
  <c r="AK61" i="13" s="1"/>
  <c r="AB40" i="39" s="1"/>
  <c r="AK64" i="13" a="1"/>
  <c r="AK64" i="13" s="1"/>
  <c r="AB43" i="39" s="1"/>
  <c r="AB41" i="39"/>
  <c r="AK65" i="13" a="1"/>
  <c r="AK65" i="13" s="1"/>
  <c r="AB44" i="39" s="1"/>
  <c r="AJ71" i="13" a="1"/>
  <c r="AJ71" i="13" s="1"/>
  <c r="AJ67" i="13" a="1"/>
  <c r="AJ67" i="13" s="1"/>
  <c r="AJ68" i="13" a="1"/>
  <c r="AJ68" i="13" s="1"/>
  <c r="AJ73" i="13" a="1"/>
  <c r="AJ73" i="13" s="1"/>
  <c r="AA46" i="39" s="1"/>
  <c r="AJ70" i="13" a="1"/>
  <c r="AJ70" i="13" s="1"/>
  <c r="AJ72" i="13" a="1"/>
  <c r="AJ72" i="13" s="1"/>
  <c r="AJ65" i="13" a="1"/>
  <c r="AJ65" i="13" s="1"/>
  <c r="AA44" i="39" s="1"/>
  <c r="AA41" i="39"/>
  <c r="AJ69" i="13" a="1"/>
  <c r="AJ69" i="13" s="1"/>
  <c r="AJ60" i="13" a="1"/>
  <c r="AJ60" i="13" s="1"/>
  <c r="AJ61" i="13" a="1"/>
  <c r="AJ61" i="13" s="1"/>
  <c r="AA40" i="39" s="1"/>
  <c r="AJ64" i="13" a="1"/>
  <c r="AJ64" i="13" s="1"/>
  <c r="AA43" i="39" s="1"/>
  <c r="AJ63" i="13" a="1"/>
  <c r="AJ63" i="13" s="1"/>
  <c r="AA42" i="39" s="1"/>
  <c r="AJ66" i="13" a="1"/>
  <c r="AJ66" i="13" s="1"/>
  <c r="AA45" i="39" s="1"/>
  <c r="AL37" i="13"/>
  <c r="AN26" i="13"/>
  <c r="AN29" i="13" s="1"/>
  <c r="AO99" i="3"/>
  <c r="AO100" i="3" s="1" a="1"/>
  <c r="AO100" i="3" s="1"/>
  <c r="AO102" i="3" s="1" a="1"/>
  <c r="AO102" i="3" s="1"/>
  <c r="AO104" i="3" s="1"/>
  <c r="AM36" i="13"/>
  <c r="AN110" i="3"/>
  <c r="AL22" i="13"/>
  <c r="AL24" i="13" s="1"/>
  <c r="AL48" i="13"/>
  <c r="AK77" i="13"/>
  <c r="AB57" i="39" s="1"/>
  <c r="AM116" i="3"/>
  <c r="AM114" i="3"/>
  <c r="AN115" i="3"/>
  <c r="AM35" i="13"/>
  <c r="AN117" i="3"/>
  <c r="AD33" i="39" s="1"/>
  <c r="AJ77" i="13"/>
  <c r="Z39" i="39"/>
  <c r="Z47" i="39" s="1"/>
  <c r="AI74" i="13"/>
  <c r="AP64" i="3"/>
  <c r="AP72" i="3" s="1"/>
  <c r="AP74" i="3" s="1" a="1"/>
  <c r="AP74" i="3" s="1"/>
  <c r="AF20" i="39" s="1"/>
  <c r="AO65" i="3"/>
  <c r="AO90" i="3" s="1"/>
  <c r="AO95" i="3" s="1"/>
  <c r="AO96" i="3" s="1"/>
  <c r="AE25" i="39" s="1"/>
  <c r="AE28" i="39" s="1"/>
  <c r="AO69" i="3"/>
  <c r="AO89" i="3" s="1"/>
  <c r="AJ42" i="13"/>
  <c r="AJ49" i="13" s="1"/>
  <c r="AJ78" i="13" s="1"/>
  <c r="AA62" i="39" s="1"/>
  <c r="AA30" i="39"/>
  <c r="AA35" i="39" s="1"/>
  <c r="AI46" i="13"/>
  <c r="AI49" i="13" s="1"/>
  <c r="Z32" i="39"/>
  <c r="AB35" i="39" l="1"/>
  <c r="Z35" i="39"/>
  <c r="Z36" i="39" s="1"/>
  <c r="Z48" i="39" s="1"/>
  <c r="Z101" i="39" s="1"/>
  <c r="Z104" i="39" s="1"/>
  <c r="AE26" i="39"/>
  <c r="AK49" i="13"/>
  <c r="AK78" i="13" s="1"/>
  <c r="AB62" i="39" s="1"/>
  <c r="AB63" i="39" s="1"/>
  <c r="AB67" i="39" s="1"/>
  <c r="AB47" i="39"/>
  <c r="AL42" i="13"/>
  <c r="AC30" i="39"/>
  <c r="AL46" i="13"/>
  <c r="AC32" i="39"/>
  <c r="AM44" i="13"/>
  <c r="AD31" i="39"/>
  <c r="AA57" i="39"/>
  <c r="AA63" i="39"/>
  <c r="AA67" i="39" s="1"/>
  <c r="AL77" i="13"/>
  <c r="AC57" i="39" s="1"/>
  <c r="AC83" i="39" s="1"/>
  <c r="AL68" i="13" a="1"/>
  <c r="AL68" i="13" s="1"/>
  <c r="AL73" i="13" a="1"/>
  <c r="AL73" i="13" s="1"/>
  <c r="AC46" i="39" s="1"/>
  <c r="AL70" i="13" a="1"/>
  <c r="AL70" i="13" s="1"/>
  <c r="AL72" i="13" a="1"/>
  <c r="AL72" i="13" s="1"/>
  <c r="AL69" i="13" a="1"/>
  <c r="AL69" i="13" s="1"/>
  <c r="AL71" i="13" a="1"/>
  <c r="AL71" i="13" s="1"/>
  <c r="AL67" i="13" a="1"/>
  <c r="AL67" i="13" s="1"/>
  <c r="AL61" i="13" a="1"/>
  <c r="AL61" i="13" s="1"/>
  <c r="AC40" i="39" s="1"/>
  <c r="AL60" i="13" a="1"/>
  <c r="AL60" i="13" s="1"/>
  <c r="AC39" i="39" s="1"/>
  <c r="AL65" i="13" a="1"/>
  <c r="AL65" i="13" s="1"/>
  <c r="AC44" i="39" s="1"/>
  <c r="AL64" i="13" a="1"/>
  <c r="AL64" i="13" s="1"/>
  <c r="AC43" i="39" s="1"/>
  <c r="AC41" i="39"/>
  <c r="AL66" i="13" a="1"/>
  <c r="AL66" i="13" s="1"/>
  <c r="AC45" i="39" s="1"/>
  <c r="AL63" i="13" a="1"/>
  <c r="AL63" i="13" s="1"/>
  <c r="AC42" i="39" s="1"/>
  <c r="AM37" i="13"/>
  <c r="AO26" i="13"/>
  <c r="AO29" i="13" s="1"/>
  <c r="AP99" i="3"/>
  <c r="AP100" i="3" s="1" a="1"/>
  <c r="AP100" i="3" s="1"/>
  <c r="AP102" i="3" s="1" a="1"/>
  <c r="AP102" i="3" s="1"/>
  <c r="AP104" i="3" s="1"/>
  <c r="AN116" i="3"/>
  <c r="AN114" i="3"/>
  <c r="AK74" i="13"/>
  <c r="AN36" i="13"/>
  <c r="AO110" i="3"/>
  <c r="AN35" i="13"/>
  <c r="AO115" i="3"/>
  <c r="AO117" i="3"/>
  <c r="AE33" i="39" s="1"/>
  <c r="AM48" i="13"/>
  <c r="AM22" i="13"/>
  <c r="AM24" i="13" s="1"/>
  <c r="AA39" i="39"/>
  <c r="AA47" i="39" s="1"/>
  <c r="AJ74" i="13"/>
  <c r="AQ64" i="3"/>
  <c r="AQ72" i="3" s="1"/>
  <c r="AQ74" i="3" s="1" a="1"/>
  <c r="AQ74" i="3" s="1"/>
  <c r="AG20" i="39" s="1"/>
  <c r="AP65" i="3"/>
  <c r="AP90" i="3" s="1"/>
  <c r="AP95" i="3" s="1"/>
  <c r="AP96" i="3" s="1"/>
  <c r="AF25" i="39" s="1"/>
  <c r="AF28" i="39" s="1"/>
  <c r="AP69" i="3"/>
  <c r="AP89" i="3" s="1"/>
  <c r="AA36" i="39"/>
  <c r="AI78" i="13"/>
  <c r="AJ79" i="13"/>
  <c r="AC35" i="39" l="1"/>
  <c r="AF26" i="39"/>
  <c r="AB36" i="39"/>
  <c r="AB48" i="39" s="1"/>
  <c r="AB101" i="39" s="1"/>
  <c r="AL49" i="13"/>
  <c r="AL78" i="13" s="1"/>
  <c r="AL79" i="13" s="1"/>
  <c r="AK79" i="13"/>
  <c r="AB84" i="39"/>
  <c r="AM46" i="13"/>
  <c r="AD32" i="39"/>
  <c r="AN44" i="13"/>
  <c r="AE31" i="39"/>
  <c r="AC47" i="39"/>
  <c r="AC36" i="39"/>
  <c r="AM42" i="13"/>
  <c r="AD30" i="39"/>
  <c r="AA83" i="39"/>
  <c r="AB83" i="39"/>
  <c r="AL74" i="13"/>
  <c r="AI79" i="13"/>
  <c r="Z62" i="39"/>
  <c r="AM73" i="13" a="1"/>
  <c r="AM73" i="13" s="1"/>
  <c r="AD46" i="39" s="1"/>
  <c r="AM70" i="13" a="1"/>
  <c r="AM70" i="13" s="1"/>
  <c r="AM72" i="13" a="1"/>
  <c r="AM72" i="13" s="1"/>
  <c r="AM69" i="13" a="1"/>
  <c r="AM69" i="13" s="1"/>
  <c r="AM66" i="13" a="1"/>
  <c r="AM66" i="13" s="1"/>
  <c r="AD45" i="39" s="1"/>
  <c r="AM67" i="13" a="1"/>
  <c r="AM67" i="13" s="1"/>
  <c r="AM68" i="13" a="1"/>
  <c r="AM68" i="13" s="1"/>
  <c r="AM61" i="13" a="1"/>
  <c r="AM61" i="13" s="1"/>
  <c r="AD40" i="39" s="1"/>
  <c r="AM60" i="13" a="1"/>
  <c r="AM60" i="13" s="1"/>
  <c r="AD39" i="39" s="1"/>
  <c r="AM64" i="13" a="1"/>
  <c r="AM64" i="13" s="1"/>
  <c r="AD43" i="39" s="1"/>
  <c r="AD41" i="39"/>
  <c r="AM63" i="13" a="1"/>
  <c r="AM63" i="13" s="1"/>
  <c r="AD42" i="39" s="1"/>
  <c r="AM71" i="13" a="1"/>
  <c r="AM71" i="13" s="1"/>
  <c r="AM65" i="13" a="1"/>
  <c r="AM65" i="13" s="1"/>
  <c r="AD44" i="39" s="1"/>
  <c r="AM77" i="13"/>
  <c r="AD57" i="39" s="1"/>
  <c r="AD83" i="39" s="1"/>
  <c r="AN37" i="13"/>
  <c r="AA48" i="39"/>
  <c r="AA101" i="39" s="1"/>
  <c r="AA104" i="39" s="1"/>
  <c r="AN48" i="13"/>
  <c r="AN22" i="13"/>
  <c r="AN24" i="13" s="1"/>
  <c r="AO36" i="13"/>
  <c r="AP110" i="3"/>
  <c r="AP26" i="13"/>
  <c r="AP29" i="13" s="1"/>
  <c r="AQ99" i="3"/>
  <c r="AQ100" i="3" s="1" a="1"/>
  <c r="AQ100" i="3" s="1"/>
  <c r="AQ102" i="3" s="1" a="1"/>
  <c r="AQ102" i="3" s="1"/>
  <c r="AQ104" i="3" s="1"/>
  <c r="AO116" i="3"/>
  <c r="AO114" i="3"/>
  <c r="AP115" i="3"/>
  <c r="AO35" i="13"/>
  <c r="AP117" i="3"/>
  <c r="AF33" i="39" s="1"/>
  <c r="AR64" i="3"/>
  <c r="AR72" i="3" s="1"/>
  <c r="AR74" i="3" s="1" a="1"/>
  <c r="AR74" i="3" s="1"/>
  <c r="AH20" i="39" s="1"/>
  <c r="AQ65" i="3"/>
  <c r="AQ90" i="3" s="1"/>
  <c r="AQ95" i="3" s="1"/>
  <c r="AQ96" i="3" s="1"/>
  <c r="AG25" i="39" s="1"/>
  <c r="AG28" i="39" s="1"/>
  <c r="AQ69" i="3"/>
  <c r="AQ89" i="3" s="1"/>
  <c r="Y105" i="39"/>
  <c r="Y108" i="39" s="1"/>
  <c r="Y112" i="39" s="1"/>
  <c r="Y50" i="39" s="1"/>
  <c r="AD35" i="39" l="1"/>
  <c r="AD36" i="39" s="1"/>
  <c r="AG26" i="39"/>
  <c r="AC62" i="39"/>
  <c r="AC63" i="39" s="1"/>
  <c r="AC67" i="39" s="1"/>
  <c r="AM49" i="13"/>
  <c r="AM78" i="13" s="1"/>
  <c r="AD62" i="39" s="1"/>
  <c r="AD63" i="39" s="1"/>
  <c r="AD67" i="39" s="1"/>
  <c r="AO44" i="13"/>
  <c r="AF31" i="39"/>
  <c r="AN42" i="13"/>
  <c r="AE30" i="39"/>
  <c r="AN46" i="13"/>
  <c r="AE32" i="39"/>
  <c r="AD47" i="39"/>
  <c r="AC48" i="39"/>
  <c r="AB105" i="39"/>
  <c r="AB108" i="39" s="1"/>
  <c r="AB112" i="39" s="1"/>
  <c r="AB50" i="39" s="1"/>
  <c r="AB104" i="39"/>
  <c r="Z84" i="39"/>
  <c r="Z63" i="39"/>
  <c r="Z67" i="39" s="1"/>
  <c r="AA84" i="39"/>
  <c r="AN72" i="13" a="1"/>
  <c r="AN72" i="13" s="1"/>
  <c r="AN69" i="13" a="1"/>
  <c r="AN69" i="13" s="1"/>
  <c r="AN66" i="13" a="1"/>
  <c r="AN66" i="13" s="1"/>
  <c r="AE45" i="39" s="1"/>
  <c r="AN67" i="13" a="1"/>
  <c r="AN67" i="13" s="1"/>
  <c r="AN71" i="13" a="1"/>
  <c r="AN71" i="13" s="1"/>
  <c r="AN73" i="13" a="1"/>
  <c r="AN73" i="13" s="1"/>
  <c r="AE46" i="39" s="1"/>
  <c r="AN70" i="13" a="1"/>
  <c r="AN70" i="13" s="1"/>
  <c r="AN61" i="13" a="1"/>
  <c r="AN61" i="13" s="1"/>
  <c r="AE40" i="39" s="1"/>
  <c r="AN60" i="13" a="1"/>
  <c r="AN60" i="13" s="1"/>
  <c r="AE39" i="39" s="1"/>
  <c r="AN64" i="13" a="1"/>
  <c r="AN64" i="13" s="1"/>
  <c r="AE43" i="39" s="1"/>
  <c r="AN63" i="13" a="1"/>
  <c r="AN63" i="13" s="1"/>
  <c r="AE42" i="39" s="1"/>
  <c r="AE41" i="39"/>
  <c r="AN65" i="13" a="1"/>
  <c r="AN65" i="13" s="1"/>
  <c r="AE44" i="39" s="1"/>
  <c r="AN68" i="13" a="1"/>
  <c r="AN68" i="13" s="1"/>
  <c r="AN77" i="13"/>
  <c r="AE57" i="39" s="1"/>
  <c r="AE83" i="39" s="1"/>
  <c r="AO37" i="13"/>
  <c r="AO77" i="13" s="1"/>
  <c r="AF57" i="39" s="1"/>
  <c r="AM74" i="13"/>
  <c r="AP116" i="3"/>
  <c r="AP114" i="3"/>
  <c r="AO22" i="13"/>
  <c r="AO24" i="13" s="1"/>
  <c r="AO48" i="13"/>
  <c r="AR99" i="3"/>
  <c r="AR100" i="3" s="1" a="1"/>
  <c r="AR100" i="3" s="1"/>
  <c r="AR102" i="3" s="1" a="1"/>
  <c r="AR102" i="3" s="1"/>
  <c r="AR104" i="3" s="1"/>
  <c r="AQ26" i="13"/>
  <c r="AQ29" i="13" s="1"/>
  <c r="AP36" i="13"/>
  <c r="AQ110" i="3"/>
  <c r="AP35" i="13"/>
  <c r="AQ115" i="3"/>
  <c r="AQ117" i="3"/>
  <c r="AG33" i="39" s="1"/>
  <c r="AS64" i="3"/>
  <c r="AS72" i="3" s="1"/>
  <c r="AS74" i="3" s="1" a="1"/>
  <c r="AS74" i="3" s="1"/>
  <c r="AI20" i="39" s="1"/>
  <c r="AR65" i="3"/>
  <c r="AR90" i="3" s="1"/>
  <c r="AR95" i="3" s="1"/>
  <c r="AR96" i="3" s="1"/>
  <c r="AH25" i="39" s="1"/>
  <c r="AH28" i="39" s="1"/>
  <c r="AR69" i="3"/>
  <c r="AR89" i="3" s="1"/>
  <c r="N51" i="39"/>
  <c r="N81" i="39" s="1"/>
  <c r="N85" i="39" s="1"/>
  <c r="K51" i="39"/>
  <c r="K81" i="39" s="1"/>
  <c r="K85" i="39" s="1"/>
  <c r="J51" i="39"/>
  <c r="J81" i="39" s="1"/>
  <c r="J85" i="39" s="1"/>
  <c r="M51" i="39"/>
  <c r="M81" i="39" s="1"/>
  <c r="M85" i="39" s="1"/>
  <c r="I51" i="39"/>
  <c r="I81" i="39" s="1"/>
  <c r="I85" i="39" s="1"/>
  <c r="L51" i="39"/>
  <c r="L81" i="39" s="1"/>
  <c r="L85" i="39" s="1"/>
  <c r="AE35" i="39" l="1"/>
  <c r="AH26" i="39"/>
  <c r="AM79" i="13"/>
  <c r="AC84" i="39"/>
  <c r="AB51" i="39"/>
  <c r="AB81" i="39" s="1"/>
  <c r="AB85" i="39" s="1"/>
  <c r="AD84" i="39"/>
  <c r="AD48" i="39"/>
  <c r="AD101" i="39" s="1"/>
  <c r="AN49" i="13"/>
  <c r="AN78" i="13" s="1"/>
  <c r="AE62" i="39" s="1"/>
  <c r="AE36" i="39"/>
  <c r="AF83" i="39"/>
  <c r="AO46" i="13"/>
  <c r="AF32" i="39"/>
  <c r="AO42" i="13"/>
  <c r="AF30" i="39"/>
  <c r="AE47" i="39"/>
  <c r="AC101" i="39"/>
  <c r="AP44" i="13"/>
  <c r="AG31" i="39"/>
  <c r="AN74" i="13"/>
  <c r="AO69" i="13" a="1"/>
  <c r="AO69" i="13" s="1"/>
  <c r="AO66" i="13" a="1"/>
  <c r="AO66" i="13" s="1"/>
  <c r="AF45" i="39" s="1"/>
  <c r="AO67" i="13" a="1"/>
  <c r="AO67" i="13" s="1"/>
  <c r="AO71" i="13" a="1"/>
  <c r="AO71" i="13" s="1"/>
  <c r="AO68" i="13" a="1"/>
  <c r="AO68" i="13" s="1"/>
  <c r="AO72" i="13" a="1"/>
  <c r="AO72" i="13" s="1"/>
  <c r="AO64" i="13" a="1"/>
  <c r="AO64" i="13" s="1"/>
  <c r="AO73" i="13" a="1"/>
  <c r="AO73" i="13" s="1"/>
  <c r="AF46" i="39" s="1"/>
  <c r="AO63" i="13" a="1"/>
  <c r="AO63" i="13" s="1"/>
  <c r="AF42" i="39" s="1"/>
  <c r="AF41" i="39"/>
  <c r="AO65" i="13" a="1"/>
  <c r="AO65" i="13" s="1"/>
  <c r="AF44" i="39" s="1"/>
  <c r="AO70" i="13" a="1"/>
  <c r="AO70" i="13" s="1"/>
  <c r="AO61" i="13" a="1"/>
  <c r="AO61" i="13" s="1"/>
  <c r="AF40" i="39" s="1"/>
  <c r="AO60" i="13" a="1"/>
  <c r="AO60" i="13" s="1"/>
  <c r="AF39" i="39" s="1"/>
  <c r="AR26" i="13"/>
  <c r="AR29" i="13" s="1"/>
  <c r="AS99" i="3"/>
  <c r="AS100" i="3" s="1" a="1"/>
  <c r="AS100" i="3" s="1"/>
  <c r="AS102" i="3" s="1" a="1"/>
  <c r="AS102" i="3" s="1"/>
  <c r="AS104" i="3" s="1"/>
  <c r="AQ35" i="13"/>
  <c r="AR115" i="3"/>
  <c r="AR117" i="3"/>
  <c r="AH33" i="39" s="1"/>
  <c r="AQ36" i="13"/>
  <c r="AR110" i="3"/>
  <c r="AP48" i="13"/>
  <c r="AP22" i="13"/>
  <c r="AP24" i="13" s="1"/>
  <c r="AQ116" i="3"/>
  <c r="AQ114" i="3"/>
  <c r="AP37" i="13"/>
  <c r="AS65" i="3"/>
  <c r="AS90" i="3" s="1"/>
  <c r="AS95" i="3" s="1"/>
  <c r="AS96" i="3" s="1"/>
  <c r="AI25" i="39" s="1"/>
  <c r="AI28" i="39" s="1"/>
  <c r="AT64" i="3"/>
  <c r="AT72" i="3" s="1"/>
  <c r="AT74" i="3" s="1" a="1"/>
  <c r="AT74" i="3" s="1"/>
  <c r="AJ20" i="39" s="1"/>
  <c r="AS69" i="3"/>
  <c r="AS89" i="3" s="1"/>
  <c r="Z105" i="39"/>
  <c r="Z108" i="39" s="1"/>
  <c r="AF35" i="39" l="1"/>
  <c r="AI26" i="39"/>
  <c r="AN79" i="13"/>
  <c r="AO49" i="13"/>
  <c r="AO78" i="13" s="1"/>
  <c r="AO79" i="13" s="1"/>
  <c r="AE48" i="39"/>
  <c r="AE101" i="39" s="1"/>
  <c r="AF36" i="39"/>
  <c r="AP46" i="13"/>
  <c r="AG32" i="39"/>
  <c r="AD104" i="39"/>
  <c r="AD105" i="39"/>
  <c r="AD108" i="39" s="1"/>
  <c r="AD112" i="39" s="1"/>
  <c r="AD50" i="39" s="1"/>
  <c r="AD51" i="39" s="1"/>
  <c r="AD81" i="39" s="1"/>
  <c r="AD85" i="39" s="1"/>
  <c r="AQ44" i="13"/>
  <c r="AH31" i="39"/>
  <c r="AC105" i="39"/>
  <c r="AC108" i="39" s="1"/>
  <c r="AC112" i="39" s="1"/>
  <c r="AC50" i="39" s="1"/>
  <c r="AC104" i="39"/>
  <c r="AO74" i="13"/>
  <c r="AF43" i="39"/>
  <c r="AF47" i="39" s="1"/>
  <c r="AP42" i="13"/>
  <c r="AG30" i="39"/>
  <c r="AE84" i="39"/>
  <c r="AE63" i="39"/>
  <c r="AE67" i="39" s="1"/>
  <c r="AP69" i="13" a="1"/>
  <c r="AP69" i="13" s="1"/>
  <c r="AP66" i="13" a="1"/>
  <c r="AP66" i="13" s="1"/>
  <c r="AG45" i="39" s="1"/>
  <c r="AP67" i="13" a="1"/>
  <c r="AP67" i="13" s="1"/>
  <c r="AP71" i="13" a="1"/>
  <c r="AP71" i="13" s="1"/>
  <c r="AP73" i="13" a="1"/>
  <c r="AP73" i="13" s="1"/>
  <c r="AG46" i="39" s="1"/>
  <c r="AP68" i="13" a="1"/>
  <c r="AP68" i="13" s="1"/>
  <c r="AP70" i="13" a="1"/>
  <c r="AP70" i="13" s="1"/>
  <c r="AP63" i="13" a="1"/>
  <c r="AP63" i="13" s="1"/>
  <c r="AG42" i="39" s="1"/>
  <c r="AG41" i="39"/>
  <c r="AP72" i="13" a="1"/>
  <c r="AP72" i="13" s="1"/>
  <c r="AP65" i="13" a="1"/>
  <c r="AP65" i="13" s="1"/>
  <c r="AG44" i="39" s="1"/>
  <c r="AP61" i="13" a="1"/>
  <c r="AP61" i="13" s="1"/>
  <c r="AG40" i="39" s="1"/>
  <c r="AP60" i="13" a="1"/>
  <c r="AP60" i="13" s="1"/>
  <c r="AG39" i="39" s="1"/>
  <c r="AP64" i="13" a="1"/>
  <c r="AP64" i="13" s="1"/>
  <c r="AG43" i="39" s="1"/>
  <c r="AS115" i="3"/>
  <c r="AR35" i="13"/>
  <c r="AS117" i="3"/>
  <c r="AI33" i="39" s="1"/>
  <c r="AQ22" i="13"/>
  <c r="AQ24" i="13" s="1"/>
  <c r="AQ48" i="13"/>
  <c r="AP77" i="13"/>
  <c r="AG57" i="39" s="1"/>
  <c r="AG83" i="39" s="1"/>
  <c r="AQ37" i="13"/>
  <c r="AR36" i="13"/>
  <c r="AS110" i="3"/>
  <c r="AR116" i="3"/>
  <c r="AR114" i="3"/>
  <c r="AT99" i="3"/>
  <c r="AT100" i="3" s="1" a="1"/>
  <c r="AT100" i="3" s="1"/>
  <c r="AT102" i="3" s="1" a="1"/>
  <c r="AT102" i="3" s="1"/>
  <c r="AT104" i="3" s="1"/>
  <c r="AS26" i="13"/>
  <c r="AS29" i="13" s="1"/>
  <c r="AU64" i="3"/>
  <c r="AU72" i="3" s="1"/>
  <c r="AU74" i="3" s="1" a="1"/>
  <c r="AU74" i="3" s="1"/>
  <c r="AK20" i="39" s="1"/>
  <c r="AT65" i="3"/>
  <c r="AT90" i="3" s="1"/>
  <c r="AT95" i="3" s="1"/>
  <c r="AT96" i="3" s="1"/>
  <c r="AJ25" i="39" s="1"/>
  <c r="AJ28" i="39" s="1"/>
  <c r="AT69" i="3"/>
  <c r="AT89" i="3" s="1"/>
  <c r="Z112" i="39"/>
  <c r="Z50" i="39" s="1"/>
  <c r="Z51" i="39" s="1"/>
  <c r="Z81" i="39" s="1"/>
  <c r="Z85" i="39" s="1"/>
  <c r="Y51" i="39"/>
  <c r="Y81" i="39" s="1"/>
  <c r="Y85" i="39" s="1"/>
  <c r="Q51" i="39"/>
  <c r="Q81" i="39" s="1"/>
  <c r="Q85" i="39" s="1"/>
  <c r="AG35" i="39" l="1"/>
  <c r="AG36" i="39" s="1"/>
  <c r="AJ26" i="39"/>
  <c r="AC51" i="39"/>
  <c r="AC81" i="39" s="1"/>
  <c r="AC85" i="39" s="1"/>
  <c r="AP49" i="13"/>
  <c r="AP78" i="13" s="1"/>
  <c r="AG62" i="39" s="1"/>
  <c r="AF62" i="39"/>
  <c r="AF63" i="39" s="1"/>
  <c r="AF67" i="39" s="1"/>
  <c r="AF48" i="39"/>
  <c r="AF101" i="39" s="1"/>
  <c r="AE105" i="39"/>
  <c r="AE108" i="39" s="1"/>
  <c r="AE112" i="39" s="1"/>
  <c r="AE50" i="39" s="1"/>
  <c r="AE51" i="39" s="1"/>
  <c r="AE81" i="39" s="1"/>
  <c r="AE85" i="39" s="1"/>
  <c r="AE104" i="39"/>
  <c r="AQ42" i="13"/>
  <c r="AH30" i="39"/>
  <c r="AQ46" i="13"/>
  <c r="AH32" i="39"/>
  <c r="AR44" i="13"/>
  <c r="AI31" i="39"/>
  <c r="AG47" i="39"/>
  <c r="AQ67" i="13" a="1"/>
  <c r="AQ67" i="13" s="1"/>
  <c r="AQ71" i="13" a="1"/>
  <c r="AQ71" i="13" s="1"/>
  <c r="AQ73" i="13" a="1"/>
  <c r="AQ73" i="13" s="1"/>
  <c r="AH46" i="39" s="1"/>
  <c r="AQ70" i="13" a="1"/>
  <c r="AQ70" i="13" s="1"/>
  <c r="AQ68" i="13" a="1"/>
  <c r="AQ68" i="13" s="1"/>
  <c r="AQ72" i="13" a="1"/>
  <c r="AQ72" i="13" s="1"/>
  <c r="AQ69" i="13" a="1"/>
  <c r="AQ69" i="13" s="1"/>
  <c r="AQ66" i="13" a="1"/>
  <c r="AQ66" i="13" s="1"/>
  <c r="AH45" i="39" s="1"/>
  <c r="AQ65" i="13" a="1"/>
  <c r="AQ65" i="13" s="1"/>
  <c r="AH44" i="39" s="1"/>
  <c r="AQ64" i="13" a="1"/>
  <c r="AQ64" i="13" s="1"/>
  <c r="AH43" i="39" s="1"/>
  <c r="AQ61" i="13" a="1"/>
  <c r="AQ61" i="13" s="1"/>
  <c r="AH40" i="39" s="1"/>
  <c r="AQ60" i="13" a="1"/>
  <c r="AQ60" i="13" s="1"/>
  <c r="AH39" i="39" s="1"/>
  <c r="AQ63" i="13" a="1"/>
  <c r="AQ63" i="13" s="1"/>
  <c r="AH42" i="39" s="1"/>
  <c r="AH41" i="39"/>
  <c r="AP74" i="13"/>
  <c r="AQ77" i="13"/>
  <c r="AH57" i="39" s="1"/>
  <c r="AH83" i="39" s="1"/>
  <c r="AS116" i="3"/>
  <c r="AS114" i="3"/>
  <c r="AT26" i="13"/>
  <c r="AT29" i="13" s="1"/>
  <c r="AU99" i="3"/>
  <c r="AU100" i="3" s="1" a="1"/>
  <c r="AU100" i="3" s="1"/>
  <c r="AU102" i="3" s="1" a="1"/>
  <c r="AU102" i="3" s="1"/>
  <c r="AU104" i="3" s="1"/>
  <c r="AS36" i="13"/>
  <c r="AT110" i="3"/>
  <c r="AR22" i="13"/>
  <c r="AR24" i="13" s="1"/>
  <c r="AR48" i="13"/>
  <c r="AT115" i="3"/>
  <c r="AS35" i="13"/>
  <c r="AT117" i="3"/>
  <c r="AJ33" i="39" s="1"/>
  <c r="AR37" i="13"/>
  <c r="AU65" i="3"/>
  <c r="AU90" i="3" s="1"/>
  <c r="AU95" i="3" s="1"/>
  <c r="AU96" i="3" s="1"/>
  <c r="AK25" i="39" s="1"/>
  <c r="AK28" i="39" s="1"/>
  <c r="AV64" i="3"/>
  <c r="AV72" i="3" s="1"/>
  <c r="AV74" i="3" s="1" a="1"/>
  <c r="AV74" i="3" s="1"/>
  <c r="AL20" i="39" s="1"/>
  <c r="AU69" i="3"/>
  <c r="AU89" i="3" s="1"/>
  <c r="J14" i="10"/>
  <c r="J16" i="10" s="1"/>
  <c r="K14" i="10"/>
  <c r="K16" i="10" s="1"/>
  <c r="I14" i="10"/>
  <c r="I16" i="10" s="1"/>
  <c r="G14" i="10"/>
  <c r="G16" i="10" s="1"/>
  <c r="F14" i="10"/>
  <c r="AH35" i="39" l="1"/>
  <c r="AH36" i="39" s="1"/>
  <c r="AP79" i="13"/>
  <c r="AK26" i="39"/>
  <c r="AF84" i="39"/>
  <c r="AG48" i="39"/>
  <c r="AG101" i="39" s="1"/>
  <c r="AQ49" i="13"/>
  <c r="AQ78" i="13" s="1"/>
  <c r="AH62" i="39" s="1"/>
  <c r="AH84" i="39" s="1"/>
  <c r="AH47" i="39"/>
  <c r="AR42" i="13"/>
  <c r="AI30" i="39"/>
  <c r="AG63" i="39"/>
  <c r="AG67" i="39" s="1"/>
  <c r="AG84" i="39"/>
  <c r="AS44" i="13"/>
  <c r="AJ31" i="39"/>
  <c r="AR46" i="13"/>
  <c r="AI32" i="39"/>
  <c r="AF105" i="39"/>
  <c r="AF108" i="39" s="1"/>
  <c r="AF112" i="39" s="1"/>
  <c r="AF50" i="39" s="1"/>
  <c r="AF51" i="39" s="1"/>
  <c r="AF81" i="39" s="1"/>
  <c r="AF104" i="39"/>
  <c r="AR71" i="13" a="1"/>
  <c r="AR71" i="13" s="1"/>
  <c r="AR73" i="13" a="1"/>
  <c r="AR73" i="13" s="1"/>
  <c r="AI46" i="39" s="1"/>
  <c r="AR70" i="13" a="1"/>
  <c r="AR70" i="13" s="1"/>
  <c r="AR68" i="13" a="1"/>
  <c r="AR68" i="13" s="1"/>
  <c r="AR72" i="13" a="1"/>
  <c r="AR72" i="13" s="1"/>
  <c r="AR66" i="13" a="1"/>
  <c r="AR66" i="13" s="1"/>
  <c r="AI45" i="39" s="1"/>
  <c r="AR67" i="13" a="1"/>
  <c r="AR67" i="13" s="1"/>
  <c r="AR69" i="13" a="1"/>
  <c r="AR69" i="13" s="1"/>
  <c r="AR61" i="13" a="1"/>
  <c r="AR61" i="13" s="1"/>
  <c r="AI40" i="39" s="1"/>
  <c r="AR60" i="13" a="1"/>
  <c r="AR60" i="13" s="1"/>
  <c r="AI39" i="39" s="1"/>
  <c r="AR64" i="13" a="1"/>
  <c r="AR64" i="13" s="1"/>
  <c r="AI43" i="39" s="1"/>
  <c r="AR63" i="13" a="1"/>
  <c r="AR63" i="13" s="1"/>
  <c r="AI42" i="39" s="1"/>
  <c r="AI41" i="39"/>
  <c r="AR65" i="13" a="1"/>
  <c r="AR65" i="13" s="1"/>
  <c r="AI44" i="39" s="1"/>
  <c r="AT35" i="13"/>
  <c r="AU115" i="3"/>
  <c r="AU117" i="3"/>
  <c r="AK33" i="39" s="1"/>
  <c r="AT114" i="3"/>
  <c r="AT116" i="3"/>
  <c r="AQ74" i="13"/>
  <c r="AT36" i="13"/>
  <c r="AU110" i="3"/>
  <c r="AS48" i="13"/>
  <c r="AS22" i="13"/>
  <c r="AS24" i="13" s="1"/>
  <c r="AV99" i="3"/>
  <c r="AV100" i="3" s="1" a="1"/>
  <c r="AV100" i="3" s="1"/>
  <c r="AV102" i="3" s="1" a="1"/>
  <c r="AV102" i="3" s="1"/>
  <c r="AV104" i="3" s="1"/>
  <c r="AU26" i="13"/>
  <c r="AU29" i="13" s="1"/>
  <c r="AR77" i="13"/>
  <c r="AI57" i="39" s="1"/>
  <c r="AI83" i="39" s="1"/>
  <c r="AS37" i="13"/>
  <c r="AW64" i="3"/>
  <c r="AW72" i="3" s="1"/>
  <c r="AW74" i="3" s="1" a="1"/>
  <c r="AW74" i="3" s="1"/>
  <c r="AM20" i="39" s="1"/>
  <c r="AV65" i="3"/>
  <c r="AV90" i="3" s="1"/>
  <c r="AV95" i="3" s="1"/>
  <c r="AV96" i="3" s="1"/>
  <c r="AL25" i="39" s="1"/>
  <c r="AL28" i="39" s="1"/>
  <c r="AV69" i="3"/>
  <c r="AV89" i="3" s="1"/>
  <c r="AI35" i="39" l="1"/>
  <c r="AL26" i="39"/>
  <c r="AF85" i="39"/>
  <c r="AH63" i="39"/>
  <c r="AH67" i="39" s="1"/>
  <c r="AQ79" i="13"/>
  <c r="AI36" i="39"/>
  <c r="AR49" i="13"/>
  <c r="AR78" i="13" s="1"/>
  <c r="AI62" i="39" s="1"/>
  <c r="AI63" i="39" s="1"/>
  <c r="AI67" i="39" s="1"/>
  <c r="AH48" i="39"/>
  <c r="AH101" i="39" s="1"/>
  <c r="AS46" i="13"/>
  <c r="AJ32" i="39"/>
  <c r="AI47" i="39"/>
  <c r="AS42" i="13"/>
  <c r="AJ30" i="39"/>
  <c r="AT44" i="13"/>
  <c r="AK31" i="39"/>
  <c r="AG105" i="39"/>
  <c r="AG108" i="39" s="1"/>
  <c r="AG112" i="39" s="1"/>
  <c r="AG50" i="39" s="1"/>
  <c r="AG51" i="39" s="1"/>
  <c r="AG81" i="39" s="1"/>
  <c r="AG85" i="39" s="1"/>
  <c r="AG104" i="39"/>
  <c r="AS71" i="13" a="1"/>
  <c r="AS71" i="13" s="1"/>
  <c r="AS73" i="13" a="1"/>
  <c r="AS73" i="13" s="1"/>
  <c r="AJ46" i="39" s="1"/>
  <c r="AS70" i="13" a="1"/>
  <c r="AS70" i="13" s="1"/>
  <c r="AS68" i="13" a="1"/>
  <c r="AS68" i="13" s="1"/>
  <c r="AS72" i="13" a="1"/>
  <c r="AS72" i="13" s="1"/>
  <c r="AS69" i="13" a="1"/>
  <c r="AS69" i="13" s="1"/>
  <c r="AS67" i="13" a="1"/>
  <c r="AS67" i="13" s="1"/>
  <c r="AS61" i="13" a="1"/>
  <c r="AS61" i="13" s="1"/>
  <c r="AJ40" i="39" s="1"/>
  <c r="AS66" i="13" a="1"/>
  <c r="AS66" i="13" s="1"/>
  <c r="AJ45" i="39" s="1"/>
  <c r="AS64" i="13" a="1"/>
  <c r="AS64" i="13" s="1"/>
  <c r="AJ43" i="39" s="1"/>
  <c r="AS60" i="13" a="1"/>
  <c r="AS60" i="13" s="1"/>
  <c r="AJ39" i="39" s="1"/>
  <c r="AS63" i="13" a="1"/>
  <c r="AS63" i="13" s="1"/>
  <c r="AJ42" i="39" s="1"/>
  <c r="AS65" i="13" a="1"/>
  <c r="AS65" i="13" s="1"/>
  <c r="AJ44" i="39" s="1"/>
  <c r="AJ41" i="39"/>
  <c r="AR74" i="13"/>
  <c r="AV115" i="3"/>
  <c r="AU35" i="13"/>
  <c r="AV117" i="3"/>
  <c r="AL33" i="39" s="1"/>
  <c r="AU116" i="3"/>
  <c r="AU114" i="3"/>
  <c r="AS77" i="13"/>
  <c r="AJ57" i="39" s="1"/>
  <c r="AJ83" i="39" s="1"/>
  <c r="AU36" i="13"/>
  <c r="AV110" i="3"/>
  <c r="AT22" i="13"/>
  <c r="AT24" i="13" s="1"/>
  <c r="AT48" i="13"/>
  <c r="AV26" i="13"/>
  <c r="AV29" i="13" s="1"/>
  <c r="AW99" i="3"/>
  <c r="AW100" i="3" s="1" a="1"/>
  <c r="AW100" i="3" s="1"/>
  <c r="AW102" i="3" s="1" a="1"/>
  <c r="AW102" i="3" s="1"/>
  <c r="AW104" i="3" s="1"/>
  <c r="AT37" i="13"/>
  <c r="AX64" i="3"/>
  <c r="AX72" i="3" s="1"/>
  <c r="AX74" i="3" s="1" a="1"/>
  <c r="AX74" i="3" s="1"/>
  <c r="AN20" i="39" s="1"/>
  <c r="AW65" i="3"/>
  <c r="AW90" i="3" s="1"/>
  <c r="AW95" i="3" s="1"/>
  <c r="AW96" i="3" s="1"/>
  <c r="AM25" i="39" s="1"/>
  <c r="AM28" i="39" s="1"/>
  <c r="AW69" i="3"/>
  <c r="AW89" i="3" s="1"/>
  <c r="AJ35" i="39" l="1"/>
  <c r="AM26" i="39"/>
  <c r="AS49" i="13"/>
  <c r="AS78" i="13" s="1"/>
  <c r="AJ62" i="39" s="1"/>
  <c r="AI48" i="39"/>
  <c r="AI101" i="39" s="1"/>
  <c r="AI84" i="39"/>
  <c r="AR79" i="13"/>
  <c r="AJ36" i="39"/>
  <c r="AT42" i="13"/>
  <c r="AK30" i="39"/>
  <c r="AT46" i="13"/>
  <c r="AK32" i="39"/>
  <c r="AJ47" i="39"/>
  <c r="AH105" i="39"/>
  <c r="AH108" i="39" s="1"/>
  <c r="AH112" i="39" s="1"/>
  <c r="AH50" i="39" s="1"/>
  <c r="AH51" i="39" s="1"/>
  <c r="AH81" i="39" s="1"/>
  <c r="AH85" i="39" s="1"/>
  <c r="AH104" i="39"/>
  <c r="AU44" i="13"/>
  <c r="AL31" i="39"/>
  <c r="AT73" i="13" a="1"/>
  <c r="AT73" i="13" s="1"/>
  <c r="AK46" i="39" s="1"/>
  <c r="AT70" i="13" a="1"/>
  <c r="AT70" i="13" s="1"/>
  <c r="AT68" i="13" a="1"/>
  <c r="AT68" i="13" s="1"/>
  <c r="AT72" i="13" a="1"/>
  <c r="AT72" i="13" s="1"/>
  <c r="AT66" i="13" a="1"/>
  <c r="AT66" i="13" s="1"/>
  <c r="AK45" i="39" s="1"/>
  <c r="AT69" i="13" a="1"/>
  <c r="AT69" i="13" s="1"/>
  <c r="AT67" i="13" a="1"/>
  <c r="AT67" i="13" s="1"/>
  <c r="AT71" i="13" a="1"/>
  <c r="AT71" i="13" s="1"/>
  <c r="AT61" i="13" a="1"/>
  <c r="AT61" i="13" s="1"/>
  <c r="AK40" i="39" s="1"/>
  <c r="AT64" i="13" a="1"/>
  <c r="AT64" i="13" s="1"/>
  <c r="AK43" i="39" s="1"/>
  <c r="AT60" i="13" a="1"/>
  <c r="AT60" i="13" s="1"/>
  <c r="AK39" i="39" s="1"/>
  <c r="AT63" i="13" a="1"/>
  <c r="AT63" i="13" s="1"/>
  <c r="AK42" i="39" s="1"/>
  <c r="AK41" i="39"/>
  <c r="AT65" i="13" a="1"/>
  <c r="AT65" i="13" s="1"/>
  <c r="AK44" i="39" s="1"/>
  <c r="AV116" i="3"/>
  <c r="AV114" i="3"/>
  <c r="AW115" i="3"/>
  <c r="AV35" i="13"/>
  <c r="AW117" i="3"/>
  <c r="AM33" i="39" s="1"/>
  <c r="AW26" i="13"/>
  <c r="AW29" i="13" s="1"/>
  <c r="AX99" i="3"/>
  <c r="AX100" i="3" s="1" a="1"/>
  <c r="AX100" i="3" s="1"/>
  <c r="AX102" i="3" s="1" a="1"/>
  <c r="AX102" i="3" s="1"/>
  <c r="AX104" i="3" s="1"/>
  <c r="AT77" i="13"/>
  <c r="AK57" i="39" s="1"/>
  <c r="AK83" i="39" s="1"/>
  <c r="AV36" i="13"/>
  <c r="AW110" i="3"/>
  <c r="AU22" i="13"/>
  <c r="AU24" i="13" s="1"/>
  <c r="AU48" i="13"/>
  <c r="AU37" i="13"/>
  <c r="AS74" i="13"/>
  <c r="AY64" i="3"/>
  <c r="AY72" i="3" s="1"/>
  <c r="AY74" i="3" s="1" a="1"/>
  <c r="AY74" i="3" s="1"/>
  <c r="AO20" i="39" s="1"/>
  <c r="AX65" i="3"/>
  <c r="AX90" i="3" s="1"/>
  <c r="AX95" i="3" s="1"/>
  <c r="AX96" i="3" s="1"/>
  <c r="AX69" i="3"/>
  <c r="AX89" i="3" s="1"/>
  <c r="AK35" i="39" l="1"/>
  <c r="AN25" i="39"/>
  <c r="AN28" i="39" s="1"/>
  <c r="AN26" i="39"/>
  <c r="AS79" i="13"/>
  <c r="AJ48" i="39"/>
  <c r="AJ101" i="39" s="1"/>
  <c r="AT49" i="13"/>
  <c r="AT78" i="13" s="1"/>
  <c r="AK62" i="39" s="1"/>
  <c r="AK84" i="39" s="1"/>
  <c r="AV44" i="13"/>
  <c r="AM31" i="39"/>
  <c r="AU46" i="13"/>
  <c r="AL32" i="39"/>
  <c r="AK36" i="39"/>
  <c r="AU42" i="13"/>
  <c r="AL30" i="39"/>
  <c r="AJ63" i="39"/>
  <c r="AJ67" i="39" s="1"/>
  <c r="AJ84" i="39"/>
  <c r="AK47" i="39"/>
  <c r="AI104" i="39"/>
  <c r="AU72" i="13" a="1"/>
  <c r="AU72" i="13" s="1"/>
  <c r="AU66" i="13" a="1"/>
  <c r="AU66" i="13" s="1"/>
  <c r="AL45" i="39" s="1"/>
  <c r="AU69" i="13" a="1"/>
  <c r="AU69" i="13" s="1"/>
  <c r="AU67" i="13" a="1"/>
  <c r="AU67" i="13" s="1"/>
  <c r="AU73" i="13" a="1"/>
  <c r="AU73" i="13" s="1"/>
  <c r="AL46" i="39" s="1"/>
  <c r="AU70" i="13" a="1"/>
  <c r="AU70" i="13" s="1"/>
  <c r="AU68" i="13" a="1"/>
  <c r="AU68" i="13" s="1"/>
  <c r="AU61" i="13" a="1"/>
  <c r="AU61" i="13" s="1"/>
  <c r="AL40" i="39" s="1"/>
  <c r="AU64" i="13" a="1"/>
  <c r="AU64" i="13" s="1"/>
  <c r="AL43" i="39" s="1"/>
  <c r="AU60" i="13" a="1"/>
  <c r="AU60" i="13" s="1"/>
  <c r="AL39" i="39" s="1"/>
  <c r="AU63" i="13" a="1"/>
  <c r="AU63" i="13" s="1"/>
  <c r="AL42" i="39" s="1"/>
  <c r="AL41" i="39"/>
  <c r="AU71" i="13" a="1"/>
  <c r="AU71" i="13" s="1"/>
  <c r="AU65" i="13" a="1"/>
  <c r="AU65" i="13" s="1"/>
  <c r="AL44" i="39" s="1"/>
  <c r="AW36" i="13"/>
  <c r="AX110" i="3"/>
  <c r="AU77" i="13"/>
  <c r="AL57" i="39" s="1"/>
  <c r="AL83" i="39" s="1"/>
  <c r="AV37" i="13"/>
  <c r="AV48" i="13"/>
  <c r="AV22" i="13"/>
  <c r="AV24" i="13" s="1"/>
  <c r="AX115" i="3"/>
  <c r="AW35" i="13"/>
  <c r="AX117" i="3"/>
  <c r="AN33" i="39" s="1"/>
  <c r="AT74" i="13"/>
  <c r="AX26" i="13"/>
  <c r="AX29" i="13" s="1"/>
  <c r="AY99" i="3"/>
  <c r="AY100" i="3" s="1" a="1"/>
  <c r="AY100" i="3" s="1"/>
  <c r="AY102" i="3" s="1" a="1"/>
  <c r="AY102" i="3" s="1"/>
  <c r="AY104" i="3" s="1"/>
  <c r="AW114" i="3"/>
  <c r="AW116" i="3"/>
  <c r="AZ64" i="3"/>
  <c r="AZ72" i="3" s="1"/>
  <c r="AZ74" i="3" s="1" a="1"/>
  <c r="AZ74" i="3" s="1"/>
  <c r="AP20" i="39" s="1"/>
  <c r="AY65" i="3"/>
  <c r="AY90" i="3" s="1"/>
  <c r="AY95" i="3" s="1"/>
  <c r="AY96" i="3" s="1"/>
  <c r="AO25" i="39" s="1"/>
  <c r="AO28" i="39" s="1"/>
  <c r="AY69" i="3"/>
  <c r="AY89" i="3" s="1"/>
  <c r="AL35" i="39" l="1"/>
  <c r="AO26" i="39"/>
  <c r="AK63" i="39"/>
  <c r="AK67" i="39" s="1"/>
  <c r="AT79" i="13"/>
  <c r="AU49" i="13"/>
  <c r="AU78" i="13" s="1"/>
  <c r="AL62" i="39" s="1"/>
  <c r="AL63" i="39" s="1"/>
  <c r="AL67" i="39" s="1"/>
  <c r="AK48" i="39"/>
  <c r="AK101" i="39" s="1"/>
  <c r="AV46" i="13"/>
  <c r="AM32" i="39"/>
  <c r="AW44" i="13"/>
  <c r="AN31" i="39"/>
  <c r="AL47" i="39"/>
  <c r="AJ104" i="39"/>
  <c r="AV42" i="13"/>
  <c r="AM30" i="39"/>
  <c r="AL36" i="39"/>
  <c r="AW37" i="13"/>
  <c r="AW77" i="13" s="1"/>
  <c r="AN57" i="39" s="1"/>
  <c r="AV72" i="13" a="1"/>
  <c r="AV72" i="13" s="1"/>
  <c r="AV66" i="13" a="1"/>
  <c r="AV66" i="13" s="1"/>
  <c r="AM45" i="39" s="1"/>
  <c r="AV69" i="13" a="1"/>
  <c r="AV69" i="13" s="1"/>
  <c r="AV67" i="13" a="1"/>
  <c r="AV67" i="13" s="1"/>
  <c r="AV71" i="13" a="1"/>
  <c r="AV71" i="13" s="1"/>
  <c r="AV64" i="13" a="1"/>
  <c r="AV64" i="13" s="1"/>
  <c r="AM43" i="39" s="1"/>
  <c r="AV63" i="13" a="1"/>
  <c r="AV63" i="13" s="1"/>
  <c r="AM42" i="39" s="1"/>
  <c r="AV60" i="13" a="1"/>
  <c r="AV60" i="13" s="1"/>
  <c r="AM39" i="39" s="1"/>
  <c r="AM41" i="39"/>
  <c r="AV65" i="13" a="1"/>
  <c r="AV65" i="13" s="1"/>
  <c r="AM44" i="39" s="1"/>
  <c r="AV68" i="13" a="1"/>
  <c r="AV68" i="13" s="1"/>
  <c r="AV73" i="13" a="1"/>
  <c r="AV73" i="13" s="1"/>
  <c r="AM46" i="39" s="1"/>
  <c r="AV70" i="13" a="1"/>
  <c r="AV70" i="13" s="1"/>
  <c r="AV61" i="13" a="1"/>
  <c r="AV61" i="13" s="1"/>
  <c r="AM40" i="39" s="1"/>
  <c r="AW22" i="13"/>
  <c r="AW24" i="13" s="1"/>
  <c r="AW48" i="13"/>
  <c r="AU74" i="13"/>
  <c r="AZ99" i="3"/>
  <c r="AZ100" i="3" s="1" a="1"/>
  <c r="AZ100" i="3" s="1"/>
  <c r="AZ102" i="3" s="1" a="1"/>
  <c r="AZ102" i="3" s="1"/>
  <c r="AZ104" i="3" s="1"/>
  <c r="AY26" i="13"/>
  <c r="AY29" i="13" s="1"/>
  <c r="AX36" i="13"/>
  <c r="AY110" i="3"/>
  <c r="AV77" i="13"/>
  <c r="AM57" i="39" s="1"/>
  <c r="AX116" i="3"/>
  <c r="AX114" i="3"/>
  <c r="AX35" i="13"/>
  <c r="AY115" i="3"/>
  <c r="AY117" i="3"/>
  <c r="AO33" i="39" s="1"/>
  <c r="BA64" i="3"/>
  <c r="BA72" i="3" s="1"/>
  <c r="BA74" i="3" s="1" a="1"/>
  <c r="BA74" i="3" s="1"/>
  <c r="AQ20" i="39" s="1"/>
  <c r="AZ65" i="3"/>
  <c r="AZ90" i="3" s="1"/>
  <c r="AZ95" i="3" s="1"/>
  <c r="AZ96" i="3" s="1"/>
  <c r="AP25" i="39" s="1"/>
  <c r="AP28" i="39" s="1"/>
  <c r="AZ69" i="3"/>
  <c r="AZ89" i="3" s="1"/>
  <c r="AM35" i="39" l="1"/>
  <c r="AP26" i="39"/>
  <c r="AM83" i="39"/>
  <c r="AU79" i="13"/>
  <c r="AL84" i="39"/>
  <c r="AL48" i="39"/>
  <c r="AL101" i="39" s="1"/>
  <c r="AV49" i="13"/>
  <c r="AV78" i="13" s="1"/>
  <c r="AM62" i="39" s="1"/>
  <c r="AM36" i="39"/>
  <c r="AM47" i="39"/>
  <c r="AK104" i="39"/>
  <c r="AX44" i="13"/>
  <c r="AO31" i="39"/>
  <c r="AW42" i="13"/>
  <c r="AN30" i="39"/>
  <c r="AN83" i="39"/>
  <c r="AW46" i="13"/>
  <c r="AN32" i="39"/>
  <c r="AW69" i="13" a="1"/>
  <c r="AW69" i="13" s="1"/>
  <c r="AW67" i="13" a="1"/>
  <c r="AW67" i="13" s="1"/>
  <c r="AW71" i="13" a="1"/>
  <c r="AW71" i="13" s="1"/>
  <c r="AW73" i="13" a="1"/>
  <c r="AW73" i="13" s="1"/>
  <c r="AN46" i="39" s="1"/>
  <c r="AW70" i="13" a="1"/>
  <c r="AW70" i="13" s="1"/>
  <c r="AW68" i="13" a="1"/>
  <c r="AW68" i="13" s="1"/>
  <c r="AW72" i="13" a="1"/>
  <c r="AW72" i="13" s="1"/>
  <c r="AW66" i="13" a="1"/>
  <c r="AW66" i="13" s="1"/>
  <c r="AN45" i="39" s="1"/>
  <c r="AW64" i="13" a="1"/>
  <c r="AW64" i="13" s="1"/>
  <c r="AN43" i="39" s="1"/>
  <c r="AN41" i="39"/>
  <c r="AW61" i="13" a="1"/>
  <c r="AW61" i="13" s="1"/>
  <c r="AN40" i="39" s="1"/>
  <c r="AW65" i="13" a="1"/>
  <c r="AW65" i="13" s="1"/>
  <c r="AN44" i="39" s="1"/>
  <c r="AW63" i="13" a="1"/>
  <c r="AW63" i="13" s="1"/>
  <c r="AN42" i="39" s="1"/>
  <c r="AW60" i="13" a="1"/>
  <c r="AW60" i="13" s="1"/>
  <c r="AN39" i="39" s="1"/>
  <c r="AY114" i="3"/>
  <c r="AY116" i="3"/>
  <c r="AV74" i="13"/>
  <c r="AZ26" i="13"/>
  <c r="AZ29" i="13" s="1"/>
  <c r="BA99" i="3"/>
  <c r="BA100" i="3" s="1" a="1"/>
  <c r="BA100" i="3" s="1"/>
  <c r="BA102" i="3" s="1" a="1"/>
  <c r="BA102" i="3" s="1"/>
  <c r="BA104" i="3" s="1"/>
  <c r="AX48" i="13"/>
  <c r="AX22" i="13"/>
  <c r="AX24" i="13" s="1"/>
  <c r="AY36" i="13"/>
  <c r="AZ110" i="3"/>
  <c r="AZ115" i="3"/>
  <c r="AY35" i="13"/>
  <c r="AZ117" i="3"/>
  <c r="AP33" i="39" s="1"/>
  <c r="AX37" i="13"/>
  <c r="BA65" i="3"/>
  <c r="BA90" i="3" s="1"/>
  <c r="BA95" i="3" s="1"/>
  <c r="BA96" i="3" s="1"/>
  <c r="AQ25" i="39" s="1"/>
  <c r="AQ28" i="39" s="1"/>
  <c r="BB64" i="3"/>
  <c r="BB72" i="3" s="1"/>
  <c r="BB74" i="3" s="1" a="1"/>
  <c r="BB74" i="3" s="1"/>
  <c r="AR20" i="39" s="1"/>
  <c r="BA69" i="3"/>
  <c r="BA89" i="3" s="1"/>
  <c r="AN35" i="39" l="1"/>
  <c r="AQ26" i="39"/>
  <c r="AM63" i="39"/>
  <c r="AM67" i="39" s="1"/>
  <c r="AV79" i="13"/>
  <c r="AM84" i="39"/>
  <c r="AM48" i="39"/>
  <c r="AM101" i="39" s="1"/>
  <c r="AX42" i="13"/>
  <c r="AO30" i="39"/>
  <c r="AO35" i="39" s="1"/>
  <c r="AN47" i="39"/>
  <c r="AL104" i="39"/>
  <c r="AW49" i="13"/>
  <c r="AW78" i="13" s="1"/>
  <c r="AY44" i="13"/>
  <c r="AP31" i="39"/>
  <c r="AX46" i="13"/>
  <c r="AO32" i="39"/>
  <c r="AW74" i="13"/>
  <c r="AX67" i="13" a="1"/>
  <c r="AX67" i="13" s="1"/>
  <c r="AX71" i="13" a="1"/>
  <c r="AX71" i="13" s="1"/>
  <c r="AX68" i="13" a="1"/>
  <c r="AX68" i="13" s="1"/>
  <c r="AX73" i="13" a="1"/>
  <c r="AX73" i="13" s="1"/>
  <c r="AO46" i="39" s="1"/>
  <c r="AX70" i="13" a="1"/>
  <c r="AX70" i="13" s="1"/>
  <c r="AX69" i="13" a="1"/>
  <c r="AX69" i="13" s="1"/>
  <c r="AX72" i="13" a="1"/>
  <c r="AX72" i="13" s="1"/>
  <c r="AO41" i="39"/>
  <c r="AX65" i="13" a="1"/>
  <c r="AX65" i="13" s="1"/>
  <c r="AO44" i="39" s="1"/>
  <c r="AX66" i="13" a="1"/>
  <c r="AX66" i="13" s="1"/>
  <c r="AO45" i="39" s="1"/>
  <c r="AX60" i="13" a="1"/>
  <c r="AX60" i="13" s="1"/>
  <c r="AO39" i="39" s="1"/>
  <c r="AX63" i="13" a="1"/>
  <c r="AX63" i="13" s="1"/>
  <c r="AO42" i="39" s="1"/>
  <c r="AX64" i="13" a="1"/>
  <c r="AX64" i="13" s="1"/>
  <c r="AO43" i="39" s="1"/>
  <c r="AX61" i="13" a="1"/>
  <c r="AX61" i="13" s="1"/>
  <c r="AO40" i="39" s="1"/>
  <c r="AY37" i="13"/>
  <c r="AX77" i="13"/>
  <c r="AO57" i="39" s="1"/>
  <c r="AO83" i="39" s="1"/>
  <c r="AZ36" i="13"/>
  <c r="BA110" i="3"/>
  <c r="AY22" i="13"/>
  <c r="AY24" i="13" s="1"/>
  <c r="AY48" i="13"/>
  <c r="BB99" i="3"/>
  <c r="BB100" i="3" s="1" a="1"/>
  <c r="BB100" i="3" s="1"/>
  <c r="BB102" i="3" s="1" a="1"/>
  <c r="BB102" i="3" s="1"/>
  <c r="BB104" i="3" s="1"/>
  <c r="BA26" i="13"/>
  <c r="BA29" i="13" s="1"/>
  <c r="AZ116" i="3"/>
  <c r="AZ114" i="3"/>
  <c r="AZ35" i="13"/>
  <c r="BA115" i="3"/>
  <c r="BA117" i="3"/>
  <c r="AQ33" i="39" s="1"/>
  <c r="BC64" i="3"/>
  <c r="BC72" i="3" s="1"/>
  <c r="BC74" i="3" s="1" a="1"/>
  <c r="BC74" i="3" s="1"/>
  <c r="AS20" i="39" s="1"/>
  <c r="BB65" i="3"/>
  <c r="BB90" i="3" s="1"/>
  <c r="BB95" i="3" s="1"/>
  <c r="BB96" i="3" s="1"/>
  <c r="AR25" i="39" s="1"/>
  <c r="AR28" i="39" s="1"/>
  <c r="BB69" i="3"/>
  <c r="BB89" i="3" s="1"/>
  <c r="AR26" i="39" l="1"/>
  <c r="AN36" i="39"/>
  <c r="AN48" i="39" s="1"/>
  <c r="AX49" i="13"/>
  <c r="AX78" i="13" s="1"/>
  <c r="AO62" i="39" s="1"/>
  <c r="AO63" i="39" s="1"/>
  <c r="AO67" i="39" s="1"/>
  <c r="AY46" i="13"/>
  <c r="AP32" i="39"/>
  <c r="AY42" i="13"/>
  <c r="AP30" i="39"/>
  <c r="AP35" i="39" s="1"/>
  <c r="AO36" i="39"/>
  <c r="AZ44" i="13"/>
  <c r="AQ31" i="39"/>
  <c r="AO47" i="39"/>
  <c r="AW79" i="13"/>
  <c r="AN62" i="39"/>
  <c r="AM104" i="39"/>
  <c r="AY67" i="13" a="1"/>
  <c r="AY67" i="13" s="1"/>
  <c r="AY71" i="13" a="1"/>
  <c r="AY71" i="13" s="1"/>
  <c r="AY68" i="13" a="1"/>
  <c r="AY68" i="13" s="1"/>
  <c r="AY73" i="13" a="1"/>
  <c r="AY73" i="13" s="1"/>
  <c r="AP46" i="39" s="1"/>
  <c r="AY70" i="13" a="1"/>
  <c r="AY70" i="13" s="1"/>
  <c r="AY72" i="13" a="1"/>
  <c r="AY72" i="13" s="1"/>
  <c r="AY66" i="13" a="1"/>
  <c r="AY66" i="13" s="1"/>
  <c r="AP45" i="39" s="1"/>
  <c r="AY69" i="13" a="1"/>
  <c r="AY69" i="13" s="1"/>
  <c r="AY64" i="13" a="1"/>
  <c r="AY64" i="13" s="1"/>
  <c r="AP43" i="39" s="1"/>
  <c r="AY61" i="13" a="1"/>
  <c r="AY61" i="13" s="1"/>
  <c r="AP40" i="39" s="1"/>
  <c r="AY63" i="13" a="1"/>
  <c r="AY63" i="13" s="1"/>
  <c r="AP42" i="39" s="1"/>
  <c r="AY60" i="13" a="1"/>
  <c r="AY60" i="13" s="1"/>
  <c r="AP39" i="39" s="1"/>
  <c r="AY65" i="13" a="1"/>
  <c r="AY65" i="13" s="1"/>
  <c r="AP44" i="39" s="1"/>
  <c r="AP41" i="39"/>
  <c r="AY77" i="13"/>
  <c r="AP57" i="39" s="1"/>
  <c r="AP83" i="39" s="1"/>
  <c r="AX79" i="13"/>
  <c r="BB26" i="13"/>
  <c r="BB29" i="13" s="1"/>
  <c r="BC99" i="3"/>
  <c r="BC100" i="3" s="1" a="1"/>
  <c r="BC100" i="3" s="1"/>
  <c r="BC102" i="3" s="1" a="1"/>
  <c r="BC102" i="3" s="1"/>
  <c r="BC104" i="3" s="1"/>
  <c r="AZ37" i="13"/>
  <c r="BA36" i="13"/>
  <c r="BB110" i="3"/>
  <c r="BA35" i="13"/>
  <c r="BB115" i="3"/>
  <c r="BB117" i="3"/>
  <c r="AR33" i="39" s="1"/>
  <c r="AX74" i="13"/>
  <c r="AZ48" i="13"/>
  <c r="AZ22" i="13"/>
  <c r="AZ24" i="13" s="1"/>
  <c r="BA116" i="3"/>
  <c r="BA114" i="3"/>
  <c r="BC65" i="3"/>
  <c r="BC90" i="3" s="1"/>
  <c r="BC95" i="3" s="1"/>
  <c r="BC96" i="3" s="1"/>
  <c r="AS25" i="39" s="1"/>
  <c r="AS28" i="39" s="1"/>
  <c r="BD64" i="3"/>
  <c r="BD72" i="3" s="1"/>
  <c r="BD74" i="3" s="1" a="1"/>
  <c r="BD74" i="3" s="1"/>
  <c r="AT20" i="39" s="1"/>
  <c r="BC69" i="3"/>
  <c r="BC89" i="3" s="1"/>
  <c r="AS26" i="39" l="1"/>
  <c r="AY49" i="13"/>
  <c r="AY78" i="13" s="1"/>
  <c r="AP62" i="39" s="1"/>
  <c r="AN101" i="39"/>
  <c r="BA37" i="13"/>
  <c r="BA70" i="13" s="1" a="1"/>
  <c r="BA70" i="13" s="1"/>
  <c r="AO48" i="39"/>
  <c r="AN84" i="39"/>
  <c r="AN63" i="39"/>
  <c r="AN67" i="39" s="1"/>
  <c r="AZ46" i="13"/>
  <c r="AQ32" i="39"/>
  <c r="AP47" i="39"/>
  <c r="AP36" i="39"/>
  <c r="AZ42" i="13"/>
  <c r="AQ30" i="39"/>
  <c r="AO84" i="39"/>
  <c r="BA44" i="13"/>
  <c r="AR31" i="39"/>
  <c r="AY79" i="13"/>
  <c r="AY74" i="13"/>
  <c r="BA71" i="13" a="1"/>
  <c r="BA71" i="13" s="1"/>
  <c r="BA72" i="13" a="1"/>
  <c r="BA72" i="13" s="1"/>
  <c r="AR41" i="39"/>
  <c r="AZ71" i="13" a="1"/>
  <c r="AZ71" i="13" s="1"/>
  <c r="AZ68" i="13" a="1"/>
  <c r="AZ68" i="13" s="1"/>
  <c r="AZ73" i="13" a="1"/>
  <c r="AZ73" i="13" s="1"/>
  <c r="AQ46" i="39" s="1"/>
  <c r="AZ70" i="13" a="1"/>
  <c r="AZ70" i="13" s="1"/>
  <c r="AZ72" i="13" a="1"/>
  <c r="AZ72" i="13" s="1"/>
  <c r="AZ66" i="13" a="1"/>
  <c r="AZ66" i="13" s="1"/>
  <c r="AQ45" i="39" s="1"/>
  <c r="AZ69" i="13" a="1"/>
  <c r="AZ69" i="13" s="1"/>
  <c r="AZ67" i="13" a="1"/>
  <c r="AZ67" i="13" s="1"/>
  <c r="AQ41" i="39"/>
  <c r="AZ65" i="13" a="1"/>
  <c r="AZ65" i="13" s="1"/>
  <c r="AQ44" i="39" s="1"/>
  <c r="AZ64" i="13" a="1"/>
  <c r="AZ64" i="13" s="1"/>
  <c r="AQ43" i="39" s="1"/>
  <c r="AZ63" i="13" a="1"/>
  <c r="AZ63" i="13" s="1"/>
  <c r="AQ42" i="39" s="1"/>
  <c r="AZ61" i="13" a="1"/>
  <c r="AZ61" i="13" s="1"/>
  <c r="AQ40" i="39" s="1"/>
  <c r="AZ60" i="13" a="1"/>
  <c r="AZ60" i="13" s="1"/>
  <c r="AQ39" i="39" s="1"/>
  <c r="BA48" i="13"/>
  <c r="BA22" i="13"/>
  <c r="BA24" i="13" s="1"/>
  <c r="BB116" i="3"/>
  <c r="BB114" i="3"/>
  <c r="AZ77" i="13"/>
  <c r="AQ57" i="39" s="1"/>
  <c r="AQ83" i="39" s="1"/>
  <c r="BB36" i="13"/>
  <c r="BC110" i="3"/>
  <c r="BD99" i="3"/>
  <c r="BD100" i="3" s="1" a="1"/>
  <c r="BD100" i="3" s="1"/>
  <c r="BD102" i="3" s="1" a="1"/>
  <c r="BD102" i="3" s="1"/>
  <c r="BD104" i="3" s="1"/>
  <c r="BC26" i="13"/>
  <c r="BC29" i="13" s="1"/>
  <c r="BC115" i="3"/>
  <c r="BB35" i="13"/>
  <c r="BC117" i="3"/>
  <c r="AS33" i="39" s="1"/>
  <c r="BE64" i="3"/>
  <c r="BE72" i="3" s="1"/>
  <c r="BE74" i="3" s="1" a="1"/>
  <c r="BE74" i="3" s="1"/>
  <c r="AU20" i="39" s="1"/>
  <c r="BD65" i="3"/>
  <c r="BD90" i="3" s="1"/>
  <c r="BD95" i="3" s="1"/>
  <c r="BD96" i="3" s="1"/>
  <c r="AT25" i="39" s="1"/>
  <c r="AT28" i="39" s="1"/>
  <c r="BD69" i="3"/>
  <c r="BD89" i="3" s="1"/>
  <c r="AQ35" i="39" l="1"/>
  <c r="AT26" i="39"/>
  <c r="BA73" i="13" a="1"/>
  <c r="BA73" i="13" s="1"/>
  <c r="AR46" i="39" s="1"/>
  <c r="AN104" i="39"/>
  <c r="BA60" i="13" a="1"/>
  <c r="BA60" i="13" s="1"/>
  <c r="AR39" i="39" s="1"/>
  <c r="BA63" i="13" a="1"/>
  <c r="BA63" i="13" s="1"/>
  <c r="AR42" i="39" s="1"/>
  <c r="AO101" i="39"/>
  <c r="AO104" i="39" s="1"/>
  <c r="BA61" i="13" a="1"/>
  <c r="BA61" i="13" s="1"/>
  <c r="AR40" i="39" s="1"/>
  <c r="BA68" i="13" a="1"/>
  <c r="BA68" i="13" s="1"/>
  <c r="BA64" i="13" a="1"/>
  <c r="BA64" i="13" s="1"/>
  <c r="AR43" i="39" s="1"/>
  <c r="BA69" i="13" a="1"/>
  <c r="BA69" i="13" s="1"/>
  <c r="BA77" i="13"/>
  <c r="AR57" i="39" s="1"/>
  <c r="AR83" i="39" s="1"/>
  <c r="BA67" i="13" a="1"/>
  <c r="BA67" i="13" s="1"/>
  <c r="BA66" i="13" a="1"/>
  <c r="BA66" i="13" s="1"/>
  <c r="AR45" i="39" s="1"/>
  <c r="BA65" i="13" a="1"/>
  <c r="BA65" i="13" s="1"/>
  <c r="AR44" i="39" s="1"/>
  <c r="AZ49" i="13"/>
  <c r="AZ78" i="13" s="1"/>
  <c r="AQ62" i="39" s="1"/>
  <c r="AQ84" i="39" s="1"/>
  <c r="AP48" i="39"/>
  <c r="AP101" i="39" s="1"/>
  <c r="AQ47" i="39"/>
  <c r="BA42" i="13"/>
  <c r="AR30" i="39"/>
  <c r="AR35" i="39" s="1"/>
  <c r="AQ36" i="39"/>
  <c r="BB44" i="13"/>
  <c r="AS31" i="39"/>
  <c r="BA46" i="13"/>
  <c r="AR32" i="39"/>
  <c r="AP63" i="39"/>
  <c r="AP67" i="39" s="1"/>
  <c r="AP84" i="39"/>
  <c r="AZ74" i="13"/>
  <c r="BC36" i="13"/>
  <c r="BD110" i="3"/>
  <c r="BD26" i="13"/>
  <c r="BD29" i="13" s="1"/>
  <c r="BE99" i="3"/>
  <c r="BE100" i="3" s="1" a="1"/>
  <c r="BE100" i="3" s="1"/>
  <c r="BE102" i="3" s="1" a="1"/>
  <c r="BE102" i="3" s="1"/>
  <c r="BE104" i="3" s="1"/>
  <c r="BC116" i="3"/>
  <c r="BC114" i="3"/>
  <c r="BB22" i="13"/>
  <c r="BB24" i="13" s="1"/>
  <c r="BB48" i="13"/>
  <c r="BD115" i="3"/>
  <c r="BC35" i="13"/>
  <c r="BD117" i="3"/>
  <c r="AT33" i="39" s="1"/>
  <c r="BB37" i="13"/>
  <c r="BF64" i="3"/>
  <c r="BF72" i="3" s="1"/>
  <c r="BF74" i="3" s="1" a="1"/>
  <c r="BF74" i="3" s="1"/>
  <c r="AV20" i="39" s="1"/>
  <c r="BE65" i="3"/>
  <c r="BE90" i="3" s="1"/>
  <c r="BE95" i="3" s="1"/>
  <c r="BE96" i="3" s="1"/>
  <c r="AU25" i="39" s="1"/>
  <c r="AU28" i="39" s="1"/>
  <c r="BE69" i="3"/>
  <c r="BE89" i="3" s="1"/>
  <c r="AU26" i="39" l="1"/>
  <c r="AR47" i="39"/>
  <c r="BA49" i="13"/>
  <c r="BA78" i="13" s="1"/>
  <c r="BA79" i="13" s="1"/>
  <c r="BA74" i="13"/>
  <c r="AZ79" i="13"/>
  <c r="AQ63" i="39"/>
  <c r="AQ67" i="39" s="1"/>
  <c r="AR36" i="39"/>
  <c r="AQ48" i="39"/>
  <c r="BC37" i="13"/>
  <c r="BC66" i="13" s="1" a="1"/>
  <c r="BC66" i="13" s="1"/>
  <c r="AT45" i="39" s="1"/>
  <c r="BC44" i="13"/>
  <c r="AT31" i="39"/>
  <c r="AP104" i="39"/>
  <c r="BB46" i="13"/>
  <c r="AS32" i="39"/>
  <c r="BB42" i="13"/>
  <c r="AS30" i="39"/>
  <c r="AS35" i="39" s="1"/>
  <c r="BB70" i="13" a="1"/>
  <c r="BB70" i="13" s="1"/>
  <c r="BB72" i="13" a="1"/>
  <c r="BB72" i="13" s="1"/>
  <c r="BB66" i="13" a="1"/>
  <c r="BB66" i="13" s="1"/>
  <c r="AS45" i="39" s="1"/>
  <c r="BB69" i="13" a="1"/>
  <c r="BB69" i="13" s="1"/>
  <c r="BB67" i="13" a="1"/>
  <c r="BB67" i="13" s="1"/>
  <c r="BB73" i="13" a="1"/>
  <c r="BB73" i="13" s="1"/>
  <c r="AS46" i="39" s="1"/>
  <c r="BB71" i="13" a="1"/>
  <c r="BB71" i="13" s="1"/>
  <c r="BB68" i="13" a="1"/>
  <c r="BB68" i="13" s="1"/>
  <c r="BB64" i="13" a="1"/>
  <c r="BB64" i="13" s="1"/>
  <c r="AS43" i="39" s="1"/>
  <c r="BB63" i="13" a="1"/>
  <c r="BB63" i="13" s="1"/>
  <c r="AS42" i="39" s="1"/>
  <c r="BB61" i="13" a="1"/>
  <c r="BB61" i="13" s="1"/>
  <c r="AS40" i="39" s="1"/>
  <c r="BB60" i="13" a="1"/>
  <c r="BB60" i="13" s="1"/>
  <c r="AS39" i="39" s="1"/>
  <c r="BB65" i="13" a="1"/>
  <c r="BB65" i="13" s="1"/>
  <c r="AS44" i="39" s="1"/>
  <c r="AS41" i="39"/>
  <c r="BC48" i="13"/>
  <c r="BC22" i="13"/>
  <c r="BC24" i="13" s="1"/>
  <c r="BE115" i="3"/>
  <c r="BD35" i="13"/>
  <c r="BE117" i="3"/>
  <c r="AU33" i="39" s="1"/>
  <c r="BB77" i="13"/>
  <c r="AS57" i="39" s="1"/>
  <c r="AS83" i="39" s="1"/>
  <c r="BE26" i="13"/>
  <c r="BE29" i="13" s="1"/>
  <c r="BF99" i="3"/>
  <c r="BF100" i="3" s="1" a="1"/>
  <c r="BF100" i="3" s="1"/>
  <c r="BF102" i="3" s="1" a="1"/>
  <c r="BF102" i="3" s="1"/>
  <c r="BF104" i="3" s="1"/>
  <c r="BD36" i="13"/>
  <c r="BE110" i="3"/>
  <c r="BD116" i="3"/>
  <c r="BD114" i="3"/>
  <c r="BG64" i="3"/>
  <c r="BG72" i="3" s="1"/>
  <c r="BG74" i="3" s="1" a="1"/>
  <c r="BG74" i="3" s="1"/>
  <c r="AW20" i="39" s="1"/>
  <c r="BF65" i="3"/>
  <c r="BF90" i="3" s="1"/>
  <c r="BF95" i="3" s="1"/>
  <c r="BF96" i="3" s="1"/>
  <c r="AV25" i="39" s="1"/>
  <c r="AV28" i="39" s="1"/>
  <c r="BF69" i="3"/>
  <c r="BF89" i="3" s="1"/>
  <c r="AR62" i="39" l="1"/>
  <c r="AV26" i="39"/>
  <c r="AR48" i="39"/>
  <c r="AR101" i="39" s="1"/>
  <c r="AR104" i="39" s="1"/>
  <c r="BC72" i="13" a="1"/>
  <c r="BC72" i="13" s="1"/>
  <c r="BC73" i="13" a="1"/>
  <c r="BC73" i="13" s="1"/>
  <c r="AT46" i="39" s="1"/>
  <c r="BC77" i="13"/>
  <c r="AT57" i="39" s="1"/>
  <c r="AT83" i="39" s="1"/>
  <c r="BC68" i="13" a="1"/>
  <c r="BC68" i="13" s="1"/>
  <c r="BC61" i="13" a="1"/>
  <c r="BC61" i="13" s="1"/>
  <c r="AT40" i="39" s="1"/>
  <c r="BC65" i="13" a="1"/>
  <c r="BC65" i="13" s="1"/>
  <c r="AT44" i="39" s="1"/>
  <c r="BC60" i="13" a="1"/>
  <c r="BC60" i="13" s="1"/>
  <c r="AT39" i="39" s="1"/>
  <c r="BC63" i="13" a="1"/>
  <c r="BC63" i="13" s="1"/>
  <c r="AT42" i="39" s="1"/>
  <c r="AQ101" i="39"/>
  <c r="AQ104" i="39" s="1"/>
  <c r="BC70" i="13" a="1"/>
  <c r="BC70" i="13" s="1"/>
  <c r="BC64" i="13" a="1"/>
  <c r="BC64" i="13" s="1"/>
  <c r="AT43" i="39" s="1"/>
  <c r="BC67" i="13" a="1"/>
  <c r="BC67" i="13" s="1"/>
  <c r="AT41" i="39"/>
  <c r="BC69" i="13" a="1"/>
  <c r="BC69" i="13" s="1"/>
  <c r="BB49" i="13"/>
  <c r="BB78" i="13" s="1"/>
  <c r="AS62" i="39" s="1"/>
  <c r="AS63" i="39" s="1"/>
  <c r="AS67" i="39" s="1"/>
  <c r="BC71" i="13" a="1"/>
  <c r="BC71" i="13" s="1"/>
  <c r="AS36" i="39"/>
  <c r="BC46" i="13"/>
  <c r="AT32" i="39"/>
  <c r="BD44" i="13"/>
  <c r="AU31" i="39"/>
  <c r="AS47" i="39"/>
  <c r="AR63" i="39"/>
  <c r="AR67" i="39" s="1"/>
  <c r="AR84" i="39"/>
  <c r="BC42" i="13"/>
  <c r="AT30" i="39"/>
  <c r="BE116" i="3"/>
  <c r="BE114" i="3"/>
  <c r="BF26" i="13"/>
  <c r="BF29" i="13" s="1"/>
  <c r="BG99" i="3"/>
  <c r="BG100" i="3" s="1" a="1"/>
  <c r="BG100" i="3" s="1"/>
  <c r="BG102" i="3" s="1" a="1"/>
  <c r="BG102" i="3" s="1"/>
  <c r="BG104" i="3" s="1"/>
  <c r="BD37" i="13"/>
  <c r="BE36" i="13"/>
  <c r="BF110" i="3"/>
  <c r="BD48" i="13"/>
  <c r="BD22" i="13"/>
  <c r="BD24" i="13" s="1"/>
  <c r="BB74" i="13"/>
  <c r="BF115" i="3"/>
  <c r="BE35" i="13"/>
  <c r="BF117" i="3"/>
  <c r="AV33" i="39" s="1"/>
  <c r="BH64" i="3"/>
  <c r="BH72" i="3" s="1"/>
  <c r="BH74" i="3" s="1" a="1"/>
  <c r="BH74" i="3" s="1"/>
  <c r="AX20" i="39" s="1"/>
  <c r="BG65" i="3"/>
  <c r="BG90" i="3" s="1"/>
  <c r="BG95" i="3" s="1"/>
  <c r="BG96" i="3" s="1"/>
  <c r="AW25" i="39" s="1"/>
  <c r="AW28" i="39" s="1"/>
  <c r="BG69" i="3"/>
  <c r="BG89" i="3" s="1"/>
  <c r="AT35" i="39" l="1"/>
  <c r="AT36" i="39" s="1"/>
  <c r="AW26" i="39"/>
  <c r="AT47" i="39"/>
  <c r="BC74" i="13"/>
  <c r="BB79" i="13"/>
  <c r="AS84" i="39"/>
  <c r="AS48" i="39"/>
  <c r="AS101" i="39" s="1"/>
  <c r="BC49" i="13"/>
  <c r="BC78" i="13" s="1"/>
  <c r="BC79" i="13" s="1"/>
  <c r="BD46" i="13"/>
  <c r="AU32" i="39"/>
  <c r="BD42" i="13"/>
  <c r="AU30" i="39"/>
  <c r="BE44" i="13"/>
  <c r="AV31" i="39"/>
  <c r="BD72" i="13" a="1"/>
  <c r="BD72" i="13" s="1"/>
  <c r="BD66" i="13" a="1"/>
  <c r="BD66" i="13" s="1"/>
  <c r="AU45" i="39" s="1"/>
  <c r="BD69" i="13" a="1"/>
  <c r="BD69" i="13" s="1"/>
  <c r="BD67" i="13" a="1"/>
  <c r="BD67" i="13" s="1"/>
  <c r="BD71" i="13" a="1"/>
  <c r="BD71" i="13" s="1"/>
  <c r="BD73" i="13" a="1"/>
  <c r="BD73" i="13" s="1"/>
  <c r="AU46" i="39" s="1"/>
  <c r="BD68" i="13" a="1"/>
  <c r="BD68" i="13" s="1"/>
  <c r="BD65" i="13" a="1"/>
  <c r="BD65" i="13" s="1"/>
  <c r="AU44" i="39" s="1"/>
  <c r="AU41" i="39"/>
  <c r="BD63" i="13" a="1"/>
  <c r="BD63" i="13" s="1"/>
  <c r="AU42" i="39" s="1"/>
  <c r="BD70" i="13" a="1"/>
  <c r="BD70" i="13" s="1"/>
  <c r="BD61" i="13" a="1"/>
  <c r="BD61" i="13" s="1"/>
  <c r="AU40" i="39" s="1"/>
  <c r="BD60" i="13" a="1"/>
  <c r="BD60" i="13" s="1"/>
  <c r="AU39" i="39" s="1"/>
  <c r="BD64" i="13" a="1"/>
  <c r="BD64" i="13" s="1"/>
  <c r="AU43" i="39" s="1"/>
  <c r="BF116" i="3"/>
  <c r="BF114" i="3"/>
  <c r="BE37" i="13"/>
  <c r="BD77" i="13"/>
  <c r="AU57" i="39" s="1"/>
  <c r="AU83" i="39" s="1"/>
  <c r="BF36" i="13"/>
  <c r="BG110" i="3"/>
  <c r="BE22" i="13"/>
  <c r="BE24" i="13" s="1"/>
  <c r="BE48" i="13"/>
  <c r="BG115" i="3"/>
  <c r="BF35" i="13"/>
  <c r="BG117" i="3"/>
  <c r="AW33" i="39" s="1"/>
  <c r="BH99" i="3"/>
  <c r="BH100" i="3" s="1" a="1"/>
  <c r="BH100" i="3" s="1"/>
  <c r="BH102" i="3" s="1" a="1"/>
  <c r="BH102" i="3" s="1"/>
  <c r="BH104" i="3" s="1"/>
  <c r="BG26" i="13"/>
  <c r="BG29" i="13" s="1"/>
  <c r="BI64" i="3"/>
  <c r="BI72" i="3" s="1"/>
  <c r="BI74" i="3" s="1" a="1"/>
  <c r="BI74" i="3" s="1"/>
  <c r="AY20" i="39" s="1"/>
  <c r="BH65" i="3"/>
  <c r="BH90" i="3" s="1"/>
  <c r="BH95" i="3" s="1"/>
  <c r="BH96" i="3" s="1"/>
  <c r="AX25" i="39" s="1"/>
  <c r="AX28" i="39" s="1"/>
  <c r="BH69" i="3"/>
  <c r="BH89" i="3" s="1"/>
  <c r="AU35" i="39" l="1"/>
  <c r="AX26" i="39"/>
  <c r="AT48" i="39"/>
  <c r="AT101" i="39" s="1"/>
  <c r="AT104" i="39" s="1"/>
  <c r="AT62" i="39"/>
  <c r="AT63" i="39" s="1"/>
  <c r="AT67" i="39" s="1"/>
  <c r="BD49" i="13"/>
  <c r="BD78" i="13" s="1"/>
  <c r="BD79" i="13" s="1"/>
  <c r="BF44" i="13"/>
  <c r="AW31" i="39"/>
  <c r="BE42" i="13"/>
  <c r="AV30" i="39"/>
  <c r="BE46" i="13"/>
  <c r="AV32" i="39"/>
  <c r="AU47" i="39"/>
  <c r="AS104" i="39"/>
  <c r="AU36" i="39"/>
  <c r="BE69" i="13" a="1"/>
  <c r="BE69" i="13" s="1"/>
  <c r="BE67" i="13" a="1"/>
  <c r="BE67" i="13" s="1"/>
  <c r="BE71" i="13" a="1"/>
  <c r="BE71" i="13" s="1"/>
  <c r="BE73" i="13" a="1"/>
  <c r="BE73" i="13" s="1"/>
  <c r="AV46" i="39" s="1"/>
  <c r="BE68" i="13" a="1"/>
  <c r="BE68" i="13" s="1"/>
  <c r="BE70" i="13" a="1"/>
  <c r="BE70" i="13" s="1"/>
  <c r="BE72" i="13" a="1"/>
  <c r="BE72" i="13" s="1"/>
  <c r="BE66" i="13" a="1"/>
  <c r="BE66" i="13" s="1"/>
  <c r="AV45" i="39" s="1"/>
  <c r="BE65" i="13" a="1"/>
  <c r="BE65" i="13" s="1"/>
  <c r="AV44" i="39" s="1"/>
  <c r="AV41" i="39"/>
  <c r="BE61" i="13" a="1"/>
  <c r="BE61" i="13" s="1"/>
  <c r="AV40" i="39" s="1"/>
  <c r="BE64" i="13" a="1"/>
  <c r="BE64" i="13" s="1"/>
  <c r="AV43" i="39" s="1"/>
  <c r="BE63" i="13" a="1"/>
  <c r="BE63" i="13" s="1"/>
  <c r="AV42" i="39" s="1"/>
  <c r="BE60" i="13" a="1"/>
  <c r="BE60" i="13" s="1"/>
  <c r="AV39" i="39" s="1"/>
  <c r="BF37" i="13"/>
  <c r="BF77" i="13" s="1"/>
  <c r="AW57" i="39" s="1"/>
  <c r="BH115" i="3"/>
  <c r="BG35" i="13"/>
  <c r="BH117" i="3"/>
  <c r="AX33" i="39" s="1"/>
  <c r="BG116" i="3"/>
  <c r="BG114" i="3"/>
  <c r="BD74" i="13"/>
  <c r="BG36" i="13"/>
  <c r="BH110" i="3"/>
  <c r="BE77" i="13"/>
  <c r="AV57" i="39" s="1"/>
  <c r="AV83" i="39" s="1"/>
  <c r="BF48" i="13"/>
  <c r="BF22" i="13"/>
  <c r="BF24" i="13" s="1"/>
  <c r="BH26" i="13"/>
  <c r="BH29" i="13" s="1"/>
  <c r="BI99" i="3"/>
  <c r="BI100" i="3" s="1" a="1"/>
  <c r="BI100" i="3" s="1"/>
  <c r="BI102" i="3" s="1" a="1"/>
  <c r="BI102" i="3" s="1"/>
  <c r="BI104" i="3" s="1"/>
  <c r="BI65" i="3"/>
  <c r="BI90" i="3" s="1"/>
  <c r="BI95" i="3" s="1"/>
  <c r="BI96" i="3" s="1"/>
  <c r="AY25" i="39" s="1"/>
  <c r="AY28" i="39" s="1"/>
  <c r="BJ64" i="3"/>
  <c r="BJ72" i="3" s="1"/>
  <c r="BJ74" i="3" s="1" a="1"/>
  <c r="BJ74" i="3" s="1"/>
  <c r="AZ20" i="39" s="1"/>
  <c r="BI69" i="3"/>
  <c r="BI89" i="3" s="1"/>
  <c r="AV35" i="39" l="1"/>
  <c r="AT84" i="39"/>
  <c r="AY26" i="39"/>
  <c r="AU62" i="39"/>
  <c r="AU84" i="39" s="1"/>
  <c r="AU48" i="39"/>
  <c r="AU101" i="39" s="1"/>
  <c r="AU104" i="39" s="1"/>
  <c r="BE49" i="13"/>
  <c r="BE78" i="13" s="1"/>
  <c r="AV62" i="39" s="1"/>
  <c r="AV63" i="39" s="1"/>
  <c r="AV67" i="39" s="1"/>
  <c r="AW83" i="39"/>
  <c r="AV47" i="39"/>
  <c r="BF42" i="13"/>
  <c r="AW30" i="39"/>
  <c r="BF46" i="13"/>
  <c r="AW32" i="39"/>
  <c r="BG44" i="13"/>
  <c r="AX31" i="39"/>
  <c r="AV36" i="39"/>
  <c r="BF67" i="13" a="1"/>
  <c r="BF67" i="13" s="1"/>
  <c r="BF71" i="13" a="1"/>
  <c r="BF71" i="13" s="1"/>
  <c r="BF73" i="13" a="1"/>
  <c r="BF73" i="13" s="1"/>
  <c r="AW46" i="39" s="1"/>
  <c r="BF68" i="13" a="1"/>
  <c r="BF68" i="13" s="1"/>
  <c r="BF70" i="13" a="1"/>
  <c r="BF70" i="13" s="1"/>
  <c r="BF69" i="13" a="1"/>
  <c r="BF69" i="13" s="1"/>
  <c r="AW41" i="39"/>
  <c r="BF66" i="13" a="1"/>
  <c r="BF66" i="13" s="1"/>
  <c r="AW45" i="39" s="1"/>
  <c r="BF64" i="13" a="1"/>
  <c r="BF64" i="13" s="1"/>
  <c r="AW43" i="39" s="1"/>
  <c r="BF63" i="13" a="1"/>
  <c r="BF63" i="13" s="1"/>
  <c r="AW42" i="39" s="1"/>
  <c r="BF60" i="13" a="1"/>
  <c r="BF60" i="13" s="1"/>
  <c r="AW39" i="39" s="1"/>
  <c r="BF61" i="13" a="1"/>
  <c r="BF61" i="13" s="1"/>
  <c r="AW40" i="39" s="1"/>
  <c r="BF72" i="13" a="1"/>
  <c r="BF72" i="13" s="1"/>
  <c r="BF65" i="13" a="1"/>
  <c r="BF65" i="13" s="1"/>
  <c r="AW44" i="39" s="1"/>
  <c r="BH35" i="13"/>
  <c r="BI115" i="3"/>
  <c r="BI117" i="3"/>
  <c r="AY33" i="39" s="1"/>
  <c r="BE74" i="13"/>
  <c r="BH36" i="13"/>
  <c r="BI110" i="3"/>
  <c r="BH116" i="3"/>
  <c r="BH114" i="3"/>
  <c r="BG22" i="13"/>
  <c r="BG24" i="13" s="1"/>
  <c r="BG48" i="13"/>
  <c r="BG37" i="13"/>
  <c r="BI26" i="13"/>
  <c r="BI29" i="13" s="1"/>
  <c r="BJ99" i="3"/>
  <c r="BJ100" i="3" s="1" a="1"/>
  <c r="BJ100" i="3" s="1"/>
  <c r="BJ102" i="3" s="1" a="1"/>
  <c r="BJ102" i="3" s="1"/>
  <c r="BJ104" i="3" s="1"/>
  <c r="BK64" i="3"/>
  <c r="BK72" i="3" s="1"/>
  <c r="BK74" i="3" s="1" a="1"/>
  <c r="BK74" i="3" s="1"/>
  <c r="BA20" i="39" s="1"/>
  <c r="BJ65" i="3"/>
  <c r="BJ90" i="3" s="1"/>
  <c r="BJ95" i="3" s="1"/>
  <c r="BJ96" i="3" s="1"/>
  <c r="BJ69" i="3"/>
  <c r="BJ89" i="3" s="1"/>
  <c r="AZ25" i="39" l="1"/>
  <c r="AZ28" i="39" s="1"/>
  <c r="AW35" i="39"/>
  <c r="AZ26" i="39"/>
  <c r="BE79" i="13"/>
  <c r="AU63" i="39"/>
  <c r="AU67" i="39" s="1"/>
  <c r="BF49" i="13"/>
  <c r="BF78" i="13" s="1"/>
  <c r="AW62" i="39" s="1"/>
  <c r="AW36" i="39"/>
  <c r="AV84" i="39"/>
  <c r="BG46" i="13"/>
  <c r="AX32" i="39"/>
  <c r="AW47" i="39"/>
  <c r="BH44" i="13"/>
  <c r="AY31" i="39"/>
  <c r="BG42" i="13"/>
  <c r="AX30" i="39"/>
  <c r="AV48" i="39"/>
  <c r="BF74" i="13"/>
  <c r="BG71" i="13" a="1"/>
  <c r="BG71" i="13" s="1"/>
  <c r="BG73" i="13" a="1"/>
  <c r="BG73" i="13" s="1"/>
  <c r="AX46" i="39" s="1"/>
  <c r="BG68" i="13" a="1"/>
  <c r="BG68" i="13" s="1"/>
  <c r="BG70" i="13" a="1"/>
  <c r="BG70" i="13" s="1"/>
  <c r="BG72" i="13" a="1"/>
  <c r="BG72" i="13" s="1"/>
  <c r="BG66" i="13" a="1"/>
  <c r="BG66" i="13" s="1"/>
  <c r="AX45" i="39" s="1"/>
  <c r="BG67" i="13" a="1"/>
  <c r="BG67" i="13" s="1"/>
  <c r="BG69" i="13" a="1"/>
  <c r="BG69" i="13" s="1"/>
  <c r="BG65" i="13" a="1"/>
  <c r="BG65" i="13" s="1"/>
  <c r="AX44" i="39" s="1"/>
  <c r="BG64" i="13" a="1"/>
  <c r="BG64" i="13" s="1"/>
  <c r="AX43" i="39" s="1"/>
  <c r="BG63" i="13" a="1"/>
  <c r="BG63" i="13" s="1"/>
  <c r="AX42" i="39" s="1"/>
  <c r="BG60" i="13" a="1"/>
  <c r="BG60" i="13" s="1"/>
  <c r="AX39" i="39" s="1"/>
  <c r="BG61" i="13" a="1"/>
  <c r="BG61" i="13" s="1"/>
  <c r="AX40" i="39" s="1"/>
  <c r="AX41" i="39"/>
  <c r="BI116" i="3"/>
  <c r="BI114" i="3"/>
  <c r="BG77" i="13"/>
  <c r="AX57" i="39" s="1"/>
  <c r="AX83" i="39" s="1"/>
  <c r="BI36" i="13"/>
  <c r="BJ110" i="3"/>
  <c r="BH22" i="13"/>
  <c r="BH24" i="13" s="1"/>
  <c r="BH48" i="13"/>
  <c r="BJ26" i="13"/>
  <c r="BJ29" i="13" s="1"/>
  <c r="BK99" i="3"/>
  <c r="BK100" i="3" s="1" a="1"/>
  <c r="BK100" i="3" s="1"/>
  <c r="BK102" i="3" s="1" a="1"/>
  <c r="BK102" i="3" s="1"/>
  <c r="BK104" i="3" s="1"/>
  <c r="BJ115" i="3"/>
  <c r="BI35" i="13"/>
  <c r="BJ117" i="3"/>
  <c r="AZ33" i="39" s="1"/>
  <c r="BH37" i="13"/>
  <c r="BL64" i="3"/>
  <c r="BL72" i="3" s="1"/>
  <c r="BL74" i="3" s="1" a="1"/>
  <c r="BL74" i="3" s="1"/>
  <c r="BB20" i="39" s="1"/>
  <c r="BK65" i="3"/>
  <c r="BK90" i="3" s="1"/>
  <c r="BK95" i="3" s="1"/>
  <c r="BK96" i="3" s="1"/>
  <c r="BA25" i="39" s="1"/>
  <c r="BA28" i="39" s="1"/>
  <c r="BK69" i="3"/>
  <c r="BK89" i="3" s="1"/>
  <c r="AX35" i="39" l="1"/>
  <c r="BA26" i="39"/>
  <c r="BG49" i="13"/>
  <c r="BG78" i="13" s="1"/>
  <c r="AX62" i="39" s="1"/>
  <c r="AX84" i="39" s="1"/>
  <c r="BF79" i="13"/>
  <c r="AW48" i="39"/>
  <c r="AW101" i="39" s="1"/>
  <c r="AW104" i="39" s="1"/>
  <c r="BI44" i="13"/>
  <c r="AZ31" i="39"/>
  <c r="BH42" i="13"/>
  <c r="AY30" i="39"/>
  <c r="BH46" i="13"/>
  <c r="AY32" i="39"/>
  <c r="AV101" i="39"/>
  <c r="AV104" i="39" s="1"/>
  <c r="AW63" i="39"/>
  <c r="AW67" i="39" s="1"/>
  <c r="AW84" i="39"/>
  <c r="AX36" i="39"/>
  <c r="AX47" i="39"/>
  <c r="BH71" i="13" a="1"/>
  <c r="BH71" i="13" s="1"/>
  <c r="BH73" i="13" a="1"/>
  <c r="BH73" i="13" s="1"/>
  <c r="AY46" i="39" s="1"/>
  <c r="BH68" i="13" a="1"/>
  <c r="BH68" i="13" s="1"/>
  <c r="BH70" i="13" a="1"/>
  <c r="BH70" i="13" s="1"/>
  <c r="BH66" i="13" a="1"/>
  <c r="BH66" i="13" s="1"/>
  <c r="AY45" i="39" s="1"/>
  <c r="BH72" i="13" a="1"/>
  <c r="BH72" i="13" s="1"/>
  <c r="BH69" i="13" a="1"/>
  <c r="BH69" i="13" s="1"/>
  <c r="BH64" i="13" a="1"/>
  <c r="BH64" i="13" s="1"/>
  <c r="AY43" i="39" s="1"/>
  <c r="BH63" i="13" a="1"/>
  <c r="BH63" i="13" s="1"/>
  <c r="AY42" i="39" s="1"/>
  <c r="BH60" i="13" a="1"/>
  <c r="BH60" i="13" s="1"/>
  <c r="AY39" i="39" s="1"/>
  <c r="BH67" i="13" a="1"/>
  <c r="BH67" i="13" s="1"/>
  <c r="BH61" i="13" a="1"/>
  <c r="BH61" i="13" s="1"/>
  <c r="AY40" i="39" s="1"/>
  <c r="BH65" i="13" a="1"/>
  <c r="BH65" i="13" s="1"/>
  <c r="AY44" i="39" s="1"/>
  <c r="AY41" i="39"/>
  <c r="BI37" i="13"/>
  <c r="BI77" i="13" s="1"/>
  <c r="AZ57" i="39" s="1"/>
  <c r="BL99" i="3"/>
  <c r="BL100" i="3" s="1" a="1"/>
  <c r="BL100" i="3" s="1"/>
  <c r="BL102" i="3" s="1" a="1"/>
  <c r="BL102" i="3" s="1"/>
  <c r="BL104" i="3" s="1"/>
  <c r="BK26" i="13"/>
  <c r="BK29" i="13" s="1"/>
  <c r="BK115" i="3"/>
  <c r="BJ35" i="13"/>
  <c r="BK117" i="3"/>
  <c r="BA33" i="39" s="1"/>
  <c r="BH77" i="13"/>
  <c r="AY57" i="39" s="1"/>
  <c r="BJ116" i="3"/>
  <c r="BJ114" i="3"/>
  <c r="BI48" i="13"/>
  <c r="BI22" i="13"/>
  <c r="BI24" i="13" s="1"/>
  <c r="BJ36" i="13"/>
  <c r="BK110" i="3"/>
  <c r="BG74" i="13"/>
  <c r="BM64" i="3"/>
  <c r="BM72" i="3" s="1"/>
  <c r="BM74" i="3" s="1" a="1"/>
  <c r="BM74" i="3" s="1"/>
  <c r="BC20" i="39" s="1"/>
  <c r="BL65" i="3"/>
  <c r="BL90" i="3" s="1"/>
  <c r="BL95" i="3" s="1"/>
  <c r="BL96" i="3" s="1"/>
  <c r="BB25" i="39" s="1"/>
  <c r="BB28" i="39" s="1"/>
  <c r="BL69" i="3"/>
  <c r="BL89" i="3" s="1"/>
  <c r="AY35" i="39" l="1"/>
  <c r="BB26" i="39"/>
  <c r="AY83" i="39"/>
  <c r="BG79" i="13"/>
  <c r="AX63" i="39"/>
  <c r="AX67" i="39" s="1"/>
  <c r="BH49" i="13"/>
  <c r="BH78" i="13" s="1"/>
  <c r="AY62" i="39" s="1"/>
  <c r="AX48" i="39"/>
  <c r="AX101" i="39" s="1"/>
  <c r="AX104" i="39" s="1"/>
  <c r="BJ44" i="13"/>
  <c r="BA31" i="39"/>
  <c r="AY47" i="39"/>
  <c r="BI42" i="13"/>
  <c r="AZ30" i="39"/>
  <c r="BI46" i="13"/>
  <c r="AZ32" i="39"/>
  <c r="AZ83" i="39"/>
  <c r="AY36" i="39"/>
  <c r="BI73" i="13" a="1"/>
  <c r="BI73" i="13" s="1"/>
  <c r="AZ46" i="39" s="1"/>
  <c r="BI68" i="13" a="1"/>
  <c r="BI68" i="13" s="1"/>
  <c r="BI70" i="13" a="1"/>
  <c r="BI70" i="13" s="1"/>
  <c r="BI72" i="13" a="1"/>
  <c r="BI72" i="13" s="1"/>
  <c r="BI66" i="13" a="1"/>
  <c r="BI66" i="13" s="1"/>
  <c r="AZ45" i="39" s="1"/>
  <c r="BI69" i="13" a="1"/>
  <c r="BI69" i="13" s="1"/>
  <c r="BI67" i="13" a="1"/>
  <c r="BI67" i="13" s="1"/>
  <c r="BI71" i="13" a="1"/>
  <c r="BI71" i="13" s="1"/>
  <c r="BI63" i="13" a="1"/>
  <c r="BI63" i="13" s="1"/>
  <c r="AZ42" i="39" s="1"/>
  <c r="BI60" i="13" a="1"/>
  <c r="BI60" i="13" s="1"/>
  <c r="AZ39" i="39" s="1"/>
  <c r="BI61" i="13" a="1"/>
  <c r="BI61" i="13" s="1"/>
  <c r="AZ40" i="39" s="1"/>
  <c r="BI65" i="13" a="1"/>
  <c r="BI65" i="13" s="1"/>
  <c r="AZ44" i="39" s="1"/>
  <c r="AZ41" i="39"/>
  <c r="BI64" i="13" a="1"/>
  <c r="BI64" i="13" s="1"/>
  <c r="AZ43" i="39" s="1"/>
  <c r="BL115" i="3"/>
  <c r="BK35" i="13"/>
  <c r="BL117" i="3"/>
  <c r="BB33" i="39" s="1"/>
  <c r="BJ22" i="13"/>
  <c r="BJ24" i="13" s="1"/>
  <c r="BJ48" i="13"/>
  <c r="BJ37" i="13"/>
  <c r="BL26" i="13"/>
  <c r="BL29" i="13" s="1"/>
  <c r="BM99" i="3"/>
  <c r="BM100" i="3" s="1" a="1"/>
  <c r="BM100" i="3" s="1"/>
  <c r="BM102" i="3" s="1" a="1"/>
  <c r="BM102" i="3" s="1"/>
  <c r="BM104" i="3" s="1"/>
  <c r="BK116" i="3"/>
  <c r="BK114" i="3"/>
  <c r="BH74" i="13"/>
  <c r="BK36" i="13"/>
  <c r="BL110" i="3"/>
  <c r="BN64" i="3"/>
  <c r="BN72" i="3" s="1"/>
  <c r="BN74" i="3" s="1" a="1"/>
  <c r="BN74" i="3" s="1"/>
  <c r="BD20" i="39" s="1"/>
  <c r="BM65" i="3"/>
  <c r="BM90" i="3" s="1"/>
  <c r="BM95" i="3" s="1"/>
  <c r="BM96" i="3" s="1"/>
  <c r="BC25" i="39" s="1"/>
  <c r="BC28" i="39" s="1"/>
  <c r="BM69" i="3"/>
  <c r="BM89" i="3" s="1"/>
  <c r="AZ35" i="39" l="1"/>
  <c r="BC26" i="39"/>
  <c r="AY63" i="39"/>
  <c r="AY67" i="39" s="1"/>
  <c r="BH79" i="13"/>
  <c r="BI49" i="13"/>
  <c r="BI78" i="13" s="1"/>
  <c r="AZ62" i="39" s="1"/>
  <c r="AY84" i="39"/>
  <c r="BJ46" i="13"/>
  <c r="BA32" i="39"/>
  <c r="BK44" i="13"/>
  <c r="BB31" i="39"/>
  <c r="AY48" i="39"/>
  <c r="BJ42" i="13"/>
  <c r="BA30" i="39"/>
  <c r="AZ47" i="39"/>
  <c r="BI74" i="13"/>
  <c r="BJ70" i="13" a="1"/>
  <c r="BJ70" i="13" s="1"/>
  <c r="BJ72" i="13" a="1"/>
  <c r="BJ72" i="13" s="1"/>
  <c r="BJ66" i="13" a="1"/>
  <c r="BJ66" i="13" s="1"/>
  <c r="BA45" i="39" s="1"/>
  <c r="BJ69" i="13" a="1"/>
  <c r="BJ69" i="13" s="1"/>
  <c r="BJ67" i="13" a="1"/>
  <c r="BJ67" i="13" s="1"/>
  <c r="BJ73" i="13" a="1"/>
  <c r="BJ73" i="13" s="1"/>
  <c r="BA46" i="39" s="1"/>
  <c r="BJ61" i="13" a="1"/>
  <c r="BJ61" i="13" s="1"/>
  <c r="BA40" i="39" s="1"/>
  <c r="BJ71" i="13" a="1"/>
  <c r="BJ71" i="13" s="1"/>
  <c r="BJ68" i="13" a="1"/>
  <c r="BJ68" i="13" s="1"/>
  <c r="BJ65" i="13" a="1"/>
  <c r="BJ65" i="13" s="1"/>
  <c r="BA44" i="39" s="1"/>
  <c r="BA41" i="39"/>
  <c r="BJ64" i="13" a="1"/>
  <c r="BJ64" i="13" s="1"/>
  <c r="BA43" i="39" s="1"/>
  <c r="BJ63" i="13" a="1"/>
  <c r="BJ63" i="13" s="1"/>
  <c r="BA42" i="39" s="1"/>
  <c r="BJ60" i="13" a="1"/>
  <c r="BJ60" i="13" s="1"/>
  <c r="BA39" i="39" s="1"/>
  <c r="BL116" i="3"/>
  <c r="BL114" i="3"/>
  <c r="BJ77" i="13"/>
  <c r="BA57" i="39" s="1"/>
  <c r="BA83" i="39" s="1"/>
  <c r="BM26" i="13"/>
  <c r="BM29" i="13" s="1"/>
  <c r="BN99" i="3"/>
  <c r="BN100" i="3" s="1" a="1"/>
  <c r="BN100" i="3" s="1"/>
  <c r="BN102" i="3" s="1" a="1"/>
  <c r="BN102" i="3" s="1"/>
  <c r="BN104" i="3" s="1"/>
  <c r="BK48" i="13"/>
  <c r="BK22" i="13"/>
  <c r="BK24" i="13" s="1"/>
  <c r="BL35" i="13"/>
  <c r="BM115" i="3"/>
  <c r="BM117" i="3"/>
  <c r="BC33" i="39" s="1"/>
  <c r="BK37" i="13"/>
  <c r="BL36" i="13"/>
  <c r="BM110" i="3"/>
  <c r="BO64" i="3"/>
  <c r="BO72" i="3" s="1"/>
  <c r="BO74" i="3" s="1" a="1"/>
  <c r="BO74" i="3" s="1"/>
  <c r="BE20" i="39" s="1"/>
  <c r="BN65" i="3"/>
  <c r="BN90" i="3" s="1"/>
  <c r="BN95" i="3" s="1"/>
  <c r="BN96" i="3" s="1"/>
  <c r="BD25" i="39" s="1"/>
  <c r="BD28" i="39" s="1"/>
  <c r="BN69" i="3"/>
  <c r="BN89" i="3" s="1"/>
  <c r="BA35" i="39" l="1"/>
  <c r="BD26" i="39"/>
  <c r="BI79" i="13"/>
  <c r="AZ36" i="39"/>
  <c r="AZ48" i="39" s="1"/>
  <c r="BJ49" i="13"/>
  <c r="BJ78" i="13" s="1"/>
  <c r="BJ79" i="13" s="1"/>
  <c r="BA36" i="39"/>
  <c r="BL44" i="13"/>
  <c r="BC31" i="39"/>
  <c r="BK42" i="13"/>
  <c r="BB30" i="39"/>
  <c r="AY101" i="39"/>
  <c r="AY104" i="39" s="1"/>
  <c r="BK46" i="13"/>
  <c r="BB32" i="39"/>
  <c r="BA47" i="39"/>
  <c r="AZ63" i="39"/>
  <c r="AZ67" i="39" s="1"/>
  <c r="AZ84" i="39"/>
  <c r="BK72" i="13" a="1"/>
  <c r="BK72" i="13" s="1"/>
  <c r="BK66" i="13" a="1"/>
  <c r="BK66" i="13" s="1"/>
  <c r="BB45" i="39" s="1"/>
  <c r="BK69" i="13" a="1"/>
  <c r="BK69" i="13" s="1"/>
  <c r="BK67" i="13" a="1"/>
  <c r="BK67" i="13" s="1"/>
  <c r="BK71" i="13" a="1"/>
  <c r="BK71" i="13" s="1"/>
  <c r="BK68" i="13" a="1"/>
  <c r="BK68" i="13" s="1"/>
  <c r="BK70" i="13" a="1"/>
  <c r="BK70" i="13" s="1"/>
  <c r="BK61" i="13" a="1"/>
  <c r="BK61" i="13" s="1"/>
  <c r="BB40" i="39" s="1"/>
  <c r="BB41" i="39"/>
  <c r="BK65" i="13" a="1"/>
  <c r="BK65" i="13" s="1"/>
  <c r="BB44" i="39" s="1"/>
  <c r="BK73" i="13" a="1"/>
  <c r="BK73" i="13" s="1"/>
  <c r="BB46" i="39" s="1"/>
  <c r="BK60" i="13" a="1"/>
  <c r="BK60" i="13" s="1"/>
  <c r="BB39" i="39" s="1"/>
  <c r="BK64" i="13" a="1"/>
  <c r="BK64" i="13" s="1"/>
  <c r="BB43" i="39" s="1"/>
  <c r="BK63" i="13" a="1"/>
  <c r="BK63" i="13" s="1"/>
  <c r="BB42" i="39" s="1"/>
  <c r="BL37" i="13"/>
  <c r="BJ74" i="13"/>
  <c r="BN26" i="13"/>
  <c r="BN29" i="13" s="1"/>
  <c r="BO99" i="3"/>
  <c r="BO100" i="3" s="1" a="1"/>
  <c r="BO100" i="3" s="1"/>
  <c r="BO102" i="3" s="1" a="1"/>
  <c r="BO102" i="3" s="1"/>
  <c r="BO104" i="3" s="1"/>
  <c r="BM36" i="13"/>
  <c r="BN110" i="3"/>
  <c r="BM116" i="3"/>
  <c r="BM114" i="3"/>
  <c r="BK77" i="13"/>
  <c r="BB57" i="39" s="1"/>
  <c r="BB83" i="39" s="1"/>
  <c r="BN115" i="3"/>
  <c r="BM35" i="13"/>
  <c r="BN117" i="3"/>
  <c r="BD33" i="39" s="1"/>
  <c r="BL48" i="13"/>
  <c r="BL22" i="13"/>
  <c r="BL24" i="13" s="1"/>
  <c r="BP64" i="3"/>
  <c r="BP72" i="3" s="1"/>
  <c r="BP74" i="3" s="1" a="1"/>
  <c r="BP74" i="3" s="1"/>
  <c r="BF20" i="39" s="1"/>
  <c r="BO65" i="3"/>
  <c r="BO90" i="3" s="1"/>
  <c r="BO95" i="3" s="1"/>
  <c r="BO96" i="3" s="1"/>
  <c r="BE25" i="39" s="1"/>
  <c r="BE28" i="39" s="1"/>
  <c r="BO69" i="3"/>
  <c r="BO89" i="3" s="1"/>
  <c r="BB35" i="39" l="1"/>
  <c r="BE26" i="39"/>
  <c r="BA48" i="39"/>
  <c r="BA101" i="39" s="1"/>
  <c r="BA104" i="39" s="1"/>
  <c r="BA62" i="39"/>
  <c r="BA84" i="39" s="1"/>
  <c r="BK49" i="13"/>
  <c r="BK78" i="13" s="1"/>
  <c r="BB62" i="39" s="1"/>
  <c r="BB63" i="39" s="1"/>
  <c r="BB67" i="39" s="1"/>
  <c r="AZ101" i="39"/>
  <c r="AZ104" i="39" s="1"/>
  <c r="BL42" i="13"/>
  <c r="BC30" i="39"/>
  <c r="BL46" i="13"/>
  <c r="BC32" i="39"/>
  <c r="BB47" i="39"/>
  <c r="BM44" i="13"/>
  <c r="BD31" i="39"/>
  <c r="BL69" i="13" a="1"/>
  <c r="BL69" i="13" s="1"/>
  <c r="BL67" i="13" a="1"/>
  <c r="BL67" i="13" s="1"/>
  <c r="BL71" i="13" a="1"/>
  <c r="BL71" i="13" s="1"/>
  <c r="BL68" i="13" a="1"/>
  <c r="BL68" i="13" s="1"/>
  <c r="BL73" i="13" a="1"/>
  <c r="BL73" i="13" s="1"/>
  <c r="BC46" i="39" s="1"/>
  <c r="BL72" i="13" a="1"/>
  <c r="BL72" i="13" s="1"/>
  <c r="BL66" i="13" a="1"/>
  <c r="BL66" i="13" s="1"/>
  <c r="BC45" i="39" s="1"/>
  <c r="BL65" i="13" a="1"/>
  <c r="BL65" i="13" s="1"/>
  <c r="BC44" i="39" s="1"/>
  <c r="BL70" i="13" a="1"/>
  <c r="BL70" i="13" s="1"/>
  <c r="BL64" i="13" a="1"/>
  <c r="BL64" i="13" s="1"/>
  <c r="BC43" i="39" s="1"/>
  <c r="BL63" i="13" a="1"/>
  <c r="BL63" i="13" s="1"/>
  <c r="BC42" i="39" s="1"/>
  <c r="BL60" i="13" a="1"/>
  <c r="BL60" i="13" s="1"/>
  <c r="BC39" i="39" s="1"/>
  <c r="BL61" i="13" a="1"/>
  <c r="BL61" i="13" s="1"/>
  <c r="BC40" i="39" s="1"/>
  <c r="BL77" i="13"/>
  <c r="BC57" i="39" s="1"/>
  <c r="BC83" i="39" s="1"/>
  <c r="BM37" i="13"/>
  <c r="BN35" i="13"/>
  <c r="BO115" i="3"/>
  <c r="BO117" i="3"/>
  <c r="BE33" i="39" s="1"/>
  <c r="BN116" i="3"/>
  <c r="BN114" i="3"/>
  <c r="BK74" i="13"/>
  <c r="BN36" i="13"/>
  <c r="BO110" i="3"/>
  <c r="BP99" i="3"/>
  <c r="BP100" i="3" s="1" a="1"/>
  <c r="BP100" i="3" s="1"/>
  <c r="BP102" i="3" s="1" a="1"/>
  <c r="BP102" i="3" s="1"/>
  <c r="BP104" i="3" s="1"/>
  <c r="BO26" i="13"/>
  <c r="BO29" i="13" s="1"/>
  <c r="BM22" i="13"/>
  <c r="BM24" i="13" s="1"/>
  <c r="BM48" i="13"/>
  <c r="BQ64" i="3"/>
  <c r="BQ72" i="3" s="1"/>
  <c r="BQ74" i="3" s="1" a="1"/>
  <c r="BQ74" i="3" s="1"/>
  <c r="BG20" i="39" s="1"/>
  <c r="BP65" i="3"/>
  <c r="BP90" i="3" s="1"/>
  <c r="BP95" i="3" s="1"/>
  <c r="BP96" i="3" s="1"/>
  <c r="BF25" i="39" s="1"/>
  <c r="BF28" i="39" s="1"/>
  <c r="BP69" i="3"/>
  <c r="BP89" i="3" s="1"/>
  <c r="BC35" i="39" l="1"/>
  <c r="BC36" i="39" s="1"/>
  <c r="BF26" i="39"/>
  <c r="BA63" i="39"/>
  <c r="BA67" i="39" s="1"/>
  <c r="BB36" i="39"/>
  <c r="BB48" i="39" s="1"/>
  <c r="BB101" i="39" s="1"/>
  <c r="BB104" i="39" s="1"/>
  <c r="BK79" i="13"/>
  <c r="BL49" i="13"/>
  <c r="BL78" i="13" s="1"/>
  <c r="BC62" i="39" s="1"/>
  <c r="BC84" i="39" s="1"/>
  <c r="BB84" i="39"/>
  <c r="BN44" i="13"/>
  <c r="BE31" i="39"/>
  <c r="BM46" i="13"/>
  <c r="BD32" i="39"/>
  <c r="BL74" i="13"/>
  <c r="BC41" i="39"/>
  <c r="BC47" i="39" s="1"/>
  <c r="BM42" i="13"/>
  <c r="BD30" i="39"/>
  <c r="BM69" i="13" a="1"/>
  <c r="BM69" i="13" s="1"/>
  <c r="BM67" i="13" a="1"/>
  <c r="BM67" i="13" s="1"/>
  <c r="BM71" i="13" a="1"/>
  <c r="BM71" i="13" s="1"/>
  <c r="BM68" i="13" a="1"/>
  <c r="BM68" i="13" s="1"/>
  <c r="BM73" i="13" a="1"/>
  <c r="BM73" i="13" s="1"/>
  <c r="BD46" i="39" s="1"/>
  <c r="BM70" i="13" a="1"/>
  <c r="BM70" i="13" s="1"/>
  <c r="BM66" i="13" a="1"/>
  <c r="BM66" i="13" s="1"/>
  <c r="BD45" i="39" s="1"/>
  <c r="BM65" i="13" a="1"/>
  <c r="BM65" i="13" s="1"/>
  <c r="BD44" i="39" s="1"/>
  <c r="BM64" i="13" a="1"/>
  <c r="BM64" i="13" s="1"/>
  <c r="BD43" i="39" s="1"/>
  <c r="BM63" i="13" a="1"/>
  <c r="BM63" i="13" s="1"/>
  <c r="BD42" i="39" s="1"/>
  <c r="BM60" i="13" a="1"/>
  <c r="BM60" i="13" s="1"/>
  <c r="BD39" i="39" s="1"/>
  <c r="BM61" i="13" a="1"/>
  <c r="BM61" i="13" s="1"/>
  <c r="BD40" i="39" s="1"/>
  <c r="BM72" i="13" a="1"/>
  <c r="BM72" i="13" s="1"/>
  <c r="BD41" i="39"/>
  <c r="BM77" i="13"/>
  <c r="BD57" i="39" s="1"/>
  <c r="BD83" i="39" s="1"/>
  <c r="BP26" i="13"/>
  <c r="BP29" i="13" s="1"/>
  <c r="BQ99" i="3"/>
  <c r="BQ100" i="3" s="1" a="1"/>
  <c r="BQ100" i="3" s="1"/>
  <c r="BQ102" i="3" s="1" a="1"/>
  <c r="BQ102" i="3" s="1"/>
  <c r="BQ104" i="3" s="1"/>
  <c r="BN48" i="13"/>
  <c r="BN22" i="13"/>
  <c r="BN24" i="13" s="1"/>
  <c r="BO36" i="13"/>
  <c r="BP110" i="3"/>
  <c r="BP115" i="3"/>
  <c r="BO35" i="13"/>
  <c r="BP117" i="3"/>
  <c r="BF33" i="39" s="1"/>
  <c r="BO116" i="3"/>
  <c r="BO114" i="3"/>
  <c r="BN37" i="13"/>
  <c r="BQ65" i="3"/>
  <c r="BQ90" i="3" s="1"/>
  <c r="BQ95" i="3" s="1"/>
  <c r="BQ96" i="3" s="1"/>
  <c r="BG25" i="39" s="1"/>
  <c r="BG28" i="39" s="1"/>
  <c r="BR64" i="3"/>
  <c r="BR72" i="3" s="1"/>
  <c r="BR74" i="3" s="1" a="1"/>
  <c r="BR74" i="3" s="1"/>
  <c r="BH20" i="39" s="1"/>
  <c r="BQ69" i="3"/>
  <c r="BQ89" i="3" s="1"/>
  <c r="BD35" i="39" l="1"/>
  <c r="BG26" i="39"/>
  <c r="BC63" i="39"/>
  <c r="BC67" i="39" s="1"/>
  <c r="BL79" i="13"/>
  <c r="BD36" i="39"/>
  <c r="BM49" i="13"/>
  <c r="BM78" i="13" s="1"/>
  <c r="BD62" i="39" s="1"/>
  <c r="BD63" i="39" s="1"/>
  <c r="BD67" i="39" s="1"/>
  <c r="BD47" i="39"/>
  <c r="BN46" i="13"/>
  <c r="BE32" i="39"/>
  <c r="BN42" i="13"/>
  <c r="BE30" i="39"/>
  <c r="BO44" i="13"/>
  <c r="BF31" i="39"/>
  <c r="BC48" i="39"/>
  <c r="BN67" i="13" a="1"/>
  <c r="BN67" i="13" s="1"/>
  <c r="BN68" i="13" a="1"/>
  <c r="BN68" i="13" s="1"/>
  <c r="BN73" i="13" a="1"/>
  <c r="BN73" i="13" s="1"/>
  <c r="BE46" i="39" s="1"/>
  <c r="BN71" i="13" a="1"/>
  <c r="BN71" i="13" s="1"/>
  <c r="BN70" i="13" a="1"/>
  <c r="BN70" i="13" s="1"/>
  <c r="BN72" i="13" a="1"/>
  <c r="BN72" i="13" s="1"/>
  <c r="BN66" i="13" a="1"/>
  <c r="BN66" i="13" s="1"/>
  <c r="BE45" i="39" s="1"/>
  <c r="BN69" i="13" a="1"/>
  <c r="BN69" i="13" s="1"/>
  <c r="BN64" i="13" a="1"/>
  <c r="BN64" i="13" s="1"/>
  <c r="BE43" i="39" s="1"/>
  <c r="BN63" i="13" a="1"/>
  <c r="BN63" i="13" s="1"/>
  <c r="BE42" i="39" s="1"/>
  <c r="BN60" i="13" a="1"/>
  <c r="BN60" i="13" s="1"/>
  <c r="BE39" i="39" s="1"/>
  <c r="BE41" i="39"/>
  <c r="BN61" i="13" a="1"/>
  <c r="BN61" i="13" s="1"/>
  <c r="BE40" i="39" s="1"/>
  <c r="BN65" i="13" a="1"/>
  <c r="BN65" i="13" s="1"/>
  <c r="BE44" i="39" s="1"/>
  <c r="BM74" i="13"/>
  <c r="BP116" i="3"/>
  <c r="BP114" i="3"/>
  <c r="BP36" i="13"/>
  <c r="BQ110" i="3"/>
  <c r="BN77" i="13"/>
  <c r="BO22" i="13"/>
  <c r="BO24" i="13" s="1"/>
  <c r="BO48" i="13"/>
  <c r="BR99" i="3"/>
  <c r="BR100" i="3" s="1" a="1"/>
  <c r="BR100" i="3" s="1"/>
  <c r="BR102" i="3" s="1" a="1"/>
  <c r="BR102" i="3" s="1"/>
  <c r="BR104" i="3" s="1"/>
  <c r="BQ26" i="13"/>
  <c r="BQ29" i="13" s="1"/>
  <c r="BO37" i="13"/>
  <c r="BQ115" i="3"/>
  <c r="BP35" i="13"/>
  <c r="BQ117" i="3"/>
  <c r="BG33" i="39" s="1"/>
  <c r="BS64" i="3"/>
  <c r="BS72" i="3" s="1"/>
  <c r="BS74" i="3" s="1" a="1"/>
  <c r="BS74" i="3" s="1"/>
  <c r="BI20" i="39" s="1"/>
  <c r="BR65" i="3"/>
  <c r="BR90" i="3" s="1"/>
  <c r="BR95" i="3" s="1"/>
  <c r="BR96" i="3" s="1"/>
  <c r="BH25" i="39" s="1"/>
  <c r="BH28" i="39" s="1"/>
  <c r="BR69" i="3"/>
  <c r="BR89" i="3" s="1"/>
  <c r="BE35" i="39" l="1"/>
  <c r="BH26" i="39"/>
  <c r="BM79" i="13"/>
  <c r="BN49" i="13"/>
  <c r="BN78" i="13" s="1"/>
  <c r="BE62" i="39" s="1"/>
  <c r="BE84" i="39" s="1"/>
  <c r="BD48" i="39"/>
  <c r="BD101" i="39" s="1"/>
  <c r="BD104" i="39" s="1"/>
  <c r="BD84" i="39"/>
  <c r="BP44" i="13"/>
  <c r="BG31" i="39"/>
  <c r="BO46" i="13"/>
  <c r="BF32" i="39"/>
  <c r="BC101" i="39"/>
  <c r="BC104" i="39" s="1"/>
  <c r="BO42" i="13"/>
  <c r="BF30" i="39"/>
  <c r="BE47" i="39"/>
  <c r="BE57" i="39"/>
  <c r="BE83" i="39" s="1"/>
  <c r="BO68" i="13" a="1"/>
  <c r="BO68" i="13" s="1"/>
  <c r="BO73" i="13" a="1"/>
  <c r="BO73" i="13" s="1"/>
  <c r="BF46" i="39" s="1"/>
  <c r="BO71" i="13" a="1"/>
  <c r="BO71" i="13" s="1"/>
  <c r="BO70" i="13" a="1"/>
  <c r="BO70" i="13" s="1"/>
  <c r="BO72" i="13" a="1"/>
  <c r="BO72" i="13" s="1"/>
  <c r="BO66" i="13" a="1"/>
  <c r="BO66" i="13" s="1"/>
  <c r="BF45" i="39" s="1"/>
  <c r="BO67" i="13" a="1"/>
  <c r="BO67" i="13" s="1"/>
  <c r="BO64" i="13" a="1"/>
  <c r="BO64" i="13" s="1"/>
  <c r="BF43" i="39" s="1"/>
  <c r="BO63" i="13" a="1"/>
  <c r="BO63" i="13" s="1"/>
  <c r="BF42" i="39" s="1"/>
  <c r="BO60" i="13" a="1"/>
  <c r="BO60" i="13" s="1"/>
  <c r="BF39" i="39" s="1"/>
  <c r="BO61" i="13" a="1"/>
  <c r="BO61" i="13" s="1"/>
  <c r="BF40" i="39" s="1"/>
  <c r="BF41" i="39"/>
  <c r="BO65" i="13" a="1"/>
  <c r="BO65" i="13" s="1"/>
  <c r="BF44" i="39" s="1"/>
  <c r="BO69" i="13" a="1"/>
  <c r="BO69" i="13" s="1"/>
  <c r="BP37" i="13"/>
  <c r="BP77" i="13" s="1"/>
  <c r="BG57" i="39" s="1"/>
  <c r="BR26" i="13"/>
  <c r="BR29" i="13" s="1"/>
  <c r="BS99" i="3"/>
  <c r="BS100" i="3" s="1" a="1"/>
  <c r="BS100" i="3" s="1"/>
  <c r="BS102" i="3" s="1" a="1"/>
  <c r="BS102" i="3" s="1"/>
  <c r="BS104" i="3" s="1"/>
  <c r="BQ116" i="3"/>
  <c r="BQ114" i="3"/>
  <c r="BR115" i="3"/>
  <c r="BQ35" i="13"/>
  <c r="BR117" i="3"/>
  <c r="BH33" i="39" s="1"/>
  <c r="BQ36" i="13"/>
  <c r="BR110" i="3"/>
  <c r="BP22" i="13"/>
  <c r="BP24" i="13" s="1"/>
  <c r="BP48" i="13"/>
  <c r="BN74" i="13"/>
  <c r="BO77" i="13"/>
  <c r="BF57" i="39" s="1"/>
  <c r="BS65" i="3"/>
  <c r="BS90" i="3" s="1"/>
  <c r="BS95" i="3" s="1"/>
  <c r="BS96" i="3" s="1"/>
  <c r="BI25" i="39" s="1"/>
  <c r="BI28" i="39" s="1"/>
  <c r="BT64" i="3"/>
  <c r="BT72" i="3" s="1"/>
  <c r="BT74" i="3" s="1" a="1"/>
  <c r="BT74" i="3" s="1"/>
  <c r="BJ20" i="39" s="1"/>
  <c r="BS69" i="3"/>
  <c r="BS89" i="3" s="1"/>
  <c r="BF35" i="39" l="1"/>
  <c r="BI26" i="39"/>
  <c r="BN79" i="13"/>
  <c r="BE63" i="39"/>
  <c r="BE67" i="39" s="1"/>
  <c r="BE36" i="39"/>
  <c r="BE48" i="39" s="1"/>
  <c r="BE101" i="39" s="1"/>
  <c r="BE104" i="39" s="1"/>
  <c r="BO49" i="13"/>
  <c r="BO78" i="13" s="1"/>
  <c r="BF62" i="39" s="1"/>
  <c r="BF84" i="39" s="1"/>
  <c r="BF83" i="39"/>
  <c r="BF36" i="39"/>
  <c r="BG83" i="39"/>
  <c r="BQ44" i="13"/>
  <c r="BH31" i="39"/>
  <c r="BP42" i="13"/>
  <c r="BG30" i="39"/>
  <c r="BP46" i="13"/>
  <c r="BG32" i="39"/>
  <c r="BF47" i="39"/>
  <c r="BP73" i="13" a="1"/>
  <c r="BP73" i="13" s="1"/>
  <c r="BG46" i="39" s="1"/>
  <c r="BP70" i="13" a="1"/>
  <c r="BP70" i="13" s="1"/>
  <c r="BP72" i="13" a="1"/>
  <c r="BP72" i="13" s="1"/>
  <c r="BP66" i="13" a="1"/>
  <c r="BP66" i="13" s="1"/>
  <c r="BG45" i="39" s="1"/>
  <c r="BP69" i="13" a="1"/>
  <c r="BP69" i="13" s="1"/>
  <c r="BP71" i="13" a="1"/>
  <c r="BP71" i="13" s="1"/>
  <c r="BP68" i="13" a="1"/>
  <c r="BP68" i="13" s="1"/>
  <c r="BP60" i="13" a="1"/>
  <c r="BP60" i="13" s="1"/>
  <c r="BP61" i="13" a="1"/>
  <c r="BP61" i="13" s="1"/>
  <c r="BG40" i="39" s="1"/>
  <c r="BG41" i="39"/>
  <c r="BP67" i="13" a="1"/>
  <c r="BP67" i="13" s="1"/>
  <c r="BP65" i="13" a="1"/>
  <c r="BP65" i="13" s="1"/>
  <c r="BG44" i="39" s="1"/>
  <c r="BP64" i="13" a="1"/>
  <c r="BP64" i="13" s="1"/>
  <c r="BG43" i="39" s="1"/>
  <c r="BP63" i="13" a="1"/>
  <c r="BP63" i="13" s="1"/>
  <c r="BG42" i="39" s="1"/>
  <c r="BS115" i="3"/>
  <c r="BR35" i="13"/>
  <c r="BS117" i="3"/>
  <c r="BI33" i="39" s="1"/>
  <c r="BQ37" i="13"/>
  <c r="BQ48" i="13"/>
  <c r="BQ22" i="13"/>
  <c r="BQ24" i="13" s="1"/>
  <c r="BT99" i="3"/>
  <c r="BT100" i="3" s="1" a="1"/>
  <c r="BT100" i="3" s="1"/>
  <c r="BT102" i="3" s="1" a="1"/>
  <c r="BT102" i="3" s="1"/>
  <c r="BT104" i="3" s="1"/>
  <c r="BS26" i="13"/>
  <c r="BS29" i="13" s="1"/>
  <c r="BR36" i="13"/>
  <c r="BS110" i="3"/>
  <c r="BO74" i="13"/>
  <c r="BR116" i="3"/>
  <c r="BR114" i="3"/>
  <c r="BU64" i="3"/>
  <c r="BU72" i="3" s="1"/>
  <c r="BU74" i="3" s="1" a="1"/>
  <c r="BU74" i="3" s="1"/>
  <c r="BK20" i="39" s="1"/>
  <c r="BT65" i="3"/>
  <c r="BT90" i="3" s="1"/>
  <c r="BT95" i="3" s="1"/>
  <c r="BT96" i="3" s="1"/>
  <c r="BJ25" i="39" s="1"/>
  <c r="BJ28" i="39" s="1"/>
  <c r="BT69" i="3"/>
  <c r="BT89" i="3" s="1"/>
  <c r="BG35" i="39" l="1"/>
  <c r="BJ26" i="39"/>
  <c r="BF48" i="39"/>
  <c r="BF101" i="39" s="1"/>
  <c r="BF104" i="39" s="1"/>
  <c r="BO79" i="13"/>
  <c r="BF63" i="39"/>
  <c r="BF67" i="39" s="1"/>
  <c r="BP49" i="13"/>
  <c r="BP78" i="13" s="1"/>
  <c r="BP79" i="13" s="1"/>
  <c r="BP74" i="13"/>
  <c r="BG39" i="39"/>
  <c r="BG47" i="39" s="1"/>
  <c r="BR44" i="13"/>
  <c r="BI31" i="39"/>
  <c r="BQ42" i="13"/>
  <c r="BH30" i="39"/>
  <c r="BQ46" i="13"/>
  <c r="BH32" i="39"/>
  <c r="BG36" i="39"/>
  <c r="BQ70" i="13" a="1"/>
  <c r="BQ70" i="13" s="1"/>
  <c r="BQ72" i="13" a="1"/>
  <c r="BQ72" i="13" s="1"/>
  <c r="BQ66" i="13" a="1"/>
  <c r="BQ66" i="13" s="1"/>
  <c r="BH45" i="39" s="1"/>
  <c r="BQ69" i="13" a="1"/>
  <c r="BQ69" i="13" s="1"/>
  <c r="BQ67" i="13" a="1"/>
  <c r="BQ67" i="13" s="1"/>
  <c r="BQ73" i="13" a="1"/>
  <c r="BQ73" i="13" s="1"/>
  <c r="BH46" i="39" s="1"/>
  <c r="BQ71" i="13" a="1"/>
  <c r="BQ71" i="13" s="1"/>
  <c r="BQ68" i="13" a="1"/>
  <c r="BQ68" i="13" s="1"/>
  <c r="BQ61" i="13" a="1"/>
  <c r="BQ61" i="13" s="1"/>
  <c r="BH40" i="39" s="1"/>
  <c r="BQ63" i="13" a="1"/>
  <c r="BQ63" i="13" s="1"/>
  <c r="BH42" i="39" s="1"/>
  <c r="BH41" i="39"/>
  <c r="BQ65" i="13" a="1"/>
  <c r="BQ65" i="13" s="1"/>
  <c r="BH44" i="39" s="1"/>
  <c r="BQ64" i="13" a="1"/>
  <c r="BQ64" i="13" s="1"/>
  <c r="BH43" i="39" s="1"/>
  <c r="BQ60" i="13" a="1"/>
  <c r="BQ60" i="13" s="1"/>
  <c r="BH39" i="39" s="1"/>
  <c r="BS116" i="3"/>
  <c r="BS114" i="3"/>
  <c r="BQ77" i="13"/>
  <c r="BH57" i="39" s="1"/>
  <c r="BH83" i="39" s="1"/>
  <c r="BS35" i="13"/>
  <c r="BT115" i="3"/>
  <c r="BT117" i="3"/>
  <c r="BJ33" i="39" s="1"/>
  <c r="BR48" i="13"/>
  <c r="BR22" i="13"/>
  <c r="BR24" i="13" s="1"/>
  <c r="BS36" i="13"/>
  <c r="BT110" i="3"/>
  <c r="BR37" i="13"/>
  <c r="BT26" i="13"/>
  <c r="BT29" i="13" s="1"/>
  <c r="BU99" i="3"/>
  <c r="BU100" i="3" s="1" a="1"/>
  <c r="BU100" i="3" s="1"/>
  <c r="BU102" i="3" s="1" a="1"/>
  <c r="BU102" i="3" s="1"/>
  <c r="BU104" i="3" s="1"/>
  <c r="BV64" i="3"/>
  <c r="BV72" i="3" s="1"/>
  <c r="BV74" i="3" s="1" a="1"/>
  <c r="BV74" i="3" s="1"/>
  <c r="BL20" i="39" s="1"/>
  <c r="BU65" i="3"/>
  <c r="BU90" i="3" s="1"/>
  <c r="BU95" i="3" s="1"/>
  <c r="BU96" i="3" s="1"/>
  <c r="BK25" i="39" s="1"/>
  <c r="BK28" i="39" s="1"/>
  <c r="BU69" i="3"/>
  <c r="BU89" i="3" s="1"/>
  <c r="BH35" i="39" l="1"/>
  <c r="BK26" i="39"/>
  <c r="BG62" i="39"/>
  <c r="BG84" i="39" s="1"/>
  <c r="BQ49" i="13"/>
  <c r="BQ78" i="13" s="1"/>
  <c r="BQ79" i="13" s="1"/>
  <c r="BG48" i="39"/>
  <c r="BS44" i="13"/>
  <c r="BJ31" i="39"/>
  <c r="BR42" i="13"/>
  <c r="BI30" i="39"/>
  <c r="BR46" i="13"/>
  <c r="BI32" i="39"/>
  <c r="BH47" i="39"/>
  <c r="BH36" i="39"/>
  <c r="BR70" i="13" a="1"/>
  <c r="BR70" i="13" s="1"/>
  <c r="BR72" i="13" a="1"/>
  <c r="BR72" i="13" s="1"/>
  <c r="BR66" i="13" a="1"/>
  <c r="BR66" i="13" s="1"/>
  <c r="BI45" i="39" s="1"/>
  <c r="BR69" i="13" a="1"/>
  <c r="BR69" i="13" s="1"/>
  <c r="BR67" i="13" a="1"/>
  <c r="BR67" i="13" s="1"/>
  <c r="BR73" i="13" a="1"/>
  <c r="BR73" i="13" s="1"/>
  <c r="BI46" i="39" s="1"/>
  <c r="BR71" i="13" a="1"/>
  <c r="BR71" i="13" s="1"/>
  <c r="BR68" i="13" a="1"/>
  <c r="BR68" i="13" s="1"/>
  <c r="BI41" i="39"/>
  <c r="BR60" i="13" a="1"/>
  <c r="BR60" i="13" s="1"/>
  <c r="BI39" i="39" s="1"/>
  <c r="BR65" i="13" a="1"/>
  <c r="BR65" i="13" s="1"/>
  <c r="BI44" i="39" s="1"/>
  <c r="BR64" i="13" a="1"/>
  <c r="BR64" i="13" s="1"/>
  <c r="BI43" i="39" s="1"/>
  <c r="BR63" i="13" a="1"/>
  <c r="BR63" i="13" s="1"/>
  <c r="BI42" i="39" s="1"/>
  <c r="BR61" i="13" a="1"/>
  <c r="BR61" i="13" s="1"/>
  <c r="BI40" i="39" s="1"/>
  <c r="BS48" i="13"/>
  <c r="BS22" i="13"/>
  <c r="BS24" i="13" s="1"/>
  <c r="BU26" i="13"/>
  <c r="BU29" i="13" s="1"/>
  <c r="BV99" i="3"/>
  <c r="BV100" i="3" s="1" a="1"/>
  <c r="BV100" i="3" s="1"/>
  <c r="BV102" i="3" s="1" a="1"/>
  <c r="BV102" i="3" s="1"/>
  <c r="BV104" i="3" s="1"/>
  <c r="BQ74" i="13"/>
  <c r="BT35" i="13"/>
  <c r="BU115" i="3"/>
  <c r="BU117" i="3"/>
  <c r="BK33" i="39" s="1"/>
  <c r="BS37" i="13"/>
  <c r="BT36" i="13"/>
  <c r="BU110" i="3"/>
  <c r="BR77" i="13"/>
  <c r="BI57" i="39" s="1"/>
  <c r="BI83" i="39" s="1"/>
  <c r="BT116" i="3"/>
  <c r="BT114" i="3"/>
  <c r="BW64" i="3"/>
  <c r="BW72" i="3" s="1"/>
  <c r="BW74" i="3" s="1" a="1"/>
  <c r="BW74" i="3" s="1"/>
  <c r="BM20" i="39" s="1"/>
  <c r="BV65" i="3"/>
  <c r="BV90" i="3" s="1"/>
  <c r="BV95" i="3" s="1"/>
  <c r="BV96" i="3" s="1"/>
  <c r="BV69" i="3"/>
  <c r="BV89" i="3" s="1"/>
  <c r="BL25" i="39" l="1"/>
  <c r="BL28" i="39" s="1"/>
  <c r="BI35" i="39"/>
  <c r="BL26" i="39"/>
  <c r="BG63" i="39"/>
  <c r="BG67" i="39" s="1"/>
  <c r="BR49" i="13"/>
  <c r="BR78" i="13" s="1"/>
  <c r="BI62" i="39" s="1"/>
  <c r="BI63" i="39" s="1"/>
  <c r="BI67" i="39" s="1"/>
  <c r="BG101" i="39"/>
  <c r="BG104" i="39" s="1"/>
  <c r="BH62" i="39"/>
  <c r="BH84" i="39" s="1"/>
  <c r="BH48" i="39"/>
  <c r="BH101" i="39" s="1"/>
  <c r="BH104" i="39" s="1"/>
  <c r="BI36" i="39"/>
  <c r="BS42" i="13"/>
  <c r="BJ30" i="39"/>
  <c r="BT44" i="13"/>
  <c r="BK31" i="39"/>
  <c r="BT37" i="13"/>
  <c r="BT67" i="13" s="1" a="1"/>
  <c r="BT67" i="13" s="1"/>
  <c r="BS46" i="13"/>
  <c r="BJ32" i="39"/>
  <c r="BI47" i="39"/>
  <c r="BS72" i="13" a="1"/>
  <c r="BS72" i="13" s="1"/>
  <c r="BS66" i="13" a="1"/>
  <c r="BS66" i="13" s="1"/>
  <c r="BJ45" i="39" s="1"/>
  <c r="BS69" i="13" a="1"/>
  <c r="BS69" i="13" s="1"/>
  <c r="BS67" i="13" a="1"/>
  <c r="BS67" i="13" s="1"/>
  <c r="BS73" i="13" a="1"/>
  <c r="BS73" i="13" s="1"/>
  <c r="BJ46" i="39" s="1"/>
  <c r="BS71" i="13" a="1"/>
  <c r="BS71" i="13" s="1"/>
  <c r="BS68" i="13" a="1"/>
  <c r="BS68" i="13" s="1"/>
  <c r="BS70" i="13" a="1"/>
  <c r="BS70" i="13" s="1"/>
  <c r="BJ41" i="39"/>
  <c r="BS65" i="13" a="1"/>
  <c r="BS65" i="13" s="1"/>
  <c r="BJ44" i="39" s="1"/>
  <c r="BS64" i="13" a="1"/>
  <c r="BS64" i="13" s="1"/>
  <c r="BJ43" i="39" s="1"/>
  <c r="BS63" i="13" a="1"/>
  <c r="BS63" i="13" s="1"/>
  <c r="BJ42" i="39" s="1"/>
  <c r="BS60" i="13" a="1"/>
  <c r="BS60" i="13" s="1"/>
  <c r="BJ39" i="39" s="1"/>
  <c r="BS61" i="13" a="1"/>
  <c r="BS61" i="13" s="1"/>
  <c r="BJ40" i="39" s="1"/>
  <c r="BV26" i="13"/>
  <c r="BV29" i="13" s="1"/>
  <c r="BW99" i="3"/>
  <c r="BW100" i="3" s="1" a="1"/>
  <c r="BW100" i="3" s="1"/>
  <c r="BW102" i="3" s="1" a="1"/>
  <c r="BW102" i="3" s="1"/>
  <c r="BW104" i="3" s="1"/>
  <c r="BT48" i="13"/>
  <c r="BT22" i="13"/>
  <c r="BT24" i="13" s="1"/>
  <c r="BU36" i="13"/>
  <c r="BV110" i="3"/>
  <c r="BU116" i="3"/>
  <c r="BU114" i="3"/>
  <c r="BR74" i="13"/>
  <c r="BU35" i="13"/>
  <c r="BV115" i="3"/>
  <c r="BV117" i="3"/>
  <c r="BL33" i="39" s="1"/>
  <c r="BS77" i="13"/>
  <c r="BX64" i="3"/>
  <c r="BX72" i="3" s="1"/>
  <c r="BX74" i="3" s="1" a="1"/>
  <c r="BX74" i="3" s="1"/>
  <c r="BN20" i="39" s="1"/>
  <c r="BW65" i="3"/>
  <c r="BW90" i="3" s="1"/>
  <c r="BW95" i="3" s="1"/>
  <c r="BW96" i="3" s="1"/>
  <c r="BM25" i="39" s="1"/>
  <c r="BM28" i="39" s="1"/>
  <c r="BW69" i="3"/>
  <c r="BW89" i="3" s="1"/>
  <c r="BR79" i="13" l="1"/>
  <c r="BJ35" i="39"/>
  <c r="BM26" i="39"/>
  <c r="BH63" i="39"/>
  <c r="BH67" i="39" s="1"/>
  <c r="BI84" i="39"/>
  <c r="BT60" i="13" a="1"/>
  <c r="BT60" i="13" s="1"/>
  <c r="BK39" i="39" s="1"/>
  <c r="BT70" i="13" a="1"/>
  <c r="BT70" i="13" s="1"/>
  <c r="BT63" i="13" a="1"/>
  <c r="BT63" i="13" s="1"/>
  <c r="BK42" i="39" s="1"/>
  <c r="BT64" i="13" a="1"/>
  <c r="BT64" i="13" s="1"/>
  <c r="BK43" i="39" s="1"/>
  <c r="BT65" i="13" a="1"/>
  <c r="BT65" i="13" s="1"/>
  <c r="BK44" i="39" s="1"/>
  <c r="BT66" i="13" a="1"/>
  <c r="BT66" i="13" s="1"/>
  <c r="BK45" i="39" s="1"/>
  <c r="BK41" i="39"/>
  <c r="BT68" i="13" a="1"/>
  <c r="BT68" i="13" s="1"/>
  <c r="BT77" i="13"/>
  <c r="BK57" i="39" s="1"/>
  <c r="BT61" i="13" a="1"/>
  <c r="BT61" i="13" s="1"/>
  <c r="BK40" i="39" s="1"/>
  <c r="BT72" i="13" a="1"/>
  <c r="BT72" i="13" s="1"/>
  <c r="BT73" i="13" a="1"/>
  <c r="BT73" i="13" s="1"/>
  <c r="BK46" i="39" s="1"/>
  <c r="BT71" i="13" a="1"/>
  <c r="BT71" i="13" s="1"/>
  <c r="BT69" i="13" a="1"/>
  <c r="BT69" i="13" s="1"/>
  <c r="BJ36" i="39"/>
  <c r="BS49" i="13"/>
  <c r="BS78" i="13" s="1"/>
  <c r="BJ62" i="39" s="1"/>
  <c r="BJ63" i="39" s="1"/>
  <c r="BJ67" i="39" s="1"/>
  <c r="BJ47" i="39"/>
  <c r="BT46" i="13"/>
  <c r="BK32" i="39"/>
  <c r="BI48" i="39"/>
  <c r="BJ57" i="39"/>
  <c r="BJ83" i="39" s="1"/>
  <c r="BT42" i="13"/>
  <c r="BK30" i="39"/>
  <c r="BU44" i="13"/>
  <c r="BL31" i="39"/>
  <c r="BV35" i="13"/>
  <c r="BW115" i="3"/>
  <c r="BW117" i="3"/>
  <c r="BM33" i="39" s="1"/>
  <c r="BV116" i="3"/>
  <c r="BV114" i="3"/>
  <c r="BU48" i="13"/>
  <c r="BU22" i="13"/>
  <c r="BU24" i="13" s="1"/>
  <c r="BS74" i="13"/>
  <c r="BU37" i="13"/>
  <c r="BX99" i="3"/>
  <c r="BX100" i="3" s="1" a="1"/>
  <c r="BX100" i="3" s="1"/>
  <c r="BX102" i="3" s="1" a="1"/>
  <c r="BX102" i="3" s="1"/>
  <c r="BX104" i="3" s="1"/>
  <c r="BW26" i="13"/>
  <c r="BW29" i="13" s="1"/>
  <c r="BV36" i="13"/>
  <c r="BW110" i="3"/>
  <c r="BY64" i="3"/>
  <c r="BY72" i="3" s="1"/>
  <c r="BY74" i="3" s="1" a="1"/>
  <c r="BY74" i="3" s="1"/>
  <c r="BO20" i="39" s="1"/>
  <c r="BX65" i="3"/>
  <c r="BX90" i="3" s="1"/>
  <c r="BX95" i="3" s="1"/>
  <c r="BX96" i="3" s="1"/>
  <c r="BN25" i="39" s="1"/>
  <c r="BN28" i="39" s="1"/>
  <c r="BX69" i="3"/>
  <c r="BX89" i="3" s="1"/>
  <c r="BK35" i="39" l="1"/>
  <c r="BN26" i="39"/>
  <c r="BJ48" i="39"/>
  <c r="BK47" i="39"/>
  <c r="BT74" i="13"/>
  <c r="BS79" i="13"/>
  <c r="BT49" i="13"/>
  <c r="BT78" i="13" s="1"/>
  <c r="BT79" i="13" s="1"/>
  <c r="BK36" i="39"/>
  <c r="BJ84" i="39"/>
  <c r="BK83" i="39"/>
  <c r="BI101" i="39"/>
  <c r="BI104" i="39" s="1"/>
  <c r="BU42" i="13"/>
  <c r="BL30" i="39"/>
  <c r="BU46" i="13"/>
  <c r="BL32" i="39"/>
  <c r="BV44" i="13"/>
  <c r="BM31" i="39"/>
  <c r="BU69" i="13" a="1"/>
  <c r="BU69" i="13" s="1"/>
  <c r="BU71" i="13" a="1"/>
  <c r="BU71" i="13" s="1"/>
  <c r="BU73" i="13" a="1"/>
  <c r="BU73" i="13" s="1"/>
  <c r="BL46" i="39" s="1"/>
  <c r="BU68" i="13" a="1"/>
  <c r="BU68" i="13" s="1"/>
  <c r="BU65" i="13" a="1"/>
  <c r="BU65" i="13" s="1"/>
  <c r="BL44" i="39" s="1"/>
  <c r="BU70" i="13" a="1"/>
  <c r="BU70" i="13" s="1"/>
  <c r="BU67" i="13" a="1"/>
  <c r="BU67" i="13" s="1"/>
  <c r="BU64" i="13" a="1"/>
  <c r="BU64" i="13" s="1"/>
  <c r="BL43" i="39" s="1"/>
  <c r="BU63" i="13" a="1"/>
  <c r="BU63" i="13" s="1"/>
  <c r="BL42" i="39" s="1"/>
  <c r="BU60" i="13" a="1"/>
  <c r="BU60" i="13" s="1"/>
  <c r="BL39" i="39" s="1"/>
  <c r="BL41" i="39"/>
  <c r="BU61" i="13" a="1"/>
  <c r="BU61" i="13" s="1"/>
  <c r="BL40" i="39" s="1"/>
  <c r="BU72" i="13" a="1"/>
  <c r="BU72" i="13" s="1"/>
  <c r="BU66" i="13" a="1"/>
  <c r="BU66" i="13" s="1"/>
  <c r="BL45" i="39" s="1"/>
  <c r="BW35" i="13"/>
  <c r="BX115" i="3"/>
  <c r="BX117" i="3"/>
  <c r="BN33" i="39" s="1"/>
  <c r="BV48" i="13"/>
  <c r="BV22" i="13"/>
  <c r="BV24" i="13" s="1"/>
  <c r="BW116" i="3"/>
  <c r="BW114" i="3"/>
  <c r="BU77" i="13"/>
  <c r="BL57" i="39" s="1"/>
  <c r="BL83" i="39" s="1"/>
  <c r="BW36" i="13"/>
  <c r="BX110" i="3"/>
  <c r="BX26" i="13"/>
  <c r="BX29" i="13" s="1"/>
  <c r="BY99" i="3"/>
  <c r="BY100" i="3" s="1" a="1"/>
  <c r="BY100" i="3" s="1"/>
  <c r="BY102" i="3" s="1" a="1"/>
  <c r="BY102" i="3" s="1"/>
  <c r="BY104" i="3" s="1"/>
  <c r="BV37" i="13"/>
  <c r="BY65" i="3"/>
  <c r="BY90" i="3" s="1"/>
  <c r="BY95" i="3" s="1"/>
  <c r="BY96" i="3" s="1"/>
  <c r="BO25" i="39" s="1"/>
  <c r="BO28" i="39" s="1"/>
  <c r="BZ64" i="3"/>
  <c r="BZ72" i="3" s="1"/>
  <c r="BZ74" i="3" s="1" a="1"/>
  <c r="BZ74" i="3" s="1"/>
  <c r="BP20" i="39" s="1"/>
  <c r="BY69" i="3"/>
  <c r="BY89" i="3" s="1"/>
  <c r="BL35" i="39" l="1"/>
  <c r="BO26" i="39"/>
  <c r="BK62" i="39"/>
  <c r="BJ101" i="39"/>
  <c r="BJ104" i="39" s="1"/>
  <c r="BK48" i="39"/>
  <c r="BU49" i="13"/>
  <c r="BU78" i="13" s="1"/>
  <c r="BL62" i="39" s="1"/>
  <c r="BL63" i="39" s="1"/>
  <c r="BL67" i="39" s="1"/>
  <c r="BL47" i="39"/>
  <c r="BW44" i="13"/>
  <c r="BN31" i="39"/>
  <c r="BV42" i="13"/>
  <c r="BM30" i="39"/>
  <c r="BV46" i="13"/>
  <c r="BM32" i="39"/>
  <c r="BV71" i="13" a="1"/>
  <c r="BV71" i="13" s="1"/>
  <c r="BV73" i="13" a="1"/>
  <c r="BV73" i="13" s="1"/>
  <c r="BM46" i="39" s="1"/>
  <c r="BV68" i="13" a="1"/>
  <c r="BV68" i="13" s="1"/>
  <c r="BV70" i="13" a="1"/>
  <c r="BV70" i="13" s="1"/>
  <c r="BV72" i="13" a="1"/>
  <c r="BV72" i="13" s="1"/>
  <c r="BV66" i="13" a="1"/>
  <c r="BV66" i="13" s="1"/>
  <c r="BM45" i="39" s="1"/>
  <c r="BV69" i="13" a="1"/>
  <c r="BV69" i="13" s="1"/>
  <c r="BV65" i="13" a="1"/>
  <c r="BV65" i="13" s="1"/>
  <c r="BM44" i="39" s="1"/>
  <c r="BV63" i="13" a="1"/>
  <c r="BV63" i="13" s="1"/>
  <c r="BM42" i="39" s="1"/>
  <c r="BV60" i="13" a="1"/>
  <c r="BV60" i="13" s="1"/>
  <c r="BM39" i="39" s="1"/>
  <c r="BV61" i="13" a="1"/>
  <c r="BV61" i="13" s="1"/>
  <c r="BM40" i="39" s="1"/>
  <c r="BV67" i="13" a="1"/>
  <c r="BV67" i="13" s="1"/>
  <c r="BM41" i="39"/>
  <c r="BV64" i="13" a="1"/>
  <c r="BV64" i="13" s="1"/>
  <c r="BM43" i="39" s="1"/>
  <c r="BV77" i="13"/>
  <c r="BM57" i="39" s="1"/>
  <c r="BM83" i="39" s="1"/>
  <c r="BU74" i="13"/>
  <c r="BZ99" i="3"/>
  <c r="BZ100" i="3" s="1" a="1"/>
  <c r="BZ100" i="3" s="1"/>
  <c r="BZ102" i="3" s="1" a="1"/>
  <c r="BZ102" i="3" s="1"/>
  <c r="BZ104" i="3" s="1"/>
  <c r="BY26" i="13"/>
  <c r="BY29" i="13" s="1"/>
  <c r="BX36" i="13"/>
  <c r="BY110" i="3"/>
  <c r="BW48" i="13"/>
  <c r="BW22" i="13"/>
  <c r="BW24" i="13" s="1"/>
  <c r="BY115" i="3"/>
  <c r="BX35" i="13"/>
  <c r="BY117" i="3"/>
  <c r="BO33" i="39" s="1"/>
  <c r="BX116" i="3"/>
  <c r="BX114" i="3"/>
  <c r="BW37" i="13"/>
  <c r="CA64" i="3"/>
  <c r="CA72" i="3" s="1"/>
  <c r="CA74" i="3" s="1" a="1"/>
  <c r="CA74" i="3" s="1"/>
  <c r="BQ20" i="39" s="1"/>
  <c r="BZ65" i="3"/>
  <c r="BZ90" i="3" s="1"/>
  <c r="BZ95" i="3" s="1"/>
  <c r="BZ96" i="3" s="1"/>
  <c r="BP25" i="39" s="1"/>
  <c r="BP28" i="39" s="1"/>
  <c r="BZ69" i="3"/>
  <c r="BZ89" i="3" s="1"/>
  <c r="BM35" i="39" l="1"/>
  <c r="BP26" i="39"/>
  <c r="BK84" i="39"/>
  <c r="BK63" i="39"/>
  <c r="BK67" i="39" s="1"/>
  <c r="BL36" i="39"/>
  <c r="BL48" i="39" s="1"/>
  <c r="BL101" i="39" s="1"/>
  <c r="BL104" i="39" s="1"/>
  <c r="BL84" i="39"/>
  <c r="BK101" i="39"/>
  <c r="BK104" i="39" s="1"/>
  <c r="BU79" i="13"/>
  <c r="BV49" i="13"/>
  <c r="BV78" i="13" s="1"/>
  <c r="BM62" i="39" s="1"/>
  <c r="BM84" i="39" s="1"/>
  <c r="BM36" i="39"/>
  <c r="BX44" i="13"/>
  <c r="BO31" i="39"/>
  <c r="BW42" i="13"/>
  <c r="BN30" i="39"/>
  <c r="BM47" i="39"/>
  <c r="BW46" i="13"/>
  <c r="BN32" i="39"/>
  <c r="BW73" i="13" a="1"/>
  <c r="BW73" i="13" s="1"/>
  <c r="BN46" i="39" s="1"/>
  <c r="BW68" i="13" a="1"/>
  <c r="BW68" i="13" s="1"/>
  <c r="BW65" i="13" a="1"/>
  <c r="BW65" i="13" s="1"/>
  <c r="BN44" i="39" s="1"/>
  <c r="BW70" i="13" a="1"/>
  <c r="BW70" i="13" s="1"/>
  <c r="BW72" i="13" a="1"/>
  <c r="BW72" i="13" s="1"/>
  <c r="BW66" i="13" a="1"/>
  <c r="BW66" i="13" s="1"/>
  <c r="BN45" i="39" s="1"/>
  <c r="BW67" i="13" a="1"/>
  <c r="BW67" i="13" s="1"/>
  <c r="BW71" i="13" a="1"/>
  <c r="BW71" i="13" s="1"/>
  <c r="BW60" i="13" a="1"/>
  <c r="BW60" i="13" s="1"/>
  <c r="BN39" i="39" s="1"/>
  <c r="BW61" i="13" a="1"/>
  <c r="BW61" i="13" s="1"/>
  <c r="BN40" i="39" s="1"/>
  <c r="BW69" i="13" a="1"/>
  <c r="BW69" i="13" s="1"/>
  <c r="BW64" i="13" a="1"/>
  <c r="BW64" i="13" s="1"/>
  <c r="BN43" i="39" s="1"/>
  <c r="BN41" i="39"/>
  <c r="BW63" i="13" a="1"/>
  <c r="BW63" i="13" s="1"/>
  <c r="BN42" i="39" s="1"/>
  <c r="BX37" i="13"/>
  <c r="BX77" i="13" s="1"/>
  <c r="BO57" i="39" s="1"/>
  <c r="BW77" i="13"/>
  <c r="BN57" i="39" s="1"/>
  <c r="BN83" i="39" s="1"/>
  <c r="BY116" i="3"/>
  <c r="BY114" i="3"/>
  <c r="BZ26" i="13"/>
  <c r="BZ29" i="13" s="1"/>
  <c r="CA99" i="3"/>
  <c r="CA100" i="3" s="1" a="1"/>
  <c r="CA100" i="3" s="1"/>
  <c r="CA102" i="3" s="1" a="1"/>
  <c r="CA102" i="3" s="1"/>
  <c r="CA104" i="3" s="1"/>
  <c r="BV74" i="13"/>
  <c r="BX22" i="13"/>
  <c r="BX24" i="13" s="1"/>
  <c r="BX48" i="13"/>
  <c r="BY35" i="13"/>
  <c r="BZ115" i="3"/>
  <c r="BZ117" i="3"/>
  <c r="BP33" i="39" s="1"/>
  <c r="BY36" i="13"/>
  <c r="BZ110" i="3"/>
  <c r="CA65" i="3"/>
  <c r="CA90" i="3" s="1"/>
  <c r="CA95" i="3" s="1"/>
  <c r="CA96" i="3" s="1"/>
  <c r="BQ25" i="39" s="1"/>
  <c r="BQ28" i="39" s="1"/>
  <c r="CB64" i="3"/>
  <c r="CB72" i="3" s="1"/>
  <c r="CB74" i="3" s="1" a="1"/>
  <c r="CB74" i="3" s="1"/>
  <c r="BR20" i="39" s="1"/>
  <c r="CA69" i="3"/>
  <c r="CA89" i="3" s="1"/>
  <c r="BN35" i="39" l="1"/>
  <c r="BQ26" i="39"/>
  <c r="BV79" i="13"/>
  <c r="BM63" i="39"/>
  <c r="BM67" i="39" s="1"/>
  <c r="BM48" i="39"/>
  <c r="BM101" i="39" s="1"/>
  <c r="BM104" i="39" s="1"/>
  <c r="BW49" i="13"/>
  <c r="BW78" i="13" s="1"/>
  <c r="BN62" i="39" s="1"/>
  <c r="BN84" i="39" s="1"/>
  <c r="BY44" i="13"/>
  <c r="BP31" i="39"/>
  <c r="BX42" i="13"/>
  <c r="BO30" i="39"/>
  <c r="BX46" i="13"/>
  <c r="BO32" i="39"/>
  <c r="BO83" i="39"/>
  <c r="BN47" i="39"/>
  <c r="BX65" i="13" a="1"/>
  <c r="BX65" i="13" s="1"/>
  <c r="BO44" i="39" s="1"/>
  <c r="BX70" i="13" a="1"/>
  <c r="BX70" i="13" s="1"/>
  <c r="BX66" i="13" a="1"/>
  <c r="BX66" i="13" s="1"/>
  <c r="BO45" i="39" s="1"/>
  <c r="BX72" i="13" a="1"/>
  <c r="BX72" i="13" s="1"/>
  <c r="BX67" i="13" a="1"/>
  <c r="BX67" i="13" s="1"/>
  <c r="BX69" i="13" a="1"/>
  <c r="BX69" i="13" s="1"/>
  <c r="BX73" i="13" a="1"/>
  <c r="BX73" i="13" s="1"/>
  <c r="BO46" i="39" s="1"/>
  <c r="BX68" i="13" a="1"/>
  <c r="BX68" i="13" s="1"/>
  <c r="BX71" i="13" a="1"/>
  <c r="BX71" i="13" s="1"/>
  <c r="BX61" i="13" a="1"/>
  <c r="BX61" i="13" s="1"/>
  <c r="BO40" i="39" s="1"/>
  <c r="BO41" i="39"/>
  <c r="BX64" i="13" a="1"/>
  <c r="BX64" i="13" s="1"/>
  <c r="BO43" i="39" s="1"/>
  <c r="BX63" i="13" a="1"/>
  <c r="BX63" i="13" s="1"/>
  <c r="BO42" i="39" s="1"/>
  <c r="BX60" i="13" a="1"/>
  <c r="BX60" i="13" s="1"/>
  <c r="BO39" i="39" s="1"/>
  <c r="BY37" i="13"/>
  <c r="BY77" i="13" s="1"/>
  <c r="BP57" i="39" s="1"/>
  <c r="BP83" i="39" s="1"/>
  <c r="CB99" i="3"/>
  <c r="CB100" i="3" s="1" a="1"/>
  <c r="CB100" i="3" s="1"/>
  <c r="CB102" i="3" s="1" a="1"/>
  <c r="CB102" i="3" s="1"/>
  <c r="CB104" i="3" s="1"/>
  <c r="CA26" i="13"/>
  <c r="CA29" i="13" s="1"/>
  <c r="BZ36" i="13"/>
  <c r="CA110" i="3"/>
  <c r="BW74" i="13"/>
  <c r="CA115" i="3"/>
  <c r="BZ35" i="13"/>
  <c r="CA117" i="3"/>
  <c r="BQ33" i="39" s="1"/>
  <c r="BY48" i="13"/>
  <c r="BY22" i="13"/>
  <c r="BY24" i="13" s="1"/>
  <c r="BZ116" i="3"/>
  <c r="BZ114" i="3"/>
  <c r="CC64" i="3"/>
  <c r="CC72" i="3" s="1"/>
  <c r="CC74" i="3" s="1" a="1"/>
  <c r="CC74" i="3" s="1"/>
  <c r="BS20" i="39" s="1"/>
  <c r="CB65" i="3"/>
  <c r="CB90" i="3" s="1"/>
  <c r="CB95" i="3" s="1"/>
  <c r="CB96" i="3" s="1"/>
  <c r="BR25" i="39" s="1"/>
  <c r="BR28" i="39" s="1"/>
  <c r="CB69" i="3"/>
  <c r="CB89" i="3" s="1"/>
  <c r="BO35" i="39" l="1"/>
  <c r="BR26" i="39"/>
  <c r="BN36" i="39"/>
  <c r="BN48" i="39" s="1"/>
  <c r="BN101" i="39" s="1"/>
  <c r="BN104" i="39" s="1"/>
  <c r="BN63" i="39"/>
  <c r="BN67" i="39" s="1"/>
  <c r="BW79" i="13"/>
  <c r="BX49" i="13"/>
  <c r="BX78" i="13" s="1"/>
  <c r="BX79" i="13" s="1"/>
  <c r="BZ37" i="13"/>
  <c r="BZ66" i="13" s="1" a="1"/>
  <c r="BZ66" i="13" s="1"/>
  <c r="BQ45" i="39" s="1"/>
  <c r="BO36" i="39"/>
  <c r="BO47" i="39"/>
  <c r="BZ44" i="13"/>
  <c r="BQ31" i="39"/>
  <c r="BY46" i="13"/>
  <c r="BP32" i="39"/>
  <c r="BY42" i="13"/>
  <c r="BP30" i="39"/>
  <c r="BP35" i="39" s="1"/>
  <c r="BX74" i="13"/>
  <c r="BY70" i="13" a="1"/>
  <c r="BY70" i="13" s="1"/>
  <c r="BY66" i="13" a="1"/>
  <c r="BY66" i="13" s="1"/>
  <c r="BP45" i="39" s="1"/>
  <c r="BY72" i="13" a="1"/>
  <c r="BY72" i="13" s="1"/>
  <c r="BY67" i="13" a="1"/>
  <c r="BY67" i="13" s="1"/>
  <c r="BY69" i="13" a="1"/>
  <c r="BY69" i="13" s="1"/>
  <c r="BY71" i="13" a="1"/>
  <c r="BY71" i="13" s="1"/>
  <c r="BY65" i="13" a="1"/>
  <c r="BY65" i="13" s="1"/>
  <c r="BP44" i="39" s="1"/>
  <c r="BY68" i="13" a="1"/>
  <c r="BY68" i="13" s="1"/>
  <c r="BY73" i="13" a="1"/>
  <c r="BY73" i="13" s="1"/>
  <c r="BP46" i="39" s="1"/>
  <c r="BP41" i="39"/>
  <c r="BY64" i="13" a="1"/>
  <c r="BY64" i="13" s="1"/>
  <c r="BP43" i="39" s="1"/>
  <c r="BY63" i="13" a="1"/>
  <c r="BY63" i="13" s="1"/>
  <c r="BP42" i="39" s="1"/>
  <c r="BY60" i="13" a="1"/>
  <c r="BY60" i="13" s="1"/>
  <c r="BP39" i="39" s="1"/>
  <c r="BY61" i="13" a="1"/>
  <c r="BY61" i="13" s="1"/>
  <c r="BP40" i="39" s="1"/>
  <c r="CA36" i="13"/>
  <c r="CB110" i="3"/>
  <c r="BZ22" i="13"/>
  <c r="BZ24" i="13" s="1"/>
  <c r="BZ48" i="13"/>
  <c r="CB115" i="3"/>
  <c r="CA35" i="13"/>
  <c r="CB117" i="3"/>
  <c r="BR33" i="39" s="1"/>
  <c r="CB26" i="13"/>
  <c r="CB29" i="13" s="1"/>
  <c r="CC99" i="3"/>
  <c r="CC100" i="3" s="1" a="1"/>
  <c r="CC100" i="3" s="1"/>
  <c r="CC102" i="3" s="1" a="1"/>
  <c r="CC102" i="3" s="1"/>
  <c r="CC104" i="3" s="1"/>
  <c r="CA116" i="3"/>
  <c r="CA114" i="3"/>
  <c r="CD64" i="3"/>
  <c r="CD72" i="3" s="1"/>
  <c r="CD74" i="3" s="1" a="1"/>
  <c r="CD74" i="3" s="1"/>
  <c r="BT20" i="39" s="1"/>
  <c r="CC65" i="3"/>
  <c r="CC90" i="3" s="1"/>
  <c r="CC95" i="3" s="1"/>
  <c r="CC96" i="3" s="1"/>
  <c r="BS25" i="39" s="1"/>
  <c r="BS28" i="39" s="1"/>
  <c r="CC69" i="3"/>
  <c r="CC89" i="3" s="1"/>
  <c r="BS26" i="39" l="1"/>
  <c r="BO62" i="39"/>
  <c r="BO63" i="39" s="1"/>
  <c r="BO67" i="39" s="1"/>
  <c r="BZ70" i="13" a="1"/>
  <c r="BZ70" i="13" s="1"/>
  <c r="BZ63" i="13" a="1"/>
  <c r="BZ63" i="13" s="1"/>
  <c r="BQ42" i="39" s="1"/>
  <c r="BZ68" i="13" a="1"/>
  <c r="BZ68" i="13" s="1"/>
  <c r="BZ77" i="13"/>
  <c r="BQ57" i="39" s="1"/>
  <c r="BQ83" i="39" s="1"/>
  <c r="BZ65" i="13" a="1"/>
  <c r="BZ65" i="13" s="1"/>
  <c r="BQ44" i="39" s="1"/>
  <c r="BZ73" i="13" a="1"/>
  <c r="BZ73" i="13" s="1"/>
  <c r="BQ46" i="39" s="1"/>
  <c r="BY49" i="13"/>
  <c r="BY78" i="13" s="1"/>
  <c r="BY79" i="13" s="1"/>
  <c r="BZ60" i="13" a="1"/>
  <c r="BZ60" i="13" s="1"/>
  <c r="BQ39" i="39" s="1"/>
  <c r="BZ71" i="13" a="1"/>
  <c r="BZ71" i="13" s="1"/>
  <c r="BZ69" i="13" a="1"/>
  <c r="BZ69" i="13" s="1"/>
  <c r="BZ64" i="13" a="1"/>
  <c r="BZ64" i="13" s="1"/>
  <c r="BQ43" i="39" s="1"/>
  <c r="BZ67" i="13" a="1"/>
  <c r="BZ67" i="13" s="1"/>
  <c r="BQ41" i="39"/>
  <c r="BZ72" i="13" a="1"/>
  <c r="BZ72" i="13" s="1"/>
  <c r="BZ61" i="13" a="1"/>
  <c r="BZ61" i="13" s="1"/>
  <c r="BQ40" i="39" s="1"/>
  <c r="BP36" i="39"/>
  <c r="BO48" i="39"/>
  <c r="BP47" i="39"/>
  <c r="BZ46" i="13"/>
  <c r="BQ32" i="39"/>
  <c r="BZ42" i="13"/>
  <c r="BQ30" i="39"/>
  <c r="CA44" i="13"/>
  <c r="BR31" i="39"/>
  <c r="BY74" i="13"/>
  <c r="CA37" i="13"/>
  <c r="CA77" i="13" s="1"/>
  <c r="BR57" i="39" s="1"/>
  <c r="CA22" i="13"/>
  <c r="CA24" i="13" s="1"/>
  <c r="CA48" i="13"/>
  <c r="CC115" i="3"/>
  <c r="CB35" i="13"/>
  <c r="CC117" i="3"/>
  <c r="BS33" i="39" s="1"/>
  <c r="CB36" i="13"/>
  <c r="CC110" i="3"/>
  <c r="CB116" i="3"/>
  <c r="CB114" i="3"/>
  <c r="CC26" i="13"/>
  <c r="CC29" i="13" s="1"/>
  <c r="CD99" i="3"/>
  <c r="CD100" i="3" s="1" a="1"/>
  <c r="CD100" i="3" s="1"/>
  <c r="CD102" i="3" s="1" a="1"/>
  <c r="CD102" i="3" s="1"/>
  <c r="CD104" i="3" s="1"/>
  <c r="CE64" i="3"/>
  <c r="CE72" i="3" s="1"/>
  <c r="CE74" i="3" s="1" a="1"/>
  <c r="CE74" i="3" s="1"/>
  <c r="BU20" i="39" s="1"/>
  <c r="CD65" i="3"/>
  <c r="CD90" i="3" s="1"/>
  <c r="CD95" i="3" s="1"/>
  <c r="CD96" i="3" s="1"/>
  <c r="BT25" i="39" s="1"/>
  <c r="BT28" i="39" s="1"/>
  <c r="CD69" i="3"/>
  <c r="CD89" i="3" s="1"/>
  <c r="BO84" i="39" l="1"/>
  <c r="BQ35" i="39"/>
  <c r="BT26" i="39"/>
  <c r="BR83" i="39"/>
  <c r="BQ36" i="39"/>
  <c r="BO101" i="39"/>
  <c r="BO104" i="39" s="1"/>
  <c r="BP62" i="39"/>
  <c r="BP63" i="39" s="1"/>
  <c r="BP67" i="39" s="1"/>
  <c r="BQ47" i="39"/>
  <c r="BZ74" i="13"/>
  <c r="BP48" i="39"/>
  <c r="BP101" i="39" s="1"/>
  <c r="BP104" i="39" s="1"/>
  <c r="BZ49" i="13"/>
  <c r="BZ78" i="13" s="1"/>
  <c r="BQ62" i="39" s="1"/>
  <c r="CB44" i="13"/>
  <c r="BS31" i="39"/>
  <c r="CA42" i="13"/>
  <c r="BR30" i="39"/>
  <c r="CA46" i="13"/>
  <c r="BR32" i="39"/>
  <c r="CA72" i="13" a="1"/>
  <c r="CA72" i="13" s="1"/>
  <c r="CA67" i="13" a="1"/>
  <c r="CA67" i="13" s="1"/>
  <c r="CA69" i="13" a="1"/>
  <c r="CA69" i="13" s="1"/>
  <c r="CA71" i="13" a="1"/>
  <c r="CA71" i="13" s="1"/>
  <c r="CA73" i="13" a="1"/>
  <c r="CA73" i="13" s="1"/>
  <c r="BR46" i="39" s="1"/>
  <c r="CA68" i="13" a="1"/>
  <c r="CA68" i="13" s="1"/>
  <c r="CA66" i="13" a="1"/>
  <c r="CA66" i="13" s="1"/>
  <c r="BR45" i="39" s="1"/>
  <c r="BR41" i="39"/>
  <c r="CA65" i="13" a="1"/>
  <c r="CA65" i="13" s="1"/>
  <c r="BR44" i="39" s="1"/>
  <c r="CA64" i="13" a="1"/>
  <c r="CA64" i="13" s="1"/>
  <c r="BR43" i="39" s="1"/>
  <c r="CA70" i="13" a="1"/>
  <c r="CA70" i="13" s="1"/>
  <c r="CA63" i="13" a="1"/>
  <c r="CA63" i="13" s="1"/>
  <c r="BR42" i="39" s="1"/>
  <c r="CA60" i="13" a="1"/>
  <c r="CA60" i="13" s="1"/>
  <c r="BR39" i="39" s="1"/>
  <c r="CA61" i="13" a="1"/>
  <c r="CA61" i="13" s="1"/>
  <c r="BR40" i="39" s="1"/>
  <c r="CE99" i="3"/>
  <c r="CE100" i="3" s="1" a="1"/>
  <c r="CE100" i="3" s="1"/>
  <c r="CE102" i="3" s="1" a="1"/>
  <c r="CE102" i="3" s="1"/>
  <c r="CE104" i="3" s="1"/>
  <c r="CD26" i="13"/>
  <c r="CD29" i="13" s="1"/>
  <c r="CB48" i="13"/>
  <c r="CB22" i="13"/>
  <c r="CB24" i="13" s="1"/>
  <c r="CC116" i="3"/>
  <c r="CC114" i="3"/>
  <c r="CC36" i="13"/>
  <c r="CD110" i="3"/>
  <c r="CD115" i="3"/>
  <c r="CC35" i="13"/>
  <c r="CD117" i="3"/>
  <c r="BT33" i="39" s="1"/>
  <c r="CB37" i="13"/>
  <c r="CF64" i="3"/>
  <c r="CF72" i="3" s="1"/>
  <c r="CF74" i="3" s="1" a="1"/>
  <c r="CF74" i="3" s="1"/>
  <c r="BV20" i="39" s="1"/>
  <c r="CE65" i="3"/>
  <c r="CE90" i="3" s="1"/>
  <c r="CE95" i="3" s="1"/>
  <c r="CE96" i="3" s="1"/>
  <c r="BU25" i="39" s="1"/>
  <c r="BU28" i="39" s="1"/>
  <c r="CE69" i="3"/>
  <c r="CE89" i="3" s="1"/>
  <c r="BR35" i="39" l="1"/>
  <c r="BU26" i="39"/>
  <c r="BP84" i="39"/>
  <c r="BQ48" i="39"/>
  <c r="BQ101" i="39" s="1"/>
  <c r="BQ104" i="39" s="1"/>
  <c r="BZ79" i="13"/>
  <c r="CA49" i="13"/>
  <c r="CA78" i="13" s="1"/>
  <c r="CA79" i="13" s="1"/>
  <c r="CC44" i="13"/>
  <c r="BT31" i="39"/>
  <c r="BQ84" i="39"/>
  <c r="BQ63" i="39"/>
  <c r="BQ67" i="39" s="1"/>
  <c r="BR47" i="39"/>
  <c r="CB42" i="13"/>
  <c r="BS30" i="39"/>
  <c r="CB46" i="13"/>
  <c r="BS32" i="39"/>
  <c r="CA74" i="13"/>
  <c r="CB67" i="13" a="1"/>
  <c r="CB67" i="13" s="1"/>
  <c r="CB71" i="13" a="1"/>
  <c r="CB71" i="13" s="1"/>
  <c r="CB69" i="13" a="1"/>
  <c r="CB69" i="13" s="1"/>
  <c r="CB73" i="13" a="1"/>
  <c r="CB73" i="13" s="1"/>
  <c r="BS46" i="39" s="1"/>
  <c r="CB68" i="13" a="1"/>
  <c r="CB68" i="13" s="1"/>
  <c r="CB70" i="13" a="1"/>
  <c r="CB70" i="13" s="1"/>
  <c r="CB66" i="13" a="1"/>
  <c r="CB66" i="13" s="1"/>
  <c r="BS45" i="39" s="1"/>
  <c r="CB72" i="13" a="1"/>
  <c r="CB72" i="13" s="1"/>
  <c r="CB64" i="13" a="1"/>
  <c r="CB64" i="13" s="1"/>
  <c r="BS43" i="39" s="1"/>
  <c r="CB63" i="13" a="1"/>
  <c r="CB63" i="13" s="1"/>
  <c r="BS42" i="39" s="1"/>
  <c r="CB60" i="13" a="1"/>
  <c r="CB60" i="13" s="1"/>
  <c r="BS39" i="39" s="1"/>
  <c r="CB61" i="13" a="1"/>
  <c r="CB61" i="13" s="1"/>
  <c r="BS40" i="39" s="1"/>
  <c r="CB65" i="13" a="1"/>
  <c r="CB65" i="13" s="1"/>
  <c r="BS44" i="39" s="1"/>
  <c r="BS41" i="39"/>
  <c r="CB77" i="13"/>
  <c r="BS57" i="39" s="1"/>
  <c r="BS83" i="39" s="1"/>
  <c r="CE115" i="3"/>
  <c r="CD35" i="13"/>
  <c r="CE117" i="3"/>
  <c r="BU33" i="39" s="1"/>
  <c r="CD116" i="3"/>
  <c r="CD114" i="3"/>
  <c r="CC48" i="13"/>
  <c r="CC22" i="13"/>
  <c r="CC24" i="13" s="1"/>
  <c r="CF99" i="3"/>
  <c r="CF100" i="3" s="1" a="1"/>
  <c r="CF100" i="3" s="1"/>
  <c r="CF102" i="3" s="1" a="1"/>
  <c r="CF102" i="3" s="1"/>
  <c r="CF104" i="3" s="1"/>
  <c r="CE26" i="13"/>
  <c r="CE29" i="13" s="1"/>
  <c r="CC37" i="13"/>
  <c r="CD36" i="13"/>
  <c r="CE110" i="3"/>
  <c r="CG64" i="3"/>
  <c r="CG72" i="3" s="1"/>
  <c r="CG74" i="3" s="1" a="1"/>
  <c r="CG74" i="3" s="1"/>
  <c r="BW20" i="39" s="1"/>
  <c r="CF65" i="3"/>
  <c r="CF90" i="3" s="1"/>
  <c r="CF95" i="3" s="1"/>
  <c r="CF96" i="3" s="1"/>
  <c r="BV25" i="39" s="1"/>
  <c r="BV28" i="39" s="1"/>
  <c r="CF69" i="3"/>
  <c r="CF89" i="3" s="1"/>
  <c r="BS35" i="39" l="1"/>
  <c r="BV26" i="39"/>
  <c r="CB49" i="13"/>
  <c r="CB78" i="13" s="1"/>
  <c r="BS62" i="39" s="1"/>
  <c r="BS63" i="39" s="1"/>
  <c r="BS67" i="39" s="1"/>
  <c r="BR36" i="39"/>
  <c r="BR48" i="39" s="1"/>
  <c r="BR62" i="39"/>
  <c r="BR84" i="39" s="1"/>
  <c r="BS36" i="39"/>
  <c r="CC42" i="13"/>
  <c r="BT30" i="39"/>
  <c r="CC46" i="13"/>
  <c r="BT32" i="39"/>
  <c r="BS47" i="39"/>
  <c r="CD44" i="13"/>
  <c r="BU31" i="39"/>
  <c r="CC71" i="13" a="1"/>
  <c r="CC71" i="13" s="1"/>
  <c r="CC69" i="13" a="1"/>
  <c r="CC69" i="13" s="1"/>
  <c r="CC73" i="13" a="1"/>
  <c r="CC73" i="13" s="1"/>
  <c r="BT46" i="39" s="1"/>
  <c r="CC68" i="13" a="1"/>
  <c r="CC68" i="13" s="1"/>
  <c r="CC65" i="13" a="1"/>
  <c r="CC65" i="13" s="1"/>
  <c r="BT44" i="39" s="1"/>
  <c r="CC70" i="13" a="1"/>
  <c r="CC70" i="13" s="1"/>
  <c r="CC66" i="13" a="1"/>
  <c r="CC66" i="13" s="1"/>
  <c r="BT45" i="39" s="1"/>
  <c r="CC67" i="13" a="1"/>
  <c r="CC67" i="13" s="1"/>
  <c r="CC60" i="13" a="1"/>
  <c r="CC60" i="13" s="1"/>
  <c r="BT39" i="39" s="1"/>
  <c r="BT41" i="39"/>
  <c r="CC64" i="13" a="1"/>
  <c r="CC64" i="13" s="1"/>
  <c r="BT43" i="39" s="1"/>
  <c r="CC61" i="13" a="1"/>
  <c r="CC61" i="13" s="1"/>
  <c r="BT40" i="39" s="1"/>
  <c r="CC72" i="13" a="1"/>
  <c r="CC72" i="13" s="1"/>
  <c r="CC63" i="13" a="1"/>
  <c r="CC63" i="13" s="1"/>
  <c r="BT42" i="39" s="1"/>
  <c r="CB74" i="13"/>
  <c r="CE36" i="13"/>
  <c r="CF110" i="3"/>
  <c r="CG99" i="3"/>
  <c r="CG100" i="3" s="1" a="1"/>
  <c r="CG100" i="3" s="1"/>
  <c r="CG102" i="3" s="1" a="1"/>
  <c r="CG102" i="3" s="1"/>
  <c r="CG104" i="3" s="1"/>
  <c r="CF26" i="13"/>
  <c r="CF29" i="13" s="1"/>
  <c r="CE116" i="3"/>
  <c r="CE114" i="3"/>
  <c r="CE35" i="13"/>
  <c r="CF115" i="3"/>
  <c r="CF117" i="3"/>
  <c r="BV33" i="39" s="1"/>
  <c r="CC77" i="13"/>
  <c r="BT57" i="39" s="1"/>
  <c r="BT83" i="39" s="1"/>
  <c r="CD22" i="13"/>
  <c r="CD24" i="13" s="1"/>
  <c r="CD48" i="13"/>
  <c r="CD37" i="13"/>
  <c r="CG65" i="3"/>
  <c r="CG90" i="3" s="1"/>
  <c r="CG95" i="3" s="1"/>
  <c r="CG96" i="3" s="1"/>
  <c r="CG69" i="3"/>
  <c r="CG89" i="3" s="1"/>
  <c r="BW25" i="39" l="1"/>
  <c r="BW28" i="39" s="1"/>
  <c r="B40" i="38"/>
  <c r="B41" i="38" s="1"/>
  <c r="B44" i="38" s="1"/>
  <c r="C40" i="38"/>
  <c r="C41" i="38" s="1"/>
  <c r="C44" i="38" s="1"/>
  <c r="D40" i="38"/>
  <c r="D41" i="38" s="1"/>
  <c r="D44" i="38" s="1"/>
  <c r="E40" i="38"/>
  <c r="E41" i="38" s="1"/>
  <c r="E44" i="38" s="1"/>
  <c r="F40" i="38"/>
  <c r="F41" i="38" s="1"/>
  <c r="F44" i="38" s="1"/>
  <c r="G40" i="38"/>
  <c r="G41" i="38" s="1"/>
  <c r="G44" i="38" s="1"/>
  <c r="BT35" i="39"/>
  <c r="BT36" i="39" s="1"/>
  <c r="BW26" i="39"/>
  <c r="CB79" i="13"/>
  <c r="BR63" i="39"/>
  <c r="BR67" i="39" s="1"/>
  <c r="BS84" i="39"/>
  <c r="BS48" i="39"/>
  <c r="BS101" i="39" s="1"/>
  <c r="BS104" i="39" s="1"/>
  <c r="CC49" i="13"/>
  <c r="CC78" i="13" s="1"/>
  <c r="BT62" i="39" s="1"/>
  <c r="BT63" i="39" s="1"/>
  <c r="BT67" i="39" s="1"/>
  <c r="CE44" i="13"/>
  <c r="BV31" i="39"/>
  <c r="CD42" i="13"/>
  <c r="BU30" i="39"/>
  <c r="CD46" i="13"/>
  <c r="BU32" i="39"/>
  <c r="BT47" i="39"/>
  <c r="BR101" i="39"/>
  <c r="BR104" i="39" s="1"/>
  <c r="CD73" i="13" a="1"/>
  <c r="CD73" i="13" s="1"/>
  <c r="BU46" i="39" s="1"/>
  <c r="CD68" i="13" a="1"/>
  <c r="CD68" i="13" s="1"/>
  <c r="CD65" i="13" a="1"/>
  <c r="CD65" i="13" s="1"/>
  <c r="BU44" i="39" s="1"/>
  <c r="CD70" i="13" a="1"/>
  <c r="CD70" i="13" s="1"/>
  <c r="CD66" i="13" a="1"/>
  <c r="CD66" i="13" s="1"/>
  <c r="BU45" i="39" s="1"/>
  <c r="CD72" i="13" a="1"/>
  <c r="CD72" i="13" s="1"/>
  <c r="CD71" i="13" a="1"/>
  <c r="CD71" i="13" s="1"/>
  <c r="CD61" i="13" a="1"/>
  <c r="CD61" i="13" s="1"/>
  <c r="BU40" i="39" s="1"/>
  <c r="CD67" i="13" a="1"/>
  <c r="CD67" i="13" s="1"/>
  <c r="CD69" i="13" a="1"/>
  <c r="CD69" i="13" s="1"/>
  <c r="CD64" i="13" a="1"/>
  <c r="CD64" i="13" s="1"/>
  <c r="BU43" i="39" s="1"/>
  <c r="BU41" i="39"/>
  <c r="CD60" i="13" a="1"/>
  <c r="CD60" i="13" s="1"/>
  <c r="BU39" i="39" s="1"/>
  <c r="CD63" i="13" a="1"/>
  <c r="CD63" i="13" s="1"/>
  <c r="BU42" i="39" s="1"/>
  <c r="CF35" i="13"/>
  <c r="CG115" i="3"/>
  <c r="CG117" i="3"/>
  <c r="BW33" i="39" s="1"/>
  <c r="CC74" i="13"/>
  <c r="CF36" i="13"/>
  <c r="CG110" i="3"/>
  <c r="CD77" i="13"/>
  <c r="BU57" i="39" s="1"/>
  <c r="BU83" i="39" s="1"/>
  <c r="CF116" i="3"/>
  <c r="CF114" i="3"/>
  <c r="CE22" i="13"/>
  <c r="CE24" i="13" s="1"/>
  <c r="CE48" i="13"/>
  <c r="CE37" i="13"/>
  <c r="BU35" i="39" l="1"/>
  <c r="CD49" i="13"/>
  <c r="CD78" i="13" s="1"/>
  <c r="BU62" i="39" s="1"/>
  <c r="BU84" i="39" s="1"/>
  <c r="BT84" i="39"/>
  <c r="CC79" i="13"/>
  <c r="CE42" i="13"/>
  <c r="BV30" i="39"/>
  <c r="BU36" i="39"/>
  <c r="BT48" i="39"/>
  <c r="BU47" i="39"/>
  <c r="CE46" i="13"/>
  <c r="BV32" i="39"/>
  <c r="CF44" i="13"/>
  <c r="BW31" i="39"/>
  <c r="CE73" i="13" a="1"/>
  <c r="CE73" i="13" s="1"/>
  <c r="BV46" i="39" s="1"/>
  <c r="CE68" i="13" a="1"/>
  <c r="CE68" i="13" s="1"/>
  <c r="CE65" i="13" a="1"/>
  <c r="CE65" i="13" s="1"/>
  <c r="BV44" i="39" s="1"/>
  <c r="CE70" i="13" a="1"/>
  <c r="CE70" i="13" s="1"/>
  <c r="CE66" i="13" a="1"/>
  <c r="CE66" i="13" s="1"/>
  <c r="BV45" i="39" s="1"/>
  <c r="CE72" i="13" a="1"/>
  <c r="CE72" i="13" s="1"/>
  <c r="CE69" i="13" a="1"/>
  <c r="CE69" i="13" s="1"/>
  <c r="CE67" i="13" a="1"/>
  <c r="CE67" i="13" s="1"/>
  <c r="CE60" i="13" a="1"/>
  <c r="CE60" i="13" s="1"/>
  <c r="BV39" i="39" s="1"/>
  <c r="CE61" i="13" a="1"/>
  <c r="CE61" i="13" s="1"/>
  <c r="BV40" i="39" s="1"/>
  <c r="CE64" i="13" a="1"/>
  <c r="CE64" i="13" s="1"/>
  <c r="BV43" i="39" s="1"/>
  <c r="BV41" i="39"/>
  <c r="CE63" i="13" a="1"/>
  <c r="CE63" i="13" s="1"/>
  <c r="BV42" i="39" s="1"/>
  <c r="CE71" i="13" a="1"/>
  <c r="CE71" i="13" s="1"/>
  <c r="CG116" i="3"/>
  <c r="CG114" i="3"/>
  <c r="CD74" i="13"/>
  <c r="CE77" i="13"/>
  <c r="BV57" i="39" s="1"/>
  <c r="BV83" i="39" s="1"/>
  <c r="CF22" i="13"/>
  <c r="CF24" i="13" s="1"/>
  <c r="CF48" i="13"/>
  <c r="CF37" i="13"/>
  <c r="BV35" i="39" l="1"/>
  <c r="BU63" i="39"/>
  <c r="BU67" i="39" s="1"/>
  <c r="CD79" i="13"/>
  <c r="CE49" i="13"/>
  <c r="CE78" i="13" s="1"/>
  <c r="BV62" i="39" s="1"/>
  <c r="BV63" i="39" s="1"/>
  <c r="BV67" i="39" s="1"/>
  <c r="BU48" i="39"/>
  <c r="BU101" i="39" s="1"/>
  <c r="BU104" i="39" s="1"/>
  <c r="CF46" i="13"/>
  <c r="BW32" i="39"/>
  <c r="BV47" i="39"/>
  <c r="BT101" i="39"/>
  <c r="BT104" i="39" s="1"/>
  <c r="CF42" i="13"/>
  <c r="BW30" i="39"/>
  <c r="BV36" i="39"/>
  <c r="CF70" i="13" a="1"/>
  <c r="CF70" i="13" s="1"/>
  <c r="CF66" i="13" a="1"/>
  <c r="CF66" i="13" s="1"/>
  <c r="BW45" i="39" s="1"/>
  <c r="CF72" i="13" a="1"/>
  <c r="CF72" i="13" s="1"/>
  <c r="CF69" i="13" a="1"/>
  <c r="CF69" i="13" s="1"/>
  <c r="CF67" i="13" a="1"/>
  <c r="CF67" i="13" s="1"/>
  <c r="CF71" i="13" a="1"/>
  <c r="CF71" i="13" s="1"/>
  <c r="CF73" i="13" a="1"/>
  <c r="CF73" i="13" s="1"/>
  <c r="BW46" i="39" s="1"/>
  <c r="CF68" i="13" a="1"/>
  <c r="CF68" i="13" s="1"/>
  <c r="CF65" i="13" a="1"/>
  <c r="CF65" i="13" s="1"/>
  <c r="BW44" i="39" s="1"/>
  <c r="CF61" i="13" a="1"/>
  <c r="CF61" i="13" s="1"/>
  <c r="BW40" i="39" s="1"/>
  <c r="CF64" i="13" a="1"/>
  <c r="CF64" i="13" s="1"/>
  <c r="BW43" i="39" s="1"/>
  <c r="CF63" i="13" a="1"/>
  <c r="CF63" i="13" s="1"/>
  <c r="BW42" i="39" s="1"/>
  <c r="BW41" i="39"/>
  <c r="CF60" i="13" a="1"/>
  <c r="CF60" i="13" s="1"/>
  <c r="BW39" i="39" s="1"/>
  <c r="CE74" i="13"/>
  <c r="CF77" i="13"/>
  <c r="BW57" i="39" s="1"/>
  <c r="BW35" i="39" l="1"/>
  <c r="BW83" i="39"/>
  <c r="CE79" i="13"/>
  <c r="BV84" i="39"/>
  <c r="CF49" i="13"/>
  <c r="CF78" i="13" s="1"/>
  <c r="BW62" i="39" s="1"/>
  <c r="BV48" i="39"/>
  <c r="BW47" i="39"/>
  <c r="CF74" i="13"/>
  <c r="BW84" i="39" l="1"/>
  <c r="BW36" i="39"/>
  <c r="BW48" i="39" s="1"/>
  <c r="BW63" i="39"/>
  <c r="BW67" i="39" s="1"/>
  <c r="CF79" i="13"/>
  <c r="BV101" i="39"/>
  <c r="BV104" i="39" s="1"/>
  <c r="BW101" i="39" l="1"/>
  <c r="BW104" i="39" s="1"/>
  <c r="AA105" i="39" l="1"/>
  <c r="AA108" i="39" s="1"/>
  <c r="AA112" i="39" s="1"/>
  <c r="AA50" i="39" s="1"/>
  <c r="AA51" i="39" s="1"/>
  <c r="AA81" i="39" s="1"/>
  <c r="AA85" i="39" s="1"/>
  <c r="H14" i="10"/>
  <c r="H16" i="10" s="1"/>
  <c r="X105" i="39"/>
  <c r="X108" i="39" s="1"/>
  <c r="X112" i="39" s="1"/>
  <c r="X50" i="39" s="1"/>
  <c r="X51" i="39" s="1"/>
  <c r="X81" i="39" s="1"/>
  <c r="X85" i="39" s="1"/>
  <c r="W105" i="39"/>
  <c r="W108" i="39" s="1"/>
  <c r="W112" i="39" s="1"/>
  <c r="W50" i="39" s="1"/>
  <c r="W51" i="39" s="1"/>
  <c r="W81" i="39" s="1"/>
  <c r="W85" i="39" s="1"/>
  <c r="V105" i="39"/>
  <c r="V108" i="39" s="1"/>
  <c r="V112" i="39" s="1"/>
  <c r="V50" i="39" s="1"/>
  <c r="V51" i="39" s="1"/>
  <c r="V81" i="39" s="1"/>
  <c r="V85" i="39" s="1"/>
  <c r="U105" i="39"/>
  <c r="U108" i="39" s="1"/>
  <c r="U112" i="39" s="1"/>
  <c r="U50" i="39" s="1"/>
  <c r="U51" i="39" s="1"/>
  <c r="U81" i="39" s="1"/>
  <c r="U85" i="39" s="1"/>
  <c r="T105" i="39"/>
  <c r="T108" i="39" s="1"/>
  <c r="T112" i="39" s="1"/>
  <c r="T50" i="39" s="1"/>
  <c r="T51" i="39" s="1"/>
  <c r="T81" i="39" s="1"/>
  <c r="T85" i="39" s="1"/>
  <c r="S105" i="39"/>
  <c r="S108" i="39" s="1"/>
  <c r="S112" i="39" s="1"/>
  <c r="S50" i="39" s="1"/>
  <c r="S51" i="39" s="1"/>
  <c r="S81" i="39" s="1"/>
  <c r="S85" i="39" s="1"/>
  <c r="R105" i="39"/>
  <c r="R108" i="39" s="1"/>
  <c r="R112" i="39" s="1"/>
  <c r="R50" i="39" s="1"/>
  <c r="R51" i="39" s="1"/>
  <c r="R81" i="39" s="1"/>
  <c r="R85" i="39" s="1"/>
  <c r="P105" i="39"/>
  <c r="P108" i="39" s="1"/>
  <c r="P112" i="39" s="1"/>
  <c r="P50" i="39" s="1"/>
  <c r="K15" i="29" s="1"/>
  <c r="C21" i="38" s="1"/>
  <c r="O105" i="39"/>
  <c r="O108" i="39" s="1"/>
  <c r="O112" i="39" s="1"/>
  <c r="O50" i="39" s="1"/>
  <c r="O51" i="39" s="1"/>
  <c r="O81" i="39" s="1"/>
  <c r="O85" i="39" s="1"/>
  <c r="P51" i="39" l="1"/>
  <c r="P81" i="39" s="1"/>
  <c r="P85" i="39" s="1"/>
  <c r="D38" i="39"/>
  <c r="D47" i="39" s="1"/>
  <c r="D48" i="39" l="1"/>
  <c r="D101" i="39" s="1"/>
  <c r="D104" i="39" s="1"/>
  <c r="M74" i="13"/>
  <c r="D105" i="39" l="1"/>
  <c r="D108" i="39" s="1"/>
  <c r="D112" i="39" s="1"/>
  <c r="D50" i="39" s="1"/>
  <c r="D51" i="39" l="1"/>
  <c r="D106" i="39"/>
  <c r="E103" i="39" s="1"/>
  <c r="D74" i="39" l="1"/>
  <c r="D75" i="39" s="1"/>
  <c r="D76" i="39" s="1"/>
  <c r="D81" i="39"/>
  <c r="D85" i="39"/>
  <c r="D97" i="39" s="1"/>
  <c r="D98" i="39" s="1"/>
  <c r="E96" i="39" s="1"/>
  <c r="E105" i="39"/>
  <c r="E108" i="39" s="1"/>
  <c r="E112" i="39" s="1"/>
  <c r="E50" i="39" s="1"/>
  <c r="D56" i="39" l="1"/>
  <c r="D58" i="39" s="1"/>
  <c r="D59" i="39" s="1"/>
  <c r="D77" i="39" s="1"/>
  <c r="E51" i="39"/>
  <c r="E81" i="39" s="1"/>
  <c r="E85" i="39" s="1"/>
  <c r="E106" i="39"/>
  <c r="F103" i="39" s="1"/>
  <c r="E74" i="39" l="1"/>
  <c r="E75" i="39" s="1"/>
  <c r="F105" i="39"/>
  <c r="F108" i="39" s="1"/>
  <c r="F112" i="39" s="1"/>
  <c r="F50" i="39" s="1"/>
  <c r="E94" i="39" l="1"/>
  <c r="E97" i="39" s="1"/>
  <c r="E98" i="39" s="1"/>
  <c r="F96" i="39" s="1"/>
  <c r="E76" i="39"/>
  <c r="F51" i="39"/>
  <c r="F81" i="39" s="1"/>
  <c r="F85" i="39" s="1"/>
  <c r="F106" i="39"/>
  <c r="G103" i="39" s="1"/>
  <c r="E56" i="39" l="1"/>
  <c r="E58" i="39" s="1"/>
  <c r="E59" i="39" s="1"/>
  <c r="E77" i="39" s="1"/>
  <c r="F74" i="39"/>
  <c r="F75" i="39" s="1"/>
  <c r="G105" i="39"/>
  <c r="G108" i="39" s="1"/>
  <c r="G112" i="39" s="1"/>
  <c r="G50" i="39" s="1"/>
  <c r="G51" i="39" l="1"/>
  <c r="G81" i="39" s="1"/>
  <c r="G85" i="39" s="1"/>
  <c r="G106" i="39"/>
  <c r="H103" i="39" s="1"/>
  <c r="F76" i="39" l="1"/>
  <c r="F94" i="39"/>
  <c r="F97" i="39" s="1"/>
  <c r="F98" i="39" s="1"/>
  <c r="G74" i="39"/>
  <c r="G75" i="39" s="1"/>
  <c r="H105" i="39"/>
  <c r="H108" i="39" s="1"/>
  <c r="H112" i="39" s="1"/>
  <c r="H50" i="39" s="1"/>
  <c r="F56" i="39" l="1"/>
  <c r="F58" i="39" s="1"/>
  <c r="F59" i="39" s="1"/>
  <c r="F77" i="39" s="1"/>
  <c r="G96" i="39"/>
  <c r="H51" i="39"/>
  <c r="H74" i="39" s="1"/>
  <c r="H106" i="39"/>
  <c r="I103" i="39" s="1"/>
  <c r="I106" i="39" s="1"/>
  <c r="J103" i="39" s="1"/>
  <c r="J106" i="39" s="1"/>
  <c r="K103" i="39" s="1"/>
  <c r="K106" i="39" s="1"/>
  <c r="L103" i="39" s="1"/>
  <c r="L106" i="39" s="1"/>
  <c r="M103" i="39" s="1"/>
  <c r="M106" i="39" s="1"/>
  <c r="N103" i="39" s="1"/>
  <c r="N106" i="39" s="1"/>
  <c r="O103" i="39" s="1"/>
  <c r="O106" i="39" s="1"/>
  <c r="P103" i="39" s="1"/>
  <c r="P106" i="39" s="1"/>
  <c r="Q103" i="39" s="1"/>
  <c r="Q106" i="39" s="1"/>
  <c r="R103" i="39" s="1"/>
  <c r="R106" i="39" s="1"/>
  <c r="S103" i="39" s="1"/>
  <c r="S106" i="39" s="1"/>
  <c r="T103" i="39" s="1"/>
  <c r="T106" i="39" s="1"/>
  <c r="U103" i="39" s="1"/>
  <c r="U106" i="39" s="1"/>
  <c r="V103" i="39" s="1"/>
  <c r="V106" i="39" s="1"/>
  <c r="W103" i="39" s="1"/>
  <c r="W106" i="39" s="1"/>
  <c r="X103" i="39" s="1"/>
  <c r="X106" i="39" s="1"/>
  <c r="Y103" i="39" s="1"/>
  <c r="Y106" i="39" s="1"/>
  <c r="Z103" i="39" s="1"/>
  <c r="Z106" i="39" s="1"/>
  <c r="AA103" i="39" s="1"/>
  <c r="AA106" i="39" s="1"/>
  <c r="AB103" i="39" s="1"/>
  <c r="AB106" i="39" s="1"/>
  <c r="AC103" i="39" s="1"/>
  <c r="AC106" i="39" s="1"/>
  <c r="AD103" i="39" s="1"/>
  <c r="AD106" i="39" s="1"/>
  <c r="AE103" i="39" s="1"/>
  <c r="AE106" i="39" s="1"/>
  <c r="AF103" i="39" s="1"/>
  <c r="AF106" i="39" s="1"/>
  <c r="AG103" i="39" s="1"/>
  <c r="AG106" i="39" s="1"/>
  <c r="AH103" i="39" s="1"/>
  <c r="AH106" i="39" s="1"/>
  <c r="AI103" i="39" s="1"/>
  <c r="AI105" i="39" l="1"/>
  <c r="AI108" i="39" s="1"/>
  <c r="AI112" i="39" s="1"/>
  <c r="AI50" i="39" s="1"/>
  <c r="AI51" i="39" s="1"/>
  <c r="AI81" i="39" s="1"/>
  <c r="AI85" i="39" s="1"/>
  <c r="H81" i="39"/>
  <c r="H85" i="39" s="1"/>
  <c r="I74" i="39"/>
  <c r="H75" i="39"/>
  <c r="AI106" i="39" l="1"/>
  <c r="AJ103" i="39" s="1"/>
  <c r="J74" i="39"/>
  <c r="I75" i="39"/>
  <c r="AJ105" i="39" l="1"/>
  <c r="AJ108" i="39" s="1"/>
  <c r="AJ112" i="39" s="1"/>
  <c r="AJ50" i="39" s="1"/>
  <c r="AJ51" i="39" s="1"/>
  <c r="AJ81" i="39" s="1"/>
  <c r="AJ85" i="39" s="1"/>
  <c r="G76" i="39"/>
  <c r="G94" i="39"/>
  <c r="G97" i="39" s="1"/>
  <c r="G98" i="39" s="1"/>
  <c r="G56" i="39" s="1"/>
  <c r="G58" i="39" s="1"/>
  <c r="G59" i="39" s="1"/>
  <c r="K74" i="39"/>
  <c r="J75" i="39"/>
  <c r="AJ106" i="39" l="1"/>
  <c r="AK103" i="39" s="1"/>
  <c r="G77" i="39"/>
  <c r="H96" i="39"/>
  <c r="K75" i="39"/>
  <c r="L74" i="39"/>
  <c r="AK105" i="39" l="1"/>
  <c r="AK108" i="39" s="1"/>
  <c r="AK112" i="39" s="1"/>
  <c r="AK50" i="39" s="1"/>
  <c r="AK51" i="39" s="1"/>
  <c r="AK81" i="39" s="1"/>
  <c r="AK85" i="39" s="1"/>
  <c r="M74" i="39"/>
  <c r="L75" i="39"/>
  <c r="H94" i="39"/>
  <c r="H97" i="39" s="1"/>
  <c r="H98" i="39" s="1"/>
  <c r="H76" i="39"/>
  <c r="AK106" i="39" l="1"/>
  <c r="AL103" i="39" s="1"/>
  <c r="M75" i="39"/>
  <c r="N74" i="39"/>
  <c r="H56" i="39"/>
  <c r="H58" i="39" s="1"/>
  <c r="H59" i="39" s="1"/>
  <c r="H77" i="39" s="1"/>
  <c r="I96" i="39"/>
  <c r="AL105" i="39" l="1"/>
  <c r="AL108" i="39" s="1"/>
  <c r="AL112" i="39" s="1"/>
  <c r="AL50" i="39" s="1"/>
  <c r="AL51" i="39" s="1"/>
  <c r="AL81" i="39" s="1"/>
  <c r="AL85" i="39" s="1"/>
  <c r="N75" i="39"/>
  <c r="O74" i="39"/>
  <c r="AL106" i="39" l="1"/>
  <c r="AM103" i="39" s="1"/>
  <c r="O75" i="39"/>
  <c r="P74" i="39"/>
  <c r="AM105" i="39" l="1"/>
  <c r="AM108" i="39" s="1"/>
  <c r="AM112" i="39" s="1"/>
  <c r="AM50" i="39" s="1"/>
  <c r="AM51" i="39" s="1"/>
  <c r="AM81" i="39" s="1"/>
  <c r="AM85" i="39" s="1"/>
  <c r="P75" i="39"/>
  <c r="Q74" i="39"/>
  <c r="I94" i="39"/>
  <c r="I97" i="39" s="1"/>
  <c r="I98" i="39" s="1"/>
  <c r="I76" i="39"/>
  <c r="AM106" i="39" l="1"/>
  <c r="AN103" i="39" s="1"/>
  <c r="Q75" i="39"/>
  <c r="R74" i="39"/>
  <c r="J96" i="39"/>
  <c r="I56" i="39"/>
  <c r="I58" i="39" s="1"/>
  <c r="I59" i="39" s="1"/>
  <c r="I77" i="39" s="1"/>
  <c r="AN105" i="39" l="1"/>
  <c r="AN108" i="39" s="1"/>
  <c r="AN112" i="39" s="1"/>
  <c r="AN50" i="39" s="1"/>
  <c r="R75" i="39"/>
  <c r="S74" i="39"/>
  <c r="AN51" i="39" l="1"/>
  <c r="AN81" i="39" s="1"/>
  <c r="AN85" i="39" s="1"/>
  <c r="AN106" i="39"/>
  <c r="AO103" i="39" s="1"/>
  <c r="S75" i="39"/>
  <c r="T74" i="39"/>
  <c r="AO105" i="39" l="1"/>
  <c r="AO108" i="39" s="1"/>
  <c r="AO112" i="39" s="1"/>
  <c r="AO50" i="39" s="1"/>
  <c r="T75" i="39"/>
  <c r="U74" i="39"/>
  <c r="J76" i="39"/>
  <c r="J94" i="39"/>
  <c r="J97" i="39" s="1"/>
  <c r="J98" i="39" s="1"/>
  <c r="AO51" i="39" l="1"/>
  <c r="AO81" i="39" s="1"/>
  <c r="AO85" i="39" s="1"/>
  <c r="AO106" i="39"/>
  <c r="AP103" i="39" s="1"/>
  <c r="U75" i="39"/>
  <c r="V74" i="39"/>
  <c r="J56" i="39"/>
  <c r="J58" i="39" s="1"/>
  <c r="J59" i="39" s="1"/>
  <c r="J77" i="39" s="1"/>
  <c r="K96" i="39"/>
  <c r="AP105" i="39" l="1"/>
  <c r="AP108" i="39" s="1"/>
  <c r="AP112" i="39" s="1"/>
  <c r="AP50" i="39" s="1"/>
  <c r="V75" i="39"/>
  <c r="W74" i="39"/>
  <c r="AP51" i="39" l="1"/>
  <c r="AP81" i="39" s="1"/>
  <c r="AP85" i="39" s="1"/>
  <c r="AP106" i="39"/>
  <c r="AQ103" i="39" s="1"/>
  <c r="W75" i="39"/>
  <c r="X74" i="39"/>
  <c r="AQ105" i="39" l="1"/>
  <c r="AQ108" i="39" s="1"/>
  <c r="AQ112" i="39" s="1"/>
  <c r="AQ50" i="39" s="1"/>
  <c r="X75" i="39"/>
  <c r="Y74" i="39"/>
  <c r="K94" i="39"/>
  <c r="K97" i="39" s="1"/>
  <c r="K98" i="39" s="1"/>
  <c r="K76" i="39"/>
  <c r="AQ51" i="39" l="1"/>
  <c r="AQ81" i="39" s="1"/>
  <c r="AQ85" i="39" s="1"/>
  <c r="AQ106" i="39"/>
  <c r="AR103" i="39" s="1"/>
  <c r="Y75" i="39"/>
  <c r="Z74" i="39"/>
  <c r="K56" i="39"/>
  <c r="K58" i="39" s="1"/>
  <c r="K59" i="39" s="1"/>
  <c r="K77" i="39" s="1"/>
  <c r="L96" i="39"/>
  <c r="AR105" i="39" l="1"/>
  <c r="AR108" i="39" s="1"/>
  <c r="AR112" i="39" s="1"/>
  <c r="AR50" i="39" s="1"/>
  <c r="Z75" i="39"/>
  <c r="AA74" i="39"/>
  <c r="AR51" i="39" l="1"/>
  <c r="AR81" i="39" s="1"/>
  <c r="AR85" i="39" s="1"/>
  <c r="AR106" i="39"/>
  <c r="AS103" i="39" s="1"/>
  <c r="AB74" i="39"/>
  <c r="AA75" i="39"/>
  <c r="AS105" i="39" l="1"/>
  <c r="AS108" i="39" s="1"/>
  <c r="AS112" i="39" s="1"/>
  <c r="AS50" i="39" s="1"/>
  <c r="AS51" i="39" s="1"/>
  <c r="AS81" i="39" s="1"/>
  <c r="AS85" i="39" s="1"/>
  <c r="AC74" i="39"/>
  <c r="AB75" i="39"/>
  <c r="L94" i="39"/>
  <c r="L97" i="39" s="1"/>
  <c r="L98" i="39" s="1"/>
  <c r="L76" i="39"/>
  <c r="AS106" i="39" l="1"/>
  <c r="AT103" i="39" s="1"/>
  <c r="AC75" i="39"/>
  <c r="AD74" i="39"/>
  <c r="M96" i="39"/>
  <c r="L56" i="39"/>
  <c r="L58" i="39" s="1"/>
  <c r="L59" i="39" s="1"/>
  <c r="L77" i="39" s="1"/>
  <c r="AT105" i="39" l="1"/>
  <c r="AT108" i="39" s="1"/>
  <c r="AT112" i="39" s="1"/>
  <c r="AT50" i="39" s="1"/>
  <c r="AT51" i="39" s="1"/>
  <c r="AT81" i="39" s="1"/>
  <c r="AT85" i="39" s="1"/>
  <c r="AE74" i="39"/>
  <c r="AD75" i="39"/>
  <c r="AT106" i="39" l="1"/>
  <c r="AU103" i="39" s="1"/>
  <c r="AU105" i="39"/>
  <c r="AU108" i="39" s="1"/>
  <c r="AU112" i="39" s="1"/>
  <c r="AU50" i="39" s="1"/>
  <c r="AU51" i="39" s="1"/>
  <c r="AU81" i="39" s="1"/>
  <c r="AU85" i="39" s="1"/>
  <c r="AF74" i="39"/>
  <c r="AE75" i="39"/>
  <c r="AU106" i="39" l="1"/>
  <c r="AV103" i="39" s="1"/>
  <c r="AV105" i="39"/>
  <c r="AV108" i="39" s="1"/>
  <c r="AV112" i="39" s="1"/>
  <c r="AV50" i="39" s="1"/>
  <c r="AV51" i="39" s="1"/>
  <c r="AV81" i="39" s="1"/>
  <c r="AV85" i="39" s="1"/>
  <c r="AG74" i="39"/>
  <c r="AF75" i="39"/>
  <c r="M94" i="39"/>
  <c r="M97" i="39" s="1"/>
  <c r="M98" i="39" s="1"/>
  <c r="M76" i="39"/>
  <c r="AV106" i="39" l="1"/>
  <c r="AW103" i="39" s="1"/>
  <c r="AW105" i="39"/>
  <c r="AW108" i="39" s="1"/>
  <c r="AW112" i="39" s="1"/>
  <c r="AW50" i="39" s="1"/>
  <c r="AW51" i="39" s="1"/>
  <c r="AW81" i="39" s="1"/>
  <c r="AW85" i="39" s="1"/>
  <c r="AH74" i="39"/>
  <c r="AG75" i="39"/>
  <c r="M56" i="39"/>
  <c r="M58" i="39" s="1"/>
  <c r="M59" i="39" s="1"/>
  <c r="M77" i="39" s="1"/>
  <c r="N96" i="39"/>
  <c r="AW106" i="39" l="1"/>
  <c r="AX103" i="39" s="1"/>
  <c r="AX105" i="39"/>
  <c r="AX108" i="39" s="1"/>
  <c r="AX112" i="39" s="1"/>
  <c r="AX50" i="39" s="1"/>
  <c r="AX51" i="39" s="1"/>
  <c r="AX81" i="39" s="1"/>
  <c r="AX85" i="39" s="1"/>
  <c r="AI74" i="39"/>
  <c r="AH75" i="39"/>
  <c r="AX106" i="39" l="1"/>
  <c r="AY103" i="39" s="1"/>
  <c r="AY105" i="39"/>
  <c r="AY108" i="39" s="1"/>
  <c r="AY112" i="39" s="1"/>
  <c r="AY50" i="39" s="1"/>
  <c r="AY51" i="39" s="1"/>
  <c r="AY81" i="39" s="1"/>
  <c r="AY85" i="39" s="1"/>
  <c r="AI75" i="39"/>
  <c r="AJ74" i="39"/>
  <c r="AY106" i="39" l="1"/>
  <c r="AZ103" i="39" s="1"/>
  <c r="AZ105" i="39"/>
  <c r="AZ108" i="39" s="1"/>
  <c r="AZ112" i="39" s="1"/>
  <c r="AZ50" i="39" s="1"/>
  <c r="AK74" i="39"/>
  <c r="AJ75" i="39"/>
  <c r="N94" i="39"/>
  <c r="N97" i="39" s="1"/>
  <c r="N98" i="39" s="1"/>
  <c r="N76" i="39"/>
  <c r="AZ51" i="39" l="1"/>
  <c r="AZ81" i="39" s="1"/>
  <c r="AZ85" i="39" s="1"/>
  <c r="AZ106" i="39"/>
  <c r="BA103" i="39" s="1"/>
  <c r="BA105" i="39" s="1"/>
  <c r="BA108" i="39" s="1"/>
  <c r="BA112" i="39" s="1"/>
  <c r="BA50" i="39" s="1"/>
  <c r="BA51" i="39" s="1"/>
  <c r="BA81" i="39" s="1"/>
  <c r="BA85" i="39" s="1"/>
  <c r="AL74" i="39"/>
  <c r="AK75" i="39"/>
  <c r="N56" i="39"/>
  <c r="N58" i="39" s="1"/>
  <c r="N59" i="39" s="1"/>
  <c r="N77" i="39" s="1"/>
  <c r="O96" i="39"/>
  <c r="BA106" i="39" l="1"/>
  <c r="BB103" i="39" s="1"/>
  <c r="BB105" i="39" s="1"/>
  <c r="BB108" i="39" s="1"/>
  <c r="BB112" i="39" s="1"/>
  <c r="BB50" i="39" s="1"/>
  <c r="BB51" i="39" s="1"/>
  <c r="BB81" i="39" s="1"/>
  <c r="BB85" i="39" s="1"/>
  <c r="AM74" i="39"/>
  <c r="AL75" i="39"/>
  <c r="BB106" i="39" l="1"/>
  <c r="BC103" i="39" s="1"/>
  <c r="BC105" i="39"/>
  <c r="BC108" i="39" s="1"/>
  <c r="BC112" i="39" s="1"/>
  <c r="BC50" i="39" s="1"/>
  <c r="BC51" i="39" s="1"/>
  <c r="BC81" i="39" s="1"/>
  <c r="BC85" i="39" s="1"/>
  <c r="AM75" i="39"/>
  <c r="AN74" i="39"/>
  <c r="BC106" i="39" l="1"/>
  <c r="BD103" i="39" s="1"/>
  <c r="BD105" i="39" s="1"/>
  <c r="BD108" i="39" s="1"/>
  <c r="BD112" i="39" s="1"/>
  <c r="BD50" i="39" s="1"/>
  <c r="AO74" i="39"/>
  <c r="AN75" i="39"/>
  <c r="O76" i="39"/>
  <c r="O94" i="39"/>
  <c r="O97" i="39" s="1"/>
  <c r="O98" i="39" s="1"/>
  <c r="BD51" i="39" l="1"/>
  <c r="BD81" i="39" s="1"/>
  <c r="BD85" i="39" s="1"/>
  <c r="BD106" i="39"/>
  <c r="BE103" i="39" s="1"/>
  <c r="BE105" i="39"/>
  <c r="BE108" i="39" s="1"/>
  <c r="BE112" i="39" s="1"/>
  <c r="BE50" i="39" s="1"/>
  <c r="BE51" i="39" s="1"/>
  <c r="BE81" i="39" s="1"/>
  <c r="BE85" i="39" s="1"/>
  <c r="AP74" i="39"/>
  <c r="AO75" i="39"/>
  <c r="O56" i="39"/>
  <c r="O58" i="39" s="1"/>
  <c r="O59" i="39" s="1"/>
  <c r="O77" i="39" s="1"/>
  <c r="P96" i="39"/>
  <c r="BE106" i="39" l="1"/>
  <c r="BF103" i="39" s="1"/>
  <c r="BF105" i="39"/>
  <c r="BF108" i="39" s="1"/>
  <c r="BF112" i="39" s="1"/>
  <c r="BF50" i="39" s="1"/>
  <c r="BF51" i="39" s="1"/>
  <c r="BF81" i="39" s="1"/>
  <c r="BF85" i="39" s="1"/>
  <c r="AQ74" i="39"/>
  <c r="AP75" i="39"/>
  <c r="BF106" i="39" l="1"/>
  <c r="BG103" i="39" s="1"/>
  <c r="BG105" i="39"/>
  <c r="BG108" i="39" s="1"/>
  <c r="BG112" i="39" s="1"/>
  <c r="BG50" i="39" s="1"/>
  <c r="BG51" i="39" s="1"/>
  <c r="BG81" i="39" s="1"/>
  <c r="BG85" i="39" s="1"/>
  <c r="AR74" i="39"/>
  <c r="AQ75" i="39"/>
  <c r="BG106" i="39" l="1"/>
  <c r="BH103" i="39" s="1"/>
  <c r="BH105" i="39" s="1"/>
  <c r="BH108" i="39" s="1"/>
  <c r="BH112" i="39" s="1"/>
  <c r="BH50" i="39" s="1"/>
  <c r="BH51" i="39" s="1"/>
  <c r="BH81" i="39" s="1"/>
  <c r="BH85" i="39" s="1"/>
  <c r="AS74" i="39"/>
  <c r="AR75" i="39"/>
  <c r="P76" i="39"/>
  <c r="P94" i="39"/>
  <c r="P97" i="39" s="1"/>
  <c r="P98" i="39" s="1"/>
  <c r="BH106" i="39" l="1"/>
  <c r="BI103" i="39" s="1"/>
  <c r="BI105" i="39" s="1"/>
  <c r="BI108" i="39" s="1"/>
  <c r="BI112" i="39" s="1"/>
  <c r="BI50" i="39" s="1"/>
  <c r="BI51" i="39" s="1"/>
  <c r="BI81" i="39" s="1"/>
  <c r="BI85" i="39" s="1"/>
  <c r="AS75" i="39"/>
  <c r="AT74" i="39"/>
  <c r="P56" i="39"/>
  <c r="P58" i="39" s="1"/>
  <c r="P59" i="39" s="1"/>
  <c r="P77" i="39" s="1"/>
  <c r="Q96" i="39"/>
  <c r="BI106" i="39" l="1"/>
  <c r="BJ103" i="39" s="1"/>
  <c r="BJ105" i="39" s="1"/>
  <c r="BJ108" i="39" s="1"/>
  <c r="BJ112" i="39" s="1"/>
  <c r="BJ50" i="39" s="1"/>
  <c r="BJ51" i="39" s="1"/>
  <c r="BJ81" i="39" s="1"/>
  <c r="BJ85" i="39" s="1"/>
  <c r="AU74" i="39"/>
  <c r="AT75" i="39"/>
  <c r="BJ106" i="39" l="1"/>
  <c r="BK103" i="39" s="1"/>
  <c r="BK105" i="39" s="1"/>
  <c r="BK108" i="39" s="1"/>
  <c r="BK112" i="39" s="1"/>
  <c r="BK50" i="39" s="1"/>
  <c r="BK51" i="39" s="1"/>
  <c r="BK81" i="39" s="1"/>
  <c r="BK85" i="39" s="1"/>
  <c r="AU75" i="39"/>
  <c r="AV74" i="39"/>
  <c r="BK106" i="39" l="1"/>
  <c r="BL103" i="39" s="1"/>
  <c r="BL105" i="39" s="1"/>
  <c r="BL108" i="39" s="1"/>
  <c r="BL112" i="39" s="1"/>
  <c r="BL50" i="39" s="1"/>
  <c r="AW74" i="39"/>
  <c r="AV75" i="39"/>
  <c r="Q76" i="39"/>
  <c r="Q94" i="39"/>
  <c r="Q97" i="39" s="1"/>
  <c r="Q98" i="39" s="1"/>
  <c r="BL51" i="39" l="1"/>
  <c r="BL81" i="39" s="1"/>
  <c r="BL85" i="39" s="1"/>
  <c r="BL106" i="39"/>
  <c r="BM103" i="39" s="1"/>
  <c r="BM105" i="39"/>
  <c r="BM108" i="39" s="1"/>
  <c r="BM112" i="39" s="1"/>
  <c r="BM50" i="39" s="1"/>
  <c r="BM51" i="39" s="1"/>
  <c r="BM81" i="39" s="1"/>
  <c r="BM85" i="39" s="1"/>
  <c r="AW75" i="39"/>
  <c r="AX74" i="39"/>
  <c r="R96" i="39"/>
  <c r="Q56" i="39"/>
  <c r="Q58" i="39" s="1"/>
  <c r="Q59" i="39" s="1"/>
  <c r="Q77" i="39" s="1"/>
  <c r="BM106" i="39" l="1"/>
  <c r="BN103" i="39" s="1"/>
  <c r="BN105" i="39" s="1"/>
  <c r="BN108" i="39" s="1"/>
  <c r="BN112" i="39" s="1"/>
  <c r="BN50" i="39" s="1"/>
  <c r="AY74" i="39"/>
  <c r="AX75" i="39"/>
  <c r="BN51" i="39" l="1"/>
  <c r="BN81" i="39" s="1"/>
  <c r="BN85" i="39" s="1"/>
  <c r="BN106" i="39"/>
  <c r="BO103" i="39" s="1"/>
  <c r="BO105" i="39" s="1"/>
  <c r="BO108" i="39" s="1"/>
  <c r="BO112" i="39" s="1"/>
  <c r="BO50" i="39" s="1"/>
  <c r="BO51" i="39" s="1"/>
  <c r="BO81" i="39" s="1"/>
  <c r="BO85" i="39" s="1"/>
  <c r="AZ74" i="39"/>
  <c r="AY75" i="39"/>
  <c r="BO106" i="39" l="1"/>
  <c r="BP103" i="39" s="1"/>
  <c r="BP105" i="39" s="1"/>
  <c r="BP108" i="39" s="1"/>
  <c r="BP112" i="39" s="1"/>
  <c r="BP50" i="39" s="1"/>
  <c r="BA74" i="39"/>
  <c r="AZ75" i="39"/>
  <c r="R94" i="39"/>
  <c r="R97" i="39" s="1"/>
  <c r="R98" i="39" s="1"/>
  <c r="R76" i="39"/>
  <c r="BP51" i="39" l="1"/>
  <c r="BP81" i="39" s="1"/>
  <c r="BP85" i="39" s="1"/>
  <c r="BA75" i="39"/>
  <c r="BB74" i="39"/>
  <c r="BP106" i="39"/>
  <c r="BQ103" i="39" s="1"/>
  <c r="S96" i="39"/>
  <c r="R56" i="39"/>
  <c r="R58" i="39" s="1"/>
  <c r="R59" i="39" s="1"/>
  <c r="R77" i="39" s="1"/>
  <c r="BC74" i="39" l="1"/>
  <c r="BB75" i="39"/>
  <c r="BQ105" i="39"/>
  <c r="BQ108" i="39" s="1"/>
  <c r="BQ112" i="39" s="1"/>
  <c r="BQ50" i="39" s="1"/>
  <c r="BQ51" i="39" s="1"/>
  <c r="BQ81" i="39" s="1"/>
  <c r="BQ85" i="39" s="1"/>
  <c r="BD74" i="39" l="1"/>
  <c r="BC75" i="39"/>
  <c r="BQ106" i="39"/>
  <c r="BR103" i="39" s="1"/>
  <c r="F40" i="1"/>
  <c r="BE74" i="39" l="1"/>
  <c r="BD75" i="39"/>
  <c r="BR105" i="39"/>
  <c r="BR108" i="39" s="1"/>
  <c r="BR112" i="39" s="1"/>
  <c r="BR50" i="39" s="1"/>
  <c r="BR51" i="39" s="1"/>
  <c r="BR81" i="39" s="1"/>
  <c r="BR85" i="39" s="1"/>
  <c r="S76" i="39"/>
  <c r="S94" i="39"/>
  <c r="S97" i="39" s="1"/>
  <c r="S98" i="39" s="1"/>
  <c r="BF74" i="39" l="1"/>
  <c r="BE75" i="39"/>
  <c r="BR106" i="39"/>
  <c r="BS103" i="39" s="1"/>
  <c r="T96" i="39"/>
  <c r="S56" i="39"/>
  <c r="S58" i="39" s="1"/>
  <c r="S59" i="39" s="1"/>
  <c r="S77" i="39" s="1"/>
  <c r="BG74" i="39" l="1"/>
  <c r="BF75" i="39"/>
  <c r="BS105" i="39"/>
  <c r="BS108" i="39" s="1"/>
  <c r="BS112" i="39" s="1"/>
  <c r="BS50" i="39" s="1"/>
  <c r="BS51" i="39" s="1"/>
  <c r="BS81" i="39" s="1"/>
  <c r="BS85" i="39" s="1"/>
  <c r="BH74" i="39" l="1"/>
  <c r="BG75" i="39"/>
  <c r="BS106" i="39"/>
  <c r="BT103" i="39" s="1"/>
  <c r="BI74" i="39" l="1"/>
  <c r="BH75" i="39"/>
  <c r="BT105" i="39"/>
  <c r="BT108" i="39" s="1"/>
  <c r="BT112" i="39" s="1"/>
  <c r="BT50" i="39" s="1"/>
  <c r="BT51" i="39" s="1"/>
  <c r="BT81" i="39" s="1"/>
  <c r="BT85" i="39" s="1"/>
  <c r="T76" i="39"/>
  <c r="T94" i="39"/>
  <c r="T97" i="39" s="1"/>
  <c r="T98" i="39" s="1"/>
  <c r="BJ74" i="39" l="1"/>
  <c r="BI75" i="39"/>
  <c r="BT106" i="39"/>
  <c r="BU103" i="39" s="1"/>
  <c r="T56" i="39"/>
  <c r="T58" i="39" s="1"/>
  <c r="T59" i="39" s="1"/>
  <c r="T77" i="39" s="1"/>
  <c r="U96" i="39"/>
  <c r="BK74" i="39" l="1"/>
  <c r="BJ75" i="39"/>
  <c r="BU105" i="39"/>
  <c r="BU108" i="39" s="1"/>
  <c r="BU112" i="39" s="1"/>
  <c r="BU50" i="39" s="1"/>
  <c r="BU51" i="39" s="1"/>
  <c r="BU81" i="39" s="1"/>
  <c r="BU85" i="39" s="1"/>
  <c r="BK75" i="39" l="1"/>
  <c r="BL74" i="39"/>
  <c r="BU106" i="39"/>
  <c r="BV103" i="39" s="1"/>
  <c r="BM74" i="39" l="1"/>
  <c r="BL75" i="39"/>
  <c r="BV105" i="39"/>
  <c r="BV108" i="39" s="1"/>
  <c r="BV112" i="39" s="1"/>
  <c r="BV50" i="39" s="1"/>
  <c r="BV51" i="39" s="1"/>
  <c r="BV81" i="39" s="1"/>
  <c r="BV85" i="39" s="1"/>
  <c r="U76" i="39"/>
  <c r="U94" i="39"/>
  <c r="U97" i="39" s="1"/>
  <c r="U98" i="39" s="1"/>
  <c r="BN74" i="39" l="1"/>
  <c r="BM75" i="39"/>
  <c r="BV106" i="39"/>
  <c r="BW103" i="39" s="1"/>
  <c r="U56" i="39"/>
  <c r="U58" i="39" s="1"/>
  <c r="U59" i="39" s="1"/>
  <c r="U77" i="39" s="1"/>
  <c r="V96" i="39"/>
  <c r="BO74" i="39" l="1"/>
  <c r="BN75" i="39"/>
  <c r="BW105" i="39"/>
  <c r="BW108" i="39" s="1"/>
  <c r="BW112" i="39" s="1"/>
  <c r="BW50" i="39" s="1"/>
  <c r="L15" i="29" l="1"/>
  <c r="D21" i="38" s="1"/>
  <c r="J15" i="29"/>
  <c r="B21" i="38" s="1"/>
  <c r="M15" i="29"/>
  <c r="E21" i="38" s="1"/>
  <c r="N15" i="29"/>
  <c r="F21" i="38" s="1"/>
  <c r="O15" i="29"/>
  <c r="G21" i="38" s="1"/>
  <c r="BW51" i="39"/>
  <c r="BW81" i="39" s="1"/>
  <c r="BW85" i="39" s="1"/>
  <c r="BP74" i="39"/>
  <c r="BO75" i="39"/>
  <c r="BW106" i="39"/>
  <c r="BQ74" i="39" l="1"/>
  <c r="BP75" i="39"/>
  <c r="V76" i="39"/>
  <c r="V94" i="39"/>
  <c r="V97" i="39" s="1"/>
  <c r="V98" i="39" s="1"/>
  <c r="BQ75" i="39" l="1"/>
  <c r="BR74" i="39"/>
  <c r="V56" i="39"/>
  <c r="V58" i="39" s="1"/>
  <c r="V59" i="39" s="1"/>
  <c r="V77" i="39" s="1"/>
  <c r="W96" i="39"/>
  <c r="BS74" i="39" l="1"/>
  <c r="BR75" i="39"/>
  <c r="BT74" i="39" l="1"/>
  <c r="BS75" i="39"/>
  <c r="BU74" i="39" l="1"/>
  <c r="BT75" i="39"/>
  <c r="W94" i="39"/>
  <c r="W97" i="39" s="1"/>
  <c r="W98" i="39" s="1"/>
  <c r="W76" i="39"/>
  <c r="BV74" i="39" l="1"/>
  <c r="BU75" i="39"/>
  <c r="X96" i="39"/>
  <c r="W56" i="39"/>
  <c r="W58" i="39" s="1"/>
  <c r="W59" i="39" s="1"/>
  <c r="W77" i="39" s="1"/>
  <c r="BW74" i="39" l="1"/>
  <c r="BV75" i="39"/>
  <c r="BW75" i="39" l="1"/>
  <c r="X76" i="39"/>
  <c r="X94" i="39"/>
  <c r="X97" i="39" s="1"/>
  <c r="X98" i="39" s="1"/>
  <c r="X56" i="39" l="1"/>
  <c r="X58" i="39" s="1"/>
  <c r="X59" i="39" s="1"/>
  <c r="X77" i="39" s="1"/>
  <c r="Y96" i="39"/>
  <c r="Y76" i="39" l="1"/>
  <c r="Y94" i="39"/>
  <c r="Y97" i="39" s="1"/>
  <c r="Y98" i="39" s="1"/>
  <c r="Y56" i="39" l="1"/>
  <c r="Y58" i="39" s="1"/>
  <c r="Y59" i="39" s="1"/>
  <c r="Y77" i="39" s="1"/>
  <c r="Z96" i="39"/>
  <c r="Z76" i="39" l="1"/>
  <c r="Z94" i="39"/>
  <c r="Z97" i="39" s="1"/>
  <c r="Z98" i="39" s="1"/>
  <c r="Z56" i="39" l="1"/>
  <c r="Z58" i="39" s="1"/>
  <c r="Z59" i="39" s="1"/>
  <c r="Z77" i="39" s="1"/>
  <c r="AA96" i="39"/>
  <c r="AA94" i="39" l="1"/>
  <c r="AA97" i="39" s="1"/>
  <c r="AA98" i="39" s="1"/>
  <c r="AA76" i="39"/>
  <c r="AB96" i="39" l="1"/>
  <c r="AA56" i="39"/>
  <c r="AA58" i="39" s="1"/>
  <c r="AA59" i="39" s="1"/>
  <c r="AA77" i="39" s="1"/>
  <c r="AB76" i="39" l="1"/>
  <c r="AB94" i="39"/>
  <c r="AB97" i="39" s="1"/>
  <c r="AB98" i="39" s="1"/>
  <c r="AB56" i="39" l="1"/>
  <c r="AB58" i="39" s="1"/>
  <c r="AB59" i="39" s="1"/>
  <c r="AB77" i="39" s="1"/>
  <c r="AC96" i="39"/>
  <c r="AC76" i="39" l="1"/>
  <c r="AC94" i="39"/>
  <c r="AC97" i="39" s="1"/>
  <c r="AC98" i="39" s="1"/>
  <c r="AD96" i="39" l="1"/>
  <c r="AC56" i="39"/>
  <c r="AC58" i="39" s="1"/>
  <c r="AC59" i="39" s="1"/>
  <c r="AC77" i="39" s="1"/>
  <c r="AD94" i="39" l="1"/>
  <c r="AD97" i="39" s="1"/>
  <c r="AD98" i="39" s="1"/>
  <c r="AD76" i="39"/>
  <c r="AE96" i="39" l="1"/>
  <c r="AD56" i="39"/>
  <c r="AD58" i="39" s="1"/>
  <c r="AD59" i="39" s="1"/>
  <c r="AD77" i="39" s="1"/>
  <c r="AE94" i="39" l="1"/>
  <c r="AE97" i="39" s="1"/>
  <c r="AE98" i="39" s="1"/>
  <c r="AE76" i="39"/>
  <c r="AF96" i="39" l="1"/>
  <c r="AE56" i="39"/>
  <c r="AE58" i="39" s="1"/>
  <c r="AE59" i="39" s="1"/>
  <c r="AE77" i="39" s="1"/>
  <c r="AF94" i="39" l="1"/>
  <c r="AF97" i="39" s="1"/>
  <c r="AF98" i="39" s="1"/>
  <c r="AF76" i="39"/>
  <c r="AF56" i="39" l="1"/>
  <c r="AF58" i="39" s="1"/>
  <c r="AF59" i="39" s="1"/>
  <c r="AF77" i="39" s="1"/>
  <c r="AG96" i="39"/>
  <c r="AG76" i="39" l="1"/>
  <c r="AG94" i="39"/>
  <c r="AG97" i="39" s="1"/>
  <c r="AG98" i="39" s="1"/>
  <c r="AH96" i="39" l="1"/>
  <c r="AG56" i="39"/>
  <c r="AG58" i="39" s="1"/>
  <c r="AG59" i="39" s="1"/>
  <c r="AG77" i="39" s="1"/>
  <c r="AH76" i="39" l="1"/>
  <c r="AH94" i="39"/>
  <c r="AH97" i="39" s="1"/>
  <c r="AH98" i="39" s="1"/>
  <c r="AI96" i="39" l="1"/>
  <c r="AH56" i="39"/>
  <c r="AH58" i="39" s="1"/>
  <c r="AH59" i="39" s="1"/>
  <c r="AH77" i="39" s="1"/>
  <c r="AI76" i="39" l="1"/>
  <c r="AI94" i="39"/>
  <c r="AI97" i="39" s="1"/>
  <c r="AI98" i="39" s="1"/>
  <c r="AI56" i="39" l="1"/>
  <c r="AI58" i="39" s="1"/>
  <c r="AI59" i="39" s="1"/>
  <c r="AI77" i="39" s="1"/>
  <c r="AJ96" i="39"/>
  <c r="AJ76" i="39" l="1"/>
  <c r="AJ94" i="39"/>
  <c r="AJ97" i="39" s="1"/>
  <c r="AJ98" i="39" s="1"/>
  <c r="AJ56" i="39" l="1"/>
  <c r="AJ58" i="39" s="1"/>
  <c r="AJ59" i="39" s="1"/>
  <c r="AJ77" i="39" s="1"/>
  <c r="AK96" i="39"/>
  <c r="AK76" i="39" l="1"/>
  <c r="AK94" i="39"/>
  <c r="AK97" i="39" s="1"/>
  <c r="AK98" i="39" s="1"/>
  <c r="AK56" i="39" l="1"/>
  <c r="AK58" i="39" s="1"/>
  <c r="AK59" i="39" s="1"/>
  <c r="AK77" i="39" s="1"/>
  <c r="AL96" i="39"/>
  <c r="AL94" i="39" l="1"/>
  <c r="AL97" i="39" s="1"/>
  <c r="AL98" i="39" s="1"/>
  <c r="AL76" i="39"/>
  <c r="AM96" i="39" l="1"/>
  <c r="AL56" i="39"/>
  <c r="AL58" i="39" s="1"/>
  <c r="AL59" i="39" s="1"/>
  <c r="AL77" i="39" s="1"/>
  <c r="AM76" i="39" l="1"/>
  <c r="AM94" i="39"/>
  <c r="AM97" i="39" s="1"/>
  <c r="AM98" i="39" s="1"/>
  <c r="AN96" i="39" l="1"/>
  <c r="AM56" i="39"/>
  <c r="AM58" i="39" s="1"/>
  <c r="AM59" i="39" s="1"/>
  <c r="AM77" i="39" s="1"/>
  <c r="AN94" i="39" l="1"/>
  <c r="AN97" i="39" s="1"/>
  <c r="AN98" i="39" s="1"/>
  <c r="AN76" i="39"/>
  <c r="AN56" i="39" l="1"/>
  <c r="AN58" i="39" s="1"/>
  <c r="AN59" i="39" s="1"/>
  <c r="AN77" i="39" s="1"/>
  <c r="AO96" i="39"/>
  <c r="AO76" i="39" l="1"/>
  <c r="AO94" i="39"/>
  <c r="AO97" i="39" s="1"/>
  <c r="AO98" i="39" s="1"/>
  <c r="AP96" i="39" l="1"/>
  <c r="AO56" i="39"/>
  <c r="AO58" i="39" s="1"/>
  <c r="AO59" i="39" s="1"/>
  <c r="AO77" i="39" s="1"/>
  <c r="AP94" i="39" l="1"/>
  <c r="AP97" i="39" s="1"/>
  <c r="AP98" i="39" s="1"/>
  <c r="AP76" i="39"/>
  <c r="AP56" i="39" l="1"/>
  <c r="AP58" i="39" s="1"/>
  <c r="AP59" i="39" s="1"/>
  <c r="AP77" i="39" s="1"/>
  <c r="AQ96" i="39"/>
  <c r="AQ76" i="39" l="1"/>
  <c r="AQ94" i="39"/>
  <c r="AQ97" i="39" s="1"/>
  <c r="AQ98" i="39" s="1"/>
  <c r="AR96" i="39" l="1"/>
  <c r="AQ56" i="39"/>
  <c r="AQ58" i="39" s="1"/>
  <c r="AQ59" i="39" s="1"/>
  <c r="AQ77" i="39" s="1"/>
  <c r="AR94" i="39" l="1"/>
  <c r="AR97" i="39" s="1"/>
  <c r="AR98" i="39" s="1"/>
  <c r="AR76" i="39"/>
  <c r="AR56" i="39" l="1"/>
  <c r="AR58" i="39" s="1"/>
  <c r="AR59" i="39" s="1"/>
  <c r="AR77" i="39" s="1"/>
  <c r="AS96" i="39"/>
  <c r="AS76" i="39" l="1"/>
  <c r="AS94" i="39"/>
  <c r="AS97" i="39" s="1"/>
  <c r="AS98" i="39" s="1"/>
  <c r="AT96" i="39" l="1"/>
  <c r="AS56" i="39"/>
  <c r="AS58" i="39" s="1"/>
  <c r="AS59" i="39" s="1"/>
  <c r="AS77" i="39" s="1"/>
  <c r="AT94" i="39" l="1"/>
  <c r="AT97" i="39" s="1"/>
  <c r="AT98" i="39" s="1"/>
  <c r="AT76" i="39"/>
  <c r="AT56" i="39" l="1"/>
  <c r="AT58" i="39" s="1"/>
  <c r="AT59" i="39" s="1"/>
  <c r="AT77" i="39" s="1"/>
  <c r="AU96" i="39"/>
  <c r="AU94" i="39" l="1"/>
  <c r="AU97" i="39" s="1"/>
  <c r="AU98" i="39" s="1"/>
  <c r="AU76" i="39"/>
  <c r="AU56" i="39" l="1"/>
  <c r="AU58" i="39" s="1"/>
  <c r="AU59" i="39" s="1"/>
  <c r="AU77" i="39" s="1"/>
  <c r="AV96" i="39"/>
  <c r="AV76" i="39" l="1"/>
  <c r="AV94" i="39"/>
  <c r="AV97" i="39" s="1"/>
  <c r="AV98" i="39" s="1"/>
  <c r="AV56" i="39" l="1"/>
  <c r="AV58" i="39" s="1"/>
  <c r="AV59" i="39" s="1"/>
  <c r="AV77" i="39" s="1"/>
  <c r="AW96" i="39"/>
  <c r="AW94" i="39" l="1"/>
  <c r="AW97" i="39" s="1"/>
  <c r="AW98" i="39" s="1"/>
  <c r="AW76" i="39"/>
  <c r="AW56" i="39" l="1"/>
  <c r="AW58" i="39" s="1"/>
  <c r="AW59" i="39" s="1"/>
  <c r="AW77" i="39" s="1"/>
  <c r="AX96" i="39"/>
  <c r="AX94" i="39" l="1"/>
  <c r="AX97" i="39" s="1"/>
  <c r="AX98" i="39" s="1"/>
  <c r="AX76" i="39"/>
  <c r="AY96" i="39" l="1"/>
  <c r="AX56" i="39"/>
  <c r="AX58" i="39" s="1"/>
  <c r="AX59" i="39" s="1"/>
  <c r="AX77" i="39" s="1"/>
  <c r="AY76" i="39" l="1"/>
  <c r="AY94" i="39"/>
  <c r="AY97" i="39" s="1"/>
  <c r="AY98" i="39" s="1"/>
  <c r="AZ96" i="39" l="1"/>
  <c r="AY56" i="39"/>
  <c r="AY58" i="39" s="1"/>
  <c r="AY59" i="39" s="1"/>
  <c r="AY77" i="39" s="1"/>
  <c r="AZ76" i="39" l="1"/>
  <c r="AZ94" i="39"/>
  <c r="AZ97" i="39" s="1"/>
  <c r="AZ98" i="39" s="1"/>
  <c r="BA96" i="39" l="1"/>
  <c r="AZ56" i="39"/>
  <c r="AZ58" i="39" s="1"/>
  <c r="AZ59" i="39" s="1"/>
  <c r="AZ77" i="39" s="1"/>
  <c r="BA94" i="39" l="1"/>
  <c r="BA97" i="39" s="1"/>
  <c r="BA98" i="39" s="1"/>
  <c r="BA76" i="39"/>
  <c r="BA56" i="39" l="1"/>
  <c r="BA58" i="39" s="1"/>
  <c r="BA59" i="39" s="1"/>
  <c r="BA77" i="39" s="1"/>
  <c r="BB96" i="39"/>
  <c r="BB94" i="39" l="1"/>
  <c r="BB97" i="39" s="1"/>
  <c r="BB98" i="39" s="1"/>
  <c r="BB76" i="39"/>
  <c r="BB56" i="39" l="1"/>
  <c r="BB58" i="39" s="1"/>
  <c r="BB59" i="39" s="1"/>
  <c r="BB77" i="39" s="1"/>
  <c r="BC96" i="39"/>
  <c r="BC76" i="39" l="1"/>
  <c r="BC94" i="39"/>
  <c r="BC97" i="39" s="1"/>
  <c r="BC98" i="39" s="1"/>
  <c r="BC56" i="39" l="1"/>
  <c r="BC58" i="39" s="1"/>
  <c r="BC59" i="39" s="1"/>
  <c r="BC77" i="39" s="1"/>
  <c r="BD96" i="39"/>
  <c r="BD94" i="39" l="1"/>
  <c r="BD97" i="39" s="1"/>
  <c r="BD98" i="39" s="1"/>
  <c r="BD76" i="39"/>
  <c r="BD56" i="39" l="1"/>
  <c r="BD58" i="39" s="1"/>
  <c r="BD59" i="39" s="1"/>
  <c r="BD77" i="39" s="1"/>
  <c r="BE96" i="39"/>
  <c r="BE94" i="39" l="1"/>
  <c r="BE97" i="39" s="1"/>
  <c r="BE98" i="39" s="1"/>
  <c r="BE76" i="39"/>
  <c r="BE56" i="39" l="1"/>
  <c r="BE58" i="39" s="1"/>
  <c r="BE59" i="39" s="1"/>
  <c r="BE77" i="39" s="1"/>
  <c r="BF96" i="39"/>
  <c r="BF94" i="39" l="1"/>
  <c r="BF97" i="39" s="1"/>
  <c r="BF98" i="39" s="1"/>
  <c r="BF76" i="39"/>
  <c r="BF56" i="39" l="1"/>
  <c r="BF58" i="39" s="1"/>
  <c r="BF59" i="39" s="1"/>
  <c r="BF77" i="39" s="1"/>
  <c r="BG96" i="39"/>
  <c r="BG76" i="39" l="1"/>
  <c r="BG94" i="39"/>
  <c r="BG97" i="39" s="1"/>
  <c r="BG98" i="39" s="1"/>
  <c r="BH96" i="39" l="1"/>
  <c r="BG56" i="39"/>
  <c r="BG58" i="39" s="1"/>
  <c r="BG59" i="39" s="1"/>
  <c r="BG77" i="39" s="1"/>
  <c r="BH76" i="39" l="1"/>
  <c r="BH94" i="39"/>
  <c r="BH97" i="39" s="1"/>
  <c r="BH98" i="39" s="1"/>
  <c r="BI96" i="39" l="1"/>
  <c r="BH56" i="39"/>
  <c r="BH58" i="39" s="1"/>
  <c r="BH59" i="39" s="1"/>
  <c r="BH77" i="39" s="1"/>
  <c r="BI76" i="39" l="1"/>
  <c r="BI94" i="39"/>
  <c r="BI97" i="39" s="1"/>
  <c r="BI98" i="39" s="1"/>
  <c r="BI56" i="39" l="1"/>
  <c r="BI58" i="39" s="1"/>
  <c r="BI59" i="39" s="1"/>
  <c r="BI77" i="39" s="1"/>
  <c r="BJ96" i="39"/>
  <c r="BJ94" i="39" l="1"/>
  <c r="BJ97" i="39" s="1"/>
  <c r="BJ98" i="39" s="1"/>
  <c r="BJ76" i="39"/>
  <c r="BJ56" i="39" l="1"/>
  <c r="BJ58" i="39" s="1"/>
  <c r="BJ59" i="39" s="1"/>
  <c r="BJ77" i="39" s="1"/>
  <c r="BK96" i="39"/>
  <c r="BK76" i="39" l="1"/>
  <c r="BK94" i="39"/>
  <c r="BK97" i="39" s="1"/>
  <c r="BK98" i="39" s="1"/>
  <c r="BL96" i="39" l="1"/>
  <c r="BK56" i="39"/>
  <c r="BK58" i="39" s="1"/>
  <c r="BK59" i="39" s="1"/>
  <c r="BK77" i="39" s="1"/>
  <c r="J24" i="41" l="1"/>
  <c r="H12" i="41"/>
  <c r="J12" i="41" l="1"/>
  <c r="L12" i="41"/>
  <c r="J11" i="41"/>
  <c r="J8" i="41"/>
  <c r="J9" i="41"/>
  <c r="J7" i="41"/>
  <c r="J10" i="41"/>
  <c r="J25" i="41"/>
  <c r="H13" i="41" s="1"/>
  <c r="J6" i="41"/>
  <c r="BL94" i="39" l="1"/>
  <c r="BL97" i="39" s="1"/>
  <c r="BL98" i="39" s="1"/>
  <c r="BL76" i="39"/>
  <c r="P12" i="41"/>
  <c r="H16" i="41"/>
  <c r="I13" i="41" s="1"/>
  <c r="J13" i="41"/>
  <c r="J16" i="41" s="1"/>
  <c r="L13" i="41"/>
  <c r="BM96" i="39" l="1"/>
  <c r="BL56" i="39"/>
  <c r="BL58" i="39" s="1"/>
  <c r="BL59" i="39" s="1"/>
  <c r="BL77" i="39" s="1"/>
  <c r="P13" i="41"/>
  <c r="I11" i="41"/>
  <c r="I10" i="41"/>
  <c r="I7" i="41"/>
  <c r="I6" i="41"/>
  <c r="I8" i="41"/>
  <c r="N23" i="41"/>
  <c r="N24" i="41" s="1"/>
  <c r="I12" i="41"/>
  <c r="I9" i="41"/>
  <c r="N6" i="41" l="1"/>
  <c r="N11" i="41"/>
  <c r="N7" i="41"/>
  <c r="N25" i="41"/>
  <c r="L14" i="41" s="1"/>
  <c r="N9" i="41"/>
  <c r="N8" i="41"/>
  <c r="N10" i="41"/>
  <c r="N12" i="41"/>
  <c r="I16" i="41"/>
  <c r="N13" i="41"/>
  <c r="P14" i="41" l="1"/>
  <c r="N14" i="41"/>
  <c r="N16" i="41" s="1"/>
  <c r="L16" i="41"/>
  <c r="BM94" i="39" l="1"/>
  <c r="BM97" i="39" s="1"/>
  <c r="BM98" i="39" s="1"/>
  <c r="BM76" i="39"/>
  <c r="M8" i="41"/>
  <c r="M11" i="41"/>
  <c r="R23" i="41"/>
  <c r="R24" i="41" s="1"/>
  <c r="M10" i="41"/>
  <c r="M12" i="41"/>
  <c r="M13" i="41"/>
  <c r="M7" i="41"/>
  <c r="M6" i="41"/>
  <c r="M9" i="41"/>
  <c r="M14" i="41"/>
  <c r="BN96" i="39" l="1"/>
  <c r="BM56" i="39"/>
  <c r="BM58" i="39" s="1"/>
  <c r="BM59" i="39" s="1"/>
  <c r="BM77" i="39" s="1"/>
  <c r="R25" i="41"/>
  <c r="P15" i="41" s="1"/>
  <c r="R7" i="41"/>
  <c r="R10" i="41"/>
  <c r="R12" i="41"/>
  <c r="R13" i="41"/>
  <c r="R6" i="41"/>
  <c r="R11" i="41"/>
  <c r="R9" i="41"/>
  <c r="R8" i="41"/>
  <c r="R14" i="41"/>
  <c r="M16" i="41"/>
  <c r="P16" i="41" l="1"/>
  <c r="Q15" i="41" s="1"/>
  <c r="R15" i="41"/>
  <c r="R16" i="41" s="1"/>
  <c r="Q9" i="41" l="1"/>
  <c r="Q6" i="41"/>
  <c r="Q10" i="41"/>
  <c r="Q14" i="41"/>
  <c r="Q8" i="41"/>
  <c r="Q12" i="41"/>
  <c r="Q13" i="41"/>
  <c r="Q7" i="41"/>
  <c r="Q11" i="41"/>
  <c r="BN76" i="39" l="1"/>
  <c r="BN94" i="39"/>
  <c r="BN97" i="39" s="1"/>
  <c r="BN98" i="39" s="1"/>
  <c r="Q16" i="41"/>
  <c r="D6" i="39"/>
  <c r="D10" i="39" l="1"/>
  <c r="O68" i="29"/>
  <c r="O69" i="29" s="1"/>
  <c r="N73" i="29"/>
  <c r="M75" i="29"/>
  <c r="K68" i="29"/>
  <c r="K69" i="29" s="1"/>
  <c r="J76" i="29"/>
  <c r="O77" i="29"/>
  <c r="N74" i="29"/>
  <c r="M74" i="29"/>
  <c r="K75" i="29"/>
  <c r="J77" i="29"/>
  <c r="J68" i="29"/>
  <c r="J69" i="29" s="1"/>
  <c r="O73" i="29"/>
  <c r="N75" i="29"/>
  <c r="L68" i="29"/>
  <c r="L69" i="29" s="1"/>
  <c r="K76" i="29"/>
  <c r="J73" i="29"/>
  <c r="L74" i="29"/>
  <c r="O74" i="29"/>
  <c r="N76" i="29"/>
  <c r="L76" i="29"/>
  <c r="K74" i="29"/>
  <c r="J74" i="29"/>
  <c r="O75" i="29"/>
  <c r="M68" i="29"/>
  <c r="M69" i="29" s="1"/>
  <c r="L77" i="29"/>
  <c r="K77" i="29"/>
  <c r="N68" i="29"/>
  <c r="N69" i="29" s="1"/>
  <c r="O76" i="29"/>
  <c r="M76" i="29"/>
  <c r="L73" i="29"/>
  <c r="K73" i="29"/>
  <c r="M77" i="29"/>
  <c r="N77" i="29"/>
  <c r="M73" i="29"/>
  <c r="L75" i="29"/>
  <c r="J75" i="29"/>
  <c r="J59" i="29"/>
  <c r="J64" i="29"/>
  <c r="J30" i="29" s="1"/>
  <c r="K64" i="29"/>
  <c r="K59" i="29"/>
  <c r="L59" i="29"/>
  <c r="L64" i="29"/>
  <c r="L30" i="29" s="1"/>
  <c r="M59" i="29"/>
  <c r="M64" i="29"/>
  <c r="N59" i="29"/>
  <c r="N64" i="29"/>
  <c r="O59" i="29"/>
  <c r="O64" i="29"/>
  <c r="J78" i="29"/>
  <c r="K78" i="29"/>
  <c r="K79" i="29" s="1"/>
  <c r="K80" i="29" s="1"/>
  <c r="L78" i="29"/>
  <c r="M78" i="29"/>
  <c r="M79" i="29" s="1"/>
  <c r="M80" i="29" s="1"/>
  <c r="N78" i="29"/>
  <c r="N79" i="29" s="1"/>
  <c r="N80" i="29" s="1"/>
  <c r="O78" i="29"/>
  <c r="O79" i="29" s="1"/>
  <c r="O80" i="29" s="1"/>
  <c r="BO96" i="39"/>
  <c r="BN56" i="39"/>
  <c r="BN58" i="39" s="1"/>
  <c r="BN59" i="39" s="1"/>
  <c r="BN77" i="39" s="1"/>
  <c r="J8" i="29"/>
  <c r="B14" i="38" s="1"/>
  <c r="K8" i="29"/>
  <c r="C14" i="38" s="1"/>
  <c r="O8" i="29"/>
  <c r="G14" i="38" s="1"/>
  <c r="L8" i="29"/>
  <c r="D14" i="38" s="1"/>
  <c r="N8" i="29"/>
  <c r="F14" i="38" s="1"/>
  <c r="M8" i="29"/>
  <c r="E14" i="38" s="1"/>
  <c r="L12" i="29"/>
  <c r="D22" i="38" s="1"/>
  <c r="D23" i="38" s="1"/>
  <c r="M12" i="29"/>
  <c r="E22" i="38" s="1"/>
  <c r="E23" i="38" s="1"/>
  <c r="N12" i="29"/>
  <c r="F22" i="38" s="1"/>
  <c r="F23" i="38" s="1"/>
  <c r="L9" i="29"/>
  <c r="D15" i="38" s="1"/>
  <c r="N9" i="29"/>
  <c r="F15" i="38" s="1"/>
  <c r="O9" i="29"/>
  <c r="G15" i="38" s="1"/>
  <c r="J9" i="29"/>
  <c r="B15" i="38" s="1"/>
  <c r="O12" i="29"/>
  <c r="G22" i="38" s="1"/>
  <c r="G23" i="38" s="1"/>
  <c r="K9" i="29"/>
  <c r="C15" i="38" s="1"/>
  <c r="M9" i="29"/>
  <c r="E15" i="38" s="1"/>
  <c r="K12" i="29"/>
  <c r="C22" i="38" s="1"/>
  <c r="C23" i="38" s="1"/>
  <c r="J12" i="29"/>
  <c r="B22" i="38" s="1"/>
  <c r="B23" i="38" s="1"/>
  <c r="M30" i="29" l="1"/>
  <c r="N30" i="29"/>
  <c r="K30" i="29"/>
  <c r="L79" i="29"/>
  <c r="L80" i="29" s="1"/>
  <c r="J79" i="29"/>
  <c r="J80" i="29" s="1"/>
  <c r="O30" i="29"/>
  <c r="M42" i="29"/>
  <c r="K41" i="29"/>
  <c r="O39" i="29"/>
  <c r="M38" i="29"/>
  <c r="M40" i="29"/>
  <c r="L42" i="29"/>
  <c r="J41" i="29"/>
  <c r="N39" i="29"/>
  <c r="L38" i="29"/>
  <c r="O14" i="29"/>
  <c r="K42" i="29"/>
  <c r="O40" i="29"/>
  <c r="M39" i="29"/>
  <c r="K38" i="29"/>
  <c r="N14" i="29"/>
  <c r="K39" i="29"/>
  <c r="J42" i="29"/>
  <c r="N40" i="29"/>
  <c r="L39" i="29"/>
  <c r="J38" i="29"/>
  <c r="M14" i="29"/>
  <c r="O41" i="29"/>
  <c r="L14" i="29"/>
  <c r="N41" i="29"/>
  <c r="L40" i="29"/>
  <c r="J39" i="29"/>
  <c r="K14" i="29"/>
  <c r="N42" i="29"/>
  <c r="J40" i="29"/>
  <c r="N38" i="29"/>
  <c r="O42" i="29"/>
  <c r="M41" i="29"/>
  <c r="K40" i="29"/>
  <c r="O38" i="29"/>
  <c r="J14" i="29"/>
  <c r="L41" i="29"/>
  <c r="O29" i="29"/>
  <c r="O31" i="29" s="1"/>
  <c r="G16" i="38" s="1"/>
  <c r="G17" i="38" s="1"/>
  <c r="J29" i="29"/>
  <c r="J31" i="29" s="1"/>
  <c r="B16" i="38" s="1"/>
  <c r="B17" i="38" s="1"/>
  <c r="B25" i="38" s="1"/>
  <c r="C8" i="38" s="1"/>
  <c r="C11" i="38" s="1"/>
  <c r="K29" i="29"/>
  <c r="M29" i="29"/>
  <c r="M31" i="29" s="1"/>
  <c r="E16" i="38" s="1"/>
  <c r="E17" i="38" s="1"/>
  <c r="L29" i="29"/>
  <c r="L31" i="29" s="1"/>
  <c r="D16" i="38" s="1"/>
  <c r="D17" i="38" s="1"/>
  <c r="N29" i="29"/>
  <c r="N31" i="29" s="1"/>
  <c r="F16" i="38" s="1"/>
  <c r="F17" i="38" s="1"/>
  <c r="M10" i="29"/>
  <c r="M13" i="29" s="1"/>
  <c r="N10" i="29"/>
  <c r="N11" i="29" s="1"/>
  <c r="L10" i="29"/>
  <c r="L11" i="29" s="1"/>
  <c r="K10" i="10"/>
  <c r="O10" i="29"/>
  <c r="O11" i="29" s="1"/>
  <c r="K10" i="29"/>
  <c r="K11" i="29" s="1"/>
  <c r="J10" i="29"/>
  <c r="J11" i="29" s="1"/>
  <c r="K31" i="29" l="1"/>
  <c r="C16" i="38" s="1"/>
  <c r="C17" i="38" s="1"/>
  <c r="C25" i="38" s="1"/>
  <c r="D8" i="38" s="1"/>
  <c r="D11" i="38" s="1"/>
  <c r="D25" i="38" s="1"/>
  <c r="E8" i="38" s="1"/>
  <c r="E11" i="38" s="1"/>
  <c r="E25" i="38" s="1"/>
  <c r="F8" i="38" s="1"/>
  <c r="F11" i="38" s="1"/>
  <c r="F25" i="38" s="1"/>
  <c r="G8" i="38" s="1"/>
  <c r="G11" i="38" s="1"/>
  <c r="G25" i="38" s="1"/>
  <c r="N43" i="29"/>
  <c r="K43" i="29"/>
  <c r="J43" i="29"/>
  <c r="M43" i="29"/>
  <c r="O43" i="29"/>
  <c r="L43" i="29"/>
  <c r="K13" i="29"/>
  <c r="M16" i="29"/>
  <c r="M27" i="29" s="1"/>
  <c r="M32" i="29" s="1"/>
  <c r="I9" i="10"/>
  <c r="I11" i="10" s="1"/>
  <c r="J13" i="29"/>
  <c r="O13" i="29"/>
  <c r="L13" i="29"/>
  <c r="H9" i="10" s="1"/>
  <c r="H11" i="10" s="1"/>
  <c r="M11" i="29"/>
  <c r="N13" i="29"/>
  <c r="O16" i="29" l="1"/>
  <c r="O27" i="29" s="1"/>
  <c r="O32" i="29" s="1"/>
  <c r="O46" i="29" s="1"/>
  <c r="K9" i="10"/>
  <c r="K11" i="10" s="1"/>
  <c r="J16" i="29"/>
  <c r="J27" i="29" s="1"/>
  <c r="J32" i="29" s="1"/>
  <c r="J46" i="29" s="1"/>
  <c r="J47" i="29" s="1"/>
  <c r="J58" i="29" s="1"/>
  <c r="F9" i="10"/>
  <c r="F11" i="10" s="1"/>
  <c r="N16" i="29"/>
  <c r="N27" i="29" s="1"/>
  <c r="N32" i="29" s="1"/>
  <c r="N46" i="29" s="1"/>
  <c r="J9" i="10"/>
  <c r="J11" i="10" s="1"/>
  <c r="J17" i="10" s="1"/>
  <c r="K16" i="29"/>
  <c r="K27" i="29" s="1"/>
  <c r="K32" i="29" s="1"/>
  <c r="K46" i="29" s="1"/>
  <c r="G9" i="10"/>
  <c r="G11" i="10" s="1"/>
  <c r="L16" i="29"/>
  <c r="L27" i="29" s="1"/>
  <c r="L32" i="29" s="1"/>
  <c r="L46" i="29" s="1"/>
  <c r="BO94" i="39"/>
  <c r="BO97" i="39" s="1"/>
  <c r="BO98" i="39" s="1"/>
  <c r="BO76" i="39"/>
  <c r="O17" i="29"/>
  <c r="M46" i="29"/>
  <c r="M17" i="29"/>
  <c r="J17" i="29" l="1"/>
  <c r="L17" i="29"/>
  <c r="K17" i="29"/>
  <c r="N17" i="29"/>
  <c r="BP96" i="39"/>
  <c r="BO56" i="39"/>
  <c r="BO58" i="39" s="1"/>
  <c r="BO59" i="39" s="1"/>
  <c r="BO77" i="39" s="1"/>
  <c r="K17" i="10"/>
  <c r="J65" i="29"/>
  <c r="K45" i="29"/>
  <c r="K47" i="29" s="1"/>
  <c r="K58" i="29" s="1"/>
  <c r="J60" i="29"/>
  <c r="J61" i="29" s="1"/>
  <c r="J70" i="29" l="1"/>
  <c r="J81" i="29" s="1"/>
  <c r="K60" i="29"/>
  <c r="K61" i="29" s="1"/>
  <c r="L45" i="29"/>
  <c r="L47" i="29" s="1"/>
  <c r="L58" i="29" s="1"/>
  <c r="K65" i="29"/>
  <c r="J82" i="29" l="1"/>
  <c r="J83" i="29"/>
  <c r="K70" i="29"/>
  <c r="K81" i="29" s="1"/>
  <c r="M45" i="29"/>
  <c r="M47" i="29" s="1"/>
  <c r="M58" i="29" s="1"/>
  <c r="L60" i="29"/>
  <c r="L61" i="29" s="1"/>
  <c r="L65" i="29"/>
  <c r="K83" i="29" l="1"/>
  <c r="K82" i="29"/>
  <c r="L70" i="29"/>
  <c r="L81" i="29" s="1"/>
  <c r="M65" i="29"/>
  <c r="N45" i="29"/>
  <c r="N47" i="29" s="1"/>
  <c r="N58" i="29" s="1"/>
  <c r="M60" i="29"/>
  <c r="M61" i="29" s="1"/>
  <c r="BP94" i="39"/>
  <c r="BP97" i="39" s="1"/>
  <c r="BP98" i="39" s="1"/>
  <c r="BP76" i="39"/>
  <c r="L83" i="29" l="1"/>
  <c r="L82" i="29"/>
  <c r="M70" i="29"/>
  <c r="M81" i="29" s="1"/>
  <c r="N65" i="29"/>
  <c r="O45" i="29"/>
  <c r="O47" i="29" s="1"/>
  <c r="O58" i="29" s="1"/>
  <c r="N60" i="29"/>
  <c r="N61" i="29" s="1"/>
  <c r="BP56" i="39"/>
  <c r="BP58" i="39" s="1"/>
  <c r="BP59" i="39" s="1"/>
  <c r="BP77" i="39" s="1"/>
  <c r="BQ96" i="39"/>
  <c r="M83" i="29" l="1"/>
  <c r="M82" i="29"/>
  <c r="N70" i="29"/>
  <c r="N81" i="29" s="1"/>
  <c r="O60" i="29"/>
  <c r="O61" i="29" s="1"/>
  <c r="O65" i="29"/>
  <c r="BQ94" i="39"/>
  <c r="BQ97" i="39" s="1"/>
  <c r="BQ98" i="39" s="1"/>
  <c r="BQ76" i="39"/>
  <c r="N82" i="29" l="1"/>
  <c r="N83" i="29"/>
  <c r="O70" i="29"/>
  <c r="O81" i="29" s="1"/>
  <c r="BR96" i="39"/>
  <c r="BQ56" i="39"/>
  <c r="BQ58" i="39" s="1"/>
  <c r="BQ59" i="39" s="1"/>
  <c r="BQ77" i="39" s="1"/>
  <c r="O83" i="29" l="1"/>
  <c r="O82" i="29"/>
  <c r="BR94" i="39"/>
  <c r="BR97" i="39" s="1"/>
  <c r="BR98" i="39" s="1"/>
  <c r="BR76" i="39"/>
  <c r="BS96" i="39" l="1"/>
  <c r="BR56" i="39"/>
  <c r="BR58" i="39" s="1"/>
  <c r="BR59" i="39" s="1"/>
  <c r="BR77" i="39" s="1"/>
  <c r="BS94" i="39" l="1"/>
  <c r="BS97" i="39" s="1"/>
  <c r="BS98" i="39" s="1"/>
  <c r="BS76" i="39"/>
  <c r="BS56" i="39" l="1"/>
  <c r="BS58" i="39" s="1"/>
  <c r="BS59" i="39" s="1"/>
  <c r="BS77" i="39" s="1"/>
  <c r="BT96" i="39"/>
  <c r="BT76" i="39" l="1"/>
  <c r="BT94" i="39"/>
  <c r="BT97" i="39" s="1"/>
  <c r="BT98" i="39" s="1"/>
  <c r="BU96" i="39" l="1"/>
  <c r="BT56" i="39"/>
  <c r="BT58" i="39" s="1"/>
  <c r="BT59" i="39" s="1"/>
  <c r="BT77" i="39" s="1"/>
  <c r="BU94" i="39" l="1"/>
  <c r="BU97" i="39" s="1"/>
  <c r="BU98" i="39" s="1"/>
  <c r="BU76" i="39"/>
  <c r="BU56" i="39" l="1"/>
  <c r="BU58" i="39" s="1"/>
  <c r="BU59" i="39" s="1"/>
  <c r="BU77" i="39" s="1"/>
  <c r="BV96" i="39"/>
  <c r="BV76" i="39" l="1"/>
  <c r="BV94" i="39"/>
  <c r="BV97" i="39" s="1"/>
  <c r="BV98" i="39" s="1"/>
  <c r="BW96" i="39" l="1"/>
  <c r="BV56" i="39"/>
  <c r="BV58" i="39" s="1"/>
  <c r="BV59" i="39" s="1"/>
  <c r="BV77" i="39" s="1"/>
  <c r="BW76" i="39" l="1"/>
  <c r="BW94" i="39"/>
  <c r="BW97" i="39" s="1"/>
  <c r="BW98" i="39" s="1"/>
  <c r="BW56" i="39" s="1"/>
  <c r="BW58" i="39" s="1"/>
  <c r="BW59" i="39" s="1"/>
  <c r="BW77" i="3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tc={351852B9-2731-4F08-A139-537FE6465E71}</author>
    <author>tc={A26454A8-9C79-49CF-8143-5DC9C9BE0172}</author>
    <author>tc={FA862FB8-8A87-4C4D-94E3-4ED446572A90}</author>
    <author>tc={319C3BE9-BA23-4CAE-88A7-CBBE2D120F01}</author>
  </authors>
  <commentList>
    <comment ref="E33" authorId="0" shapeId="0" xr:uid="{351852B9-2731-4F08-A139-537FE6465E7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could potentially be CPM vs. CPC.</t>
        </r>
      </text>
    </comment>
    <comment ref="D40" authorId="1" shapeId="0" xr:uid="{A26454A8-9C79-49CF-8143-5DC9C9BE01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 this to the Revenue Assumptions tab</t>
        </r>
      </text>
    </comment>
    <comment ref="E81" authorId="2" shapeId="0" xr:uid="{FA862FB8-8A87-4C4D-94E3-4ED446572A9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 monthly and annual subscriptions, add a mix</t>
        </r>
      </text>
    </comment>
    <comment ref="E98" authorId="3" shapeId="0" xr:uid="{319C3BE9-BA23-4CAE-88A7-CBBE2D120F0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We’ll put in a placeholder for the average shipping cost and then the average shipping/delivery revenue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<sst xmlns="http://schemas.openxmlformats.org/spreadsheetml/2006/main" count="736" uniqueCount="502">
  <si>
    <r>
      <rPr>
        <b/>
        <sz val="11"/>
        <color theme="1"/>
        <rFont val="Vani"/>
        <family val="1"/>
      </rPr>
      <t>Model Obective:</t>
    </r>
    <r>
      <rPr>
        <sz val="11"/>
        <color theme="1"/>
        <rFont val="Vani"/>
        <family val="1"/>
      </rPr>
      <t xml:space="preserve"> To assess the viability and valuation of a cannabis technology startup providing compliance and licensing solutions.</t>
    </r>
  </si>
  <si>
    <t>Table of Content</t>
  </si>
  <si>
    <t>Summary</t>
  </si>
  <si>
    <t>Dashboard</t>
  </si>
  <si>
    <t>Inputs &amp; Calculation</t>
  </si>
  <si>
    <t>Macros</t>
  </si>
  <si>
    <t>Assumptions</t>
  </si>
  <si>
    <t>Calculations</t>
  </si>
  <si>
    <t>Outputs &amp; Ratios</t>
  </si>
  <si>
    <t>Financial Reports</t>
  </si>
  <si>
    <t xml:space="preserve">. </t>
  </si>
  <si>
    <t>Model Style Guide</t>
  </si>
  <si>
    <t>…this section provides descriptions of the values in the model</t>
  </si>
  <si>
    <t>Input cells</t>
  </si>
  <si>
    <t>Formula cells</t>
  </si>
  <si>
    <t>Linked cells</t>
  </si>
  <si>
    <t>Subtotal cells</t>
  </si>
  <si>
    <t>Total cells</t>
  </si>
  <si>
    <t>Heading 1</t>
  </si>
  <si>
    <t>Title</t>
  </si>
  <si>
    <t>Heading 2</t>
  </si>
  <si>
    <t>…details of the company</t>
  </si>
  <si>
    <t>Company name</t>
  </si>
  <si>
    <t>Canoja Technologies</t>
  </si>
  <si>
    <t>Business industry</t>
  </si>
  <si>
    <t xml:space="preserve"> Cannabis Technology (Cannatech)</t>
  </si>
  <si>
    <t>Location</t>
  </si>
  <si>
    <t>United State of America</t>
  </si>
  <si>
    <t>Model currency</t>
  </si>
  <si>
    <t>Dollar</t>
  </si>
  <si>
    <t>Model start period</t>
  </si>
  <si>
    <t>Forecast start period</t>
  </si>
  <si>
    <t>Forecast period</t>
  </si>
  <si>
    <t>Model end period</t>
  </si>
  <si>
    <t>Model version</t>
  </si>
  <si>
    <t>ver 1</t>
  </si>
  <si>
    <t>Model Glossary &amp; Audit</t>
  </si>
  <si>
    <t>…details of the acronymns</t>
  </si>
  <si>
    <t>OPEX</t>
  </si>
  <si>
    <t>Operating expenses</t>
  </si>
  <si>
    <t>CAPEX</t>
  </si>
  <si>
    <t>Capital expenditure</t>
  </si>
  <si>
    <t>Calc</t>
  </si>
  <si>
    <t>Calculation</t>
  </si>
  <si>
    <t>NG</t>
  </si>
  <si>
    <t>Nigeria</t>
  </si>
  <si>
    <t>CPM</t>
  </si>
  <si>
    <t>Cost Per Mille</t>
  </si>
  <si>
    <t>CPC</t>
  </si>
  <si>
    <t>Cost Per Click</t>
  </si>
  <si>
    <t>CTR</t>
  </si>
  <si>
    <t>Click-Through Rate</t>
  </si>
  <si>
    <t>GMV</t>
  </si>
  <si>
    <t>Gross Merchandise Value</t>
  </si>
  <si>
    <t>Sponsored Listings</t>
  </si>
  <si>
    <t>Ads</t>
  </si>
  <si>
    <t>Ordering &amp; Delivery</t>
  </si>
  <si>
    <t>Use of Funds</t>
  </si>
  <si>
    <t>Period start</t>
  </si>
  <si>
    <t>Period end</t>
  </si>
  <si>
    <t>Period count</t>
  </si>
  <si>
    <t>Year ending</t>
  </si>
  <si>
    <t>General assumption</t>
  </si>
  <si>
    <t>Project dates</t>
  </si>
  <si>
    <t>Unity</t>
  </si>
  <si>
    <t>1st model column start date</t>
  </si>
  <si>
    <t>Months per model period</t>
  </si>
  <si>
    <t>Financial close</t>
  </si>
  <si>
    <t>Projection start date</t>
  </si>
  <si>
    <t>Projection period</t>
  </si>
  <si>
    <t>years</t>
  </si>
  <si>
    <t>Projection end date</t>
  </si>
  <si>
    <t>Operations Date</t>
  </si>
  <si>
    <t>Phase 1 start date</t>
  </si>
  <si>
    <t>months</t>
  </si>
  <si>
    <t>Phase 2 start date</t>
  </si>
  <si>
    <t>Million</t>
  </si>
  <si>
    <t>Model duration</t>
  </si>
  <si>
    <t>Model end</t>
  </si>
  <si>
    <t xml:space="preserve">Financial year end month number </t>
  </si>
  <si>
    <t>Time assumption</t>
  </si>
  <si>
    <t>Months a Year</t>
  </si>
  <si>
    <t>Months per half year</t>
  </si>
  <si>
    <t>Quarters a Year</t>
  </si>
  <si>
    <t>quarters</t>
  </si>
  <si>
    <t>Months a Quarter</t>
  </si>
  <si>
    <t xml:space="preserve">Weeks a Year </t>
  </si>
  <si>
    <t>weeks</t>
  </si>
  <si>
    <t>Weeks a Month</t>
  </si>
  <si>
    <t xml:space="preserve">Days a Year </t>
  </si>
  <si>
    <t>days</t>
  </si>
  <si>
    <t>Days a Month</t>
  </si>
  <si>
    <t>Days a Week</t>
  </si>
  <si>
    <t>Macroeconomic assumption</t>
  </si>
  <si>
    <t>Federal Corporate Tax</t>
  </si>
  <si>
    <t>percent of pre-tax income</t>
  </si>
  <si>
    <t>Inflation, Annual</t>
  </si>
  <si>
    <t>Ads Monetization Switch</t>
  </si>
  <si>
    <t>Switch</t>
  </si>
  <si>
    <t>Both (CPM + CPC)</t>
  </si>
  <si>
    <t>Selected Rate</t>
  </si>
  <si>
    <t>Inputs &amp; Assumptions</t>
  </si>
  <si>
    <t>Year count</t>
  </si>
  <si>
    <t>Phases</t>
  </si>
  <si>
    <t>Customer Acquisition</t>
  </si>
  <si>
    <t>Churn Rate</t>
  </si>
  <si>
    <t>New Users</t>
  </si>
  <si>
    <t>Churned Users</t>
  </si>
  <si>
    <t>user drop off</t>
  </si>
  <si>
    <t>Active Users</t>
  </si>
  <si>
    <t>no of retained users</t>
  </si>
  <si>
    <t>% users who click on ad</t>
  </si>
  <si>
    <t>app use per day</t>
  </si>
  <si>
    <t xml:space="preserve">days the app is used </t>
  </si>
  <si>
    <t>ads viewed per day</t>
  </si>
  <si>
    <t>no of times a user sees ads</t>
  </si>
  <si>
    <t>times per day</t>
  </si>
  <si>
    <t>Impressions</t>
  </si>
  <si>
    <t>Impressions per Quarter</t>
  </si>
  <si>
    <t>Total Ad impressions</t>
  </si>
  <si>
    <t>% of Ordering users</t>
  </si>
  <si>
    <t>%MAU</t>
  </si>
  <si>
    <t>Active Ordering Users</t>
  </si>
  <si>
    <t>Revenue assumption</t>
  </si>
  <si>
    <t>number</t>
  </si>
  <si>
    <t>per Subscriber</t>
  </si>
  <si>
    <t>Revenue Generated</t>
  </si>
  <si>
    <t>Ad rates</t>
  </si>
  <si>
    <t>Charge</t>
  </si>
  <si>
    <t>Quantity of Orders</t>
  </si>
  <si>
    <t>Avg Order Value</t>
  </si>
  <si>
    <t>Order Value</t>
  </si>
  <si>
    <t>Commission</t>
  </si>
  <si>
    <t>Commission %</t>
  </si>
  <si>
    <t>Total Revenue Generated</t>
  </si>
  <si>
    <t>Cost of service</t>
  </si>
  <si>
    <t>AWS Subscription</t>
  </si>
  <si>
    <t xml:space="preserve">percentage of revenue </t>
  </si>
  <si>
    <t>headcount</t>
  </si>
  <si>
    <t>Payment Processing Fees</t>
  </si>
  <si>
    <t>OPEX assumption</t>
  </si>
  <si>
    <t>Salary and wages</t>
  </si>
  <si>
    <t>C-Level</t>
  </si>
  <si>
    <t>Directors</t>
  </si>
  <si>
    <t>Sales Department</t>
  </si>
  <si>
    <t>Accounting &amp; Finance</t>
  </si>
  <si>
    <t>Creative Department</t>
  </si>
  <si>
    <t>Product Management</t>
  </si>
  <si>
    <t>Adminstrative Assistant</t>
  </si>
  <si>
    <t>monthly salary</t>
  </si>
  <si>
    <t>annual percentage</t>
  </si>
  <si>
    <t>Other expenses</t>
  </si>
  <si>
    <t>Advertising &amp; Marketing</t>
  </si>
  <si>
    <t>monthly</t>
  </si>
  <si>
    <t>Business Insurance</t>
  </si>
  <si>
    <t>Monthly</t>
  </si>
  <si>
    <t>Quarterly</t>
  </si>
  <si>
    <t>Cost escalator</t>
  </si>
  <si>
    <t>Financial evaluation assumption</t>
  </si>
  <si>
    <t>Annually</t>
  </si>
  <si>
    <t>Working capital assumptions</t>
  </si>
  <si>
    <t>Receivables days</t>
  </si>
  <si>
    <t>Payable days</t>
  </si>
  <si>
    <t>Cap Table assumptions</t>
  </si>
  <si>
    <t>Pre Money Valuation</t>
  </si>
  <si>
    <t>New Money (Series A)</t>
  </si>
  <si>
    <t>Series A Share Price</t>
  </si>
  <si>
    <t>Shares to Series A</t>
  </si>
  <si>
    <t>SAFE A Investment</t>
  </si>
  <si>
    <t>SAFE A Cap ($8M)</t>
  </si>
  <si>
    <t>Converts at $8.00/share</t>
  </si>
  <si>
    <t>Shares</t>
  </si>
  <si>
    <t>SAFE B Investment</t>
  </si>
  <si>
    <t>SAFE B Cap ($10M)</t>
  </si>
  <si>
    <t>Converts at $10.00/share</t>
  </si>
  <si>
    <t>Customer Acquisition Cost</t>
  </si>
  <si>
    <t>Sales Team Spend</t>
  </si>
  <si>
    <t>Total S&amp;M Spend</t>
  </si>
  <si>
    <t>mln</t>
  </si>
  <si>
    <t>Revenue</t>
  </si>
  <si>
    <t>Products</t>
  </si>
  <si>
    <t>Total</t>
  </si>
  <si>
    <t>Cost of sales</t>
  </si>
  <si>
    <t>Direct Cost</t>
  </si>
  <si>
    <t>Cost to payment processor</t>
  </si>
  <si>
    <t>Commission to sales person</t>
  </si>
  <si>
    <t>Salaries</t>
  </si>
  <si>
    <t>Depreciation</t>
  </si>
  <si>
    <t>Depreciation &amp; Amortization</t>
  </si>
  <si>
    <t>Amount</t>
  </si>
  <si>
    <t>Quarter</t>
  </si>
  <si>
    <t>Working capital</t>
  </si>
  <si>
    <t>Receivables</t>
  </si>
  <si>
    <t>Payables</t>
  </si>
  <si>
    <t>Income Statement</t>
  </si>
  <si>
    <t>Direct cost</t>
  </si>
  <si>
    <t>Gross profit</t>
  </si>
  <si>
    <t>Gross Profit Margin</t>
  </si>
  <si>
    <t>EBITDA</t>
  </si>
  <si>
    <t>Income tax</t>
  </si>
  <si>
    <t>Cashflow Statement</t>
  </si>
  <si>
    <t>Cashflow from operations</t>
  </si>
  <si>
    <t>Movement in working capital</t>
  </si>
  <si>
    <t>(Increase)/decrease in receivables</t>
  </si>
  <si>
    <t>(Decrease)/increase in payables</t>
  </si>
  <si>
    <t>Total movement in working capital</t>
  </si>
  <si>
    <t>Net cash from/(used in) operating activities</t>
  </si>
  <si>
    <t>Cashflow from investing activities</t>
  </si>
  <si>
    <t>Net cash unsed in investing activities</t>
  </si>
  <si>
    <t>Cashflow from financing activities</t>
  </si>
  <si>
    <t>Net cash used in financing activities</t>
  </si>
  <si>
    <t>Net increase/decrease) in cash &amp; cash equivalents</t>
  </si>
  <si>
    <t>Opening cash balance</t>
  </si>
  <si>
    <t>Closing cash balance</t>
  </si>
  <si>
    <t>Balance Sheet Statement</t>
  </si>
  <si>
    <t>Current assets</t>
  </si>
  <si>
    <t xml:space="preserve">Cash and bank </t>
  </si>
  <si>
    <t>Total current assets</t>
  </si>
  <si>
    <t>Total assets</t>
  </si>
  <si>
    <t>Current liabilities</t>
  </si>
  <si>
    <t>Total current liabilities</t>
  </si>
  <si>
    <t>Total liabilities</t>
  </si>
  <si>
    <t>Equities</t>
  </si>
  <si>
    <t>Equity attributable to equity holders</t>
  </si>
  <si>
    <t>Total equities</t>
  </si>
  <si>
    <t>Equities + Liabilities</t>
  </si>
  <si>
    <t>Total FCFF</t>
  </si>
  <si>
    <t>Discount rate (R)</t>
  </si>
  <si>
    <t>Period</t>
  </si>
  <si>
    <t>Discounting factor</t>
  </si>
  <si>
    <t>PV of cashflow</t>
  </si>
  <si>
    <t>Total PV of FCFE</t>
  </si>
  <si>
    <t>IRR</t>
  </si>
  <si>
    <t xml:space="preserve">Internal rate of return </t>
  </si>
  <si>
    <t xml:space="preserve">Terminal Value </t>
  </si>
  <si>
    <t>B2B Marketing Mix</t>
  </si>
  <si>
    <t>B2C Marketing Mix</t>
  </si>
  <si>
    <t>Marketing Budget Per Month</t>
  </si>
  <si>
    <t>Quarter count</t>
  </si>
  <si>
    <t>B2B Cost Per Lead</t>
  </si>
  <si>
    <t>B2B Conversion Rate</t>
  </si>
  <si>
    <t>B2B Cost Per Lead Growth</t>
  </si>
  <si>
    <t>B2B Leads</t>
  </si>
  <si>
    <t>B2B Clients</t>
  </si>
  <si>
    <t>B2C Cost Per Click</t>
  </si>
  <si>
    <t>B2C Clicks</t>
  </si>
  <si>
    <t>B2C Cost Per Click Growth</t>
  </si>
  <si>
    <t>B2C Users</t>
  </si>
  <si>
    <t>B2C User Conversion Rate</t>
  </si>
  <si>
    <t>New Clients</t>
  </si>
  <si>
    <t>Sponsored Listings Product Mix</t>
  </si>
  <si>
    <t>Ads Product Mix</t>
  </si>
  <si>
    <t>% of clients paying for sponsored listings</t>
  </si>
  <si>
    <t>% of clients paying for ads</t>
  </si>
  <si>
    <t>Active Clients</t>
  </si>
  <si>
    <t>Order Frequency Per Quarter</t>
  </si>
  <si>
    <t>Clicks</t>
  </si>
  <si>
    <t>Ad Hosting Costs</t>
  </si>
  <si>
    <t>CAC per B2B client</t>
  </si>
  <si>
    <t>CAC per B2C user</t>
  </si>
  <si>
    <t>New B2B Clients</t>
  </si>
  <si>
    <t>New B2C Users</t>
  </si>
  <si>
    <t>Total B2B Marketing Spend</t>
  </si>
  <si>
    <t>Total B2C Marketing Spend</t>
  </si>
  <si>
    <t xml:space="preserve"> Participation Assumptions</t>
  </si>
  <si>
    <t>Month #</t>
  </si>
  <si>
    <t>Cost of Revenue</t>
  </si>
  <si>
    <t>Gross Profit</t>
  </si>
  <si>
    <t>Operating Expenses</t>
  </si>
  <si>
    <t>Opex</t>
  </si>
  <si>
    <t>Taxes</t>
  </si>
  <si>
    <t>Net Income</t>
  </si>
  <si>
    <t>Statement of Balances</t>
  </si>
  <si>
    <t>Assets</t>
  </si>
  <si>
    <t>Current Assets</t>
  </si>
  <si>
    <t>Cash &amp; Equivalents</t>
  </si>
  <si>
    <t>A/R</t>
  </si>
  <si>
    <t>Liabilities</t>
  </si>
  <si>
    <t>Current Liabilities</t>
  </si>
  <si>
    <t>A/P</t>
  </si>
  <si>
    <t>Shareholder's Equity</t>
  </si>
  <si>
    <t>Total Equity + Liabilties</t>
  </si>
  <si>
    <t>Check</t>
  </si>
  <si>
    <t>Cash Flow Statement</t>
  </si>
  <si>
    <t>Cash from Operations</t>
  </si>
  <si>
    <t>Change in A/R</t>
  </si>
  <si>
    <t>Change in A/P</t>
  </si>
  <si>
    <t>Cash from Investing</t>
  </si>
  <si>
    <t>Cash from Financing</t>
  </si>
  <si>
    <t>BOP Cash</t>
  </si>
  <si>
    <t>Net Change in Cash</t>
  </si>
  <si>
    <t>EOP Cash</t>
  </si>
  <si>
    <t>Taxable Profit / Loss</t>
  </si>
  <si>
    <t>Opening Balance</t>
  </si>
  <si>
    <t>Losses Added</t>
  </si>
  <si>
    <t>Losses Used</t>
  </si>
  <si>
    <t>Closing Balance</t>
  </si>
  <si>
    <t>Net Taxable Profit / (Loss)</t>
  </si>
  <si>
    <t>Corporate Tax Rate</t>
  </si>
  <si>
    <t>Taxes Payable</t>
  </si>
  <si>
    <t>Series A</t>
  </si>
  <si>
    <t>Series B</t>
  </si>
  <si>
    <t>Users</t>
  </si>
  <si>
    <t>Line of Credit</t>
  </si>
  <si>
    <t>SAFE</t>
  </si>
  <si>
    <t>Seed</t>
  </si>
  <si>
    <t>Bank Debt</t>
  </si>
  <si>
    <t>Investor</t>
  </si>
  <si>
    <t>Principal</t>
  </si>
  <si>
    <t>Discount</t>
  </si>
  <si>
    <t>Cap</t>
  </si>
  <si>
    <t>Share Price Upon QF</t>
  </si>
  <si>
    <t>Shares Issued At Conversion</t>
  </si>
  <si>
    <t>Ownership</t>
  </si>
  <si>
    <t>Investor 6</t>
  </si>
  <si>
    <t>Investor 7</t>
  </si>
  <si>
    <t>Investor 8</t>
  </si>
  <si>
    <t>Investor 9</t>
  </si>
  <si>
    <t>Investor 10</t>
  </si>
  <si>
    <t>Investor 1</t>
  </si>
  <si>
    <t>Investor 2</t>
  </si>
  <si>
    <t>Investor 3</t>
  </si>
  <si>
    <t>Investor 4</t>
  </si>
  <si>
    <t>Investor 5</t>
  </si>
  <si>
    <t>Investor 11</t>
  </si>
  <si>
    <t>Investor 12</t>
  </si>
  <si>
    <t>Investor 13</t>
  </si>
  <si>
    <t>Investor 14</t>
  </si>
  <si>
    <t>Cap Table</t>
  </si>
  <si>
    <t>Shareholder</t>
  </si>
  <si>
    <t>Pre-Investment Cap Table</t>
  </si>
  <si>
    <t>Exit</t>
  </si>
  <si>
    <t>Valuation</t>
  </si>
  <si>
    <t>ROI</t>
  </si>
  <si>
    <t>Other Member 1</t>
  </si>
  <si>
    <t>Other Member 2</t>
  </si>
  <si>
    <t>Other Member 3</t>
  </si>
  <si>
    <t>Seed Round Calculations</t>
  </si>
  <si>
    <t>Series A Round Calculations</t>
  </si>
  <si>
    <t>Investment</t>
  </si>
  <si>
    <t>Equity Ownership</t>
  </si>
  <si>
    <t>Pre-Money Valuation</t>
  </si>
  <si>
    <t>Post-Money Valuation</t>
  </si>
  <si>
    <t>Discounted Conv. Price</t>
  </si>
  <si>
    <t>Priced Round Price</t>
  </si>
  <si>
    <t>Pre-Money Price Per Share</t>
  </si>
  <si>
    <t>Richard Campbell</t>
  </si>
  <si>
    <t>Myles Campbell</t>
  </si>
  <si>
    <t>Tyler Campbell</t>
  </si>
  <si>
    <t>Rich and the team were discussing and it looks like we were on the money with building in the CPM/CPC</t>
  </si>
  <si>
    <t>Mostly remote - they may get a WeWork</t>
  </si>
  <si>
    <t>Laptops for employees</t>
  </si>
  <si>
    <t>Add up to a Series B</t>
  </si>
  <si>
    <t>Change the terminology of B2B</t>
  </si>
  <si>
    <t>Make the model monthly vs. quarterly</t>
  </si>
  <si>
    <t>200k in capitalization and negative retained earnings</t>
  </si>
  <si>
    <t>What are Wefunder fees? (7.9% + $1k per year)</t>
  </si>
  <si>
    <t>Month Date</t>
  </si>
  <si>
    <t>Months &amp; Quarters</t>
  </si>
  <si>
    <t>Year #</t>
  </si>
  <si>
    <t>Month</t>
  </si>
  <si>
    <t>Quarter #</t>
  </si>
  <si>
    <t>Month (Short)</t>
  </si>
  <si>
    <t>Frequency</t>
  </si>
  <si>
    <t>January</t>
  </si>
  <si>
    <t>Jan</t>
  </si>
  <si>
    <t>One-Time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</si>
  <si>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</si>
  <si>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</si>
  <si>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</si>
  <si>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</si>
  <si>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</si>
  <si>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</si>
  <si>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</si>
  <si>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</si>
  <si>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</si>
  <si>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</si>
  <si>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</si>
  <si>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</si>
  <si>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</si>
  <si>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</si>
  <si>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</si>
  <si>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</si>
  <si>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</si>
  <si>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</si>
  <si>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</si>
  <si>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</si>
  <si>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</si>
  <si>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Founders</t>
  </si>
  <si>
    <t>Discount Rate</t>
  </si>
  <si>
    <t>Month count</t>
  </si>
  <si>
    <t>Marketing Department</t>
  </si>
  <si>
    <t>Software Engineering Department</t>
  </si>
  <si>
    <t>Accounting &amp; Legal</t>
  </si>
  <si>
    <t>Utilities</t>
  </si>
  <si>
    <t>Software</t>
  </si>
  <si>
    <t>Administrative</t>
  </si>
  <si>
    <t>Dues &amp; Memberships</t>
  </si>
  <si>
    <t>Professional Services</t>
  </si>
  <si>
    <t>Contract Labor</t>
  </si>
  <si>
    <t>Miscellaneous</t>
  </si>
  <si>
    <t>Travel</t>
  </si>
  <si>
    <t>Meals &amp; Entertainment</t>
  </si>
  <si>
    <t>Other</t>
  </si>
  <si>
    <t>% of Revenue</t>
  </si>
  <si>
    <t>Office Space &amp; Rent</t>
  </si>
  <si>
    <t>Phase 1 Start Date</t>
  </si>
  <si>
    <t>Phase 2 Start Date</t>
  </si>
  <si>
    <t>Operations Start Date</t>
  </si>
  <si>
    <t>Equity %</t>
  </si>
  <si>
    <t>Valuation Cap</t>
  </si>
  <si>
    <t>n/a</t>
  </si>
  <si>
    <t>Units/ Shares</t>
  </si>
  <si>
    <t>Units/Shares Issued</t>
  </si>
  <si>
    <t>Seed Round Cap Table</t>
  </si>
  <si>
    <t>SAFE Calculations</t>
  </si>
  <si>
    <t>Series A Round Cap Table</t>
  </si>
  <si>
    <t>Series B Round Cap Table</t>
  </si>
  <si>
    <t>Series B Round Calculations</t>
  </si>
  <si>
    <t>SAFE Note Inputs</t>
  </si>
  <si>
    <t>Financing &amp; Cap Table Assumptions</t>
  </si>
  <si>
    <t>Units/Shares Outstanding</t>
  </si>
  <si>
    <t>Model</t>
  </si>
  <si>
    <t>Monthly Financials</t>
  </si>
  <si>
    <t>LOAN AMORTIZATION SCHEDULE</t>
  </si>
  <si>
    <t>ENTER VALUES</t>
  </si>
  <si>
    <t>LOAN SUMMARY</t>
  </si>
  <si>
    <t>Loan amount</t>
  </si>
  <si>
    <t>Scheduled payment</t>
  </si>
  <si>
    <t>Annual interest rate</t>
  </si>
  <si>
    <t>Scheduled number of payments</t>
  </si>
  <si>
    <t>Loan period in years</t>
  </si>
  <si>
    <t>Actual number of payments</t>
  </si>
  <si>
    <t>Number of payments per year</t>
  </si>
  <si>
    <t>Total early payments</t>
  </si>
  <si>
    <t>Start date of loan</t>
  </si>
  <si>
    <t>Total interest</t>
  </si>
  <si>
    <t>Optional extra payments</t>
  </si>
  <si>
    <t>PMT NO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</si>
  <si>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</si>
  <si>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</si>
  <si>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</si>
  <si>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</si>
  <si>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</si>
  <si>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</si>
  <si>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</si>
  <si>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ENDING BALANCE</t>
  </si>
  <si>
    <t>CUMULATIVE INTEREST</t>
  </si>
  <si>
    <t>Year</t>
  </si>
  <si>
    <t>Bank Loan</t>
  </si>
  <si>
    <t>Equity Funding</t>
  </si>
  <si>
    <t>Debt Funding</t>
  </si>
  <si>
    <t>Interest</t>
  </si>
  <si>
    <t>Term</t>
  </si>
  <si>
    <t>Long-term Debt</t>
  </si>
  <si>
    <t>Min. Treshold</t>
  </si>
  <si>
    <t>Terminal Value (Revenue Multiple)</t>
  </si>
  <si>
    <t>DCF Valuation</t>
  </si>
  <si>
    <t>Net Income Margin</t>
  </si>
  <si>
    <t>Long-term liabilities</t>
  </si>
  <si>
    <t>Total long-term liabilities</t>
  </si>
  <si>
    <t>Earnings Before Interest,Taxes, Depreciation, &amp; Amortization (EBITDA)</t>
  </si>
  <si>
    <t>Retained Earnings To Date</t>
  </si>
  <si>
    <t>Monthly Price</t>
  </si>
  <si>
    <t>Annual Price</t>
  </si>
  <si>
    <t>Annual Discount</t>
  </si>
  <si>
    <t>percentage</t>
  </si>
  <si>
    <t>Monthly Price Mix</t>
  </si>
  <si>
    <t>Annual Price Mix</t>
  </si>
  <si>
    <t>Monthly Churn Growth Rate</t>
  </si>
  <si>
    <t>Average Shipping Cost</t>
  </si>
  <si>
    <t>Annual Cost/Price Growth</t>
  </si>
  <si>
    <t>Average Shipping Price</t>
  </si>
  <si>
    <t>Shipping</t>
  </si>
  <si>
    <t>Present Value of Cash Flows</t>
  </si>
  <si>
    <t>Sources of Cash</t>
  </si>
  <si>
    <t>Starting Cash</t>
  </si>
  <si>
    <t>Equity Financing</t>
  </si>
  <si>
    <t>Debt Financing</t>
  </si>
  <si>
    <t>Working Capital Changes</t>
  </si>
  <si>
    <t>Expenses</t>
  </si>
  <si>
    <t>EOP Cash Balance</t>
  </si>
  <si>
    <t>Total Sources of Cash</t>
  </si>
  <si>
    <t>Total Cash from Operations</t>
  </si>
  <si>
    <t>Total Expenses</t>
  </si>
  <si>
    <t>B2B Marketing Spend</t>
  </si>
  <si>
    <t>B2C Marketing Spend</t>
  </si>
  <si>
    <t>B2B New Clients</t>
  </si>
  <si>
    <t>Customer Acquisition Cost (CAC)</t>
  </si>
  <si>
    <t>B2C New Users</t>
  </si>
  <si>
    <t>B2B New Clients CAC</t>
  </si>
  <si>
    <t>B2C New Users CAC</t>
  </si>
  <si>
    <t>B2B Revenue - Sponsored Listings</t>
  </si>
  <si>
    <t>B2B Revenue - Ads</t>
  </si>
  <si>
    <t>Total B2B Revenue</t>
  </si>
  <si>
    <t>Average Revenue Per User (ARPU)</t>
  </si>
  <si>
    <t>B2B ARPU</t>
  </si>
  <si>
    <t>B2B Active Clients</t>
  </si>
  <si>
    <t>B2C Revenue</t>
  </si>
  <si>
    <t>B2C ARPU</t>
  </si>
  <si>
    <t>B2C Active Clients</t>
  </si>
  <si>
    <t>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</si>
</sst>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yyyy"/>
    <numFmt numFmtId="167" formatCode="#,##0.0"/>
    <numFmt numFmtId="168" formatCode="#,##0.000"/>
    <numFmt numFmtId="169" formatCode="_(* #,##0_);_(* \(#,##0\);_(* &quot;-&quot;??_);_(@_)"/>
    <numFmt numFmtId="170" formatCode="0.0%"/>
    <numFmt numFmtId="171" formatCode="#,##0\ &quot;years&quot;"/>
    <numFmt numFmtId="172" formatCode="yyyy\-mm\-dd;@"/>
    <numFmt numFmtId="173" formatCode="[$$-45C]#,##0.00"/>
    <numFmt numFmtId="174" formatCode="[$₦-466]\ #,##0"/>
    <numFmt numFmtId="175" formatCode="[$₦-466]\ #,##0.00"/>
    <numFmt numFmtId="176" formatCode="&quot;number per&quot;\ #\ &quot;participants&quot;"/>
    <numFmt numFmtId="177" formatCode="[$$-409]#,##0.00"/>
    <numFmt numFmtId="178" formatCode="[$$-2C09]#,##0.00"/>
    <numFmt numFmtId="179" formatCode="[$$-1409]#,##0.00"/>
    <numFmt numFmtId="180" formatCode="[$$-2809]#,##0.00"/>
    <numFmt numFmtId="181" formatCode="[$$-1004]#,##0.00"/>
    <numFmt numFmtId="182" formatCode="[$$-C09]#,##0"/>
    <numFmt numFmtId="183" formatCode="[$$-C09]#,##0.00"/>
    <numFmt numFmtId="184" formatCode="&quot;$&quot;#,##0.00"/>
    <numFmt numFmtId="185" formatCode="&quot;$&quot;#,##0"/>
    <numFmt numFmtId="186" formatCode="_([$$-409]* #,##0.00_);_([$$-409]* \(#,##0.00\);_([$$-409]* &quot;-&quot;??_);_(@_)"/>
    <numFmt numFmtId="187" formatCode="_([$$-409]* #,##0_);_([$$-409]* \(#,##0\);_([$$-409]* &quot;-&quot;??_);_(@_)"/>
    <numFmt numFmtId="188" formatCode="_(&quot;$&quot;* #,##0_);_(&quot;$&quot;* \(#,##0\);_(&quot;$&quot;* &quot;-&quot;??_);_(@_)"/>
    <numFmt numFmtId="189" formatCode="[$$-1004]#,##0.000"/>
  </numFmts>
  <fonts count="9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0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Vani"/>
      <family val="1"/>
    </font>
    <font>
      <b/>
      <sz val="16"/>
      <color theme="4"/>
      <name val="Vani"/>
      <family val="1"/>
    </font>
    <font>
      <sz val="11"/>
      <color rgb="FFC00000"/>
      <name val="Vani"/>
      <family val="1"/>
    </font>
    <font>
      <b/>
      <sz val="14"/>
      <color theme="4"/>
      <name val="Vani"/>
      <family val="1"/>
    </font>
    <font>
      <b/>
      <sz val="11"/>
      <color rgb="FFFF0000"/>
      <name val="Vani"/>
      <family val="1"/>
    </font>
    <font>
      <b/>
      <sz val="15"/>
      <color theme="3"/>
      <name val="Vani"/>
      <family val="1"/>
    </font>
    <font>
      <sz val="10"/>
      <color rgb="FF7F7F7F"/>
      <name val="Vani"/>
      <family val="1"/>
    </font>
    <font>
      <sz val="11"/>
      <color theme="4"/>
      <name val="Vani"/>
      <family val="1"/>
    </font>
    <font>
      <b/>
      <sz val="11"/>
      <color theme="1"/>
      <name val="Vani"/>
      <family val="1"/>
    </font>
    <font>
      <b/>
      <sz val="13"/>
      <color rgb="FFC00000"/>
      <name val="Vani"/>
      <family val="1"/>
    </font>
    <font>
      <sz val="10"/>
      <color rgb="FF202124"/>
      <name val="Roboto"/>
    </font>
    <font>
      <strike/>
      <sz val="11"/>
      <color theme="1"/>
      <name val="Palladio Uralic"/>
    </font>
    <font>
      <sz val="12"/>
      <color theme="1"/>
      <name val="Arial"/>
      <family val="2"/>
    </font>
    <font>
      <b/>
      <sz val="12"/>
      <color theme="4"/>
      <name val="Arial"/>
      <family val="2"/>
    </font>
    <font>
      <sz val="12"/>
      <color rgb="FF7F7F7F"/>
      <name val="Arial"/>
      <family val="2"/>
    </font>
    <font>
      <sz val="12"/>
      <color rgb="FFC00000"/>
      <name val="Arial"/>
      <family val="2"/>
    </font>
    <font>
      <b/>
      <sz val="12"/>
      <color theme="3"/>
      <name val="Arial"/>
      <family val="2"/>
    </font>
    <font>
      <i/>
      <sz val="12"/>
      <color theme="2" tint="-0.249977111117893"/>
      <name val="Arial"/>
      <family val="2"/>
    </font>
    <font>
      <sz val="12"/>
      <color rgb="FF0070C0"/>
      <name val="Arial"/>
      <family val="2"/>
    </font>
    <font>
      <sz val="12"/>
      <color theme="3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4"/>
      <name val="Arial"/>
      <family val="2"/>
    </font>
    <font>
      <sz val="12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theme="3"/>
      <name val="Arial"/>
      <family val="2"/>
    </font>
    <font>
      <i/>
      <sz val="10"/>
      <color theme="6"/>
      <name val="Arial"/>
      <family val="2"/>
    </font>
    <font>
      <i/>
      <sz val="12"/>
      <color rgb="FF7F7F7F"/>
      <name val="Arial"/>
      <family val="2"/>
    </font>
    <font>
      <b/>
      <i/>
      <sz val="9"/>
      <color theme="2" tint="-0.249977111117893"/>
      <name val="Arial"/>
      <family val="2"/>
    </font>
    <font>
      <i/>
      <sz val="10"/>
      <color theme="2" tint="-0.249977111117893"/>
      <name val="Arial"/>
      <family val="2"/>
    </font>
    <font>
      <b/>
      <sz val="11"/>
      <color rgb="FFC00000"/>
      <name val="Vani"/>
      <family val="1"/>
    </font>
    <font>
      <sz val="12"/>
      <name val="Arial"/>
      <family val="2"/>
    </font>
    <font>
      <b/>
      <sz val="12"/>
      <color rgb="FFC00000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3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1"/>
      <color rgb="FFFF0000"/>
      <name val="Vani"/>
      <family val="1"/>
    </font>
    <font>
      <sz val="10"/>
      <color theme="1"/>
      <name val="Poppins"/>
    </font>
    <font>
      <sz val="10"/>
      <name val="Verdana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4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00"/>
      <name val="Times New Roman"/>
      <family val="1"/>
    </font>
    <font>
      <sz val="12"/>
      <color rgb="FFEE0000"/>
      <name val="Arial"/>
      <family val="2"/>
    </font>
    <font>
      <sz val="10"/>
      <color rgb="FFEE0000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70C0"/>
      <name val="Arial"/>
      <family val="2"/>
    </font>
    <font>
      <b/>
      <sz val="16"/>
      <color theme="1" tint="0.24994659260841701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1" tint="0.24994659260841701"/>
      <name val="Calibri Light"/>
      <family val="2"/>
      <scheme val="major"/>
    </font>
    <font>
      <i/>
      <sz val="11"/>
      <color theme="1" tint="0.34998626667073579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0"/>
      <color theme="1" tint="0.24994659260841701"/>
      <name val="Arial"/>
      <family val="2"/>
    </font>
    <font>
      <i/>
      <sz val="10"/>
      <color theme="1" tint="0.34998626667073579"/>
      <name val="Arial"/>
      <family val="2"/>
    </font>
    <font>
      <sz val="10"/>
      <color theme="1" tint="0.24994659260841701"/>
      <name val="Arial"/>
      <family val="2"/>
    </font>
    <font>
      <sz val="12"/>
      <color rgb="FF0000FF"/>
      <name val="Arial"/>
      <family val="2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b/>
      <i/>
      <sz val="12"/>
      <color theme="1"/>
      <name val="Arial"/>
      <family val="2"/>
    </font>
    <font>
      <b/>
      <sz val="12"/>
      <color theme="0"/>
      <name val="Arial"/>
      <family val="2"/>
    </font>
    <font>
      <i/>
      <sz val="12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rgb="FFC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4" tint="-0.499984740745262"/>
      </top>
      <bottom style="thin">
        <color theme="1" tint="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7">
    <xf numFmtId="3" fontId="0" fillId="0" borderId="0" applyFill="0" applyBorder="0">
      <alignment horizontal="left" vertical="center"/>
    </xf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4" fontId="3" fillId="2" borderId="5" applyProtection="0">
      <alignment horizontal="right" vertical="center"/>
    </xf>
    <xf numFmtId="3" fontId="4" fillId="0" borderId="0" applyFill="0" applyProtection="0">
      <alignment horizontal="left"/>
    </xf>
    <xf numFmtId="0" fontId="6" fillId="0" borderId="0" applyNumberFormat="0" applyFill="0" applyBorder="0" applyAlignment="0" applyProtection="0"/>
    <xf numFmtId="3" fontId="2" fillId="0" borderId="2" applyFill="0" applyProtection="0">
      <alignment horizontal="left"/>
    </xf>
    <xf numFmtId="3" fontId="2" fillId="0" borderId="3" applyFill="0" applyProtection="0">
      <alignment horizontal="left"/>
    </xf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" fontId="8" fillId="4" borderId="8" applyProtection="0">
      <alignment horizontal="right"/>
    </xf>
    <xf numFmtId="164" fontId="7" fillId="0" borderId="0" applyFont="0" applyFill="0" applyBorder="0" applyAlignment="0" applyProtection="0"/>
    <xf numFmtId="0" fontId="7" fillId="0" borderId="0"/>
    <xf numFmtId="0" fontId="51" fillId="0" borderId="0"/>
    <xf numFmtId="164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1" fillId="0" borderId="0" applyFont="0" applyFill="0" applyBorder="0" applyAlignment="0" applyProtection="0"/>
    <xf numFmtId="165" fontId="53" fillId="0" borderId="0" applyFont="0" applyFill="0" applyBorder="0" applyAlignment="0" applyProtection="0"/>
    <xf numFmtId="0" fontId="51" fillId="0" borderId="0"/>
    <xf numFmtId="165" fontId="5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3" fillId="0" borderId="0"/>
    <xf numFmtId="0" fontId="78" fillId="0" borderId="23" applyNumberFormat="0" applyFill="0" applyProtection="0">
      <alignment vertical="center"/>
    </xf>
    <xf numFmtId="0" fontId="79" fillId="0" borderId="0"/>
    <xf numFmtId="0" fontId="80" fillId="0" borderId="24" applyNumberFormat="0" applyFill="0" applyProtection="0">
      <alignment vertical="center"/>
    </xf>
    <xf numFmtId="0" fontId="81" fillId="0" borderId="25" applyNumberFormat="0" applyProtection="0">
      <alignment vertical="center"/>
    </xf>
    <xf numFmtId="184" fontId="82" fillId="15" borderId="0" applyFont="0" applyFill="0" applyBorder="0" applyAlignment="0" applyProtection="0"/>
    <xf numFmtId="0" fontId="82" fillId="14" borderId="0" applyNumberFormat="0" applyFont="0" applyAlignment="0">
      <alignment horizontal="center" vertical="center" wrapText="1"/>
    </xf>
    <xf numFmtId="10" fontId="79" fillId="0" borderId="0" applyFont="0" applyFill="0" applyBorder="0" applyAlignment="0" applyProtection="0"/>
    <xf numFmtId="1" fontId="82" fillId="14" borderId="0" applyFont="0" applyFill="0" applyBorder="0" applyAlignment="0"/>
    <xf numFmtId="14" fontId="82" fillId="0" borderId="0" applyFont="0" applyFill="0" applyBorder="0" applyAlignment="0"/>
    <xf numFmtId="0" fontId="75" fillId="0" borderId="27" applyNumberFormat="0" applyFill="0" applyProtection="0">
      <alignment vertical="center"/>
    </xf>
    <xf numFmtId="0" fontId="82" fillId="15" borderId="25" applyNumberFormat="0" applyProtection="0">
      <alignment horizontal="right"/>
    </xf>
    <xf numFmtId="0" fontId="76" fillId="8" borderId="0" applyNumberFormat="0" applyBorder="0" applyProtection="0">
      <alignment vertical="center" wrapText="1"/>
    </xf>
    <xf numFmtId="0" fontId="76" fillId="8" borderId="0" applyBorder="0" applyProtection="0">
      <alignment horizontal="right" vertical="center" wrapText="1" indent="2"/>
    </xf>
    <xf numFmtId="184" fontId="82" fillId="15" borderId="0" applyFont="0" applyFill="0" applyBorder="0" applyProtection="0">
      <alignment horizontal="right" indent="2"/>
    </xf>
  </cellStyleXfs>
  <cellXfs count="478">
    <xf numFmtId="3" fontId="0" fillId="0" borderId="0" xfId="0">
      <alignment horizontal="left" vertical="center"/>
    </xf>
    <xf numFmtId="3" fontId="9" fillId="0" borderId="0" xfId="0" applyFont="1">
      <alignment horizontal="left" vertical="center"/>
    </xf>
    <xf numFmtId="3" fontId="10" fillId="0" borderId="0" xfId="0" applyFont="1">
      <alignment horizontal="left" vertical="center"/>
    </xf>
    <xf numFmtId="3" fontId="12" fillId="0" borderId="0" xfId="0" applyFont="1">
      <alignment horizontal="left" vertical="center"/>
    </xf>
    <xf numFmtId="3" fontId="13" fillId="0" borderId="0" xfId="0" applyFont="1">
      <alignment horizontal="left" vertical="center"/>
    </xf>
    <xf numFmtId="3" fontId="14" fillId="0" borderId="1" xfId="1" applyNumberFormat="1" applyFont="1" applyAlignment="1">
      <alignment horizontal="left" vertical="center"/>
    </xf>
    <xf numFmtId="3" fontId="15" fillId="0" borderId="0" xfId="5" applyNumberFormat="1" applyFont="1" applyAlignment="1">
      <alignment horizontal="left" vertical="center"/>
    </xf>
    <xf numFmtId="4" fontId="16" fillId="2" borderId="5" xfId="3" applyFont="1">
      <alignment horizontal="right" vertical="center"/>
    </xf>
    <xf numFmtId="3" fontId="9" fillId="0" borderId="0" xfId="0" applyFont="1" applyAlignment="1">
      <alignment horizontal="right" vertical="center"/>
    </xf>
    <xf numFmtId="3" fontId="17" fillId="0" borderId="2" xfId="6" applyFont="1" applyAlignment="1">
      <alignment horizontal="right"/>
    </xf>
    <xf numFmtId="3" fontId="17" fillId="0" borderId="3" xfId="7" applyFont="1" applyAlignment="1">
      <alignment horizontal="right"/>
    </xf>
    <xf numFmtId="3" fontId="14" fillId="0" borderId="1" xfId="1" applyNumberFormat="1" applyFont="1" applyAlignment="1">
      <alignment horizontal="right" vertical="center"/>
    </xf>
    <xf numFmtId="3" fontId="18" fillId="0" borderId="4" xfId="2" applyNumberFormat="1" applyFont="1" applyAlignment="1">
      <alignment horizontal="right" vertical="center"/>
    </xf>
    <xf numFmtId="15" fontId="16" fillId="2" borderId="5" xfId="3" applyNumberFormat="1" applyFont="1">
      <alignment horizontal="right" vertical="center"/>
    </xf>
    <xf numFmtId="171" fontId="16" fillId="2" borderId="5" xfId="3" applyNumberFormat="1" applyFont="1">
      <alignment horizontal="right" vertical="center"/>
    </xf>
    <xf numFmtId="15" fontId="9" fillId="0" borderId="0" xfId="0" applyNumberFormat="1" applyFont="1" applyAlignment="1">
      <alignment horizontal="right" vertical="center"/>
    </xf>
    <xf numFmtId="3" fontId="19" fillId="0" borderId="0" xfId="0" applyFont="1">
      <alignment horizontal="left" vertical="center"/>
    </xf>
    <xf numFmtId="174" fontId="9" fillId="0" borderId="0" xfId="0" applyNumberFormat="1" applyFont="1">
      <alignment horizontal="left" vertical="center"/>
    </xf>
    <xf numFmtId="3" fontId="20" fillId="0" borderId="0" xfId="0" applyFont="1">
      <alignment horizontal="left" vertical="center"/>
    </xf>
    <xf numFmtId="3" fontId="21" fillId="0" borderId="0" xfId="0" applyFont="1">
      <alignment horizontal="left" vertical="center"/>
    </xf>
    <xf numFmtId="3" fontId="22" fillId="2" borderId="0" xfId="0" applyFont="1" applyFill="1">
      <alignment horizontal="left" vertical="center"/>
    </xf>
    <xf numFmtId="4" fontId="21" fillId="0" borderId="0" xfId="0" applyNumberFormat="1" applyFont="1" applyAlignment="1">
      <alignment horizontal="right" vertical="center"/>
    </xf>
    <xf numFmtId="3" fontId="23" fillId="0" borderId="0" xfId="5" applyNumberFormat="1" applyFont="1" applyAlignment="1">
      <alignment horizontal="left" vertical="center"/>
    </xf>
    <xf numFmtId="3" fontId="21" fillId="0" borderId="0" xfId="0" applyFont="1" applyAlignment="1">
      <alignment vertical="center"/>
    </xf>
    <xf numFmtId="3" fontId="21" fillId="0" borderId="0" xfId="0" applyFont="1" applyAlignment="1">
      <alignment horizontal="right" vertical="center"/>
    </xf>
    <xf numFmtId="3" fontId="25" fillId="0" borderId="1" xfId="1" applyNumberFormat="1" applyFont="1" applyAlignment="1">
      <alignment horizontal="left" vertical="center"/>
    </xf>
    <xf numFmtId="3" fontId="23" fillId="0" borderId="1" xfId="5" applyNumberFormat="1" applyFont="1" applyBorder="1" applyAlignment="1">
      <alignment horizontal="left" vertical="center"/>
    </xf>
    <xf numFmtId="3" fontId="25" fillId="0" borderId="1" xfId="1" applyNumberFormat="1" applyFont="1" applyAlignment="1">
      <alignment vertical="center"/>
    </xf>
    <xf numFmtId="3" fontId="21" fillId="0" borderId="0" xfId="0" applyFont="1" applyAlignment="1"/>
    <xf numFmtId="3" fontId="26" fillId="0" borderId="0" xfId="0" applyFont="1" applyAlignment="1"/>
    <xf numFmtId="4" fontId="27" fillId="2" borderId="5" xfId="3" applyFont="1" applyAlignment="1"/>
    <xf numFmtId="14" fontId="21" fillId="0" borderId="0" xfId="0" applyNumberFormat="1" applyFont="1" applyAlignment="1"/>
    <xf numFmtId="1" fontId="28" fillId="0" borderId="0" xfId="4" applyNumberFormat="1" applyFont="1" applyAlignment="1"/>
    <xf numFmtId="14" fontId="27" fillId="2" borderId="5" xfId="3" applyNumberFormat="1" applyFont="1" applyAlignment="1"/>
    <xf numFmtId="1" fontId="27" fillId="2" borderId="5" xfId="3" applyNumberFormat="1" applyFont="1" applyAlignment="1"/>
    <xf numFmtId="3" fontId="26" fillId="0" borderId="0" xfId="0" applyFont="1" applyAlignment="1">
      <alignment horizontal="left"/>
    </xf>
    <xf numFmtId="3" fontId="21" fillId="5" borderId="0" xfId="0" applyFont="1" applyFill="1" applyAlignment="1"/>
    <xf numFmtId="1" fontId="21" fillId="0" borderId="0" xfId="0" applyNumberFormat="1" applyFont="1" applyAlignment="1"/>
    <xf numFmtId="3" fontId="21" fillId="0" borderId="0" xfId="0" applyFont="1" applyAlignment="1">
      <alignment horizontal="left" indent="2"/>
    </xf>
    <xf numFmtId="9" fontId="27" fillId="2" borderId="5" xfId="3" applyNumberFormat="1" applyFont="1" applyAlignment="1"/>
    <xf numFmtId="10" fontId="21" fillId="0" borderId="0" xfId="0" applyNumberFormat="1" applyFont="1" applyAlignment="1">
      <alignment vertical="center"/>
    </xf>
    <xf numFmtId="10" fontId="25" fillId="0" borderId="1" xfId="1" applyNumberFormat="1" applyFont="1" applyAlignment="1">
      <alignment vertical="center"/>
    </xf>
    <xf numFmtId="3" fontId="29" fillId="0" borderId="0" xfId="0" applyFont="1" applyAlignment="1">
      <alignment horizontal="right" vertical="center"/>
    </xf>
    <xf numFmtId="168" fontId="21" fillId="0" borderId="0" xfId="0" applyNumberFormat="1" applyFont="1" applyAlignment="1">
      <alignment vertical="center"/>
    </xf>
    <xf numFmtId="3" fontId="21" fillId="0" borderId="0" xfId="0" applyFont="1" applyAlignment="1">
      <alignment horizontal="left" vertical="center" indent="1"/>
    </xf>
    <xf numFmtId="3" fontId="30" fillId="0" borderId="0" xfId="0" applyFont="1">
      <alignment horizontal="left" vertical="center"/>
    </xf>
    <xf numFmtId="172" fontId="24" fillId="0" borderId="0" xfId="4" applyNumberFormat="1" applyFont="1" applyAlignment="1"/>
    <xf numFmtId="165" fontId="27" fillId="2" borderId="5" xfId="8" applyFont="1" applyFill="1" applyBorder="1" applyAlignment="1"/>
    <xf numFmtId="3" fontId="21" fillId="0" borderId="0" xfId="0" applyFont="1" applyBorder="1">
      <alignment horizontal="left" vertical="center"/>
    </xf>
    <xf numFmtId="3" fontId="23" fillId="0" borderId="0" xfId="5" applyNumberFormat="1" applyFont="1" applyBorder="1" applyAlignment="1">
      <alignment horizontal="left" vertical="center"/>
    </xf>
    <xf numFmtId="1" fontId="21" fillId="0" borderId="0" xfId="0" applyNumberFormat="1" applyFont="1" applyBorder="1" applyAlignment="1"/>
    <xf numFmtId="3" fontId="21" fillId="0" borderId="0" xfId="0" applyFont="1" applyBorder="1" applyAlignment="1">
      <alignment horizontal="left" vertical="center" indent="1"/>
    </xf>
    <xf numFmtId="3" fontId="21" fillId="0" borderId="0" xfId="0" applyFont="1" applyBorder="1" applyAlignment="1">
      <alignment horizontal="right" vertical="center"/>
    </xf>
    <xf numFmtId="4" fontId="21" fillId="0" borderId="0" xfId="0" applyNumberFormat="1" applyFont="1" applyBorder="1" applyAlignment="1">
      <alignment vertical="center"/>
    </xf>
    <xf numFmtId="173" fontId="21" fillId="0" borderId="0" xfId="0" applyNumberFormat="1" applyFont="1" applyAlignment="1">
      <alignment vertical="center"/>
    </xf>
    <xf numFmtId="165" fontId="21" fillId="0" borderId="0" xfId="0" applyNumberFormat="1" applyFont="1" applyAlignment="1">
      <alignment vertical="center"/>
    </xf>
    <xf numFmtId="3" fontId="25" fillId="0" borderId="0" xfId="1" applyNumberFormat="1" applyFont="1" applyBorder="1" applyAlignment="1">
      <alignment horizontal="left" vertical="center"/>
    </xf>
    <xf numFmtId="3" fontId="25" fillId="0" borderId="0" xfId="1" applyNumberFormat="1" applyFont="1" applyBorder="1" applyAlignment="1">
      <alignment vertical="center"/>
    </xf>
    <xf numFmtId="4" fontId="31" fillId="2" borderId="5" xfId="3" applyFont="1" applyAlignment="1">
      <alignment vertical="center"/>
    </xf>
    <xf numFmtId="165" fontId="25" fillId="0" borderId="1" xfId="1" applyNumberFormat="1" applyFont="1" applyAlignment="1">
      <alignment vertical="center"/>
    </xf>
    <xf numFmtId="10" fontId="31" fillId="2" borderId="5" xfId="9" applyNumberFormat="1" applyFont="1" applyFill="1" applyBorder="1" applyAlignment="1">
      <alignment vertical="center"/>
    </xf>
    <xf numFmtId="3" fontId="30" fillId="0" borderId="0" xfId="0" applyFont="1" applyBorder="1">
      <alignment horizontal="left" vertical="center"/>
    </xf>
    <xf numFmtId="9" fontId="30" fillId="0" borderId="0" xfId="9" applyFont="1" applyFill="1" applyBorder="1" applyAlignment="1">
      <alignment vertical="center"/>
    </xf>
    <xf numFmtId="170" fontId="27" fillId="2" borderId="5" xfId="3" applyNumberFormat="1" applyFont="1" applyAlignment="1"/>
    <xf numFmtId="3" fontId="34" fillId="0" borderId="0" xfId="0" applyFont="1">
      <alignment horizontal="left" vertical="center"/>
    </xf>
    <xf numFmtId="3" fontId="36" fillId="0" borderId="1" xfId="1" applyNumberFormat="1" applyFont="1" applyAlignment="1">
      <alignment horizontal="left" vertical="center"/>
    </xf>
    <xf numFmtId="3" fontId="34" fillId="0" borderId="0" xfId="0" applyFont="1" applyAlignment="1">
      <alignment horizontal="right" vertical="center"/>
    </xf>
    <xf numFmtId="175" fontId="34" fillId="0" borderId="0" xfId="0" applyNumberFormat="1" applyFont="1" applyAlignment="1">
      <alignment vertical="center"/>
    </xf>
    <xf numFmtId="3" fontId="34" fillId="0" borderId="0" xfId="0" applyFont="1" applyAlignment="1">
      <alignment horizontal="left" vertical="center" indent="2"/>
    </xf>
    <xf numFmtId="3" fontId="36" fillId="0" borderId="0" xfId="1" applyNumberFormat="1" applyFont="1" applyBorder="1" applyAlignment="1">
      <alignment horizontal="left" vertical="center"/>
    </xf>
    <xf numFmtId="3" fontId="34" fillId="0" borderId="0" xfId="0" applyFont="1" applyAlignment="1">
      <alignment horizontal="left" vertical="center" indent="1"/>
    </xf>
    <xf numFmtId="175" fontId="34" fillId="0" borderId="0" xfId="8" applyNumberFormat="1" applyFont="1" applyAlignment="1">
      <alignment horizontal="right" vertical="center"/>
    </xf>
    <xf numFmtId="3" fontId="34" fillId="0" borderId="0" xfId="0" applyFont="1" applyBorder="1">
      <alignment horizontal="left" vertical="center"/>
    </xf>
    <xf numFmtId="3" fontId="33" fillId="0" borderId="0" xfId="0" applyFont="1">
      <alignment horizontal="left" vertical="center"/>
    </xf>
    <xf numFmtId="3" fontId="33" fillId="0" borderId="0" xfId="0" applyFont="1" applyBorder="1">
      <alignment horizontal="left" vertical="center"/>
    </xf>
    <xf numFmtId="3" fontId="33" fillId="0" borderId="2" xfId="6" applyFont="1">
      <alignment horizontal="left"/>
    </xf>
    <xf numFmtId="3" fontId="37" fillId="0" borderId="0" xfId="0" applyFont="1" applyAlignment="1">
      <alignment horizontal="center" vertical="center"/>
    </xf>
    <xf numFmtId="3" fontId="34" fillId="0" borderId="0" xfId="0" applyFont="1" applyAlignment="1">
      <alignment horizontal="left" vertical="center" wrapText="1"/>
    </xf>
    <xf numFmtId="3" fontId="33" fillId="0" borderId="6" xfId="0" applyFont="1" applyBorder="1">
      <alignment horizontal="left" vertical="center"/>
    </xf>
    <xf numFmtId="3" fontId="34" fillId="0" borderId="6" xfId="0" applyFont="1" applyBorder="1">
      <alignment horizontal="left" vertical="center"/>
    </xf>
    <xf numFmtId="3" fontId="33" fillId="0" borderId="7" xfId="0" applyFont="1" applyFill="1" applyBorder="1">
      <alignment horizontal="left" vertical="center"/>
    </xf>
    <xf numFmtId="3" fontId="33" fillId="0" borderId="7" xfId="0" applyFont="1" applyBorder="1">
      <alignment horizontal="left" vertical="center"/>
    </xf>
    <xf numFmtId="3" fontId="33" fillId="0" borderId="0" xfId="0" applyFont="1" applyFill="1" applyBorder="1">
      <alignment horizontal="left" vertical="center"/>
    </xf>
    <xf numFmtId="3" fontId="35" fillId="0" borderId="4" xfId="2" applyNumberFormat="1" applyFont="1" applyAlignment="1">
      <alignment horizontal="left" vertical="center"/>
    </xf>
    <xf numFmtId="175" fontId="33" fillId="0" borderId="6" xfId="8" applyNumberFormat="1" applyFont="1" applyBorder="1" applyAlignment="1">
      <alignment horizontal="right" vertical="center"/>
    </xf>
    <xf numFmtId="173" fontId="34" fillId="0" borderId="0" xfId="0" applyNumberFormat="1" applyFont="1" applyAlignment="1">
      <alignment horizontal="right" vertical="center"/>
    </xf>
    <xf numFmtId="167" fontId="34" fillId="0" borderId="0" xfId="0" applyNumberFormat="1" applyFont="1">
      <alignment horizontal="left" vertical="center"/>
    </xf>
    <xf numFmtId="169" fontId="34" fillId="0" borderId="0" xfId="8" applyNumberFormat="1" applyFont="1" applyAlignment="1">
      <alignment horizontal="right" vertical="center"/>
    </xf>
    <xf numFmtId="4" fontId="34" fillId="0" borderId="0" xfId="0" applyNumberFormat="1" applyFont="1" applyAlignment="1">
      <alignment horizontal="right" vertical="center"/>
    </xf>
    <xf numFmtId="3" fontId="38" fillId="0" borderId="0" xfId="5" applyNumberFormat="1" applyFont="1" applyAlignment="1">
      <alignment horizontal="left" vertical="center"/>
    </xf>
    <xf numFmtId="3" fontId="39" fillId="0" borderId="0" xfId="0" applyFont="1" applyFill="1" applyBorder="1">
      <alignment horizontal="left" vertical="center"/>
    </xf>
    <xf numFmtId="9" fontId="40" fillId="0" borderId="0" xfId="9" applyFont="1" applyAlignment="1">
      <alignment horizontal="right" vertical="center"/>
    </xf>
    <xf numFmtId="165" fontId="21" fillId="0" borderId="0" xfId="8" applyFont="1" applyAlignment="1">
      <alignment horizontal="right" vertical="center"/>
    </xf>
    <xf numFmtId="165" fontId="21" fillId="0" borderId="0" xfId="8" applyFont="1" applyAlignment="1">
      <alignment vertical="center"/>
    </xf>
    <xf numFmtId="165" fontId="21" fillId="0" borderId="0" xfId="8" applyFont="1" applyAlignment="1">
      <alignment horizontal="left" vertical="center"/>
    </xf>
    <xf numFmtId="165" fontId="21" fillId="0" borderId="0" xfId="8" applyFont="1" applyBorder="1" applyAlignment="1">
      <alignment vertical="center"/>
    </xf>
    <xf numFmtId="4" fontId="27" fillId="2" borderId="5" xfId="8" applyNumberFormat="1" applyFont="1" applyFill="1" applyBorder="1" applyAlignment="1"/>
    <xf numFmtId="4" fontId="34" fillId="0" borderId="0" xfId="8" applyNumberFormat="1" applyFont="1" applyAlignment="1">
      <alignment vertical="center"/>
    </xf>
    <xf numFmtId="4" fontId="34" fillId="0" borderId="0" xfId="8" applyNumberFormat="1" applyFont="1" applyAlignment="1">
      <alignment horizontal="right" vertical="center"/>
    </xf>
    <xf numFmtId="4" fontId="33" fillId="0" borderId="2" xfId="6" applyNumberFormat="1" applyFont="1" applyAlignment="1"/>
    <xf numFmtId="4" fontId="26" fillId="0" borderId="0" xfId="0" applyNumberFormat="1" applyFont="1">
      <alignment horizontal="left" vertical="center"/>
    </xf>
    <xf numFmtId="165" fontId="34" fillId="0" borderId="0" xfId="8" applyFont="1" applyAlignment="1">
      <alignment horizontal="right" vertical="center"/>
    </xf>
    <xf numFmtId="165" fontId="33" fillId="0" borderId="6" xfId="8" applyFont="1" applyBorder="1" applyAlignment="1">
      <alignment horizontal="right" vertical="center"/>
    </xf>
    <xf numFmtId="3" fontId="30" fillId="0" borderId="0" xfId="0" applyFont="1" applyAlignment="1">
      <alignment horizontal="left" vertical="center" indent="1"/>
    </xf>
    <xf numFmtId="165" fontId="33" fillId="0" borderId="0" xfId="8" applyFont="1" applyBorder="1" applyAlignment="1">
      <alignment horizontal="right" vertical="center"/>
    </xf>
    <xf numFmtId="3" fontId="41" fillId="0" borderId="0" xfId="4" applyFont="1">
      <alignment horizontal="left"/>
    </xf>
    <xf numFmtId="9" fontId="21" fillId="0" borderId="0" xfId="9" applyFont="1" applyAlignment="1">
      <alignment vertical="center"/>
    </xf>
    <xf numFmtId="9" fontId="27" fillId="2" borderId="5" xfId="9" applyFont="1" applyFill="1" applyBorder="1" applyAlignment="1"/>
    <xf numFmtId="9" fontId="27" fillId="0" borderId="0" xfId="9" applyFont="1" applyFill="1" applyBorder="1" applyAlignment="1"/>
    <xf numFmtId="10" fontId="27" fillId="2" borderId="12" xfId="3" applyNumberFormat="1" applyFont="1" applyBorder="1" applyAlignment="1"/>
    <xf numFmtId="169" fontId="27" fillId="2" borderId="5" xfId="8" applyNumberFormat="1" applyFont="1" applyFill="1" applyBorder="1" applyAlignment="1">
      <alignment horizontal="right"/>
    </xf>
    <xf numFmtId="169" fontId="21" fillId="0" borderId="0" xfId="8" applyNumberFormat="1" applyFont="1" applyAlignment="1">
      <alignment horizontal="right" vertical="center"/>
    </xf>
    <xf numFmtId="177" fontId="27" fillId="2" borderId="5" xfId="8" applyNumberFormat="1" applyFont="1" applyFill="1" applyBorder="1" applyAlignment="1"/>
    <xf numFmtId="9" fontId="11" fillId="0" borderId="0" xfId="9" applyFont="1" applyAlignment="1">
      <alignment horizontal="right"/>
    </xf>
    <xf numFmtId="177" fontId="27" fillId="0" borderId="0" xfId="8" applyNumberFormat="1" applyFont="1" applyFill="1" applyBorder="1" applyAlignment="1"/>
    <xf numFmtId="178" fontId="27" fillId="2" borderId="5" xfId="8" applyNumberFormat="1" applyFont="1" applyFill="1" applyBorder="1" applyAlignment="1"/>
    <xf numFmtId="179" fontId="21" fillId="0" borderId="0" xfId="8" applyNumberFormat="1" applyFont="1" applyAlignment="1">
      <alignment vertical="center"/>
    </xf>
    <xf numFmtId="180" fontId="27" fillId="2" borderId="5" xfId="8" applyNumberFormat="1" applyFont="1" applyFill="1" applyBorder="1" applyAlignment="1"/>
    <xf numFmtId="181" fontId="21" fillId="0" borderId="0" xfId="8" applyNumberFormat="1" applyFont="1" applyAlignment="1">
      <alignment vertical="center"/>
    </xf>
    <xf numFmtId="182" fontId="21" fillId="0" borderId="0" xfId="0" applyNumberFormat="1" applyFont="1" applyAlignment="1">
      <alignment vertical="center"/>
    </xf>
    <xf numFmtId="182" fontId="21" fillId="0" borderId="0" xfId="0" applyNumberFormat="1" applyFont="1" applyFill="1" applyBorder="1" applyAlignment="1">
      <alignment vertical="center"/>
    </xf>
    <xf numFmtId="183" fontId="21" fillId="0" borderId="0" xfId="0" applyNumberFormat="1" applyFont="1" applyFill="1" applyBorder="1" applyAlignment="1">
      <alignment vertical="center"/>
    </xf>
    <xf numFmtId="183" fontId="27" fillId="2" borderId="5" xfId="8" applyNumberFormat="1" applyFont="1" applyFill="1" applyBorder="1" applyAlignment="1"/>
    <xf numFmtId="3" fontId="21" fillId="5" borderId="0" xfId="0" applyFont="1" applyFill="1" applyBorder="1">
      <alignment horizontal="left" vertical="center"/>
    </xf>
    <xf numFmtId="3" fontId="21" fillId="5" borderId="0" xfId="0" applyFont="1" applyFill="1" applyBorder="1" applyAlignment="1">
      <alignment horizontal="right" vertical="center"/>
    </xf>
    <xf numFmtId="3" fontId="21" fillId="5" borderId="0" xfId="0" applyFont="1" applyFill="1" applyBorder="1" applyAlignment="1">
      <alignment vertical="center"/>
    </xf>
    <xf numFmtId="183" fontId="27" fillId="5" borderId="0" xfId="3" applyNumberFormat="1" applyFont="1" applyFill="1" applyBorder="1" applyAlignment="1"/>
    <xf numFmtId="10" fontId="25" fillId="5" borderId="0" xfId="1" applyNumberFormat="1" applyFont="1" applyFill="1" applyBorder="1" applyAlignment="1">
      <alignment vertical="center"/>
    </xf>
    <xf numFmtId="167" fontId="21" fillId="0" borderId="0" xfId="0" applyNumberFormat="1" applyFont="1" applyAlignment="1">
      <alignment vertical="center"/>
    </xf>
    <xf numFmtId="9" fontId="27" fillId="5" borderId="0" xfId="9" applyFont="1" applyFill="1" applyBorder="1" applyAlignment="1"/>
    <xf numFmtId="3" fontId="26" fillId="5" borderId="0" xfId="0" applyFont="1" applyFill="1" applyBorder="1" applyAlignment="1"/>
    <xf numFmtId="183" fontId="34" fillId="0" borderId="0" xfId="8" applyNumberFormat="1" applyFont="1" applyAlignment="1">
      <alignment horizontal="right" vertical="center"/>
    </xf>
    <xf numFmtId="169" fontId="34" fillId="0" borderId="6" xfId="8" applyNumberFormat="1" applyFont="1" applyBorder="1" applyAlignment="1">
      <alignment horizontal="right" vertical="center"/>
    </xf>
    <xf numFmtId="3" fontId="2" fillId="0" borderId="0" xfId="0" applyFont="1">
      <alignment horizontal="left" vertical="center"/>
    </xf>
    <xf numFmtId="3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4" fontId="2" fillId="0" borderId="0" xfId="0" applyNumberFormat="1" applyFont="1">
      <alignment horizontal="left" vertical="center"/>
    </xf>
    <xf numFmtId="3" fontId="2" fillId="0" borderId="0" xfId="0" applyFont="1" applyFill="1" applyBorder="1">
      <alignment horizontal="left" vertical="center"/>
    </xf>
    <xf numFmtId="3" fontId="2" fillId="0" borderId="16" xfId="0" applyFont="1" applyBorder="1">
      <alignment horizontal="left" vertical="center"/>
    </xf>
    <xf numFmtId="3" fontId="45" fillId="0" borderId="0" xfId="0" applyFont="1">
      <alignment horizontal="left" vertical="center"/>
    </xf>
    <xf numFmtId="3" fontId="38" fillId="0" borderId="1" xfId="5" applyNumberFormat="1" applyFont="1" applyBorder="1" applyAlignment="1">
      <alignment horizontal="left" vertical="center"/>
    </xf>
    <xf numFmtId="3" fontId="45" fillId="0" borderId="0" xfId="0" applyFont="1" applyAlignment="1">
      <alignment horizontal="right" vertical="center"/>
    </xf>
    <xf numFmtId="3" fontId="38" fillId="0" borderId="0" xfId="5" applyNumberFormat="1" applyFont="1" applyBorder="1" applyAlignment="1">
      <alignment horizontal="left" vertical="center"/>
    </xf>
    <xf numFmtId="176" fontId="38" fillId="0" borderId="0" xfId="5" applyNumberFormat="1" applyFont="1" applyAlignment="1">
      <alignment horizontal="left" vertical="center"/>
    </xf>
    <xf numFmtId="3" fontId="45" fillId="0" borderId="0" xfId="0" applyFont="1" applyAlignment="1">
      <alignment horizontal="left" vertical="center" indent="1"/>
    </xf>
    <xf numFmtId="3" fontId="46" fillId="0" borderId="1" xfId="1" applyNumberFormat="1" applyFont="1" applyAlignment="1">
      <alignment horizontal="left" vertical="center"/>
    </xf>
    <xf numFmtId="3" fontId="21" fillId="0" borderId="15" xfId="0" applyFont="1" applyBorder="1">
      <alignment horizontal="left" vertical="center"/>
    </xf>
    <xf numFmtId="3" fontId="38" fillId="0" borderId="15" xfId="5" applyNumberFormat="1" applyFont="1" applyBorder="1" applyAlignment="1">
      <alignment horizontal="left" vertical="center"/>
    </xf>
    <xf numFmtId="1" fontId="21" fillId="0" borderId="15" xfId="0" applyNumberFormat="1" applyFont="1" applyBorder="1" applyAlignment="1"/>
    <xf numFmtId="3" fontId="21" fillId="0" borderId="15" xfId="0" applyFont="1" applyBorder="1" applyAlignment="1">
      <alignment horizontal="left" vertical="center" indent="1"/>
    </xf>
    <xf numFmtId="3" fontId="21" fillId="0" borderId="15" xfId="0" applyFont="1" applyBorder="1" applyAlignment="1">
      <alignment horizontal="right" vertical="center"/>
    </xf>
    <xf numFmtId="3" fontId="21" fillId="0" borderId="15" xfId="0" applyFont="1" applyBorder="1" applyAlignment="1">
      <alignment vertical="center"/>
    </xf>
    <xf numFmtId="4" fontId="21" fillId="0" borderId="15" xfId="0" applyNumberFormat="1" applyFont="1" applyBorder="1" applyAlignment="1">
      <alignment vertical="center"/>
    </xf>
    <xf numFmtId="3" fontId="30" fillId="0" borderId="15" xfId="0" applyFont="1" applyBorder="1">
      <alignment horizontal="left" vertical="center"/>
    </xf>
    <xf numFmtId="3" fontId="33" fillId="0" borderId="15" xfId="0" applyFont="1" applyBorder="1">
      <alignment horizontal="left" vertical="center"/>
    </xf>
    <xf numFmtId="169" fontId="33" fillId="0" borderId="6" xfId="8" applyNumberFormat="1" applyFont="1" applyBorder="1" applyAlignment="1">
      <alignment horizontal="right" vertical="center"/>
    </xf>
    <xf numFmtId="169" fontId="47" fillId="0" borderId="0" xfId="8" applyNumberFormat="1" applyFont="1" applyAlignment="1">
      <alignment horizontal="right" vertical="center"/>
    </xf>
    <xf numFmtId="169" fontId="33" fillId="0" borderId="7" xfId="8" applyNumberFormat="1" applyFont="1" applyBorder="1" applyAlignment="1">
      <alignment horizontal="right" vertical="center"/>
    </xf>
    <xf numFmtId="169" fontId="33" fillId="0" borderId="0" xfId="8" applyNumberFormat="1" applyFont="1" applyAlignment="1">
      <alignment horizontal="right" vertical="center"/>
    </xf>
    <xf numFmtId="3" fontId="49" fillId="0" borderId="0" xfId="4" applyFont="1" applyAlignment="1">
      <alignment horizontal="right"/>
    </xf>
    <xf numFmtId="15" fontId="50" fillId="0" borderId="0" xfId="0" applyNumberFormat="1" applyFont="1" applyAlignment="1">
      <alignment horizontal="center"/>
    </xf>
    <xf numFmtId="15" fontId="34" fillId="0" borderId="0" xfId="0" applyNumberFormat="1" applyFont="1" applyAlignment="1">
      <alignment horizontal="center"/>
    </xf>
    <xf numFmtId="186" fontId="33" fillId="0" borderId="15" xfId="8" applyNumberFormat="1" applyFont="1" applyBorder="1" applyAlignment="1">
      <alignment horizontal="right" vertical="center"/>
    </xf>
    <xf numFmtId="184" fontId="27" fillId="5" borderId="0" xfId="3" applyNumberFormat="1" applyFont="1" applyFill="1" applyBorder="1" applyAlignment="1"/>
    <xf numFmtId="186" fontId="27" fillId="2" borderId="5" xfId="3" applyNumberFormat="1" applyFont="1" applyAlignment="1"/>
    <xf numFmtId="186" fontId="47" fillId="0" borderId="0" xfId="8" applyNumberFormat="1" applyFont="1" applyAlignment="1">
      <alignment vertical="center"/>
    </xf>
    <xf numFmtId="186" fontId="47" fillId="0" borderId="0" xfId="8" applyNumberFormat="1" applyFont="1" applyAlignment="1">
      <alignment horizontal="right" vertical="center"/>
    </xf>
    <xf numFmtId="186" fontId="34" fillId="0" borderId="0" xfId="0" applyNumberFormat="1" applyFont="1" applyAlignment="1">
      <alignment horizontal="right" vertical="center"/>
    </xf>
    <xf numFmtId="186" fontId="34" fillId="0" borderId="0" xfId="8" applyNumberFormat="1" applyFont="1" applyAlignment="1">
      <alignment horizontal="right" vertical="center"/>
    </xf>
    <xf numFmtId="186" fontId="33" fillId="0" borderId="3" xfId="8" applyNumberFormat="1" applyFont="1" applyBorder="1" applyAlignment="1">
      <alignment vertical="center"/>
    </xf>
    <xf numFmtId="186" fontId="34" fillId="0" borderId="0" xfId="0" applyNumberFormat="1" applyFont="1" applyAlignment="1">
      <alignment vertical="center"/>
    </xf>
    <xf numFmtId="186" fontId="34" fillId="0" borderId="0" xfId="9" applyNumberFormat="1" applyFont="1" applyBorder="1" applyAlignment="1">
      <alignment vertical="center"/>
    </xf>
    <xf numFmtId="4" fontId="34" fillId="0" borderId="0" xfId="8" applyNumberFormat="1" applyFont="1" applyAlignment="1">
      <alignment horizontal="center" vertical="center"/>
    </xf>
    <xf numFmtId="165" fontId="34" fillId="0" borderId="0" xfId="8" applyFont="1" applyAlignment="1">
      <alignment horizontal="center" vertical="center"/>
    </xf>
    <xf numFmtId="165" fontId="33" fillId="0" borderId="15" xfId="8" applyFont="1" applyBorder="1" applyAlignment="1">
      <alignment horizontal="center" vertical="center"/>
    </xf>
    <xf numFmtId="186" fontId="0" fillId="0" borderId="0" xfId="8" applyNumberFormat="1" applyFont="1" applyAlignment="1">
      <alignment horizontal="left" vertical="center"/>
    </xf>
    <xf numFmtId="186" fontId="2" fillId="0" borderId="0" xfId="8" applyNumberFormat="1" applyFont="1" applyAlignment="1">
      <alignment horizontal="left" vertical="center"/>
    </xf>
    <xf numFmtId="181" fontId="21" fillId="0" borderId="0" xfId="8" applyNumberFormat="1" applyFont="1" applyBorder="1" applyAlignment="1">
      <alignment vertical="center"/>
    </xf>
    <xf numFmtId="180" fontId="21" fillId="5" borderId="0" xfId="0" applyNumberFormat="1" applyFont="1" applyFill="1" applyBorder="1" applyAlignment="1">
      <alignment vertical="center"/>
    </xf>
    <xf numFmtId="180" fontId="21" fillId="0" borderId="0" xfId="0" applyNumberFormat="1" applyFont="1" applyBorder="1" applyAlignment="1">
      <alignment vertical="center"/>
    </xf>
    <xf numFmtId="186" fontId="27" fillId="2" borderId="5" xfId="8" applyNumberFormat="1" applyFont="1" applyFill="1" applyBorder="1" applyAlignment="1">
      <alignment horizontal="right"/>
    </xf>
    <xf numFmtId="186" fontId="31" fillId="2" borderId="5" xfId="3" applyNumberFormat="1" applyFont="1" applyAlignment="1">
      <alignment vertical="center"/>
    </xf>
    <xf numFmtId="165" fontId="31" fillId="2" borderId="5" xfId="3" applyNumberFormat="1" applyFont="1" applyAlignment="1">
      <alignment vertical="center"/>
    </xf>
    <xf numFmtId="186" fontId="0" fillId="0" borderId="0" xfId="8" applyNumberFormat="1" applyFont="1" applyAlignment="1">
      <alignment vertical="center"/>
    </xf>
    <xf numFmtId="164" fontId="21" fillId="0" borderId="0" xfId="11" applyFont="1" applyAlignment="1">
      <alignment vertical="center"/>
    </xf>
    <xf numFmtId="170" fontId="42" fillId="0" borderId="5" xfId="3" applyNumberFormat="1" applyFont="1" applyFill="1" applyAlignment="1"/>
    <xf numFmtId="187" fontId="27" fillId="2" borderId="5" xfId="3" applyNumberFormat="1" applyFont="1" applyAlignment="1"/>
    <xf numFmtId="170" fontId="30" fillId="0" borderId="0" xfId="9" applyNumberFormat="1" applyFont="1" applyBorder="1" applyAlignment="1"/>
    <xf numFmtId="180" fontId="30" fillId="5" borderId="0" xfId="0" applyNumberFormat="1" applyFont="1" applyFill="1" applyBorder="1" applyAlignment="1">
      <alignment vertical="center"/>
    </xf>
    <xf numFmtId="181" fontId="30" fillId="0" borderId="15" xfId="8" applyNumberFormat="1" applyFont="1" applyBorder="1" applyAlignment="1">
      <alignment vertical="center"/>
    </xf>
    <xf numFmtId="9" fontId="42" fillId="0" borderId="5" xfId="3" applyNumberFormat="1" applyFont="1" applyFill="1" applyAlignment="1"/>
    <xf numFmtId="3" fontId="21" fillId="0" borderId="0" xfId="0" applyFont="1" applyAlignment="1">
      <alignment horizontal="left" vertical="center" indent="2"/>
    </xf>
    <xf numFmtId="0" fontId="42" fillId="0" borderId="0" xfId="13" applyFont="1"/>
    <xf numFmtId="0" fontId="57" fillId="0" borderId="0" xfId="18" applyFont="1" applyAlignment="1">
      <alignment vertical="center"/>
    </xf>
    <xf numFmtId="0" fontId="57" fillId="0" borderId="0" xfId="18" applyFont="1" applyAlignment="1">
      <alignment horizontal="center" vertical="center"/>
    </xf>
    <xf numFmtId="0" fontId="54" fillId="0" borderId="0" xfId="18" applyFont="1" applyAlignment="1">
      <alignment vertical="center"/>
    </xf>
    <xf numFmtId="0" fontId="54" fillId="0" borderId="0" xfId="18" applyFont="1" applyAlignment="1">
      <alignment horizontal="center" vertical="center"/>
    </xf>
    <xf numFmtId="0" fontId="58" fillId="0" borderId="0" xfId="18" applyFont="1" applyAlignment="1">
      <alignment vertical="center"/>
    </xf>
    <xf numFmtId="0" fontId="58" fillId="0" borderId="0" xfId="18" applyFont="1" applyAlignment="1">
      <alignment horizontal="center" vertical="center"/>
    </xf>
    <xf numFmtId="0" fontId="59" fillId="8" borderId="0" xfId="18" applyFont="1" applyFill="1" applyAlignment="1">
      <alignment horizontal="center" vertical="center"/>
    </xf>
    <xf numFmtId="0" fontId="59" fillId="0" borderId="0" xfId="18" applyFont="1" applyAlignment="1">
      <alignment horizontal="center" vertical="center"/>
    </xf>
    <xf numFmtId="0" fontId="48" fillId="0" borderId="0" xfId="18" applyFont="1" applyAlignment="1">
      <alignment horizontal="left" vertical="center" wrapText="1" readingOrder="1"/>
    </xf>
    <xf numFmtId="10" fontId="54" fillId="0" borderId="0" xfId="20" applyNumberFormat="1" applyFont="1" applyFill="1" applyBorder="1" applyAlignment="1">
      <alignment horizontal="center" vertical="center" wrapText="1" readingOrder="1"/>
    </xf>
    <xf numFmtId="3" fontId="60" fillId="0" borderId="0" xfId="19" applyNumberFormat="1" applyFont="1" applyFill="1" applyBorder="1" applyAlignment="1">
      <alignment horizontal="center" vertical="center" wrapText="1" readingOrder="1"/>
    </xf>
    <xf numFmtId="10" fontId="60" fillId="0" borderId="0" xfId="9" applyNumberFormat="1" applyFont="1" applyFill="1" applyBorder="1" applyAlignment="1">
      <alignment horizontal="center" vertical="center" wrapText="1" readingOrder="1"/>
    </xf>
    <xf numFmtId="185" fontId="60" fillId="0" borderId="0" xfId="20" applyNumberFormat="1" applyFont="1" applyFill="1" applyBorder="1" applyAlignment="1">
      <alignment horizontal="center" vertical="center" wrapText="1" readingOrder="1"/>
    </xf>
    <xf numFmtId="169" fontId="60" fillId="0" borderId="0" xfId="19" applyNumberFormat="1" applyFont="1" applyFill="1" applyBorder="1" applyAlignment="1">
      <alignment horizontal="left" vertical="center" wrapText="1" readingOrder="1"/>
    </xf>
    <xf numFmtId="0" fontId="57" fillId="10" borderId="0" xfId="18" applyFont="1" applyFill="1" applyAlignment="1">
      <alignment horizontal="left" vertical="center" wrapText="1" readingOrder="1"/>
    </xf>
    <xf numFmtId="0" fontId="61" fillId="10" borderId="0" xfId="18" applyFont="1" applyFill="1" applyAlignment="1">
      <alignment horizontal="left" vertical="center" wrapText="1" readingOrder="1"/>
    </xf>
    <xf numFmtId="3" fontId="61" fillId="10" borderId="0" xfId="20" applyNumberFormat="1" applyFont="1" applyFill="1" applyBorder="1" applyAlignment="1">
      <alignment horizontal="center" vertical="center" wrapText="1" readingOrder="1"/>
    </xf>
    <xf numFmtId="10" fontId="61" fillId="10" borderId="0" xfId="20" applyNumberFormat="1" applyFont="1" applyFill="1" applyBorder="1" applyAlignment="1">
      <alignment horizontal="center" vertical="center" wrapText="1" readingOrder="1"/>
    </xf>
    <xf numFmtId="0" fontId="54" fillId="10" borderId="0" xfId="18" applyFont="1" applyFill="1" applyAlignment="1">
      <alignment vertical="center"/>
    </xf>
    <xf numFmtId="185" fontId="61" fillId="10" borderId="0" xfId="20" applyNumberFormat="1" applyFont="1" applyFill="1" applyBorder="1" applyAlignment="1">
      <alignment horizontal="center" vertical="center" wrapText="1" readingOrder="1"/>
    </xf>
    <xf numFmtId="169" fontId="61" fillId="10" borderId="0" xfId="19" applyNumberFormat="1" applyFont="1" applyFill="1" applyBorder="1" applyAlignment="1">
      <alignment horizontal="left" vertical="center" wrapText="1" readingOrder="1"/>
    </xf>
    <xf numFmtId="169" fontId="61" fillId="0" borderId="0" xfId="19" applyNumberFormat="1" applyFont="1" applyFill="1" applyBorder="1" applyAlignment="1">
      <alignment horizontal="left" vertical="center" wrapText="1" readingOrder="1"/>
    </xf>
    <xf numFmtId="0" fontId="54" fillId="0" borderId="0" xfId="18" applyFont="1" applyAlignment="1">
      <alignment horizontal="center" vertical="center" wrapText="1"/>
    </xf>
    <xf numFmtId="185" fontId="47" fillId="0" borderId="0" xfId="18" applyNumberFormat="1" applyFont="1" applyAlignment="1">
      <alignment horizontal="center" vertical="center"/>
    </xf>
    <xf numFmtId="170" fontId="48" fillId="0" borderId="0" xfId="21" applyNumberFormat="1" applyFont="1" applyFill="1" applyBorder="1" applyAlignment="1">
      <alignment horizontal="center" vertical="center"/>
    </xf>
    <xf numFmtId="170" fontId="47" fillId="0" borderId="0" xfId="21" applyNumberFormat="1" applyFont="1" applyFill="1" applyBorder="1" applyAlignment="1">
      <alignment horizontal="center" vertical="center"/>
    </xf>
    <xf numFmtId="185" fontId="54" fillId="0" borderId="0" xfId="18" applyNumberFormat="1" applyFont="1" applyAlignment="1">
      <alignment horizontal="center" vertical="center"/>
    </xf>
    <xf numFmtId="9" fontId="54" fillId="0" borderId="0" xfId="21" applyFont="1" applyFill="1" applyBorder="1" applyAlignment="1">
      <alignment horizontal="center" vertical="center" wrapText="1"/>
    </xf>
    <xf numFmtId="184" fontId="54" fillId="0" borderId="0" xfId="18" applyNumberFormat="1" applyFont="1" applyAlignment="1">
      <alignment horizontal="center" vertical="center"/>
    </xf>
    <xf numFmtId="3" fontId="54" fillId="0" borderId="0" xfId="18" applyNumberFormat="1" applyFont="1" applyAlignment="1">
      <alignment horizontal="center" vertical="center"/>
    </xf>
    <xf numFmtId="0" fontId="34" fillId="0" borderId="0" xfId="12" applyFont="1"/>
    <xf numFmtId="0" fontId="44" fillId="0" borderId="0" xfId="12" applyFont="1"/>
    <xf numFmtId="0" fontId="54" fillId="0" borderId="0" xfId="12" applyFont="1"/>
    <xf numFmtId="0" fontId="54" fillId="0" borderId="0" xfId="12" applyFont="1" applyAlignment="1">
      <alignment horizontal="center"/>
    </xf>
    <xf numFmtId="0" fontId="34" fillId="0" borderId="0" xfId="12" applyFont="1" applyAlignment="1">
      <alignment horizontal="left" indent="2"/>
    </xf>
    <xf numFmtId="3" fontId="62" fillId="0" borderId="0" xfId="12" applyNumberFormat="1" applyFont="1" applyAlignment="1">
      <alignment horizontal="right"/>
    </xf>
    <xf numFmtId="0" fontId="33" fillId="0" borderId="18" xfId="12" applyFont="1" applyBorder="1"/>
    <xf numFmtId="0" fontId="33" fillId="0" borderId="0" xfId="12" applyFont="1" applyAlignment="1">
      <alignment horizontal="left" indent="2"/>
    </xf>
    <xf numFmtId="0" fontId="34" fillId="0" borderId="0" xfId="12" applyFont="1" applyAlignment="1">
      <alignment horizontal="left" indent="4"/>
    </xf>
    <xf numFmtId="169" fontId="62" fillId="0" borderId="0" xfId="8" applyNumberFormat="1" applyFont="1" applyAlignment="1">
      <alignment horizontal="center"/>
    </xf>
    <xf numFmtId="169" fontId="34" fillId="0" borderId="0" xfId="8" applyNumberFormat="1" applyFont="1" applyAlignment="1">
      <alignment horizontal="center"/>
    </xf>
    <xf numFmtId="169" fontId="34" fillId="0" borderId="0" xfId="8" applyNumberFormat="1" applyFont="1"/>
    <xf numFmtId="0" fontId="34" fillId="0" borderId="16" xfId="12" applyFont="1" applyBorder="1" applyAlignment="1">
      <alignment horizontal="left" indent="4"/>
    </xf>
    <xf numFmtId="169" fontId="34" fillId="0" borderId="16" xfId="8" applyNumberFormat="1" applyFont="1" applyBorder="1" applyAlignment="1">
      <alignment horizontal="center"/>
    </xf>
    <xf numFmtId="0" fontId="33" fillId="0" borderId="0" xfId="12" applyFont="1"/>
    <xf numFmtId="169" fontId="33" fillId="0" borderId="0" xfId="8" applyNumberFormat="1" applyFont="1" applyAlignment="1">
      <alignment horizontal="center"/>
    </xf>
    <xf numFmtId="3" fontId="34" fillId="0" borderId="0" xfId="12" applyNumberFormat="1" applyFont="1" applyAlignment="1">
      <alignment horizontal="left" indent="4"/>
    </xf>
    <xf numFmtId="0" fontId="34" fillId="0" borderId="19" xfId="12" applyFont="1" applyBorder="1" applyAlignment="1">
      <alignment horizontal="left" indent="2"/>
    </xf>
    <xf numFmtId="0" fontId="34" fillId="0" borderId="16" xfId="12" applyFont="1" applyBorder="1" applyAlignment="1">
      <alignment horizontal="left" indent="2"/>
    </xf>
    <xf numFmtId="0" fontId="34" fillId="0" borderId="0" xfId="12" applyFont="1" applyAlignment="1">
      <alignment horizontal="left" indent="6"/>
    </xf>
    <xf numFmtId="169" fontId="34" fillId="0" borderId="0" xfId="12" applyNumberFormat="1" applyFont="1"/>
    <xf numFmtId="0" fontId="34" fillId="0" borderId="16" xfId="12" applyFont="1" applyBorder="1" applyAlignment="1">
      <alignment horizontal="left" indent="6"/>
    </xf>
    <xf numFmtId="188" fontId="34" fillId="0" borderId="0" xfId="11" applyNumberFormat="1" applyFont="1" applyAlignment="1">
      <alignment horizontal="center"/>
    </xf>
    <xf numFmtId="188" fontId="33" fillId="0" borderId="0" xfId="11" applyNumberFormat="1" applyFont="1" applyAlignment="1">
      <alignment horizontal="center"/>
    </xf>
    <xf numFmtId="188" fontId="54" fillId="0" borderId="14" xfId="11" applyNumberFormat="1" applyFont="1" applyBorder="1" applyAlignment="1">
      <alignment horizontal="center"/>
    </xf>
    <xf numFmtId="188" fontId="33" fillId="0" borderId="15" xfId="12" applyNumberFormat="1" applyFont="1" applyBorder="1" applyAlignment="1">
      <alignment horizontal="center"/>
    </xf>
    <xf numFmtId="188" fontId="33" fillId="0" borderId="0" xfId="12" applyNumberFormat="1" applyFont="1" applyAlignment="1">
      <alignment horizontal="center"/>
    </xf>
    <xf numFmtId="0" fontId="64" fillId="0" borderId="0" xfId="12" applyFont="1" applyAlignment="1">
      <alignment horizontal="left" indent="2"/>
    </xf>
    <xf numFmtId="188" fontId="64" fillId="0" borderId="0" xfId="12" applyNumberFormat="1" applyFont="1" applyAlignment="1">
      <alignment horizontal="center"/>
    </xf>
    <xf numFmtId="0" fontId="65" fillId="0" borderId="0" xfId="12" applyFont="1" applyAlignment="1">
      <alignment horizontal="left" indent="2"/>
    </xf>
    <xf numFmtId="188" fontId="34" fillId="0" borderId="0" xfId="12" applyNumberFormat="1" applyFont="1" applyAlignment="1">
      <alignment horizontal="center"/>
    </xf>
    <xf numFmtId="169" fontId="54" fillId="0" borderId="16" xfId="8" applyNumberFormat="1" applyFont="1" applyBorder="1" applyAlignment="1">
      <alignment horizontal="center"/>
    </xf>
    <xf numFmtId="169" fontId="33" fillId="0" borderId="18" xfId="8" applyNumberFormat="1" applyFont="1" applyBorder="1"/>
    <xf numFmtId="169" fontId="34" fillId="0" borderId="0" xfId="8" applyNumberFormat="1" applyFont="1" applyAlignment="1">
      <alignment horizontal="right"/>
    </xf>
    <xf numFmtId="169" fontId="62" fillId="0" borderId="0" xfId="8" applyNumberFormat="1" applyFont="1" applyAlignment="1">
      <alignment horizontal="right"/>
    </xf>
    <xf numFmtId="169" fontId="54" fillId="0" borderId="0" xfId="8" applyNumberFormat="1" applyFont="1" applyAlignment="1">
      <alignment horizontal="right"/>
    </xf>
    <xf numFmtId="169" fontId="34" fillId="0" borderId="16" xfId="8" applyNumberFormat="1" applyFont="1" applyBorder="1" applyAlignment="1">
      <alignment horizontal="right"/>
    </xf>
    <xf numFmtId="169" fontId="33" fillId="0" borderId="0" xfId="8" applyNumberFormat="1" applyFont="1"/>
    <xf numFmtId="165" fontId="30" fillId="0" borderId="0" xfId="0" applyNumberFormat="1" applyFont="1" applyAlignment="1">
      <alignment vertical="center"/>
    </xf>
    <xf numFmtId="2" fontId="27" fillId="2" borderId="5" xfId="8" applyNumberFormat="1" applyFont="1" applyFill="1" applyBorder="1" applyAlignment="1"/>
    <xf numFmtId="0" fontId="67" fillId="0" borderId="0" xfId="22" applyFont="1"/>
    <xf numFmtId="0" fontId="66" fillId="0" borderId="0" xfId="22" applyFont="1" applyAlignment="1">
      <alignment horizontal="center"/>
    </xf>
    <xf numFmtId="0" fontId="68" fillId="11" borderId="0" xfId="22" applyFont="1" applyFill="1" applyAlignment="1">
      <alignment horizontal="center"/>
    </xf>
    <xf numFmtId="0" fontId="69" fillId="0" borderId="0" xfId="22" applyFont="1" applyAlignment="1">
      <alignment horizontal="center"/>
    </xf>
    <xf numFmtId="0" fontId="70" fillId="0" borderId="0" xfId="22" applyFont="1" applyAlignment="1">
      <alignment horizontal="center"/>
    </xf>
    <xf numFmtId="0" fontId="67" fillId="0" borderId="0" xfId="22" applyFont="1" applyAlignment="1">
      <alignment horizontal="center"/>
    </xf>
    <xf numFmtId="0" fontId="67" fillId="9" borderId="0" xfId="22" applyFont="1" applyFill="1"/>
    <xf numFmtId="0" fontId="67" fillId="12" borderId="0" xfId="22" applyFont="1" applyFill="1"/>
    <xf numFmtId="0" fontId="67" fillId="13" borderId="0" xfId="22" applyFont="1" applyFill="1"/>
    <xf numFmtId="0" fontId="67" fillId="7" borderId="0" xfId="22" applyFont="1" applyFill="1"/>
    <xf numFmtId="0" fontId="71" fillId="0" borderId="0" xfId="22" applyFont="1" applyAlignment="1">
      <alignment horizontal="center"/>
    </xf>
    <xf numFmtId="14" fontId="52" fillId="0" borderId="0" xfId="22" applyNumberFormat="1" applyFont="1" applyAlignment="1">
      <alignment horizontal="center"/>
    </xf>
    <xf numFmtId="14" fontId="72" fillId="0" borderId="0" xfId="0" applyNumberFormat="1" applyFont="1" applyAlignment="1">
      <alignment horizontal="right" vertical="center"/>
    </xf>
    <xf numFmtId="169" fontId="27" fillId="2" borderId="5" xfId="8" applyNumberFormat="1" applyFont="1" applyFill="1" applyBorder="1" applyAlignment="1"/>
    <xf numFmtId="165" fontId="73" fillId="0" borderId="0" xfId="8" applyFont="1"/>
    <xf numFmtId="165" fontId="54" fillId="0" borderId="0" xfId="8" applyFont="1" applyAlignment="1">
      <alignment horizontal="center"/>
    </xf>
    <xf numFmtId="169" fontId="73" fillId="0" borderId="0" xfId="8" applyNumberFormat="1" applyFont="1" applyAlignment="1">
      <alignment horizontal="center"/>
    </xf>
    <xf numFmtId="169" fontId="48" fillId="0" borderId="0" xfId="8" applyNumberFormat="1" applyFont="1"/>
    <xf numFmtId="3" fontId="30" fillId="2" borderId="0" xfId="0" applyFont="1" applyFill="1">
      <alignment horizontal="left" vertical="center"/>
    </xf>
    <xf numFmtId="188" fontId="47" fillId="0" borderId="0" xfId="11" applyNumberFormat="1" applyFont="1" applyAlignment="1">
      <alignment horizontal="center"/>
    </xf>
    <xf numFmtId="169" fontId="47" fillId="0" borderId="0" xfId="8" applyNumberFormat="1" applyFont="1"/>
    <xf numFmtId="169" fontId="47" fillId="0" borderId="16" xfId="8" applyNumberFormat="1" applyFont="1" applyBorder="1"/>
    <xf numFmtId="169" fontId="47" fillId="0" borderId="0" xfId="8" applyNumberFormat="1" applyFont="1" applyAlignment="1">
      <alignment horizontal="center"/>
    </xf>
    <xf numFmtId="169" fontId="47" fillId="0" borderId="16" xfId="8" applyNumberFormat="1" applyFont="1" applyBorder="1" applyAlignment="1">
      <alignment horizontal="center"/>
    </xf>
    <xf numFmtId="3" fontId="47" fillId="0" borderId="0" xfId="12" applyNumberFormat="1" applyFont="1" applyAlignment="1">
      <alignment horizontal="center"/>
    </xf>
    <xf numFmtId="169" fontId="47" fillId="0" borderId="0" xfId="8" applyNumberFormat="1" applyFont="1" applyBorder="1" applyAlignment="1">
      <alignment horizontal="center"/>
    </xf>
    <xf numFmtId="10" fontId="27" fillId="2" borderId="5" xfId="3" applyNumberFormat="1" applyFont="1" applyAlignment="1"/>
    <xf numFmtId="169" fontId="47" fillId="0" borderId="0" xfId="8" applyNumberFormat="1" applyFont="1" applyAlignment="1">
      <alignment vertical="center"/>
    </xf>
    <xf numFmtId="169" fontId="33" fillId="0" borderId="3" xfId="8" applyNumberFormat="1" applyFont="1" applyBorder="1" applyAlignment="1">
      <alignment vertical="center"/>
    </xf>
    <xf numFmtId="187" fontId="47" fillId="0" borderId="0" xfId="8" applyNumberFormat="1" applyFont="1" applyAlignment="1">
      <alignment vertical="center"/>
    </xf>
    <xf numFmtId="10" fontId="25" fillId="0" borderId="0" xfId="1" applyNumberFormat="1" applyFont="1" applyBorder="1" applyAlignment="1">
      <alignment vertical="center"/>
    </xf>
    <xf numFmtId="3" fontId="74" fillId="0" borderId="0" xfId="0" applyFont="1">
      <alignment horizontal="left" vertical="center"/>
    </xf>
    <xf numFmtId="169" fontId="73" fillId="0" borderId="16" xfId="12" applyNumberFormat="1" applyFont="1" applyBorder="1"/>
    <xf numFmtId="169" fontId="33" fillId="0" borderId="0" xfId="12" applyNumberFormat="1" applyFont="1"/>
    <xf numFmtId="0" fontId="33" fillId="0" borderId="0" xfId="12" applyFont="1" applyAlignment="1">
      <alignment horizontal="left" indent="4"/>
    </xf>
    <xf numFmtId="9" fontId="27" fillId="2" borderId="5" xfId="9" applyFont="1" applyFill="1" applyBorder="1" applyAlignment="1">
      <alignment horizontal="right"/>
    </xf>
    <xf numFmtId="170" fontId="73" fillId="0" borderId="0" xfId="21" applyNumberFormat="1" applyFont="1" applyFill="1" applyBorder="1" applyAlignment="1">
      <alignment horizontal="center" vertical="center"/>
    </xf>
    <xf numFmtId="3" fontId="77" fillId="2" borderId="5" xfId="8" applyNumberFormat="1" applyFont="1" applyFill="1" applyBorder="1" applyAlignment="1">
      <alignment horizontal="center"/>
    </xf>
    <xf numFmtId="185" fontId="54" fillId="0" borderId="0" xfId="18" applyNumberFormat="1" applyFont="1" applyAlignment="1">
      <alignment vertical="center"/>
    </xf>
    <xf numFmtId="4" fontId="42" fillId="0" borderId="5" xfId="8" applyNumberFormat="1" applyFont="1" applyFill="1" applyBorder="1" applyAlignment="1"/>
    <xf numFmtId="165" fontId="42" fillId="0" borderId="0" xfId="0" applyNumberFormat="1" applyFont="1" applyFill="1" applyAlignment="1">
      <alignment vertical="center"/>
    </xf>
    <xf numFmtId="3" fontId="42" fillId="0" borderId="0" xfId="0" applyFont="1" applyFill="1" applyAlignment="1">
      <alignment horizontal="right" vertical="center"/>
    </xf>
    <xf numFmtId="3" fontId="54" fillId="0" borderId="5" xfId="8" applyNumberFormat="1" applyFont="1" applyFill="1" applyBorder="1" applyAlignment="1">
      <alignment horizontal="left"/>
    </xf>
    <xf numFmtId="3" fontId="77" fillId="2" borderId="17" xfId="8" applyNumberFormat="1" applyFont="1" applyFill="1" applyBorder="1" applyAlignment="1">
      <alignment horizontal="center"/>
    </xf>
    <xf numFmtId="3" fontId="73" fillId="0" borderId="0" xfId="8" applyNumberFormat="1" applyFont="1" applyFill="1" applyBorder="1" applyAlignment="1">
      <alignment horizontal="center"/>
    </xf>
    <xf numFmtId="3" fontId="73" fillId="0" borderId="0" xfId="18" applyNumberFormat="1" applyFont="1" applyAlignment="1">
      <alignment horizontal="center" vertical="center"/>
    </xf>
    <xf numFmtId="184" fontId="73" fillId="0" borderId="0" xfId="18" applyNumberFormat="1" applyFont="1" applyAlignment="1">
      <alignment horizontal="center" vertical="center"/>
    </xf>
    <xf numFmtId="10" fontId="27" fillId="2" borderId="5" xfId="9" applyNumberFormat="1" applyFont="1" applyFill="1" applyBorder="1" applyAlignment="1"/>
    <xf numFmtId="169" fontId="47" fillId="0" borderId="14" xfId="8" applyNumberFormat="1" applyFont="1" applyBorder="1" applyAlignment="1">
      <alignment horizontal="right" vertical="center"/>
    </xf>
    <xf numFmtId="169" fontId="47" fillId="7" borderId="0" xfId="8" applyNumberFormat="1" applyFont="1" applyFill="1" applyAlignment="1">
      <alignment vertical="center"/>
    </xf>
    <xf numFmtId="183" fontId="27" fillId="2" borderId="17" xfId="8" applyNumberFormat="1" applyFont="1" applyFill="1" applyBorder="1" applyAlignment="1"/>
    <xf numFmtId="10" fontId="27" fillId="2" borderId="17" xfId="3" applyNumberFormat="1" applyFont="1" applyBorder="1" applyAlignment="1"/>
    <xf numFmtId="3" fontId="30" fillId="0" borderId="16" xfId="0" applyFont="1" applyBorder="1">
      <alignment horizontal="left" vertical="center"/>
    </xf>
    <xf numFmtId="3" fontId="38" fillId="0" borderId="16" xfId="5" applyNumberFormat="1" applyFont="1" applyBorder="1" applyAlignment="1">
      <alignment horizontal="left" vertical="center"/>
    </xf>
    <xf numFmtId="3" fontId="30" fillId="0" borderId="16" xfId="0" applyFont="1" applyBorder="1" applyAlignment="1">
      <alignment horizontal="right" vertical="center"/>
    </xf>
    <xf numFmtId="10" fontId="27" fillId="0" borderId="0" xfId="9" applyNumberFormat="1" applyFont="1" applyFill="1" applyBorder="1" applyAlignment="1"/>
    <xf numFmtId="9" fontId="27" fillId="0" borderId="0" xfId="9" applyFont="1" applyFill="1" applyBorder="1" applyAlignment="1">
      <alignment horizontal="right"/>
    </xf>
    <xf numFmtId="4" fontId="27" fillId="2" borderId="17" xfId="8" applyNumberFormat="1" applyFont="1" applyFill="1" applyBorder="1" applyAlignment="1"/>
    <xf numFmtId="2" fontId="27" fillId="2" borderId="17" xfId="8" applyNumberFormat="1" applyFont="1" applyFill="1" applyBorder="1" applyAlignment="1"/>
    <xf numFmtId="3" fontId="21" fillId="0" borderId="0" xfId="0" applyFont="1" applyFill="1" applyBorder="1">
      <alignment horizontal="left" vertical="center"/>
    </xf>
    <xf numFmtId="3" fontId="21" fillId="0" borderId="0" xfId="0" applyFont="1" applyFill="1" applyBorder="1" applyAlignment="1">
      <alignment horizontal="left" vertical="center" indent="2"/>
    </xf>
    <xf numFmtId="3" fontId="38" fillId="0" borderId="0" xfId="5" applyNumberFormat="1" applyFont="1" applyFill="1" applyBorder="1" applyAlignment="1">
      <alignment horizontal="left" vertical="center"/>
    </xf>
    <xf numFmtId="4" fontId="27" fillId="0" borderId="0" xfId="8" applyNumberFormat="1" applyFont="1" applyFill="1" applyBorder="1" applyAlignment="1"/>
    <xf numFmtId="2" fontId="27" fillId="0" borderId="0" xfId="8" applyNumberFormat="1" applyFont="1" applyFill="1" applyBorder="1" applyAlignment="1"/>
    <xf numFmtId="14" fontId="72" fillId="0" borderId="0" xfId="0" applyNumberFormat="1" applyFont="1" applyFill="1" applyBorder="1" applyAlignment="1">
      <alignment horizontal="right" vertical="center"/>
    </xf>
    <xf numFmtId="185" fontId="42" fillId="0" borderId="5" xfId="8" applyNumberFormat="1" applyFont="1" applyFill="1" applyBorder="1" applyAlignment="1"/>
    <xf numFmtId="0" fontId="83" fillId="0" borderId="23" xfId="23" applyFont="1">
      <alignment vertical="center"/>
    </xf>
    <xf numFmtId="0" fontId="54" fillId="0" borderId="0" xfId="24" applyFont="1"/>
    <xf numFmtId="0" fontId="83" fillId="0" borderId="24" xfId="25" applyFont="1">
      <alignment vertical="center"/>
    </xf>
    <xf numFmtId="184" fontId="73" fillId="0" borderId="0" xfId="27" applyFont="1" applyFill="1"/>
    <xf numFmtId="184" fontId="85" fillId="13" borderId="0" xfId="28" applyNumberFormat="1" applyFont="1" applyFill="1" applyAlignment="1"/>
    <xf numFmtId="10" fontId="73" fillId="0" borderId="25" xfId="29" applyFont="1" applyFill="1" applyBorder="1" applyAlignment="1">
      <alignment horizontal="right"/>
    </xf>
    <xf numFmtId="1" fontId="85" fillId="13" borderId="25" xfId="30" applyFont="1" applyFill="1" applyBorder="1"/>
    <xf numFmtId="1" fontId="73" fillId="0" borderId="0" xfId="30" applyFont="1" applyFill="1"/>
    <xf numFmtId="1" fontId="73" fillId="0" borderId="25" xfId="30" applyFont="1" applyFill="1" applyBorder="1"/>
    <xf numFmtId="184" fontId="85" fillId="13" borderId="25" xfId="28" applyNumberFormat="1" applyFont="1" applyFill="1" applyBorder="1" applyAlignment="1"/>
    <xf numFmtId="14" fontId="73" fillId="0" borderId="25" xfId="31" applyFont="1" applyFill="1" applyBorder="1"/>
    <xf numFmtId="4" fontId="77" fillId="2" borderId="17" xfId="8" applyNumberFormat="1" applyFont="1" applyFill="1" applyBorder="1" applyAlignment="1"/>
    <xf numFmtId="1" fontId="34" fillId="0" borderId="0" xfId="30" applyFont="1" applyFill="1" applyAlignment="1">
      <alignment horizontal="left"/>
    </xf>
    <xf numFmtId="14" fontId="34" fillId="0" borderId="0" xfId="31" applyFont="1" applyAlignment="1">
      <alignment horizontal="left"/>
    </xf>
    <xf numFmtId="184" fontId="34" fillId="0" borderId="0" xfId="36" applyFont="1" applyFill="1">
      <alignment horizontal="right" indent="2"/>
    </xf>
    <xf numFmtId="2" fontId="54" fillId="0" borderId="0" xfId="36" applyNumberFormat="1" applyFont="1" applyFill="1">
      <alignment horizontal="right" indent="2"/>
    </xf>
    <xf numFmtId="186" fontId="54" fillId="0" borderId="0" xfId="24" applyNumberFormat="1" applyFont="1"/>
    <xf numFmtId="1" fontId="54" fillId="0" borderId="0" xfId="30" applyFont="1" applyFill="1"/>
    <xf numFmtId="14" fontId="54" fillId="0" borderId="0" xfId="31" applyFont="1"/>
    <xf numFmtId="184" fontId="54" fillId="0" borderId="0" xfId="36" applyFont="1" applyFill="1">
      <alignment horizontal="right" indent="2"/>
    </xf>
    <xf numFmtId="169" fontId="34" fillId="0" borderId="16" xfId="12" applyNumberFormat="1" applyFont="1" applyBorder="1"/>
    <xf numFmtId="0" fontId="56" fillId="0" borderId="0" xfId="18" applyFont="1" applyAlignment="1">
      <alignment horizontal="left" vertical="center"/>
    </xf>
    <xf numFmtId="0" fontId="56" fillId="0" borderId="0" xfId="18" applyFont="1" applyAlignment="1">
      <alignment horizontal="center" vertical="center"/>
    </xf>
    <xf numFmtId="0" fontId="56" fillId="0" borderId="0" xfId="18" applyFont="1" applyAlignment="1">
      <alignment horizontal="left" vertical="center" indent="2"/>
    </xf>
    <xf numFmtId="3" fontId="27" fillId="2" borderId="5" xfId="8" applyNumberFormat="1" applyFont="1" applyFill="1" applyBorder="1" applyAlignment="1">
      <alignment horizontal="left" indent="2"/>
    </xf>
    <xf numFmtId="0" fontId="86" fillId="0" borderId="0" xfId="18" applyFont="1" applyAlignment="1">
      <alignment horizontal="left" vertical="center" wrapText="1" readingOrder="1"/>
    </xf>
    <xf numFmtId="3" fontId="27" fillId="2" borderId="5" xfId="8" applyNumberFormat="1" applyFont="1" applyFill="1" applyBorder="1" applyAlignment="1">
      <alignment horizontal="center"/>
    </xf>
    <xf numFmtId="10" fontId="42" fillId="0" borderId="0" xfId="20" applyNumberFormat="1" applyFont="1" applyFill="1" applyBorder="1" applyAlignment="1">
      <alignment horizontal="center" vertical="center" wrapText="1" readingOrder="1"/>
    </xf>
    <xf numFmtId="0" fontId="56" fillId="10" borderId="0" xfId="18" applyFont="1" applyFill="1" applyAlignment="1">
      <alignment horizontal="left" vertical="center" wrapText="1" indent="2" readingOrder="1"/>
    </xf>
    <xf numFmtId="3" fontId="87" fillId="10" borderId="0" xfId="20" applyNumberFormat="1" applyFont="1" applyFill="1" applyBorder="1" applyAlignment="1">
      <alignment horizontal="center" vertical="center" wrapText="1" readingOrder="1"/>
    </xf>
    <xf numFmtId="10" fontId="87" fillId="10" borderId="0" xfId="20" applyNumberFormat="1" applyFont="1" applyFill="1" applyBorder="1" applyAlignment="1">
      <alignment horizontal="center" vertical="center" wrapText="1" readingOrder="1"/>
    </xf>
    <xf numFmtId="0" fontId="56" fillId="0" borderId="0" xfId="13" applyFont="1" applyAlignment="1">
      <alignment horizontal="left" vertical="center"/>
    </xf>
    <xf numFmtId="0" fontId="42" fillId="0" borderId="0" xfId="13" applyFont="1" applyAlignment="1">
      <alignment horizontal="centerContinuous" vertical="center"/>
    </xf>
    <xf numFmtId="170" fontId="42" fillId="0" borderId="0" xfId="15" applyNumberFormat="1" applyFont="1"/>
    <xf numFmtId="0" fontId="56" fillId="0" borderId="14" xfId="13" applyFont="1" applyBorder="1" applyAlignment="1">
      <alignment vertical="center"/>
    </xf>
    <xf numFmtId="0" fontId="56" fillId="0" borderId="14" xfId="13" applyFont="1" applyBorder="1" applyAlignment="1">
      <alignment horizontal="center" vertical="center" wrapText="1"/>
    </xf>
    <xf numFmtId="3" fontId="27" fillId="2" borderId="17" xfId="8" applyNumberFormat="1" applyFont="1" applyFill="1" applyBorder="1" applyAlignment="1">
      <alignment horizontal="left"/>
    </xf>
    <xf numFmtId="185" fontId="27" fillId="2" borderId="17" xfId="8" applyNumberFormat="1" applyFont="1" applyFill="1" applyBorder="1" applyAlignment="1">
      <alignment horizontal="center"/>
    </xf>
    <xf numFmtId="9" fontId="27" fillId="2" borderId="17" xfId="9" applyFont="1" applyFill="1" applyBorder="1" applyAlignment="1">
      <alignment horizontal="center"/>
    </xf>
    <xf numFmtId="184" fontId="72" fillId="0" borderId="0" xfId="13" applyNumberFormat="1" applyFont="1" applyAlignment="1">
      <alignment horizontal="center"/>
    </xf>
    <xf numFmtId="3" fontId="42" fillId="0" borderId="0" xfId="13" applyNumberFormat="1" applyFont="1" applyAlignment="1">
      <alignment horizontal="center"/>
    </xf>
    <xf numFmtId="10" fontId="42" fillId="0" borderId="0" xfId="15" applyNumberFormat="1" applyFont="1" applyAlignment="1">
      <alignment horizontal="center"/>
    </xf>
    <xf numFmtId="3" fontId="27" fillId="2" borderId="5" xfId="8" applyNumberFormat="1" applyFont="1" applyFill="1" applyBorder="1" applyAlignment="1">
      <alignment horizontal="left"/>
    </xf>
    <xf numFmtId="185" fontId="27" fillId="2" borderId="5" xfId="8" applyNumberFormat="1" applyFont="1" applyFill="1" applyBorder="1" applyAlignment="1">
      <alignment horizontal="center"/>
    </xf>
    <xf numFmtId="9" fontId="27" fillId="2" borderId="5" xfId="9" applyFont="1" applyFill="1" applyBorder="1" applyAlignment="1">
      <alignment horizontal="center"/>
    </xf>
    <xf numFmtId="3" fontId="27" fillId="2" borderId="13" xfId="8" applyNumberFormat="1" applyFont="1" applyFill="1" applyBorder="1" applyAlignment="1">
      <alignment horizontal="left"/>
    </xf>
    <xf numFmtId="185" fontId="27" fillId="2" borderId="22" xfId="8" applyNumberFormat="1" applyFont="1" applyFill="1" applyBorder="1" applyAlignment="1">
      <alignment horizontal="center"/>
    </xf>
    <xf numFmtId="185" fontId="27" fillId="2" borderId="13" xfId="8" applyNumberFormat="1" applyFont="1" applyFill="1" applyBorder="1" applyAlignment="1">
      <alignment horizontal="center"/>
    </xf>
    <xf numFmtId="9" fontId="27" fillId="2" borderId="13" xfId="9" applyFont="1" applyFill="1" applyBorder="1" applyAlignment="1">
      <alignment horizontal="center"/>
    </xf>
    <xf numFmtId="0" fontId="56" fillId="0" borderId="20" xfId="13" applyFont="1" applyBorder="1"/>
    <xf numFmtId="185" fontId="56" fillId="0" borderId="19" xfId="13" applyNumberFormat="1" applyFont="1" applyBorder="1" applyAlignment="1">
      <alignment horizontal="center"/>
    </xf>
    <xf numFmtId="9" fontId="56" fillId="0" borderId="19" xfId="9" applyFont="1" applyBorder="1" applyAlignment="1">
      <alignment horizontal="center"/>
    </xf>
    <xf numFmtId="184" fontId="42" fillId="0" borderId="19" xfId="13" applyNumberFormat="1" applyFont="1" applyBorder="1" applyAlignment="1">
      <alignment horizontal="center"/>
    </xf>
    <xf numFmtId="3" fontId="56" fillId="0" borderId="19" xfId="13" applyNumberFormat="1" applyFont="1" applyBorder="1" applyAlignment="1">
      <alignment horizontal="center"/>
    </xf>
    <xf numFmtId="10" fontId="56" fillId="0" borderId="21" xfId="15" applyNumberFormat="1" applyFont="1" applyBorder="1" applyAlignment="1">
      <alignment horizontal="center"/>
    </xf>
    <xf numFmtId="0" fontId="86" fillId="0" borderId="0" xfId="13" applyFont="1"/>
    <xf numFmtId="185" fontId="86" fillId="0" borderId="0" xfId="13" applyNumberFormat="1" applyFont="1" applyAlignment="1">
      <alignment horizontal="right"/>
    </xf>
    <xf numFmtId="185" fontId="42" fillId="0" borderId="0" xfId="13" applyNumberFormat="1" applyFont="1" applyAlignment="1">
      <alignment horizontal="right"/>
    </xf>
    <xf numFmtId="3" fontId="88" fillId="0" borderId="0" xfId="0" applyFont="1" applyFill="1" applyAlignment="1">
      <alignment horizontal="left"/>
    </xf>
    <xf numFmtId="3" fontId="89" fillId="0" borderId="0" xfId="0" applyFont="1" applyAlignment="1">
      <alignment horizontal="left" vertical="center" indent="1"/>
    </xf>
    <xf numFmtId="3" fontId="30" fillId="0" borderId="0" xfId="0" applyFont="1" applyAlignment="1">
      <alignment horizontal="right" vertical="center" indent="1"/>
    </xf>
    <xf numFmtId="3" fontId="0" fillId="0" borderId="0" xfId="0" applyAlignment="1">
      <alignment horizontal="left" vertical="center" indent="2"/>
    </xf>
    <xf numFmtId="169" fontId="33" fillId="0" borderId="0" xfId="8" applyNumberFormat="1" applyFont="1" applyBorder="1" applyAlignment="1">
      <alignment horizontal="right" vertical="center"/>
    </xf>
    <xf numFmtId="169" fontId="73" fillId="0" borderId="0" xfId="8" applyNumberFormat="1" applyFont="1" applyAlignment="1">
      <alignment horizontal="right" vertical="center"/>
    </xf>
    <xf numFmtId="3" fontId="21" fillId="3" borderId="0" xfId="0" applyFont="1" applyFill="1" applyAlignment="1">
      <alignment horizontal="right" vertical="center"/>
    </xf>
    <xf numFmtId="15" fontId="21" fillId="0" borderId="0" xfId="0" applyNumberFormat="1" applyFont="1">
      <alignment horizontal="left" vertical="center"/>
    </xf>
    <xf numFmtId="169" fontId="72" fillId="0" borderId="0" xfId="8" applyNumberFormat="1" applyFont="1" applyAlignment="1">
      <alignment horizontal="right" vertical="center"/>
    </xf>
    <xf numFmtId="169" fontId="21" fillId="0" borderId="0" xfId="8" applyNumberFormat="1" applyFont="1" applyBorder="1" applyAlignment="1">
      <alignment horizontal="right" vertical="center"/>
    </xf>
    <xf numFmtId="169" fontId="30" fillId="0" borderId="15" xfId="8" applyNumberFormat="1" applyFont="1" applyBorder="1" applyAlignment="1">
      <alignment horizontal="right" vertical="center"/>
    </xf>
    <xf numFmtId="169" fontId="21" fillId="0" borderId="0" xfId="0" applyNumberFormat="1" applyFont="1" applyAlignment="1">
      <alignment horizontal="right" vertical="center"/>
    </xf>
    <xf numFmtId="3" fontId="30" fillId="0" borderId="0" xfId="0" applyFont="1" applyBorder="1" applyAlignment="1">
      <alignment horizontal="right" vertical="center"/>
    </xf>
    <xf numFmtId="165" fontId="30" fillId="0" borderId="0" xfId="8" applyFont="1" applyBorder="1" applyAlignment="1">
      <alignment horizontal="right" vertical="center"/>
    </xf>
    <xf numFmtId="10" fontId="72" fillId="0" borderId="0" xfId="9" applyNumberFormat="1" applyFont="1" applyAlignment="1">
      <alignment horizontal="right" vertical="center"/>
    </xf>
    <xf numFmtId="3" fontId="32" fillId="0" borderId="0" xfId="0" applyFont="1">
      <alignment horizontal="left" vertical="center"/>
    </xf>
    <xf numFmtId="3" fontId="88" fillId="0" borderId="15" xfId="0" applyFont="1" applyBorder="1">
      <alignment horizontal="left" vertical="center"/>
    </xf>
    <xf numFmtId="4" fontId="88" fillId="0" borderId="15" xfId="0" applyNumberFormat="1" applyFont="1" applyBorder="1" applyAlignment="1">
      <alignment horizontal="right" vertical="center"/>
    </xf>
    <xf numFmtId="10" fontId="88" fillId="0" borderId="15" xfId="9" applyNumberFormat="1" applyFont="1" applyBorder="1" applyAlignment="1" applyProtection="1">
      <alignment horizontal="left" vertical="center"/>
    </xf>
    <xf numFmtId="9" fontId="88" fillId="0" borderId="15" xfId="0" applyNumberFormat="1" applyFont="1" applyBorder="1" applyAlignment="1">
      <alignment horizontal="right" vertical="center"/>
    </xf>
    <xf numFmtId="3" fontId="88" fillId="0" borderId="9" xfId="0" applyFont="1" applyBorder="1" applyAlignment="1"/>
    <xf numFmtId="185" fontId="32" fillId="0" borderId="10" xfId="0" applyNumberFormat="1" applyFont="1" applyBorder="1" applyAlignment="1">
      <alignment horizontal="center"/>
    </xf>
    <xf numFmtId="3" fontId="88" fillId="0" borderId="11" xfId="0" applyFont="1" applyBorder="1" applyAlignment="1"/>
    <xf numFmtId="10" fontId="32" fillId="0" borderId="10" xfId="0" applyNumberFormat="1" applyFont="1" applyBorder="1" applyAlignment="1">
      <alignment horizontal="center"/>
    </xf>
    <xf numFmtId="169" fontId="72" fillId="0" borderId="0" xfId="0" applyNumberFormat="1" applyFont="1" applyAlignment="1">
      <alignment horizontal="right" vertical="center"/>
    </xf>
    <xf numFmtId="3" fontId="21" fillId="0" borderId="0" xfId="0" applyFont="1" applyFill="1" applyAlignment="1">
      <alignment horizontal="right" vertical="center"/>
    </xf>
    <xf numFmtId="3" fontId="30" fillId="0" borderId="0" xfId="0" applyFont="1" applyFill="1" applyBorder="1" applyAlignment="1">
      <alignment horizontal="right" vertical="center"/>
    </xf>
    <xf numFmtId="3" fontId="88" fillId="6" borderId="29" xfId="0" applyFont="1" applyFill="1" applyBorder="1" applyAlignment="1">
      <alignment horizontal="left"/>
    </xf>
    <xf numFmtId="185" fontId="32" fillId="0" borderId="28" xfId="0" applyNumberFormat="1" applyFont="1" applyBorder="1" applyAlignment="1">
      <alignment horizontal="center"/>
    </xf>
    <xf numFmtId="3" fontId="90" fillId="8" borderId="0" xfId="0" applyFont="1" applyFill="1">
      <alignment horizontal="left" vertical="center"/>
    </xf>
    <xf numFmtId="3" fontId="29" fillId="8" borderId="0" xfId="0" applyFont="1" applyFill="1">
      <alignment horizontal="left" vertical="center"/>
    </xf>
    <xf numFmtId="3" fontId="29" fillId="8" borderId="0" xfId="0" applyFont="1" applyFill="1" applyAlignment="1">
      <alignment horizontal="right" vertical="center"/>
    </xf>
    <xf numFmtId="3" fontId="90" fillId="8" borderId="0" xfId="4" applyFont="1" applyFill="1">
      <alignment horizontal="left"/>
    </xf>
    <xf numFmtId="15" fontId="29" fillId="8" borderId="0" xfId="0" applyNumberFormat="1" applyFont="1" applyFill="1" applyAlignment="1">
      <alignment horizontal="right" vertical="center"/>
    </xf>
    <xf numFmtId="0" fontId="90" fillId="8" borderId="0" xfId="5" applyNumberFormat="1" applyFont="1" applyFill="1" applyAlignment="1">
      <alignment horizontal="right" vertical="center"/>
    </xf>
    <xf numFmtId="3" fontId="59" fillId="8" borderId="0" xfId="0" applyFont="1" applyFill="1">
      <alignment horizontal="left" vertical="center"/>
    </xf>
    <xf numFmtId="3" fontId="59" fillId="8" borderId="0" xfId="0" applyFont="1" applyFill="1" applyAlignment="1">
      <alignment horizontal="right" vertical="center"/>
    </xf>
    <xf numFmtId="3" fontId="59" fillId="8" borderId="0" xfId="4" applyFont="1" applyFill="1">
      <alignment horizontal="left"/>
    </xf>
    <xf numFmtId="3" fontId="63" fillId="8" borderId="0" xfId="0" applyFont="1" applyFill="1">
      <alignment horizontal="left" vertical="center"/>
    </xf>
    <xf numFmtId="15" fontId="63" fillId="8" borderId="0" xfId="0" applyNumberFormat="1" applyFont="1" applyFill="1" applyAlignment="1">
      <alignment horizontal="right" vertical="center"/>
    </xf>
    <xf numFmtId="0" fontId="59" fillId="8" borderId="0" xfId="5" applyNumberFormat="1" applyFont="1" applyFill="1" applyAlignment="1">
      <alignment horizontal="right" vertical="center"/>
    </xf>
    <xf numFmtId="169" fontId="34" fillId="0" borderId="0" xfId="8" applyNumberFormat="1" applyFont="1" applyFill="1" applyBorder="1"/>
    <xf numFmtId="3" fontId="29" fillId="8" borderId="0" xfId="0" applyFont="1" applyFill="1" applyAlignment="1">
      <alignment vertical="center"/>
    </xf>
    <xf numFmtId="0" fontId="55" fillId="8" borderId="0" xfId="12" applyFont="1" applyFill="1"/>
    <xf numFmtId="3" fontId="29" fillId="8" borderId="0" xfId="0" applyFont="1" applyFill="1" applyAlignment="1">
      <alignment horizontal="left" vertical="center" indent="2"/>
    </xf>
    <xf numFmtId="0" fontId="63" fillId="8" borderId="0" xfId="12" applyFont="1" applyFill="1"/>
    <xf numFmtId="169" fontId="29" fillId="8" borderId="0" xfId="8" applyNumberFormat="1" applyFont="1" applyFill="1" applyAlignment="1">
      <alignment horizontal="right" vertical="center"/>
    </xf>
    <xf numFmtId="0" fontId="29" fillId="8" borderId="0" xfId="5" applyNumberFormat="1" applyFont="1" applyFill="1" applyAlignment="1">
      <alignment horizontal="right" vertical="center"/>
    </xf>
    <xf numFmtId="9" fontId="73" fillId="0" borderId="0" xfId="9" applyFont="1" applyAlignment="1">
      <alignment horizontal="right"/>
    </xf>
    <xf numFmtId="175" fontId="33" fillId="0" borderId="0" xfId="8" applyNumberFormat="1" applyFont="1" applyBorder="1" applyAlignment="1">
      <alignment horizontal="right" vertical="center"/>
    </xf>
    <xf numFmtId="3" fontId="91" fillId="8" borderId="0" xfId="5" applyNumberFormat="1" applyFont="1" applyFill="1" applyAlignment="1">
      <alignment horizontal="left" vertical="center"/>
    </xf>
    <xf numFmtId="3" fontId="91" fillId="8" borderId="0" xfId="0" applyFont="1" applyFill="1">
      <alignment horizontal="left" vertical="center"/>
    </xf>
    <xf numFmtId="166" fontId="29" fillId="8" borderId="0" xfId="5" applyNumberFormat="1" applyFont="1" applyFill="1" applyAlignment="1">
      <alignment horizontal="right" vertical="center"/>
    </xf>
    <xf numFmtId="3" fontId="29" fillId="8" borderId="0" xfId="5" applyNumberFormat="1" applyFont="1" applyFill="1" applyAlignment="1">
      <alignment horizontal="left" vertical="center"/>
    </xf>
    <xf numFmtId="3" fontId="90" fillId="8" borderId="0" xfId="0" applyFont="1" applyFill="1" applyAlignment="1">
      <alignment horizontal="right" vertical="center"/>
    </xf>
    <xf numFmtId="1" fontId="29" fillId="8" borderId="0" xfId="0" applyNumberFormat="1" applyFont="1" applyFill="1" applyAlignment="1">
      <alignment horizontal="right" vertical="center"/>
    </xf>
    <xf numFmtId="0" fontId="29" fillId="8" borderId="0" xfId="0" applyNumberFormat="1" applyFont="1" applyFill="1" applyAlignment="1">
      <alignment horizontal="right" vertical="center"/>
    </xf>
    <xf numFmtId="0" fontId="59" fillId="8" borderId="0" xfId="34" applyFont="1">
      <alignment vertical="center" wrapText="1"/>
    </xf>
    <xf numFmtId="0" fontId="59" fillId="8" borderId="0" xfId="35" applyFont="1">
      <alignment horizontal="right" vertical="center" wrapText="1" indent="2"/>
    </xf>
    <xf numFmtId="184" fontId="59" fillId="8" borderId="0" xfId="27" applyFont="1" applyFill="1" applyAlignment="1">
      <alignment horizontal="right" vertical="center" wrapText="1" indent="2"/>
    </xf>
    <xf numFmtId="180" fontId="27" fillId="2" borderId="13" xfId="8" applyNumberFormat="1" applyFont="1" applyFill="1" applyBorder="1" applyAlignment="1"/>
    <xf numFmtId="180" fontId="27" fillId="0" borderId="0" xfId="8" applyNumberFormat="1" applyFont="1" applyFill="1" applyBorder="1" applyAlignment="1"/>
    <xf numFmtId="180" fontId="42" fillId="0" borderId="5" xfId="8" applyNumberFormat="1" applyFont="1" applyFill="1" applyBorder="1" applyAlignment="1"/>
    <xf numFmtId="9" fontId="42" fillId="0" borderId="5" xfId="9" applyFont="1" applyFill="1" applyBorder="1" applyAlignment="1"/>
    <xf numFmtId="178" fontId="42" fillId="0" borderId="5" xfId="8" applyNumberFormat="1" applyFont="1" applyFill="1" applyBorder="1" applyAlignment="1"/>
    <xf numFmtId="9" fontId="27" fillId="2" borderId="0" xfId="9" applyFont="1" applyFill="1" applyBorder="1" applyAlignment="1"/>
    <xf numFmtId="189" fontId="21" fillId="0" borderId="0" xfId="8" applyNumberFormat="1" applyFont="1" applyBorder="1" applyAlignment="1">
      <alignment vertical="center"/>
    </xf>
    <xf numFmtId="3" fontId="21" fillId="0" borderId="0" xfId="8" applyNumberFormat="1" applyFont="1" applyAlignment="1">
      <alignment vertical="center"/>
    </xf>
    <xf numFmtId="169" fontId="47" fillId="0" borderId="0" xfId="8" applyNumberFormat="1" applyFont="1" applyBorder="1"/>
    <xf numFmtId="169" fontId="0" fillId="0" borderId="0" xfId="8" applyNumberFormat="1" applyFont="1" applyAlignment="1">
      <alignment horizontal="left" vertical="center"/>
    </xf>
    <xf numFmtId="169" fontId="2" fillId="0" borderId="0" xfId="8" applyNumberFormat="1" applyFont="1" applyAlignment="1">
      <alignment horizontal="left" vertical="center"/>
    </xf>
    <xf numFmtId="3" fontId="0" fillId="0" borderId="14" xfId="0" applyBorder="1" applyAlignment="1">
      <alignment horizontal="left" vertical="center" indent="2"/>
    </xf>
    <xf numFmtId="169" fontId="0" fillId="0" borderId="14" xfId="8" applyNumberFormat="1" applyFont="1" applyBorder="1" applyAlignment="1">
      <alignment horizontal="left" vertical="center"/>
    </xf>
    <xf numFmtId="3" fontId="2" fillId="0" borderId="0" xfId="0" applyFont="1" applyAlignment="1">
      <alignment horizontal="left" vertical="center" indent="2"/>
    </xf>
    <xf numFmtId="187" fontId="2" fillId="0" borderId="0" xfId="8" applyNumberFormat="1" applyFont="1" applyBorder="1" applyAlignment="1">
      <alignment horizontal="left" vertical="center"/>
    </xf>
    <xf numFmtId="187" fontId="0" fillId="0" borderId="0" xfId="8" applyNumberFormat="1" applyFont="1" applyAlignment="1">
      <alignment horizontal="left" vertical="center"/>
    </xf>
    <xf numFmtId="187" fontId="0" fillId="0" borderId="0" xfId="8" applyNumberFormat="1" applyFont="1" applyAlignment="1">
      <alignment vertical="center"/>
    </xf>
    <xf numFmtId="169" fontId="0" fillId="0" borderId="0" xfId="8" applyNumberFormat="1" applyFont="1" applyAlignment="1">
      <alignment vertical="center"/>
    </xf>
    <xf numFmtId="3" fontId="0" fillId="0" borderId="0" xfId="8" applyNumberFormat="1" applyFont="1" applyAlignment="1">
      <alignment vertical="center"/>
    </xf>
    <xf numFmtId="188" fontId="0" fillId="0" borderId="0" xfId="11" applyNumberFormat="1" applyFont="1" applyAlignment="1">
      <alignment horizontal="right" vertical="center"/>
    </xf>
    <xf numFmtId="169" fontId="0" fillId="0" borderId="14" xfId="8" applyNumberFormat="1" applyFont="1" applyBorder="1" applyAlignment="1">
      <alignment vertical="center"/>
    </xf>
    <xf numFmtId="169" fontId="2" fillId="0" borderId="0" xfId="8" applyNumberFormat="1" applyFont="1" applyAlignment="1">
      <alignment horizontal="right" vertical="center"/>
    </xf>
    <xf numFmtId="186" fontId="0" fillId="0" borderId="0" xfId="0" applyNumberFormat="1">
      <alignment horizontal="left" vertical="center"/>
    </xf>
    <xf numFmtId="3" fontId="9" fillId="0" borderId="0" xfId="0" applyFont="1" applyAlignment="1">
      <alignment horizontal="left" vertical="center" wrapText="1"/>
    </xf>
    <xf numFmtId="3" fontId="43" fillId="2" borderId="0" xfId="4" applyFont="1" applyFill="1" applyAlignment="1">
      <alignment horizontal="center"/>
    </xf>
    <xf numFmtId="3" fontId="30" fillId="0" borderId="16" xfId="0" applyFont="1" applyBorder="1" applyAlignment="1">
      <alignment horizontal="center" vertical="center"/>
    </xf>
    <xf numFmtId="0" fontId="59" fillId="8" borderId="0" xfId="18" applyFont="1" applyFill="1" applyAlignment="1">
      <alignment horizontal="center" vertical="center"/>
    </xf>
    <xf numFmtId="0" fontId="59" fillId="8" borderId="0" xfId="18" applyFont="1" applyFill="1" applyAlignment="1">
      <alignment horizontal="left" vertical="center"/>
    </xf>
    <xf numFmtId="0" fontId="84" fillId="0" borderId="25" xfId="26" applyFont="1">
      <alignment vertical="center"/>
    </xf>
    <xf numFmtId="0" fontId="84" fillId="0" borderId="26" xfId="26" applyFont="1" applyBorder="1">
      <alignment vertical="center"/>
    </xf>
    <xf numFmtId="0" fontId="66" fillId="0" borderId="16" xfId="22" applyFont="1" applyBorder="1" applyAlignment="1">
      <alignment horizontal="center"/>
    </xf>
  </cellXfs>
  <cellStyles count="37">
    <cellStyle name="Amount" xfId="27" xr:uid="{849EB9F0-B6B8-477A-88CE-2EDA8B4D08ED}"/>
    <cellStyle name="Calculation" xfId="10" builtinId="22" customBuiltin="1"/>
    <cellStyle name="Comma" xfId="8" builtinId="3"/>
    <cellStyle name="Comma 2" xfId="17" xr:uid="{67C93E48-43FB-40D3-9E90-9FADCAD64D04}"/>
    <cellStyle name="Comma 2 10" xfId="19" xr:uid="{7B316EC2-884C-4CF3-9214-52B6EBEAB20A}"/>
    <cellStyle name="Currency" xfId="11" builtinId="4"/>
    <cellStyle name="Currency 2" xfId="14" xr:uid="{4DEBD09A-A0FE-4E9D-BB99-0BABFFAF2064}"/>
    <cellStyle name="Date" xfId="31" xr:uid="{B56956CC-5B14-47F7-8ACA-70DA252E199A}"/>
    <cellStyle name="Explanatory Text" xfId="5" builtinId="53" customBuiltin="1"/>
    <cellStyle name="Explanatory Text 2" xfId="26" xr:uid="{71276A87-0A14-45A3-806C-7DB04671A6C3}"/>
    <cellStyle name="Heading 1" xfId="1" builtinId="16"/>
    <cellStyle name="Heading 1 2" xfId="23" xr:uid="{1BC1E309-C715-48EA-AD74-D08A72DD9D7F}"/>
    <cellStyle name="Heading 2" xfId="2" builtinId="17" customBuiltin="1"/>
    <cellStyle name="Heading 2 2" xfId="25" xr:uid="{62B45DD8-F02F-47BE-B24D-4A9F5E692F3E}"/>
    <cellStyle name="Heading 3 2" xfId="32" xr:uid="{E199D9FE-1D59-41D3-9DAF-FAF697E28B61}"/>
    <cellStyle name="Heading 4 2" xfId="34" xr:uid="{7675F9A0-DAE9-47FC-B4FA-DEBE30454360}"/>
    <cellStyle name="Heading 4 Right aligned" xfId="35" xr:uid="{A371BC60-93D5-42B4-9084-9C310B5E977C}"/>
    <cellStyle name="Input" xfId="3" builtinId="20" customBuiltin="1"/>
    <cellStyle name="Input 2" xfId="33" xr:uid="{A6AE0C62-3E87-43A1-8DA5-ABA93361DD86}"/>
    <cellStyle name="Linked Cell" xfId="4" builtinId="24" customBuiltin="1"/>
    <cellStyle name="Loan Summary" xfId="28" xr:uid="{48DC7CE2-B5E9-4046-A5CC-603466695878}"/>
    <cellStyle name="Normal" xfId="0" builtinId="0" customBuiltin="1"/>
    <cellStyle name="Normal 2" xfId="12" xr:uid="{9548768B-0FD9-4D24-9A47-88AED8B34614}"/>
    <cellStyle name="Normal 2 3" xfId="22" xr:uid="{69AF086B-C9F3-4476-BE45-8D44FDA0EDAB}"/>
    <cellStyle name="Normal 3" xfId="24" xr:uid="{EB7ED52E-7793-4EC5-A02A-6FC66EBFDD0C}"/>
    <cellStyle name="Normal 4" xfId="13" xr:uid="{CCC101BF-7694-42B0-AEED-616DE651426B}"/>
    <cellStyle name="Normal 4 2" xfId="18" xr:uid="{27C56E09-75C9-4CB3-8866-179839B2FEDE}"/>
    <cellStyle name="Number" xfId="30" xr:uid="{DBE20082-376F-488F-AA57-652C5B044827}"/>
    <cellStyle name="Percent" xfId="9" builtinId="5"/>
    <cellStyle name="Percent 2" xfId="15" xr:uid="{70D46D2E-42F4-4AAE-B816-692573DAF90A}"/>
    <cellStyle name="Percent 3" xfId="29" xr:uid="{E783D4A6-D2D1-45FC-876F-27632F9F0093}"/>
    <cellStyle name="Percent 4" xfId="16" xr:uid="{863EC276-26B9-4670-BB61-6D12E573B5FB}"/>
    <cellStyle name="Percent 4 2" xfId="20" xr:uid="{68506124-315E-4E20-B317-47D6CB64A87D}"/>
    <cellStyle name="Percent 4 2 2" xfId="21" xr:uid="{8B4CC48B-4BFF-4892-8FA4-422CC8C1F49B}"/>
    <cellStyle name="Table Amount" xfId="36" xr:uid="{2939C221-F7F5-485B-828E-2FD2AF27B956}"/>
    <cellStyle name="Total" xfId="6" builtinId="25" customBuiltin="1"/>
    <cellStyle name="Total 3" xfId="7" xr:uid="{BDBC0418-0DF1-4076-BBC6-2FF685258962}"/>
  </cellStyles>
  <dxfs count="26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(Million)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'Financial Reports'!$J$5:$O$5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7-4FD0-8FF6-90D0F73713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333333333333348E-2"/>
                  <c:y val="-0.12361113230387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77-4FD0-8FF6-90D0F7371361}"/>
                </c:ext>
              </c:extLst>
            </c:dLbl>
            <c:dLbl>
              <c:idx val="1"/>
              <c:layout>
                <c:manualLayout>
                  <c:x val="-6.9999949137369788E-2"/>
                  <c:y val="-0.1222221586439345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77-4FD0-8FF6-90D0F7371361}"/>
                </c:ext>
              </c:extLst>
            </c:dLbl>
            <c:dLbl>
              <c:idx val="2"/>
              <c:layout>
                <c:manualLayout>
                  <c:x val="-7.0833333333333387E-2"/>
                  <c:y val="-0.113888846503363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77-4FD0-8FF6-90D0F7371361}"/>
                </c:ext>
              </c:extLst>
            </c:dLbl>
            <c:dLbl>
              <c:idx val="3"/>
              <c:layout>
                <c:manualLayout>
                  <c:x val="-9.1249974568684902E-2"/>
                  <c:y val="-0.102777798970540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77-4FD0-8FF6-90D0F7371361}"/>
                </c:ext>
              </c:extLst>
            </c:dLbl>
            <c:dLbl>
              <c:idx val="4"/>
              <c:layout>
                <c:manualLayout>
                  <c:x val="-0.12958335876464844"/>
                  <c:y val="-0.172916624281141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77-4FD0-8FF6-90D0F7371361}"/>
                </c:ext>
              </c:extLst>
            </c:dLbl>
            <c:dLbl>
              <c:idx val="5"/>
              <c:layout>
                <c:manualLayout>
                  <c:x val="-0.12049379701967593"/>
                  <c:y val="-2.978723404255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9C-4621-B1F2-5E4693280B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'Financial Reports'!$J$8:$O$8</c:f>
              <c:numCache>
                <c:formatCode>_(* #,##0_);_(* \(#,##0\);_(* "-"??_);_(@_)</c:formatCode>
                <c:ptCount val="6"/>
                <c:pt idx="0">
                  <c:v>4857.7022678647845</c:v>
                </c:pt>
                <c:pt idx="1">
                  <c:v>306641.78573585185</c:v>
                </c:pt>
                <c:pt idx="2">
                  <c:v>3217887.7744749393</c:v>
                </c:pt>
                <c:pt idx="3">
                  <c:v>14172623.714497223</c:v>
                </c:pt>
                <c:pt idx="4">
                  <c:v>48400461.401080437</c:v>
                </c:pt>
                <c:pt idx="5">
                  <c:v>136697374.54367048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77-4FD0-8FF6-90D0F7371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562696"/>
        <c:axId val="323245576"/>
      </c:lineChart>
      <c:catAx>
        <c:axId val="504562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45576"/>
        <c:crosses val="autoZero"/>
        <c:auto val="1"/>
        <c:lblAlgn val="ctr"/>
        <c:lblOffset val="100"/>
        <c:noMultiLvlLbl val="0"/>
      </c:catAx>
      <c:valAx>
        <c:axId val="323245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4562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 (Million)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'Financial Reports'!$J$5:$O$5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C-4663-92E3-01C17692E6D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8234695733762254E-3"/>
                  <c:y val="0.206780054151887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38-4BD4-8017-C4EC09D903EE}"/>
                </c:ext>
              </c:extLst>
            </c:dLbl>
            <c:dLbl>
              <c:idx val="1"/>
              <c:layout>
                <c:manualLayout>
                  <c:x val="-1.372543035768998E-2"/>
                  <c:y val="0.211017342287480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38-4BD4-8017-C4EC09D903EE}"/>
                </c:ext>
              </c:extLst>
            </c:dLbl>
            <c:dLbl>
              <c:idx val="2"/>
              <c:layout>
                <c:manualLayout>
                  <c:x val="-2.0588295132506186E-2"/>
                  <c:y val="0.3296614100840906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38-4BD4-8017-C4EC09D903EE}"/>
                </c:ext>
              </c:extLst>
            </c:dLbl>
            <c:dLbl>
              <c:idx val="3"/>
              <c:layout>
                <c:manualLayout>
                  <c:x val="-2.6960784313725492E-2"/>
                  <c:y val="0.217796899855012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F38-4BD4-8017-C4EC09D903EE}"/>
                </c:ext>
              </c:extLst>
            </c:dLbl>
            <c:dLbl>
              <c:idx val="4"/>
              <c:layout>
                <c:manualLayout>
                  <c:x val="-9.3135459750306373E-3"/>
                  <c:y val="-0.131355932203389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38-4BD4-8017-C4EC09D903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'Financial Reports'!$J$16:$O$16</c:f>
              <c:numCache>
                <c:formatCode>_(* #,##0_);_(* \(#,##0\);_(* "-"??_);_(@_)</c:formatCode>
                <c:ptCount val="6"/>
                <c:pt idx="0">
                  <c:v>-307038.85191356437</c:v>
                </c:pt>
                <c:pt idx="1">
                  <c:v>-1674669.858300487</c:v>
                </c:pt>
                <c:pt idx="2">
                  <c:v>-608943.65422899846</c:v>
                </c:pt>
                <c:pt idx="3">
                  <c:v>4715503.2099122452</c:v>
                </c:pt>
                <c:pt idx="4">
                  <c:v>9390388.109167628</c:v>
                </c:pt>
                <c:pt idx="5">
                  <c:v>31953924.338452309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C-4663-92E3-01C17692E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988872"/>
        <c:axId val="453990920"/>
      </c:barChart>
      <c:catAx>
        <c:axId val="453988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90920"/>
        <c:crosses val="autoZero"/>
        <c:auto val="1"/>
        <c:lblAlgn val="ctr"/>
        <c:lblOffset val="100"/>
        <c:noMultiLvlLbl val="0"/>
      </c:catAx>
      <c:valAx>
        <c:axId val="453990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398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switch" fmlaRange="ads_rate" noThreeD="1" sel="1" val="0"/>
</file>

<file path=xl/ctrlProps/ctrlProp2.xml><?xml version="1.0" encoding="utf-8"?>
<formControlPr xmlns="http://schemas.microsoft.com/office/spreadsheetml/2009/9/main" objectType="Drop" dropStyle="combo" dx="26" fmlaLink="switch" fmlaRange="ads_rate" noThreeD="1" sel="1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108856</xdr:colOff>
      <xdr:row>0</xdr:row>
      <xdr:rowOff>203199</xdr:rowOff>
    </xdr:from>
    <xdr:to>
      <xdr:col>5</xdr:col>
      <xdr:colOff>65314</xdr:colOff>
      <xdr:row>20</xdr:row>
      <xdr:rowOff>239486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3913" y="203199"/>
          <a:ext cx="5638801" cy="6099630"/>
        </a:xfrm>
        <a:prstGeom prst="roundRect">
          <a:avLst/>
        </a:prstGeom>
        <a:noFill/>
        <a:ln w="3175">
          <a:solidFill>
            <a:schemeClr val="accent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5</xdr:row>
      <xdr:rowOff>0</xdr:rowOff>
    </xdr:from>
    <xdr:to>
      <xdr:col>12</xdr:col>
      <xdr:colOff>1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3E660C-CF0C-4022-BABE-3A19325D5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</xdr:row>
      <xdr:rowOff>1905</xdr:rowOff>
    </xdr:from>
    <xdr:to>
      <xdr:col>16</xdr:col>
      <xdr:colOff>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3D8E17-1DB4-4F53-820E-2B2E6CA5CE72}"/>
            </a:ext>
            <a:ext uri="{147F2762-F138-4A5C-976F-8EAC2B608ADB}">
              <a16:predDERef xmlns:a16="http://schemas.microsoft.com/office/drawing/2014/main" pred="{ED3E660C-CF0C-4022-BABE-3A19325D5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1386840</xdr:colOff>
          <xdr:row>1</xdr:row>
          <xdr:rowOff>22860</xdr:rowOff>
        </xdr:from>
        <xdr:to>
          <xdr:col>4</xdr:col>
          <xdr:colOff>2712720</xdr:colOff>
          <xdr:row>2</xdr:row>
          <xdr:rowOff>121920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</xdr:row>
          <xdr:rowOff>7620</xdr:rowOff>
        </xdr:from>
        <xdr:to>
          <xdr:col>10</xdr:col>
          <xdr:colOff>525780</xdr:colOff>
          <xdr:row>2</xdr:row>
          <xdr:rowOff>53340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m Sunmonu" id="{7128BEDB-F8BF-4DDC-A960-48BAFC755B11}" userId="081e2c5ec15c967f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5C6E9-CC7A-4DCD-B33F-B2DE6EC7613B}" name="PaymentSchedule" displayName="PaymentSchedule" ref="B12:L84" totalsRowShown="0" headerRowDxfId="25" dataDxfId="24" headerRowCellStyle="Amount">
  <tableColumns count="11">
    <tableColumn id="1" xr3:uid="{4931A7F8-C52C-4D6E-9B38-10152AD2C03D}" name="PMT NO" dataDxfId="23" dataCellStyle="Number">
      <calculatedColumnFormula>IF(LoanIsGood,IF(ROW()-ROW(PaymentSchedule[[#Headers],[PMT NO]])&gt;ScheduledNumberOfPayments,"",ROW()-ROW(PaymentSchedule[[#Headers],[PMT NO]])),"")</calculatedColumnFormula>
    </tableColumn>
    <tableColumn id="2" xr3:uid="{A083DBAE-825D-46EF-8897-08FF5CF62D6E}" name="PAYMENT DATE" dataDxfId="22" dataCellStyle="Date">
      <calculatedColumnFormula>IF(PaymentSchedule[[#This Row],[PMT NO]]&lt;&gt;"",EOMONTH(LoanStartDate,ROW(PaymentSchedule[[#This Row],[PMT NO]])-ROW(PaymentSchedule[[#Headers],[PMT NO]])-2)+DAY(LoanStartDate),"")</calculatedColumnFormula>
    </tableColumn>
    <tableColumn id="3" xr3:uid="{82B0D237-8159-44ED-ADF7-F8A379B11BE3}" name="BEGINNING BALANCE" dataDxfId="21" dataCellStyle="Table Amount">
      <calculatedColumnFormula>IF(PaymentSchedule[[#This Row],[PMT NO]]&lt;&gt;"",IF(ROW()-ROW(PaymentSchedule[[#Headers],[BEGINNING BALANCE]])=1,LoanAmount,INDEX(PaymentSchedule[ENDING BALANCE],ROW()-ROW(PaymentSchedule[[#Headers],[BEGINNING BALANCE]])-1)),"")</calculatedColumnFormula>
    </tableColumn>
    <tableColumn id="4" xr3:uid="{6992E590-817A-464F-B2DC-B48E4B8BB6AB}" name="SCHEDULED PAYMENT" dataDxfId="20" dataCellStyle="Table Amount">
      <calculatedColumnFormula>IF(PaymentSchedule[[#This Row],[PMT NO]]&lt;&gt;"",ScheduledPayment,"")</calculatedColumnFormula>
    </tableColumn>
    <tableColumn id="5" xr3:uid="{CD0DBD01-145A-4135-BD6E-F3FB35F7FBF6}" name="EXTRA PAYMENT" dataDxfId="19" dataCellStyle="Table Amount">
      <calculatedColumnFormula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calculatedColumnFormula>
    </tableColumn>
    <tableColumn id="6" xr3:uid="{26FC2B9D-01FC-4956-BEB9-08524001D47D}" name="TOTAL PAYMENT" dataDxfId="18" dataCellStyle="Table Amount">
      <calculatedColumnFormula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calculatedColumnFormula>
    </tableColumn>
    <tableColumn id="7" xr3:uid="{4E544C7A-277F-4958-AE14-C5B529635C7B}" name="PRINCIPAL" dataDxfId="17" dataCellStyle="Table Amount">
      <calculatedColumnFormula>IF(PaymentSchedule[[#This Row],[PMT NO]]&lt;&gt;"",PaymentSchedule[[#This Row],[TOTAL PAYMENT]]-PaymentSchedule[[#This Row],[INTEREST]],"")</calculatedColumnFormula>
    </tableColumn>
    <tableColumn id="8" xr3:uid="{01B58828-0C5A-4510-82F9-46BB5B5FB1B5}" name="INTEREST" dataDxfId="16" dataCellStyle="Table Amount">
      <calculatedColumnFormula>IF(PaymentSchedule[[#This Row],[PMT NO]]&lt;&gt;"",PaymentSchedule[[#This Row],[BEGINNING BALANCE]]*(InterestRate/PaymentsPerYear),"")</calculatedColumnFormula>
    </tableColumn>
    <tableColumn id="9" xr3:uid="{0FEC09AC-B501-470F-9F3B-9CD10DB8959E}" name="ENDING BALANCE" dataDxfId="15" dataCellStyle="Table Amount">
      <calculatedColumnFormula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calculatedColumnFormula>
    </tableColumn>
    <tableColumn id="10" xr3:uid="{DA04BBF8-6872-4097-A80C-0ED60318AF63}" name="CUMULATIVE INTEREST" dataDxfId="14" dataCellStyle="Table Amount">
      <calculatedColumnFormula>IF(PaymentSchedule[[#This Row],[PMT NO]]&lt;&gt;"",SUM(INDEX(PaymentSchedule[INTEREST],1,1):PaymentSchedule[[#This Row],[INTEREST]]),"")</calculatedColumnFormula>
    </tableColumn>
    <tableColumn id="11" xr3:uid="{2F2ED55E-B450-4CB5-94F7-C450AD4988C0}" name="Year" dataDxfId="13" dataCellStyle="Table Amount">
      <calculatedColumnFormula>IFERROR(_xlfn.XLOOKUP(PaymentSchedule[[#This Row],[PAYMENT DATE]],Dates!$C$4:$C$75,Dates!$D$4:$D$75),"Out of Scope")</calculatedColumnFormula>
    </tableColumn>
  </tableColumns>
  <tableStyleInfo name="TableStyleMedium23" showFirstColumn="0" showLastColumn="0" showRowStripes="1" showColumnStripes="0"/>
  <extLst>
    <ext xmlns:x14="http://schemas.microsoft.com/office/spreadsheetml/2009/9/main" uri="{504A1905-F514-4f6f-8877-14C23A59335A}">
      <x14:table altTextSummary="Track payment number, payment date, beginning balance, ending balance, scheduled payment, extra payment, principal amount, interest and cumulative interest amount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3" dT="2025-06-27T19:14:16.32" personId="{7128BEDB-F8BF-4DDC-A960-48BAFC755B11}" id="{351852B9-2731-4F08-A139-537FE6465E71}">
    <text>This could potentially be CPM vs. CPC.</text>
  </threadedComment>
  <threadedComment ref="D40" dT="2025-06-27T19:46:25.86" personId="{7128BEDB-F8BF-4DDC-A960-48BAFC755B11}" id="{A26454A8-9C79-49CF-8143-5DC9C9BE0172}" done="1">
    <text>Move this to the Revenue Assumptions tab</text>
  </threadedComment>
  <threadedComment ref="E81" dT="2025-06-27T19:21:26.08" personId="{7128BEDB-F8BF-4DDC-A960-48BAFC755B11}" id="{FA862FB8-8A87-4C4D-94E3-4ED446572A90}" done="1">
    <text>Do monthly and annual subscriptions, add a mix</text>
  </threadedComment>
  <threadedComment ref="E98" dT="2025-06-27T19:53:39.74" personId="{7128BEDB-F8BF-4DDC-A960-48BAFC755B11}" id="{319C3BE9-BA23-4CAE-88A7-CBBE2D120F01}" done="1">
    <text>We’ll put in a placeholder for the average shipping cost and then the average shipping/delivery revenue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hyperlink" Target="https://froggyads.com/blog/average-cpm-rates-by-industry/" TargetMode="External"/><Relationship Id="rId1" Type="http://schemas.openxmlformats.org/officeDocument/2006/relationships/hyperlink" Target="https://www.businessofapps.com/ads/cpc/research/cpc-rates/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675E-E8C9-4F57-8740-50F442700B82}">
  <dimension ref="B2:B13"/>
  <sheetViews>
    <sheetView workbookViewId="0">
      <selection activeCell="E13" sqref="E13"/>
    </sheetView>
  </sheetViews>
  <sheetFormatPr defaultRowHeight="14.4"/>
  <sheetData>
    <row r="2" spans="2:2">
      <c r="B2" s="294" t="s">
        <v>349</v>
      </c>
    </row>
    <row r="3" spans="2:2">
      <c r="B3" s="294" t="s">
        <v>350</v>
      </c>
    </row>
    <row r="4" spans="2:2">
      <c r="B4" t="s">
        <v>351</v>
      </c>
    </row>
    <row r="5" spans="2:2">
      <c r="B5" s="294" t="s">
        <v>352</v>
      </c>
    </row>
    <row r="6" spans="2:2">
      <c r="B6" s="294" t="s">
        <v>353</v>
      </c>
    </row>
    <row r="7" spans="2:2">
      <c r="B7" s="294" t="s">
        <v>354</v>
      </c>
    </row>
    <row r="8" spans="2:2">
      <c r="B8" s="294" t="s">
        <v>355</v>
      </c>
    </row>
    <row r="9" spans="2:2">
      <c r="B9" t="s">
        <v>356</v>
      </c>
    </row>
    <row r="11" spans="2:2">
      <c r="B11" s="294" t="s">
        <v>188</v>
      </c>
    </row>
    <row r="12" spans="2:2">
      <c r="B12" s="390"/>
    </row>
    <row r="13" spans="2:2">
      <c r="B13" s="3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BD7-7931-4EB7-8ABD-C41A2D0E15E5}">
  <sheetPr>
    <tabColor theme="1"/>
  </sheetPr>
  <dimension ref="A1:I70"/>
  <sheetViews>
    <sheetView showGridLines="0" zoomScale="70" zoomScaleNormal="70" workbookViewId="0">
      <selection activeCell="D70" sqref="D70"/>
    </sheetView>
  </sheetViews>
  <sheetFormatPr defaultColWidth="0" defaultRowHeight="20.399999999999999" zeroHeight="1"/>
  <cols>
    <col min="1" max="1" width="2.6640625" style="1" customWidth="1"/>
    <col min="2" max="2" width="3.33203125" style="1" customWidth="1"/>
    <col min="3" max="3" width="2.6640625" style="1" customWidth="1"/>
    <col min="4" max="4" width="57.44140625" style="1" customWidth="1"/>
    <col min="5" max="5" width="19.33203125" style="1" bestFit="1" customWidth="1"/>
    <col min="6" max="6" width="34.109375" style="1" bestFit="1" customWidth="1"/>
    <col min="7" max="7" width="19.6640625" style="1" bestFit="1" customWidth="1"/>
    <col min="8" max="9" width="9.33203125" style="1" customWidth="1"/>
    <col min="10" max="11" width="9.33203125" style="1" hidden="1" customWidth="1"/>
    <col min="12" max="16384" width="9.33203125" style="1" hidden="1"/>
  </cols>
  <sheetData>
    <row r="1" spans="4:5"/>
    <row r="2" spans="4:5"/>
    <row r="3" spans="4:5" ht="31.2">
      <c r="D3" s="2" t="str">
        <f>Cover!F35</f>
        <v>Canoja Technologies</v>
      </c>
    </row>
    <row r="4" spans="4:5">
      <c r="D4" s="105" t="str">
        <f>Cover!F36</f>
        <v xml:space="preserve"> Cannabis Technology (Cannatech)</v>
      </c>
    </row>
    <row r="5" spans="4:5"/>
    <row r="6" spans="4:5" ht="71.400000000000006" customHeight="1">
      <c r="D6" s="470" t="s">
        <v>0</v>
      </c>
      <c r="E6" s="470"/>
    </row>
    <row r="7" spans="4:5" ht="25.8">
      <c r="D7" s="3" t="s">
        <v>1</v>
      </c>
    </row>
    <row r="8" spans="4:5">
      <c r="D8" s="4" t="s">
        <v>2</v>
      </c>
    </row>
    <row r="9" spans="4:5">
      <c r="D9" s="1" t="s">
        <v>3</v>
      </c>
    </row>
    <row r="10" spans="4:5"/>
    <row r="11" spans="4:5">
      <c r="D11" s="4" t="s">
        <v>4</v>
      </c>
    </row>
    <row r="12" spans="4:5">
      <c r="D12" s="1" t="s">
        <v>5</v>
      </c>
    </row>
    <row r="13" spans="4:5">
      <c r="D13" s="1" t="s">
        <v>6</v>
      </c>
    </row>
    <row r="14" spans="4:5">
      <c r="D14" s="1" t="s">
        <v>7</v>
      </c>
    </row>
    <row r="15" spans="4:5"/>
    <row r="16" spans="4:5">
      <c r="D16" s="4" t="s">
        <v>8</v>
      </c>
    </row>
    <row r="17" spans="3:7">
      <c r="D17" s="1" t="s">
        <v>9</v>
      </c>
      <c r="G17" s="17" t="s">
        <v>10</v>
      </c>
    </row>
    <row r="18" spans="3:7">
      <c r="D18" s="1" t="s">
        <v>457</v>
      </c>
    </row>
    <row r="19" spans="3:7">
      <c r="D19" s="1" t="s">
        <v>328</v>
      </c>
      <c r="G19" s="18"/>
    </row>
    <row r="20" spans="3:7">
      <c r="D20" s="1" t="s">
        <v>449</v>
      </c>
    </row>
    <row r="21" spans="3:7">
      <c r="E21" s="4"/>
    </row>
    <row r="22" spans="3:7"/>
    <row r="23" spans="3:7" ht="28.8" thickBot="1">
      <c r="C23" s="5" t="s">
        <v>11</v>
      </c>
      <c r="D23" s="5"/>
      <c r="E23" s="5"/>
      <c r="F23" s="5"/>
    </row>
    <row r="24" spans="3:7" ht="21" thickTop="1">
      <c r="D24" s="6" t="s">
        <v>12</v>
      </c>
    </row>
    <row r="25" spans="3:7">
      <c r="D25" s="1" t="s">
        <v>13</v>
      </c>
      <c r="F25" s="7">
        <v>12345</v>
      </c>
    </row>
    <row r="26" spans="3:7">
      <c r="D26" s="1" t="s">
        <v>14</v>
      </c>
      <c r="F26" s="8">
        <v>12345</v>
      </c>
    </row>
    <row r="27" spans="3:7">
      <c r="D27" s="1" t="s">
        <v>15</v>
      </c>
      <c r="F27" s="159">
        <v>12345</v>
      </c>
    </row>
    <row r="28" spans="3:7">
      <c r="D28" s="1" t="s">
        <v>16</v>
      </c>
      <c r="F28" s="9">
        <v>12345</v>
      </c>
    </row>
    <row r="29" spans="3:7" ht="21" thickBot="1">
      <c r="D29" s="1" t="s">
        <v>17</v>
      </c>
      <c r="F29" s="10">
        <v>12345</v>
      </c>
    </row>
    <row r="30" spans="3:7" ht="29.4" thickTop="1" thickBot="1">
      <c r="D30" s="1" t="s">
        <v>18</v>
      </c>
      <c r="F30" s="11" t="s">
        <v>19</v>
      </c>
    </row>
    <row r="31" spans="3:7" ht="25.2" thickTop="1">
      <c r="D31" s="1" t="s">
        <v>20</v>
      </c>
      <c r="F31" s="12" t="s">
        <v>19</v>
      </c>
    </row>
    <row r="32" spans="3:7"/>
    <row r="33" spans="3:8" ht="28.8" thickBot="1">
      <c r="C33" s="5" t="s">
        <v>11</v>
      </c>
      <c r="D33" s="5"/>
      <c r="E33" s="5"/>
      <c r="F33" s="5"/>
    </row>
    <row r="34" spans="3:8" ht="21" thickTop="1">
      <c r="D34" s="6" t="s">
        <v>21</v>
      </c>
    </row>
    <row r="35" spans="3:8">
      <c r="C35" s="1" t="s">
        <v>22</v>
      </c>
      <c r="F35" s="7" t="s">
        <v>23</v>
      </c>
      <c r="H35" s="16"/>
    </row>
    <row r="36" spans="3:8">
      <c r="C36" s="1" t="s">
        <v>24</v>
      </c>
      <c r="F36" s="7" t="s">
        <v>25</v>
      </c>
    </row>
    <row r="37" spans="3:8">
      <c r="C37" s="1" t="s">
        <v>26</v>
      </c>
      <c r="F37" s="7" t="s">
        <v>27</v>
      </c>
    </row>
    <row r="38" spans="3:8">
      <c r="C38" s="1" t="s">
        <v>28</v>
      </c>
      <c r="F38" s="7" t="s">
        <v>29</v>
      </c>
    </row>
    <row r="39" spans="3:8">
      <c r="C39" s="1" t="s">
        <v>30</v>
      </c>
      <c r="F39" s="13">
        <f>Assumptions!G12</f>
        <v>45658</v>
      </c>
    </row>
    <row r="40" spans="3:8">
      <c r="C40" s="1" t="s">
        <v>31</v>
      </c>
      <c r="F40" s="13">
        <f>DATE(YEAR(F39)+F41,MONTH(F39),DAY(F39)-1)</f>
        <v>47848</v>
      </c>
    </row>
    <row r="41" spans="3:8">
      <c r="C41" s="1" t="s">
        <v>32</v>
      </c>
      <c r="F41" s="14">
        <v>6</v>
      </c>
    </row>
    <row r="42" spans="3:8">
      <c r="C42" s="1" t="s">
        <v>33</v>
      </c>
      <c r="F42" s="15">
        <f>Assumptions!G14</f>
        <v>47848</v>
      </c>
    </row>
    <row r="43" spans="3:8">
      <c r="C43" s="1" t="s">
        <v>34</v>
      </c>
      <c r="F43" s="7" t="s">
        <v>35</v>
      </c>
    </row>
    <row r="44" spans="3:8"/>
    <row r="45" spans="3:8" ht="28.8" thickBot="1">
      <c r="C45" s="5" t="s">
        <v>36</v>
      </c>
      <c r="D45" s="5"/>
      <c r="E45" s="5"/>
      <c r="F45" s="5"/>
    </row>
    <row r="46" spans="3:8" ht="21" thickTop="1">
      <c r="D46" s="6" t="s">
        <v>37</v>
      </c>
    </row>
    <row r="47" spans="3:8"/>
    <row r="48" spans="3:8">
      <c r="D48" s="1" t="s">
        <v>38</v>
      </c>
      <c r="F48" s="1" t="s">
        <v>39</v>
      </c>
    </row>
    <row r="49" spans="4:6">
      <c r="D49" s="1" t="s">
        <v>40</v>
      </c>
      <c r="F49" s="1" t="s">
        <v>41</v>
      </c>
    </row>
    <row r="50" spans="4:6" hidden="1">
      <c r="D50" s="1" t="s">
        <v>42</v>
      </c>
      <c r="F50" s="1" t="s">
        <v>43</v>
      </c>
    </row>
    <row r="51" spans="4:6" hidden="1">
      <c r="D51" s="1" t="s">
        <v>44</v>
      </c>
      <c r="F51" s="1" t="s">
        <v>45</v>
      </c>
    </row>
    <row r="52" spans="4:6">
      <c r="D52" s="1" t="s">
        <v>46</v>
      </c>
      <c r="F52" s="1" t="s">
        <v>47</v>
      </c>
    </row>
    <row r="53" spans="4:6">
      <c r="D53" s="1" t="s">
        <v>48</v>
      </c>
      <c r="F53" s="1" t="s">
        <v>49</v>
      </c>
    </row>
    <row r="54" spans="4:6">
      <c r="D54" s="1" t="s">
        <v>50</v>
      </c>
      <c r="F54" s="1" t="s">
        <v>51</v>
      </c>
    </row>
    <row r="55" spans="4:6">
      <c r="D55" s="1" t="s">
        <v>52</v>
      </c>
      <c r="F55" s="1" t="s">
        <v>53</v>
      </c>
    </row>
    <row r="56" spans="4:6"/>
    <row r="57" spans="4:6"/>
    <row r="58" spans="4:6"/>
    <row r="59" spans="4:6"/>
    <row r="60" spans="4:6"/>
    <row r="61" spans="4:6"/>
    <row r="62" spans="4:6"/>
    <row r="63" spans="4:6"/>
    <row r="64" spans="4:6"/>
    <row r="65"/>
    <row r="66"/>
    <row r="67"/>
    <row r="68"/>
    <row r="69"/>
    <row r="70"/>
  </sheetData>
  <mergeCells count="1">
    <mergeCell ref="D6:E6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1C1B-EA11-45B9-A289-57CB93E62BBF}">
  <sheetPr>
    <tabColor theme="4" tint="0.39997558519241921"/>
  </sheetPr>
  <dimension ref="A1:T49"/>
  <sheetViews>
    <sheetView showGridLines="0" workbookViewId="0">
      <selection activeCell="A2" sqref="A2"/>
    </sheetView>
  </sheetViews>
  <sheetFormatPr defaultColWidth="0" defaultRowHeight="14.4"/>
  <cols>
    <col min="1" max="1" width="27" bestFit="1" customWidth="1"/>
    <col min="2" max="6" width="14.5546875" bestFit="1" customWidth="1"/>
    <col min="7" max="7" width="15.109375" bestFit="1" customWidth="1"/>
    <col min="8" max="8" width="6.88671875" customWidth="1"/>
    <col min="9" max="16" width="15.44140625" customWidth="1"/>
    <col min="17" max="17" width="18.109375" bestFit="1" customWidth="1"/>
    <col min="18" max="18" width="8.88671875" customWidth="1"/>
    <col min="19" max="20" width="0" hidden="1" customWidth="1"/>
    <col min="21" max="16384" width="8.88671875" hidden="1"/>
  </cols>
  <sheetData>
    <row r="1" spans="1:16" ht="14.4" customHeight="1"/>
    <row r="2" spans="1:16" ht="15.6">
      <c r="A2" s="20" t="s">
        <v>3</v>
      </c>
    </row>
    <row r="3" spans="1:16" ht="14.4" customHeight="1"/>
    <row r="4" spans="1:16" ht="15.6">
      <c r="A4" s="471" t="s">
        <v>57</v>
      </c>
      <c r="B4" s="471"/>
      <c r="C4" s="471"/>
      <c r="D4" s="471"/>
      <c r="E4" s="471"/>
      <c r="F4" s="471"/>
      <c r="G4" s="471"/>
      <c r="I4" s="471" t="s">
        <v>501</v>
      </c>
      <c r="J4" s="471"/>
      <c r="K4" s="471"/>
      <c r="L4" s="471"/>
      <c r="M4" s="471"/>
      <c r="N4" s="471"/>
      <c r="O4" s="471"/>
      <c r="P4" s="471"/>
    </row>
    <row r="6" spans="1:16">
      <c r="A6" s="134" t="s">
        <v>57</v>
      </c>
      <c r="B6" s="135">
        <v>2025</v>
      </c>
      <c r="C6" s="135">
        <f>B6+1</f>
        <v>2026</v>
      </c>
      <c r="D6" s="135">
        <f t="shared" ref="D6:G6" si="0">C6+1</f>
        <v>2027</v>
      </c>
      <c r="E6" s="135">
        <f t="shared" si="0"/>
        <v>2028</v>
      </c>
      <c r="F6" s="135">
        <f t="shared" si="0"/>
        <v>2029</v>
      </c>
      <c r="G6" s="135">
        <f t="shared" si="0"/>
        <v>2030</v>
      </c>
    </row>
    <row r="7" spans="1:16">
      <c r="A7" t="s">
        <v>475</v>
      </c>
      <c r="B7" s="175"/>
      <c r="C7" s="175"/>
      <c r="D7" s="175"/>
      <c r="E7" s="175"/>
      <c r="F7" s="175"/>
      <c r="G7" s="175"/>
    </row>
    <row r="8" spans="1:16">
      <c r="A8" s="390" t="s">
        <v>476</v>
      </c>
      <c r="B8" s="462">
        <f>'Monthly Financials'!D96</f>
        <v>0</v>
      </c>
      <c r="C8" s="462">
        <f>B25</f>
        <v>241946.00610668748</v>
      </c>
      <c r="D8" s="462">
        <f t="shared" ref="D8:G8" si="1">C25</f>
        <v>2047702.628780578</v>
      </c>
      <c r="E8" s="462">
        <f t="shared" si="1"/>
        <v>11371983.210684959</v>
      </c>
      <c r="F8" s="462">
        <f t="shared" si="1"/>
        <v>41000784.868599281</v>
      </c>
      <c r="G8" s="462">
        <f t="shared" si="1"/>
        <v>50262551.969683647</v>
      </c>
    </row>
    <row r="9" spans="1:16">
      <c r="A9" s="390" t="s">
        <v>477</v>
      </c>
      <c r="B9" s="456">
        <f>SUM('Financial Reports'!J38:J41)</f>
        <v>549000</v>
      </c>
      <c r="C9" s="456">
        <f>SUM('Financial Reports'!K38:K41)</f>
        <v>3000000</v>
      </c>
      <c r="D9" s="456">
        <f>SUM('Financial Reports'!L38:L41)</f>
        <v>10000000</v>
      </c>
      <c r="E9" s="456">
        <f>SUM('Financial Reports'!M38:M41)</f>
        <v>25000000</v>
      </c>
      <c r="F9" s="456">
        <f>SUM('Financial Reports'!N38:N41)</f>
        <v>0</v>
      </c>
      <c r="G9" s="456">
        <f>SUM('Financial Reports'!O38:O41)</f>
        <v>0</v>
      </c>
    </row>
    <row r="10" spans="1:16">
      <c r="A10" s="458" t="s">
        <v>478</v>
      </c>
      <c r="B10" s="459">
        <f>'Financial Reports'!J42</f>
        <v>0</v>
      </c>
      <c r="C10" s="459">
        <f>'Financial Reports'!K42</f>
        <v>480915.35338016186</v>
      </c>
      <c r="D10" s="459">
        <f>'Financial Reports'!L42</f>
        <v>-62238.352252851066</v>
      </c>
      <c r="E10" s="459">
        <f>'Financial Reports'!M42</f>
        <v>-70479.708793574944</v>
      </c>
      <c r="F10" s="459">
        <f>'Financial Reports'!N42</f>
        <v>-79812.353184520034</v>
      </c>
      <c r="G10" s="459">
        <f>'Financial Reports'!O42</f>
        <v>-90380.789448313764</v>
      </c>
      <c r="H10" s="136"/>
    </row>
    <row r="11" spans="1:16">
      <c r="A11" s="460" t="s">
        <v>482</v>
      </c>
      <c r="B11" s="457">
        <f>SUM(B8:B10)</f>
        <v>549000</v>
      </c>
      <c r="C11" s="457">
        <f t="shared" ref="C11:G11" si="2">SUM(C8:C10)</f>
        <v>3722861.3594868495</v>
      </c>
      <c r="D11" s="457">
        <f t="shared" si="2"/>
        <v>11985464.276527727</v>
      </c>
      <c r="E11" s="457">
        <f t="shared" si="2"/>
        <v>36301503.501891382</v>
      </c>
      <c r="F11" s="457">
        <f t="shared" si="2"/>
        <v>40920972.51541476</v>
      </c>
      <c r="G11" s="457">
        <f t="shared" si="2"/>
        <v>50172171.180235334</v>
      </c>
      <c r="H11" s="136"/>
    </row>
    <row r="12" spans="1:16">
      <c r="B12" s="175"/>
      <c r="C12" s="175"/>
      <c r="D12" s="175"/>
      <c r="E12" s="175"/>
      <c r="F12" s="175"/>
      <c r="G12" s="175"/>
    </row>
    <row r="13" spans="1:16">
      <c r="A13" t="s">
        <v>284</v>
      </c>
      <c r="B13" s="175"/>
      <c r="C13" s="175"/>
      <c r="D13" s="175"/>
      <c r="E13" s="175"/>
      <c r="F13" s="175"/>
      <c r="G13" s="175"/>
    </row>
    <row r="14" spans="1:16">
      <c r="A14" s="390" t="s">
        <v>179</v>
      </c>
      <c r="B14" s="456">
        <f>'Financial Reports'!J8</f>
        <v>4857.7022678647845</v>
      </c>
      <c r="C14" s="456">
        <f>'Financial Reports'!K8</f>
        <v>306641.78573585185</v>
      </c>
      <c r="D14" s="456">
        <f>'Financial Reports'!L8</f>
        <v>3217887.7744749393</v>
      </c>
      <c r="E14" s="456">
        <f>'Financial Reports'!M8</f>
        <v>14172623.714497223</v>
      </c>
      <c r="F14" s="456">
        <f>'Financial Reports'!N8</f>
        <v>48400461.401080437</v>
      </c>
      <c r="G14" s="456">
        <f>'Financial Reports'!O8</f>
        <v>136697374.54367048</v>
      </c>
    </row>
    <row r="15" spans="1:16">
      <c r="A15" s="390" t="s">
        <v>266</v>
      </c>
      <c r="B15" s="456">
        <f>-'Financial Reports'!J9</f>
        <v>-396.55418142918273</v>
      </c>
      <c r="C15" s="456">
        <f>-'Financial Reports'!K9</f>
        <v>-35679.471822868145</v>
      </c>
      <c r="D15" s="456">
        <f>-'Financial Reports'!L9</f>
        <v>-313355.51186599518</v>
      </c>
      <c r="E15" s="456">
        <f>-'Financial Reports'!M9</f>
        <v>-1294103.7678851779</v>
      </c>
      <c r="F15" s="456">
        <f>-'Financial Reports'!N9</f>
        <v>-4268294.876118334</v>
      </c>
      <c r="G15" s="456">
        <f>-'Financial Reports'!O9</f>
        <v>-11842861.729758505</v>
      </c>
    </row>
    <row r="16" spans="1:16">
      <c r="A16" s="458" t="s">
        <v>479</v>
      </c>
      <c r="B16" s="459">
        <f>'Financial Reports'!J31</f>
        <v>-15.141979748067129</v>
      </c>
      <c r="C16" s="459">
        <f>'Financial Reports'!K31</f>
        <v>-488.87240578434057</v>
      </c>
      <c r="D16" s="459">
        <f>'Financial Reports'!L31</f>
        <v>-4537.4116137713754</v>
      </c>
      <c r="E16" s="459">
        <f>'Financial Reports'!M31</f>
        <v>-16221.84320434795</v>
      </c>
      <c r="F16" s="459">
        <f>'Financial Reports'!N31</f>
        <v>-48808.654898744011</v>
      </c>
      <c r="G16" s="459">
        <f>'Financial Reports'!O31</f>
        <v>-120869.42529715164</v>
      </c>
    </row>
    <row r="17" spans="1:7">
      <c r="A17" s="460" t="s">
        <v>483</v>
      </c>
      <c r="B17" s="457">
        <f>SUM(B14:B16)</f>
        <v>4446.0061066875342</v>
      </c>
      <c r="C17" s="457">
        <f t="shared" ref="C17" si="3">SUM(C14:C16)</f>
        <v>270473.44150719937</v>
      </c>
      <c r="D17" s="457">
        <f t="shared" ref="D17" si="4">SUM(D14:D16)</f>
        <v>2899994.8509951727</v>
      </c>
      <c r="E17" s="457">
        <f t="shared" ref="E17" si="5">SUM(E14:E16)</f>
        <v>12862298.103407698</v>
      </c>
      <c r="F17" s="457">
        <f t="shared" ref="F17" si="6">SUM(F14:F16)</f>
        <v>44083357.870063365</v>
      </c>
      <c r="G17" s="457">
        <f t="shared" ref="G17" si="7">SUM(G14:G16)</f>
        <v>124733643.38861482</v>
      </c>
    </row>
    <row r="18" spans="1:7">
      <c r="B18" s="456"/>
      <c r="C18" s="456"/>
      <c r="D18" s="456"/>
      <c r="E18" s="456"/>
      <c r="F18" s="456"/>
      <c r="G18" s="456"/>
    </row>
    <row r="19" spans="1:7">
      <c r="A19" t="s">
        <v>480</v>
      </c>
      <c r="B19" s="456"/>
      <c r="C19" s="456"/>
      <c r="D19" s="456"/>
      <c r="E19" s="456"/>
      <c r="F19" s="456"/>
      <c r="G19" s="456"/>
    </row>
    <row r="20" spans="1:7">
      <c r="A20" s="390" t="s">
        <v>452</v>
      </c>
      <c r="B20" s="456">
        <f>'Financial Reports'!J14</f>
        <v>0</v>
      </c>
      <c r="C20" s="456">
        <f>'Financial Reports'!K14</f>
        <v>-20537.710783431965</v>
      </c>
      <c r="D20" s="456">
        <f>'Financial Reports'!L14</f>
        <v>-56628.719956959292</v>
      </c>
      <c r="E20" s="456">
        <f>'Financial Reports'!M14</f>
        <v>-48387.363416235487</v>
      </c>
      <c r="F20" s="456">
        <f>'Financial Reports'!N14</f>
        <v>-39054.719025290382</v>
      </c>
      <c r="G20" s="456">
        <f>'Financial Reports'!O14</f>
        <v>-28486.282761496615</v>
      </c>
    </row>
    <row r="21" spans="1:7">
      <c r="A21" s="390" t="s">
        <v>270</v>
      </c>
      <c r="B21" s="456">
        <f>'Financial Reports'!J15</f>
        <v>0</v>
      </c>
      <c r="C21" s="456">
        <f>'Financial Reports'!K15</f>
        <v>0</v>
      </c>
      <c r="D21" s="456">
        <f>'Financial Reports'!L15</f>
        <v>0</v>
      </c>
      <c r="E21" s="456">
        <f>'Financial Reports'!M15</f>
        <v>-545044.27129294048</v>
      </c>
      <c r="F21" s="456">
        <f>'Financial Reports'!N15</f>
        <v>-2506560.7517981175</v>
      </c>
      <c r="G21" s="456">
        <f>'Financial Reports'!O15</f>
        <v>-8501653.4562720209</v>
      </c>
    </row>
    <row r="22" spans="1:7">
      <c r="A22" s="458" t="s">
        <v>268</v>
      </c>
      <c r="B22" s="459">
        <f>'Financial Reports'!J12</f>
        <v>-311500</v>
      </c>
      <c r="C22" s="459">
        <f>'Financial Reports'!K12</f>
        <v>-1925094.4614300388</v>
      </c>
      <c r="D22" s="459">
        <f>'Financial Reports'!L12</f>
        <v>-3456847.1968809832</v>
      </c>
      <c r="E22" s="459">
        <f>'Financial Reports'!M12</f>
        <v>-7569585.1019906234</v>
      </c>
      <c r="F22" s="459">
        <f>'Financial Reports'!N12</f>
        <v>-32196162.94497107</v>
      </c>
      <c r="G22" s="459">
        <f>'Financial Reports'!O12</f>
        <v>-84370448.736426145</v>
      </c>
    </row>
    <row r="23" spans="1:7">
      <c r="A23" s="460" t="s">
        <v>484</v>
      </c>
      <c r="B23" s="457">
        <f>SUM(B20:B22)</f>
        <v>-311500</v>
      </c>
      <c r="C23" s="457">
        <f t="shared" ref="C23" si="8">SUM(C20:C22)</f>
        <v>-1945632.1722134708</v>
      </c>
      <c r="D23" s="457">
        <f t="shared" ref="D23" si="9">SUM(D20:D22)</f>
        <v>-3513475.9168379423</v>
      </c>
      <c r="E23" s="457">
        <f t="shared" ref="E23" si="10">SUM(E20:E22)</f>
        <v>-8163016.7366997991</v>
      </c>
      <c r="F23" s="457">
        <f t="shared" ref="F23" si="11">SUM(F20:F22)</f>
        <v>-34741778.415794477</v>
      </c>
      <c r="G23" s="457">
        <f t="shared" ref="G23" si="12">SUM(G20:G22)</f>
        <v>-92900588.475459665</v>
      </c>
    </row>
    <row r="24" spans="1:7">
      <c r="B24" s="175"/>
      <c r="C24" s="175"/>
      <c r="D24" s="175"/>
      <c r="E24" s="175"/>
      <c r="F24" s="175"/>
      <c r="G24" s="175"/>
    </row>
    <row r="25" spans="1:7">
      <c r="A25" s="137" t="s">
        <v>481</v>
      </c>
      <c r="B25" s="461">
        <f t="shared" ref="B25:G25" si="13">B11+B17+B23</f>
        <v>241946.00610668748</v>
      </c>
      <c r="C25" s="461">
        <f t="shared" si="13"/>
        <v>2047702.628780578</v>
      </c>
      <c r="D25" s="461">
        <f t="shared" si="13"/>
        <v>11371983.210684959</v>
      </c>
      <c r="E25" s="461">
        <f t="shared" si="13"/>
        <v>41000784.868599281</v>
      </c>
      <c r="F25" s="461">
        <f t="shared" si="13"/>
        <v>50262551.969683647</v>
      </c>
      <c r="G25" s="461">
        <f t="shared" si="13"/>
        <v>82005226.093390495</v>
      </c>
    </row>
    <row r="26" spans="1:7">
      <c r="A26" s="137"/>
      <c r="B26" s="176"/>
      <c r="C26" s="176"/>
      <c r="D26" s="176"/>
      <c r="E26" s="176"/>
      <c r="F26" s="176"/>
      <c r="G26" s="176"/>
    </row>
    <row r="27" spans="1:7" ht="15.6">
      <c r="A27" s="471" t="s">
        <v>488</v>
      </c>
      <c r="B27" s="471"/>
      <c r="C27" s="471"/>
      <c r="D27" s="471"/>
      <c r="E27" s="471"/>
      <c r="F27" s="471"/>
      <c r="G27" s="471"/>
    </row>
    <row r="29" spans="1:7">
      <c r="A29" s="138"/>
      <c r="B29" s="135">
        <v>2025</v>
      </c>
      <c r="C29" s="135">
        <f>B29+1</f>
        <v>2026</v>
      </c>
      <c r="D29" s="135">
        <f t="shared" ref="D29:G29" si="14">C29+1</f>
        <v>2027</v>
      </c>
      <c r="E29" s="135">
        <f t="shared" si="14"/>
        <v>2028</v>
      </c>
      <c r="F29" s="135">
        <f t="shared" si="14"/>
        <v>2029</v>
      </c>
      <c r="G29" s="135">
        <f t="shared" si="14"/>
        <v>2030</v>
      </c>
    </row>
    <row r="30" spans="1:7">
      <c r="A30" t="s">
        <v>485</v>
      </c>
      <c r="B30" s="463">
        <f>SUMIFS('Revenue Assumptions'!$N23:$CG23,'Revenue Assumptions'!$N$12:$CG$12,B$29)</f>
        <v>42000</v>
      </c>
      <c r="C30" s="463">
        <f>SUMIFS('Revenue Assumptions'!$N23:$CG23,'Revenue Assumptions'!$N$12:$CG$12,C$29)</f>
        <v>144000</v>
      </c>
      <c r="D30" s="463">
        <f>SUMIFS('Revenue Assumptions'!$N23:$CG23,'Revenue Assumptions'!$N$12:$CG$12,D$29)</f>
        <v>288000</v>
      </c>
      <c r="E30" s="463">
        <f>SUMIFS('Revenue Assumptions'!$N23:$CG23,'Revenue Assumptions'!$N$12:$CG$12,E$29)</f>
        <v>576000</v>
      </c>
      <c r="F30" s="463">
        <f>SUMIFS('Revenue Assumptions'!$N23:$CG23,'Revenue Assumptions'!$N$12:$CG$12,F$29)</f>
        <v>1152000</v>
      </c>
      <c r="G30" s="463">
        <f>SUMIFS('Revenue Assumptions'!$N23:$CG23,'Revenue Assumptions'!$N$12:$CG$12,G$29)</f>
        <v>2304000</v>
      </c>
    </row>
    <row r="31" spans="1:7">
      <c r="A31" t="s">
        <v>486</v>
      </c>
      <c r="B31" s="464">
        <f>SUMIFS('Revenue Assumptions'!$N24:$CG24,'Revenue Assumptions'!$N$12:$CG$12,B$29)</f>
        <v>63000</v>
      </c>
      <c r="C31" s="464">
        <f>SUMIFS('Revenue Assumptions'!$N24:$CG24,'Revenue Assumptions'!$N$12:$CG$12,C$29)</f>
        <v>216000</v>
      </c>
      <c r="D31" s="464">
        <f>SUMIFS('Revenue Assumptions'!$N24:$CG24,'Revenue Assumptions'!$N$12:$CG$12,D$29)</f>
        <v>432000</v>
      </c>
      <c r="E31" s="464">
        <f>SUMIFS('Revenue Assumptions'!$N24:$CG24,'Revenue Assumptions'!$N$12:$CG$12,E$29)</f>
        <v>864000</v>
      </c>
      <c r="F31" s="464">
        <f>SUMIFS('Revenue Assumptions'!$N24:$CG24,'Revenue Assumptions'!$N$12:$CG$12,F$29)</f>
        <v>1728000</v>
      </c>
      <c r="G31" s="464">
        <f>SUMIFS('Revenue Assumptions'!$N24:$CG24,'Revenue Assumptions'!$N$12:$CG$12,G$29)</f>
        <v>3456000</v>
      </c>
    </row>
    <row r="32" spans="1:7">
      <c r="B32" s="183"/>
      <c r="C32" s="183"/>
      <c r="D32" s="183"/>
      <c r="E32" s="183"/>
      <c r="F32" s="183"/>
      <c r="G32" s="183"/>
    </row>
    <row r="33" spans="1:7">
      <c r="A33" t="s">
        <v>487</v>
      </c>
      <c r="B33" s="465">
        <f>SUMIFS('Revenue Assumptions'!$N31:$CG31,'Revenue Assumptions'!$N$12:$CG$12,B$29)</f>
        <v>23.962344886606761</v>
      </c>
      <c r="C33" s="465">
        <f>SUMIFS('Revenue Assumptions'!$N31:$CG31,'Revenue Assumptions'!$N$12:$CG$12,C$29)</f>
        <v>78.244391466471058</v>
      </c>
      <c r="D33" s="465">
        <f>SUMIFS('Revenue Assumptions'!$N31:$CG31,'Revenue Assumptions'!$N$12:$CG$12,D$29)</f>
        <v>186.29617015826452</v>
      </c>
      <c r="E33" s="465">
        <f>SUMIFS('Revenue Assumptions'!$N31:$CG31,'Revenue Assumptions'!$N$12:$CG$12,E$29)</f>
        <v>425.81981750460432</v>
      </c>
      <c r="F33" s="465">
        <f>SUMIFS('Revenue Assumptions'!$N31:$CG31,'Revenue Assumptions'!$N$12:$CG$12,F$29)</f>
        <v>878.67581389839017</v>
      </c>
      <c r="G33" s="465">
        <f>SUMIFS('Revenue Assumptions'!$N31:$CG31,'Revenue Assumptions'!$N$12:$CG$12,G$29)</f>
        <v>1802.4119259454162</v>
      </c>
    </row>
    <row r="34" spans="1:7">
      <c r="A34" t="s">
        <v>490</v>
      </c>
      <c r="B34" s="466">
        <f>B30/B33</f>
        <v>1752.75</v>
      </c>
      <c r="C34" s="466">
        <f t="shared" ref="C34:G34" si="15">C30/C33</f>
        <v>1840.3875</v>
      </c>
      <c r="D34" s="466">
        <f t="shared" si="15"/>
        <v>1545.9254999999991</v>
      </c>
      <c r="E34" s="466">
        <f t="shared" si="15"/>
        <v>1352.6848125000001</v>
      </c>
      <c r="F34" s="466">
        <f t="shared" si="15"/>
        <v>1311.0637413461536</v>
      </c>
      <c r="G34" s="466">
        <f t="shared" si="15"/>
        <v>1278.2871478124994</v>
      </c>
    </row>
    <row r="35" spans="1:7">
      <c r="A35" t="s">
        <v>489</v>
      </c>
      <c r="B35" s="465">
        <f>SUMIFS('Revenue Assumptions'!$N38:$CG38,'Revenue Assumptions'!$N$12:$CG$12,B$29)</f>
        <v>360.00000000000006</v>
      </c>
      <c r="C35" s="465">
        <f>SUMIFS('Revenue Assumptions'!$N38:$CG38,'Revenue Assumptions'!$N$12:$CG$12,C$29)</f>
        <v>1175.5102040816325</v>
      </c>
      <c r="D35" s="465">
        <f>SUMIFS('Revenue Assumptions'!$N38:$CG38,'Revenue Assumptions'!$N$12:$CG$12,D$29)</f>
        <v>2798.8338192419819</v>
      </c>
      <c r="E35" s="465">
        <f>SUMIFS('Revenue Assumptions'!$N38:$CG38,'Revenue Assumptions'!$N$12:$CG$12,E$29)</f>
        <v>6397.3344439816719</v>
      </c>
      <c r="F35" s="465">
        <f>SUMIFS('Revenue Assumptions'!$N38:$CG38,'Revenue Assumptions'!$N$12:$CG$12,F$29)</f>
        <v>13200.8488526606</v>
      </c>
      <c r="G35" s="465">
        <f>SUMIFS('Revenue Assumptions'!$N38:$CG38,'Revenue Assumptions'!$N$12:$CG$12,G$29)</f>
        <v>27078.664313149948</v>
      </c>
    </row>
    <row r="36" spans="1:7">
      <c r="A36" t="s">
        <v>491</v>
      </c>
      <c r="B36" s="466">
        <f>B31/B35</f>
        <v>174.99999999999997</v>
      </c>
      <c r="C36" s="466">
        <f t="shared" ref="C36:G36" si="16">C31/C35</f>
        <v>183.75000000000003</v>
      </c>
      <c r="D36" s="466">
        <f t="shared" si="16"/>
        <v>154.35000000000002</v>
      </c>
      <c r="E36" s="466">
        <f t="shared" si="16"/>
        <v>135.05625000000006</v>
      </c>
      <c r="F36" s="466">
        <f t="shared" si="16"/>
        <v>130.90067307692306</v>
      </c>
      <c r="G36" s="466">
        <f t="shared" si="16"/>
        <v>127.62815624999999</v>
      </c>
    </row>
    <row r="37" spans="1:7">
      <c r="B37" s="465"/>
      <c r="C37" s="465"/>
      <c r="D37" s="465"/>
      <c r="E37" s="465"/>
      <c r="F37" s="465"/>
      <c r="G37" s="465"/>
    </row>
    <row r="38" spans="1:7" ht="17.25" customHeight="1">
      <c r="A38" s="471" t="s">
        <v>495</v>
      </c>
      <c r="B38" s="471"/>
      <c r="C38" s="471"/>
      <c r="D38" s="471"/>
      <c r="E38" s="471"/>
      <c r="F38" s="471"/>
      <c r="G38" s="471"/>
    </row>
    <row r="39" spans="1:7">
      <c r="A39" t="s">
        <v>492</v>
      </c>
      <c r="B39" s="463">
        <f>SUMIFS('Revenue Assumptions'!$N86:$CG86,'Revenue Assumptions'!$N$12:$CG$12,B$29)</f>
        <v>4593.1022678647842</v>
      </c>
      <c r="C39" s="463">
        <f>SUMIFS('Revenue Assumptions'!$N86:$CG86,'Revenue Assumptions'!$N$12:$CG$12,C$29)</f>
        <v>269804.52653585182</v>
      </c>
      <c r="D39" s="463">
        <f>SUMIFS('Revenue Assumptions'!$N86:$CG86,'Revenue Assumptions'!$N$12:$CG$12,D$29)</f>
        <v>3024724.2745749401</v>
      </c>
      <c r="E39" s="463">
        <f>SUMIFS('Revenue Assumptions'!$N86:$CG86,'Revenue Assumptions'!$N$12:$CG$12,E$29)</f>
        <v>13586044.864252223</v>
      </c>
      <c r="F39" s="463">
        <f>SUMIFS('Revenue Assumptions'!$N86:$CG86,'Revenue Assumptions'!$N$12:$CG$12,F$29)</f>
        <v>46959911.073162615</v>
      </c>
      <c r="G39" s="463">
        <f>SUMIFS('Revenue Assumptions'!$N86:$CG86,'Revenue Assumptions'!$N$12:$CG$12,G$29)</f>
        <v>133478550.51504669</v>
      </c>
    </row>
    <row r="40" spans="1:7">
      <c r="A40" t="s">
        <v>493</v>
      </c>
      <c r="B40" s="467">
        <f>SUMIFS('Revenue Assumptions'!$N96:$CG96,'Revenue Assumptions'!$N$12:$CG$12,B$29)</f>
        <v>264.60000000000002</v>
      </c>
      <c r="C40" s="467">
        <f>SUMIFS('Revenue Assumptions'!$N96:$CG96,'Revenue Assumptions'!$N$12:$CG$12,C$29)</f>
        <v>3770.55</v>
      </c>
      <c r="D40" s="467">
        <f>SUMIFS('Revenue Assumptions'!$N96:$CG96,'Revenue Assumptions'!$N$12:$CG$12,D$29)</f>
        <v>17766</v>
      </c>
      <c r="E40" s="467">
        <f>SUMIFS('Revenue Assumptions'!$N96:$CG96,'Revenue Assumptions'!$N$12:$CG$12,E$29)</f>
        <v>60682.5</v>
      </c>
      <c r="F40" s="467">
        <f>SUMIFS('Revenue Assumptions'!$N96:$CG96,'Revenue Assumptions'!$N$12:$CG$12,F$29)</f>
        <v>170934.30000000002</v>
      </c>
      <c r="G40" s="467">
        <f>SUMIFS('Revenue Assumptions'!$N96:$CG96,'Revenue Assumptions'!$N$12:$CG$12,G$29)</f>
        <v>372405.6</v>
      </c>
    </row>
    <row r="41" spans="1:7">
      <c r="A41" s="133" t="s">
        <v>494</v>
      </c>
      <c r="B41" s="468">
        <f>SUM(B39:B40)</f>
        <v>4857.7022678647845</v>
      </c>
      <c r="C41" s="468">
        <f t="shared" ref="C41:G41" si="17">SUM(C39:C40)</f>
        <v>273575.07653585181</v>
      </c>
      <c r="D41" s="468">
        <f t="shared" si="17"/>
        <v>3042490.2745749401</v>
      </c>
      <c r="E41" s="468">
        <f t="shared" si="17"/>
        <v>13646727.364252223</v>
      </c>
      <c r="F41" s="468">
        <f t="shared" si="17"/>
        <v>47130845.373162612</v>
      </c>
      <c r="G41" s="468">
        <f t="shared" si="17"/>
        <v>133850956.11504668</v>
      </c>
    </row>
    <row r="43" spans="1:7">
      <c r="A43" t="s">
        <v>497</v>
      </c>
      <c r="B43" s="465">
        <f>SUMIFS('Revenue Assumptions'!$N80:$CG80,'Revenue Assumptions'!$N$12:$CG$12,B$29)</f>
        <v>7.6679503637141639</v>
      </c>
      <c r="C43" s="465">
        <f>SUMIFS('Revenue Assumptions'!$N80:$CG80,'Revenue Assumptions'!$N$12:$CG$12,C$29)</f>
        <v>99.292132770951781</v>
      </c>
      <c r="D43" s="465">
        <f>SUMIFS('Revenue Assumptions'!$N80:$CG80,'Revenue Assumptions'!$N$12:$CG$12,D$29)</f>
        <v>454.46578117768297</v>
      </c>
      <c r="E43" s="465">
        <f>SUMIFS('Revenue Assumptions'!$N80:$CG80,'Revenue Assumptions'!$N$12:$CG$12,E$29)</f>
        <v>1530.7253699205708</v>
      </c>
      <c r="F43" s="465">
        <f>SUMIFS('Revenue Assumptions'!$N80:$CG80,'Revenue Assumptions'!$N$12:$CG$12,F$29)</f>
        <v>4232.3155454220068</v>
      </c>
      <c r="G43" s="465">
        <f>SUMIFS('Revenue Assumptions'!$N80:$CG80,'Revenue Assumptions'!$N$12:$CG$12,G$29)</f>
        <v>10024.253618702232</v>
      </c>
    </row>
    <row r="44" spans="1:7">
      <c r="A44" t="s">
        <v>496</v>
      </c>
      <c r="B44" s="469">
        <f>B41/B43</f>
        <v>633.50726562500006</v>
      </c>
      <c r="C44" s="469">
        <f t="shared" ref="C44:G44" si="18">C41/C43</f>
        <v>2755.2543076795209</v>
      </c>
      <c r="D44" s="469">
        <f t="shared" si="18"/>
        <v>6694.6520521099792</v>
      </c>
      <c r="E44" s="469">
        <f t="shared" si="18"/>
        <v>8915.2029700535713</v>
      </c>
      <c r="F44" s="469">
        <f t="shared" si="18"/>
        <v>11135.947891253738</v>
      </c>
      <c r="G44" s="469">
        <f t="shared" si="18"/>
        <v>13352.71045669886</v>
      </c>
    </row>
    <row r="46" spans="1:7">
      <c r="A46" t="s">
        <v>498</v>
      </c>
      <c r="B46" s="463">
        <f>SUMIFS('Revenue Assumptions'!$N104:$CG104,'Revenue Assumptions'!$N$12:$CG$12,B$29)</f>
        <v>0</v>
      </c>
      <c r="C46" s="463">
        <f>SUMIFS('Revenue Assumptions'!$N104:$CG104,'Revenue Assumptions'!$N$12:$CG$12,C$29)</f>
        <v>12348</v>
      </c>
      <c r="D46" s="463">
        <f>SUMIFS('Revenue Assumptions'!$N104:$CG104,'Revenue Assumptions'!$N$12:$CG$12,D$29)</f>
        <v>71064</v>
      </c>
      <c r="E46" s="463">
        <f>SUMIFS('Revenue Assumptions'!$N104:$CG104,'Revenue Assumptions'!$N$12:$CG$12,E$29)</f>
        <v>226548</v>
      </c>
      <c r="F46" s="463">
        <f>SUMIFS('Revenue Assumptions'!$N104:$CG104,'Revenue Assumptions'!$N$12:$CG$12,F$29)</f>
        <v>531795.6</v>
      </c>
      <c r="G46" s="463">
        <f>SUMIFS('Revenue Assumptions'!$N104:$CG104,'Revenue Assumptions'!$N$12:$CG$12,G$29)</f>
        <v>1158595.2000000002</v>
      </c>
    </row>
    <row r="47" spans="1:7">
      <c r="B47" s="463"/>
      <c r="C47" s="463"/>
      <c r="D47" s="463"/>
      <c r="E47" s="463"/>
      <c r="F47" s="463"/>
      <c r="G47" s="463"/>
    </row>
    <row r="48" spans="1:7">
      <c r="A48" t="s">
        <v>500</v>
      </c>
      <c r="B48" s="465">
        <f>SUMIFS('Revenue Assumptions'!$N99:$CG99,'Revenue Assumptions'!$N$12:$CG$12,B$29)</f>
        <v>0</v>
      </c>
      <c r="C48" s="465">
        <f>SUMIFS('Revenue Assumptions'!$N99:$CG99,'Revenue Assumptions'!$N$12:$CG$12,C$29)</f>
        <v>823.2</v>
      </c>
      <c r="D48" s="465">
        <f>SUMIFS('Revenue Assumptions'!$N99:$CG99,'Revenue Assumptions'!$N$12:$CG$12,D$29)</f>
        <v>3948</v>
      </c>
      <c r="E48" s="465">
        <f>SUMIFS('Revenue Assumptions'!$N99:$CG99,'Revenue Assumptions'!$N$12:$CG$12,E$29)</f>
        <v>10788</v>
      </c>
      <c r="F48" s="465">
        <f>SUMIFS('Revenue Assumptions'!$N99:$CG99,'Revenue Assumptions'!$N$12:$CG$12,F$29)</f>
        <v>25323.600000000002</v>
      </c>
      <c r="G48" s="465">
        <f>SUMIFS('Revenue Assumptions'!$N99:$CG99,'Revenue Assumptions'!$N$12:$CG$12,G$29)</f>
        <v>55171.199999999997</v>
      </c>
    </row>
    <row r="49" spans="1:7">
      <c r="A49" t="s">
        <v>499</v>
      </c>
      <c r="B49" s="469">
        <f>IFERROR(B46/B48,0)</f>
        <v>0</v>
      </c>
      <c r="C49" s="469">
        <f t="shared" ref="C49:G49" si="19">IFERROR(C46/C48,0)</f>
        <v>15</v>
      </c>
      <c r="D49" s="469">
        <f t="shared" si="19"/>
        <v>18</v>
      </c>
      <c r="E49" s="469">
        <f t="shared" si="19"/>
        <v>21</v>
      </c>
      <c r="F49" s="469">
        <f t="shared" si="19"/>
        <v>20.999999999999996</v>
      </c>
      <c r="G49" s="469">
        <f t="shared" si="19"/>
        <v>21.000000000000004</v>
      </c>
    </row>
  </sheetData>
  <mergeCells count="4">
    <mergeCell ref="A38:G38"/>
    <mergeCell ref="A27:G27"/>
    <mergeCell ref="I4:P4"/>
    <mergeCell ref="A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C3A4-B8CE-4D10-AB5A-C3A1D8874598}">
  <sheetPr>
    <tabColor theme="4" tint="0.39997558519241921"/>
  </sheetPr>
  <dimension ref="A1:U137"/>
  <sheetViews>
    <sheetView showGridLines="0" tabSelected="1" zoomScale="80" zoomScaleNormal="80" workbookViewId="0">
      <pane ySplit="4" topLeftCell="A39" activePane="bottomLeft" state="frozen"/>
      <selection pane="bottomLeft" activeCell="G45" sqref="G45"/>
    </sheetView>
  </sheetViews>
  <sheetFormatPr defaultColWidth="0" defaultRowHeight="15" zeroHeight="1" outlineLevelRow="1"/>
  <cols>
    <col min="1" max="1" width="3.33203125" style="19" customWidth="1"/>
    <col min="2" max="3" width="1.6640625" style="19" customWidth="1"/>
    <col min="4" max="4" width="5.6640625" style="19" customWidth="1"/>
    <col min="5" max="5" width="35.44140625" style="19" bestFit="1" customWidth="1"/>
    <col min="6" max="6" width="27.6640625" style="22" bestFit="1" customWidth="1"/>
    <col min="7" max="12" width="15.77734375" style="23" customWidth="1"/>
    <col min="13" max="13" width="19.33203125" style="19" customWidth="1"/>
    <col min="14" max="21" width="19.33203125" style="19" hidden="1" customWidth="1"/>
    <col min="22" max="16384" width="9.33203125" style="19" hidden="1"/>
  </cols>
  <sheetData>
    <row r="1" spans="4:12"/>
    <row r="2" spans="4:12" ht="20.25" customHeight="1">
      <c r="D2" s="416" t="str">
        <f>Cover!D3</f>
        <v>Canoja Technologies</v>
      </c>
      <c r="E2" s="417"/>
      <c r="F2" s="440"/>
      <c r="G2" s="429"/>
      <c r="H2" s="429"/>
      <c r="I2" s="429"/>
      <c r="J2" s="429"/>
      <c r="K2" s="429"/>
      <c r="L2" s="429"/>
    </row>
    <row r="3" spans="4:12" ht="15.6">
      <c r="D3" s="419" t="s">
        <v>6</v>
      </c>
      <c r="E3" s="417"/>
      <c r="F3" s="440"/>
      <c r="G3" s="429"/>
      <c r="H3" s="418"/>
      <c r="I3" s="418"/>
      <c r="J3" s="418"/>
      <c r="K3" s="418"/>
      <c r="L3" s="418"/>
    </row>
    <row r="4" spans="4:12">
      <c r="D4" s="417"/>
      <c r="E4" s="417" t="s">
        <v>102</v>
      </c>
      <c r="F4" s="417"/>
      <c r="G4" s="429">
        <v>1</v>
      </c>
      <c r="H4" s="429">
        <v>2</v>
      </c>
      <c r="I4" s="429">
        <v>3</v>
      </c>
      <c r="J4" s="429">
        <v>4</v>
      </c>
      <c r="K4" s="429">
        <v>5</v>
      </c>
      <c r="L4" s="429">
        <v>6</v>
      </c>
    </row>
    <row r="5" spans="4:12">
      <c r="H5" s="24"/>
      <c r="I5" s="24"/>
      <c r="J5" s="24"/>
      <c r="K5" s="24"/>
      <c r="L5" s="24"/>
    </row>
    <row r="6" spans="4:12" ht="16.2" thickBot="1">
      <c r="D6" s="25" t="s">
        <v>62</v>
      </c>
      <c r="E6" s="25"/>
      <c r="F6" s="26"/>
      <c r="G6" s="27"/>
      <c r="H6" s="27"/>
      <c r="I6" s="27"/>
      <c r="J6" s="27"/>
      <c r="K6" s="27"/>
      <c r="L6" s="27"/>
    </row>
    <row r="7" spans="4:12" ht="16.2" outlineLevel="1" thickTop="1">
      <c r="E7" s="28" t="s">
        <v>63</v>
      </c>
      <c r="F7" s="29"/>
      <c r="H7" s="24"/>
      <c r="I7" s="24"/>
      <c r="J7" s="24"/>
      <c r="K7" s="24"/>
      <c r="L7" s="24"/>
    </row>
    <row r="8" spans="4:12" ht="15.6" outlineLevel="1">
      <c r="E8" s="28" t="s">
        <v>64</v>
      </c>
      <c r="F8" s="29"/>
      <c r="G8" s="30">
        <v>1</v>
      </c>
      <c r="H8" s="24"/>
      <c r="I8" s="24"/>
      <c r="J8" s="24"/>
      <c r="K8" s="24"/>
      <c r="L8" s="24"/>
    </row>
    <row r="9" spans="4:12" ht="15.6" outlineLevel="1">
      <c r="E9" s="28" t="s">
        <v>65</v>
      </c>
      <c r="F9" s="29"/>
      <c r="G9" s="31">
        <f>G12-1</f>
        <v>45657</v>
      </c>
      <c r="H9" s="24"/>
      <c r="I9" s="24"/>
      <c r="J9" s="24"/>
      <c r="K9" s="24"/>
      <c r="L9" s="24"/>
    </row>
    <row r="10" spans="4:12" ht="15.6" outlineLevel="1">
      <c r="E10" s="28" t="s">
        <v>66</v>
      </c>
      <c r="F10" s="29"/>
      <c r="G10" s="32">
        <f>One</f>
        <v>1</v>
      </c>
      <c r="H10" s="24"/>
      <c r="I10" s="24"/>
      <c r="J10" s="24"/>
      <c r="K10" s="24"/>
      <c r="L10" s="24"/>
    </row>
    <row r="11" spans="4:12" ht="15.6" outlineLevel="1">
      <c r="E11" s="19" t="s">
        <v>67</v>
      </c>
      <c r="F11" s="29"/>
      <c r="G11" s="33">
        <v>45657</v>
      </c>
      <c r="H11" s="24"/>
      <c r="I11" s="24"/>
      <c r="J11" s="24"/>
      <c r="K11" s="24"/>
      <c r="L11" s="24"/>
    </row>
    <row r="12" spans="4:12" ht="15.6" outlineLevel="1">
      <c r="E12" s="28" t="s">
        <v>68</v>
      </c>
      <c r="F12" s="29"/>
      <c r="G12" s="33">
        <v>45658</v>
      </c>
      <c r="H12" s="24"/>
      <c r="I12" s="24"/>
      <c r="J12" s="24"/>
      <c r="K12" s="24"/>
      <c r="L12" s="24"/>
    </row>
    <row r="13" spans="4:12" ht="15.6" outlineLevel="1">
      <c r="E13" s="28" t="s">
        <v>69</v>
      </c>
      <c r="F13" s="29" t="s">
        <v>70</v>
      </c>
      <c r="G13" s="34">
        <v>6</v>
      </c>
      <c r="H13" s="24"/>
      <c r="I13" s="24"/>
      <c r="J13" s="24"/>
      <c r="K13" s="24"/>
      <c r="L13" s="24"/>
    </row>
    <row r="14" spans="4:12" ht="15.6" outlineLevel="1">
      <c r="E14" s="28" t="s">
        <v>71</v>
      </c>
      <c r="F14" s="29"/>
      <c r="G14" s="31">
        <f>EDATE(G12,G13*mon_yr)-1</f>
        <v>47848</v>
      </c>
      <c r="H14" s="24"/>
      <c r="I14" s="24"/>
      <c r="J14" s="24"/>
      <c r="K14" s="24"/>
      <c r="L14" s="24"/>
    </row>
    <row r="15" spans="4:12" ht="15.6" outlineLevel="1">
      <c r="E15" s="19" t="s">
        <v>72</v>
      </c>
      <c r="F15" s="29"/>
      <c r="G15" s="33">
        <v>45809</v>
      </c>
      <c r="H15" s="24"/>
      <c r="I15" s="24"/>
      <c r="J15" s="24"/>
      <c r="K15" s="24"/>
      <c r="L15" s="24"/>
    </row>
    <row r="16" spans="4:12" ht="15.6" outlineLevel="1">
      <c r="E16" s="19" t="s">
        <v>73</v>
      </c>
      <c r="F16" s="29"/>
      <c r="G16" s="33">
        <v>45809</v>
      </c>
      <c r="H16" s="24"/>
      <c r="I16" s="24"/>
      <c r="J16" s="24"/>
      <c r="K16" s="24"/>
      <c r="L16" s="24"/>
    </row>
    <row r="17" spans="4:12" ht="15.6" outlineLevel="1">
      <c r="E17" s="19" t="s">
        <v>75</v>
      </c>
      <c r="F17" s="29"/>
      <c r="G17" s="33">
        <v>46174</v>
      </c>
      <c r="H17" s="24"/>
      <c r="I17" s="24"/>
      <c r="J17" s="24"/>
      <c r="K17" s="24"/>
      <c r="L17" s="24"/>
    </row>
    <row r="18" spans="4:12" ht="15.6" outlineLevel="1">
      <c r="E18" s="28" t="s">
        <v>76</v>
      </c>
      <c r="F18" s="29"/>
      <c r="G18" s="30">
        <v>1</v>
      </c>
      <c r="H18" s="24"/>
      <c r="I18" s="24"/>
      <c r="J18" s="24"/>
      <c r="K18" s="24"/>
      <c r="L18" s="24"/>
    </row>
    <row r="19" spans="4:12" ht="15.6" outlineLevel="1">
      <c r="E19" s="28"/>
      <c r="F19" s="29"/>
      <c r="G19" s="31"/>
      <c r="H19" s="24"/>
      <c r="I19" s="24"/>
      <c r="J19" s="24"/>
      <c r="K19" s="24"/>
      <c r="L19" s="24"/>
    </row>
    <row r="20" spans="4:12" ht="15.6" outlineLevel="1">
      <c r="E20" s="28" t="s">
        <v>77</v>
      </c>
      <c r="F20" s="35" t="s">
        <v>70</v>
      </c>
      <c r="G20" s="30">
        <v>6</v>
      </c>
      <c r="H20" s="24"/>
      <c r="I20" s="24"/>
      <c r="J20" s="24"/>
      <c r="K20" s="24"/>
      <c r="L20" s="24"/>
    </row>
    <row r="21" spans="4:12" ht="15.6" outlineLevel="1">
      <c r="E21" s="28" t="s">
        <v>77</v>
      </c>
      <c r="F21" s="35" t="s">
        <v>74</v>
      </c>
      <c r="G21" s="28">
        <f>PRODUCT(G20,G23)</f>
        <v>72</v>
      </c>
      <c r="H21" s="24"/>
      <c r="I21" s="24"/>
      <c r="J21" s="24"/>
      <c r="K21" s="24"/>
      <c r="L21" s="24"/>
    </row>
    <row r="22" spans="4:12" ht="15.6" outlineLevel="1">
      <c r="E22" s="28" t="s">
        <v>78</v>
      </c>
      <c r="F22" s="35"/>
      <c r="G22" s="31">
        <f>EDATE(G12,G21)-1</f>
        <v>47848</v>
      </c>
      <c r="H22" s="24"/>
      <c r="I22" s="24"/>
      <c r="J22" s="24"/>
      <c r="K22" s="24"/>
      <c r="L22" s="24"/>
    </row>
    <row r="23" spans="4:12" ht="15.6" outlineLevel="1">
      <c r="E23" s="28" t="s">
        <v>79</v>
      </c>
      <c r="F23" s="35" t="s">
        <v>74</v>
      </c>
      <c r="G23" s="30">
        <v>12</v>
      </c>
      <c r="H23" s="24"/>
      <c r="I23" s="24"/>
      <c r="J23" s="24"/>
      <c r="K23" s="24"/>
      <c r="L23" s="24"/>
    </row>
    <row r="24" spans="4:12">
      <c r="H24" s="24"/>
      <c r="I24" s="24"/>
      <c r="J24" s="24"/>
      <c r="K24" s="24"/>
      <c r="L24" s="24"/>
    </row>
    <row r="25" spans="4:12" ht="16.2" thickBot="1">
      <c r="D25" s="25" t="s">
        <v>80</v>
      </c>
      <c r="E25" s="25"/>
      <c r="F25" s="26"/>
      <c r="G25" s="27"/>
      <c r="H25" s="27"/>
      <c r="I25" s="27"/>
      <c r="J25" s="27"/>
      <c r="K25" s="27"/>
      <c r="L25" s="27"/>
    </row>
    <row r="26" spans="4:12" ht="16.2" outlineLevel="1" thickTop="1">
      <c r="E26" s="36" t="s">
        <v>81</v>
      </c>
      <c r="F26" s="35" t="s">
        <v>74</v>
      </c>
      <c r="G26" s="30">
        <v>12</v>
      </c>
      <c r="H26" s="24"/>
      <c r="I26" s="24"/>
      <c r="J26" s="24"/>
      <c r="K26" s="24"/>
      <c r="L26" s="24"/>
    </row>
    <row r="27" spans="4:12" ht="15.6" outlineLevel="1">
      <c r="E27" s="36" t="s">
        <v>82</v>
      </c>
      <c r="F27" s="35" t="s">
        <v>74</v>
      </c>
      <c r="G27" s="30">
        <v>6</v>
      </c>
      <c r="H27" s="24"/>
      <c r="I27" s="24"/>
      <c r="J27" s="24"/>
      <c r="K27" s="24"/>
      <c r="L27" s="24"/>
    </row>
    <row r="28" spans="4:12" ht="15.6" outlineLevel="1">
      <c r="E28" s="36" t="s">
        <v>83</v>
      </c>
      <c r="F28" s="35" t="s">
        <v>84</v>
      </c>
      <c r="G28" s="30">
        <v>4</v>
      </c>
      <c r="H28" s="24"/>
      <c r="I28" s="24"/>
      <c r="J28" s="24"/>
      <c r="K28" s="24"/>
      <c r="L28" s="24"/>
    </row>
    <row r="29" spans="4:12" ht="15.6" outlineLevel="1">
      <c r="E29" s="36" t="s">
        <v>85</v>
      </c>
      <c r="F29" s="35" t="s">
        <v>74</v>
      </c>
      <c r="G29" s="30">
        <v>3</v>
      </c>
      <c r="H29" s="24"/>
      <c r="I29" s="24"/>
      <c r="J29" s="24"/>
      <c r="K29" s="24"/>
      <c r="L29" s="24"/>
    </row>
    <row r="30" spans="4:12" ht="15.6" outlineLevel="1">
      <c r="E30" s="36" t="s">
        <v>86</v>
      </c>
      <c r="F30" s="35" t="s">
        <v>87</v>
      </c>
      <c r="G30" s="30">
        <v>52</v>
      </c>
      <c r="H30" s="24"/>
      <c r="I30" s="24"/>
      <c r="J30" s="24"/>
      <c r="K30" s="24"/>
      <c r="L30" s="24"/>
    </row>
    <row r="31" spans="4:12" ht="15.6" outlineLevel="1">
      <c r="E31" s="36" t="s">
        <v>88</v>
      </c>
      <c r="F31" s="35" t="s">
        <v>87</v>
      </c>
      <c r="G31" s="30">
        <v>4</v>
      </c>
      <c r="H31" s="24"/>
      <c r="I31" s="24"/>
      <c r="J31" s="24"/>
      <c r="K31" s="24"/>
      <c r="L31" s="24"/>
    </row>
    <row r="32" spans="4:12" ht="15.6" outlineLevel="1">
      <c r="E32" s="36" t="s">
        <v>89</v>
      </c>
      <c r="F32" s="35" t="s">
        <v>90</v>
      </c>
      <c r="G32" s="30">
        <v>365</v>
      </c>
      <c r="H32" s="24"/>
      <c r="I32" s="24"/>
      <c r="J32" s="24"/>
      <c r="K32" s="24"/>
      <c r="L32" s="24"/>
    </row>
    <row r="33" spans="1:12" ht="15.6" outlineLevel="1">
      <c r="E33" s="36" t="s">
        <v>91</v>
      </c>
      <c r="F33" s="35" t="s">
        <v>90</v>
      </c>
      <c r="G33" s="37">
        <f>G32/mon_yr</f>
        <v>30.416666666666668</v>
      </c>
      <c r="H33" s="24"/>
      <c r="I33" s="24"/>
      <c r="J33" s="24"/>
      <c r="K33" s="24"/>
      <c r="L33" s="24"/>
    </row>
    <row r="34" spans="1:12" ht="15.6" outlineLevel="1">
      <c r="E34" s="36" t="s">
        <v>92</v>
      </c>
      <c r="F34" s="35" t="s">
        <v>90</v>
      </c>
      <c r="G34" s="30">
        <v>7</v>
      </c>
      <c r="H34" s="24"/>
      <c r="I34" s="24"/>
      <c r="J34" s="24"/>
      <c r="K34" s="24"/>
      <c r="L34" s="24"/>
    </row>
    <row r="35" spans="1:12">
      <c r="H35" s="24"/>
      <c r="I35" s="24"/>
      <c r="J35" s="24"/>
      <c r="K35" s="24"/>
      <c r="L35" s="24"/>
    </row>
    <row r="36" spans="1:12" ht="16.2" thickBot="1">
      <c r="D36" s="25" t="s">
        <v>93</v>
      </c>
      <c r="E36" s="25"/>
      <c r="F36" s="26"/>
      <c r="G36" s="27"/>
      <c r="H36" s="27"/>
      <c r="I36" s="27"/>
      <c r="J36" s="27"/>
      <c r="K36" s="27"/>
      <c r="L36" s="27"/>
    </row>
    <row r="37" spans="1:12" ht="15.6" outlineLevel="1" thickTop="1">
      <c r="E37" s="38"/>
      <c r="F37" s="38"/>
      <c r="G37" s="38"/>
      <c r="H37" s="38"/>
      <c r="I37" s="38"/>
      <c r="J37" s="38"/>
      <c r="K37" s="38"/>
      <c r="L37" s="38"/>
    </row>
    <row r="38" spans="1:12" ht="15.6" outlineLevel="1">
      <c r="E38" s="19" t="s">
        <v>94</v>
      </c>
      <c r="F38" s="29" t="s">
        <v>95</v>
      </c>
      <c r="G38" s="39">
        <v>0.21</v>
      </c>
      <c r="H38" s="24"/>
      <c r="I38" s="24"/>
      <c r="J38" s="24"/>
      <c r="K38" s="24"/>
      <c r="L38" s="24"/>
    </row>
    <row r="39" spans="1:12" outlineLevel="1"/>
    <row r="40" spans="1:12" outlineLevel="1">
      <c r="E40" s="19" t="s">
        <v>96</v>
      </c>
      <c r="G40" s="109">
        <v>2.8000000000000001E-2</v>
      </c>
    </row>
    <row r="41" spans="1:12"/>
    <row r="42" spans="1:12" ht="16.2" thickBot="1">
      <c r="A42" s="23"/>
      <c r="B42" s="23"/>
      <c r="D42" s="25" t="s">
        <v>140</v>
      </c>
      <c r="E42" s="25"/>
      <c r="F42" s="140"/>
      <c r="G42" s="25"/>
      <c r="H42" s="25"/>
      <c r="I42" s="25"/>
      <c r="J42" s="25"/>
      <c r="K42" s="25"/>
      <c r="L42" s="25"/>
    </row>
    <row r="43" spans="1:12" ht="16.2" outlineLevel="1" thickTop="1">
      <c r="A43" s="23"/>
      <c r="B43" s="23"/>
      <c r="D43" s="56"/>
      <c r="E43" s="56"/>
      <c r="F43" s="142"/>
      <c r="G43" s="56"/>
      <c r="H43" s="57"/>
      <c r="I43" s="24"/>
      <c r="J43" s="24"/>
      <c r="K43" s="24"/>
      <c r="L43" s="24"/>
    </row>
    <row r="44" spans="1:12" ht="15.6" outlineLevel="1">
      <c r="E44" s="45" t="s">
        <v>141</v>
      </c>
      <c r="F44" s="89"/>
      <c r="G44" s="19"/>
      <c r="I44" s="24"/>
      <c r="J44" s="24"/>
      <c r="K44" s="24"/>
      <c r="L44" s="24"/>
    </row>
    <row r="45" spans="1:12" ht="15.6" outlineLevel="1">
      <c r="E45" s="44" t="s">
        <v>142</v>
      </c>
      <c r="F45" s="89" t="s">
        <v>138</v>
      </c>
      <c r="G45" s="58">
        <v>2</v>
      </c>
      <c r="H45" s="58">
        <v>2</v>
      </c>
      <c r="I45" s="58">
        <v>2</v>
      </c>
      <c r="J45" s="58">
        <v>2</v>
      </c>
      <c r="K45" s="58">
        <v>2</v>
      </c>
      <c r="L45" s="58">
        <v>2</v>
      </c>
    </row>
    <row r="46" spans="1:12" ht="15.6" outlineLevel="1">
      <c r="E46" s="44" t="s">
        <v>143</v>
      </c>
      <c r="F46" s="89" t="s">
        <v>138</v>
      </c>
      <c r="G46" s="58">
        <v>0</v>
      </c>
      <c r="H46" s="58">
        <v>3</v>
      </c>
      <c r="I46" s="58">
        <v>3</v>
      </c>
      <c r="J46" s="58">
        <v>3</v>
      </c>
      <c r="K46" s="58">
        <v>3</v>
      </c>
      <c r="L46" s="58">
        <v>3</v>
      </c>
    </row>
    <row r="47" spans="1:12" ht="15.6" outlineLevel="1">
      <c r="E47" s="44" t="s">
        <v>392</v>
      </c>
      <c r="F47" s="89" t="s">
        <v>138</v>
      </c>
      <c r="G47" s="58">
        <v>1</v>
      </c>
      <c r="H47" s="58">
        <v>2</v>
      </c>
      <c r="I47" s="58">
        <v>3</v>
      </c>
      <c r="J47" s="58">
        <v>4</v>
      </c>
      <c r="K47" s="58">
        <v>5</v>
      </c>
      <c r="L47" s="58">
        <v>6</v>
      </c>
    </row>
    <row r="48" spans="1:12" ht="15.6" outlineLevel="1">
      <c r="E48" s="44" t="s">
        <v>144</v>
      </c>
      <c r="F48" s="89" t="s">
        <v>138</v>
      </c>
      <c r="G48" s="58">
        <v>1</v>
      </c>
      <c r="H48" s="58">
        <v>2</v>
      </c>
      <c r="I48" s="58">
        <v>3</v>
      </c>
      <c r="J48" s="58">
        <v>4</v>
      </c>
      <c r="K48" s="58">
        <v>5</v>
      </c>
      <c r="L48" s="58">
        <v>6</v>
      </c>
    </row>
    <row r="49" spans="5:12" ht="15.6" outlineLevel="1">
      <c r="E49" s="44" t="s">
        <v>391</v>
      </c>
      <c r="F49" s="89" t="s">
        <v>138</v>
      </c>
      <c r="G49" s="58">
        <v>1</v>
      </c>
      <c r="H49" s="58">
        <v>2</v>
      </c>
      <c r="I49" s="58">
        <v>3</v>
      </c>
      <c r="J49" s="58">
        <v>4</v>
      </c>
      <c r="K49" s="58">
        <v>5</v>
      </c>
      <c r="L49" s="58">
        <v>6</v>
      </c>
    </row>
    <row r="50" spans="5:12" ht="15.6" outlineLevel="1">
      <c r="E50" s="44" t="s">
        <v>145</v>
      </c>
      <c r="F50" s="89" t="s">
        <v>138</v>
      </c>
      <c r="G50" s="58">
        <v>0</v>
      </c>
      <c r="H50" s="58">
        <v>2</v>
      </c>
      <c r="I50" s="58">
        <v>3</v>
      </c>
      <c r="J50" s="58">
        <v>4</v>
      </c>
      <c r="K50" s="58">
        <v>5</v>
      </c>
      <c r="L50" s="58">
        <v>6</v>
      </c>
    </row>
    <row r="51" spans="5:12" ht="15.6" outlineLevel="1">
      <c r="E51" s="44" t="s">
        <v>146</v>
      </c>
      <c r="F51" s="89" t="s">
        <v>138</v>
      </c>
      <c r="G51" s="58">
        <v>1</v>
      </c>
      <c r="H51" s="58">
        <v>2</v>
      </c>
      <c r="I51" s="58">
        <v>3</v>
      </c>
      <c r="J51" s="58">
        <v>4</v>
      </c>
      <c r="K51" s="58">
        <v>5</v>
      </c>
      <c r="L51" s="58">
        <v>6</v>
      </c>
    </row>
    <row r="52" spans="5:12" ht="15.6" outlineLevel="1">
      <c r="E52" s="44" t="s">
        <v>147</v>
      </c>
      <c r="F52" s="89" t="s">
        <v>138</v>
      </c>
      <c r="G52" s="58">
        <v>0</v>
      </c>
      <c r="H52" s="58">
        <v>1</v>
      </c>
      <c r="I52" s="58">
        <v>2</v>
      </c>
      <c r="J52" s="58">
        <v>3</v>
      </c>
      <c r="K52" s="58">
        <v>4</v>
      </c>
      <c r="L52" s="58">
        <v>5</v>
      </c>
    </row>
    <row r="53" spans="5:12" ht="15.6" outlineLevel="1">
      <c r="E53" s="44" t="s">
        <v>148</v>
      </c>
      <c r="F53" s="89" t="s">
        <v>138</v>
      </c>
      <c r="G53" s="58">
        <v>0</v>
      </c>
      <c r="H53" s="58">
        <v>1</v>
      </c>
      <c r="I53" s="58">
        <v>2</v>
      </c>
      <c r="J53" s="58">
        <v>3</v>
      </c>
      <c r="K53" s="58">
        <v>4</v>
      </c>
      <c r="L53" s="58">
        <v>5</v>
      </c>
    </row>
    <row r="54" spans="5:12" ht="15.6" outlineLevel="1">
      <c r="E54" s="387" t="s">
        <v>181</v>
      </c>
      <c r="F54" s="388"/>
      <c r="G54" s="389">
        <f t="shared" ref="G54:L54" si="0">SUM(G45:G53)</f>
        <v>6</v>
      </c>
      <c r="H54" s="389">
        <f t="shared" si="0"/>
        <v>17</v>
      </c>
      <c r="I54" s="389">
        <f t="shared" si="0"/>
        <v>24</v>
      </c>
      <c r="J54" s="389">
        <f t="shared" si="0"/>
        <v>31</v>
      </c>
      <c r="K54" s="389">
        <f t="shared" si="0"/>
        <v>38</v>
      </c>
      <c r="L54" s="389">
        <f t="shared" si="0"/>
        <v>45</v>
      </c>
    </row>
    <row r="55" spans="5:12" ht="15.6" outlineLevel="1">
      <c r="E55" s="44"/>
      <c r="F55" s="144"/>
      <c r="G55" s="44"/>
      <c r="H55" s="44"/>
      <c r="I55" s="44"/>
      <c r="J55" s="44"/>
      <c r="K55" s="44"/>
      <c r="L55" s="44"/>
    </row>
    <row r="56" spans="5:12" ht="15.6" outlineLevel="1">
      <c r="E56" s="44" t="str">
        <f t="shared" ref="E56:E64" si="1">E45</f>
        <v>C-Level</v>
      </c>
      <c r="F56" s="89" t="s">
        <v>149</v>
      </c>
      <c r="G56" s="96">
        <v>5000</v>
      </c>
      <c r="H56" s="96">
        <v>14583</v>
      </c>
      <c r="I56" s="96">
        <v>14583</v>
      </c>
      <c r="J56" s="96">
        <v>14583</v>
      </c>
      <c r="K56" s="96">
        <v>14583</v>
      </c>
      <c r="L56" s="96">
        <v>14583</v>
      </c>
    </row>
    <row r="57" spans="5:12" ht="15.6" outlineLevel="1">
      <c r="E57" s="44" t="str">
        <f t="shared" si="1"/>
        <v>Directors</v>
      </c>
      <c r="F57" s="89" t="s">
        <v>149</v>
      </c>
      <c r="G57" s="96">
        <v>0</v>
      </c>
      <c r="H57" s="96">
        <v>10417</v>
      </c>
      <c r="I57" s="96">
        <v>10417</v>
      </c>
      <c r="J57" s="96">
        <v>10417</v>
      </c>
      <c r="K57" s="96">
        <v>10417</v>
      </c>
      <c r="L57" s="96">
        <v>10417</v>
      </c>
    </row>
    <row r="58" spans="5:12" ht="15.6" outlineLevel="1">
      <c r="E58" s="44" t="str">
        <f t="shared" si="1"/>
        <v>Software Engineering Department</v>
      </c>
      <c r="F58" s="89" t="s">
        <v>149</v>
      </c>
      <c r="G58" s="96">
        <v>0</v>
      </c>
      <c r="H58" s="96">
        <v>10417</v>
      </c>
      <c r="I58" s="96">
        <v>10417</v>
      </c>
      <c r="J58" s="96">
        <v>10417</v>
      </c>
      <c r="K58" s="96">
        <v>10417</v>
      </c>
      <c r="L58" s="96">
        <v>10417</v>
      </c>
    </row>
    <row r="59" spans="5:12" ht="15.6" outlineLevel="1">
      <c r="E59" s="44" t="str">
        <f t="shared" si="1"/>
        <v>Sales Department</v>
      </c>
      <c r="F59" s="89" t="s">
        <v>149</v>
      </c>
      <c r="G59" s="96">
        <v>3500</v>
      </c>
      <c r="H59" s="96">
        <v>4167</v>
      </c>
      <c r="I59" s="96">
        <v>4167</v>
      </c>
      <c r="J59" s="96">
        <v>4167</v>
      </c>
      <c r="K59" s="96">
        <v>4167</v>
      </c>
      <c r="L59" s="96">
        <v>4167</v>
      </c>
    </row>
    <row r="60" spans="5:12" ht="15.6" outlineLevel="1">
      <c r="E60" s="44" t="str">
        <f t="shared" si="1"/>
        <v>Marketing Department</v>
      </c>
      <c r="F60" s="89" t="s">
        <v>149</v>
      </c>
      <c r="G60" s="96">
        <v>3500</v>
      </c>
      <c r="H60" s="96">
        <v>4167</v>
      </c>
      <c r="I60" s="96">
        <v>4167</v>
      </c>
      <c r="J60" s="96">
        <v>4167</v>
      </c>
      <c r="K60" s="96">
        <v>4167</v>
      </c>
      <c r="L60" s="96">
        <v>4167</v>
      </c>
    </row>
    <row r="61" spans="5:12" ht="15.6" outlineLevel="1">
      <c r="E61" s="44" t="str">
        <f t="shared" si="1"/>
        <v>Accounting &amp; Finance</v>
      </c>
      <c r="F61" s="89" t="s">
        <v>149</v>
      </c>
      <c r="G61" s="96">
        <v>0</v>
      </c>
      <c r="H61" s="96">
        <v>6667</v>
      </c>
      <c r="I61" s="96">
        <v>6667</v>
      </c>
      <c r="J61" s="96">
        <v>6667</v>
      </c>
      <c r="K61" s="96">
        <v>6667</v>
      </c>
      <c r="L61" s="96">
        <v>6667</v>
      </c>
    </row>
    <row r="62" spans="5:12" ht="15.6" outlineLevel="1">
      <c r="E62" s="44" t="str">
        <f t="shared" si="1"/>
        <v>Creative Department</v>
      </c>
      <c r="F62" s="89" t="s">
        <v>149</v>
      </c>
      <c r="G62" s="96">
        <v>3500</v>
      </c>
      <c r="H62" s="96">
        <v>6250</v>
      </c>
      <c r="I62" s="96">
        <v>6250</v>
      </c>
      <c r="J62" s="96">
        <v>6250</v>
      </c>
      <c r="K62" s="96">
        <v>6250</v>
      </c>
      <c r="L62" s="96">
        <v>6250</v>
      </c>
    </row>
    <row r="63" spans="5:12" ht="15.6" outlineLevel="1">
      <c r="E63" s="44" t="str">
        <f t="shared" si="1"/>
        <v>Product Management</v>
      </c>
      <c r="F63" s="89" t="s">
        <v>149</v>
      </c>
      <c r="G63" s="96">
        <v>0</v>
      </c>
      <c r="H63" s="96">
        <v>7500</v>
      </c>
      <c r="I63" s="96">
        <v>7500</v>
      </c>
      <c r="J63" s="96">
        <v>7500</v>
      </c>
      <c r="K63" s="96">
        <v>7500</v>
      </c>
      <c r="L63" s="96">
        <v>7500</v>
      </c>
    </row>
    <row r="64" spans="5:12" ht="15.6" outlineLevel="1">
      <c r="E64" s="44" t="str">
        <f t="shared" si="1"/>
        <v>Adminstrative Assistant</v>
      </c>
      <c r="F64" s="89" t="s">
        <v>149</v>
      </c>
      <c r="G64" s="96">
        <v>3500</v>
      </c>
      <c r="H64" s="96">
        <v>5417</v>
      </c>
      <c r="I64" s="96">
        <v>5417</v>
      </c>
      <c r="J64" s="96">
        <v>5417</v>
      </c>
      <c r="K64" s="96">
        <v>5417</v>
      </c>
      <c r="L64" s="96">
        <v>5417</v>
      </c>
    </row>
    <row r="65" spans="5:12" ht="15.6" outlineLevel="1">
      <c r="F65" s="89"/>
      <c r="G65" s="22"/>
      <c r="I65" s="22"/>
      <c r="J65" s="22"/>
      <c r="K65" s="24"/>
      <c r="L65" s="24"/>
    </row>
    <row r="66" spans="5:12" ht="16.2" outlineLevel="1" thickBot="1">
      <c r="E66" s="315" t="s">
        <v>151</v>
      </c>
      <c r="F66" s="316"/>
      <c r="G66" s="317" t="s">
        <v>189</v>
      </c>
      <c r="H66" s="472" t="s">
        <v>404</v>
      </c>
      <c r="I66" s="472"/>
      <c r="J66" s="472"/>
      <c r="K66" s="472"/>
      <c r="L66" s="472"/>
    </row>
    <row r="67" spans="5:12" ht="15.6" outlineLevel="1">
      <c r="E67" s="19" t="s">
        <v>393</v>
      </c>
      <c r="F67" s="89" t="s">
        <v>153</v>
      </c>
      <c r="G67" s="313">
        <v>2600</v>
      </c>
      <c r="H67" s="314">
        <v>0.04</v>
      </c>
      <c r="I67" s="314">
        <v>0.04</v>
      </c>
      <c r="J67" s="314">
        <v>0.04</v>
      </c>
      <c r="K67" s="314">
        <v>0.08</v>
      </c>
      <c r="L67" s="314">
        <v>0.08</v>
      </c>
    </row>
    <row r="68" spans="5:12" ht="15.6" outlineLevel="1">
      <c r="E68" s="19" t="s">
        <v>396</v>
      </c>
      <c r="F68" s="89" t="s">
        <v>153</v>
      </c>
      <c r="G68" s="122">
        <v>1000</v>
      </c>
      <c r="H68" s="289">
        <v>0.02</v>
      </c>
      <c r="I68" s="289">
        <v>0.02</v>
      </c>
      <c r="J68" s="289">
        <v>0.02</v>
      </c>
      <c r="K68" s="289">
        <v>0.1</v>
      </c>
      <c r="L68" s="289">
        <v>0.1</v>
      </c>
    </row>
    <row r="69" spans="5:12" ht="15.6" outlineLevel="1">
      <c r="E69" s="19" t="s">
        <v>152</v>
      </c>
      <c r="F69" s="89" t="s">
        <v>153</v>
      </c>
      <c r="G69" s="122">
        <v>2400</v>
      </c>
      <c r="H69" s="289">
        <v>0.15</v>
      </c>
      <c r="I69" s="289">
        <v>0.15</v>
      </c>
      <c r="J69" s="289">
        <v>0.15</v>
      </c>
      <c r="K69" s="289">
        <v>0.2</v>
      </c>
      <c r="L69" s="289">
        <v>0.2</v>
      </c>
    </row>
    <row r="70" spans="5:12" ht="15.6" outlineLevel="1">
      <c r="E70" s="19" t="s">
        <v>154</v>
      </c>
      <c r="F70" s="89" t="s">
        <v>153</v>
      </c>
      <c r="G70" s="122">
        <v>800</v>
      </c>
      <c r="H70" s="289">
        <v>1.4999999999999999E-2</v>
      </c>
      <c r="I70" s="289">
        <v>1.4999999999999999E-2</v>
      </c>
      <c r="J70" s="289">
        <v>1.4999999999999999E-2</v>
      </c>
      <c r="K70" s="289">
        <v>0.03</v>
      </c>
      <c r="L70" s="289">
        <v>0.03</v>
      </c>
    </row>
    <row r="71" spans="5:12" ht="15.6" outlineLevel="1">
      <c r="E71" s="19" t="s">
        <v>399</v>
      </c>
      <c r="F71" s="89" t="s">
        <v>153</v>
      </c>
      <c r="G71" s="122">
        <v>3500</v>
      </c>
      <c r="H71" s="289">
        <v>0.1</v>
      </c>
      <c r="I71" s="289">
        <v>0.1</v>
      </c>
      <c r="J71" s="289">
        <v>0.1</v>
      </c>
      <c r="K71" s="289">
        <v>0.25</v>
      </c>
      <c r="L71" s="289">
        <v>0.25</v>
      </c>
    </row>
    <row r="72" spans="5:12" ht="15.6" outlineLevel="1">
      <c r="E72" s="19" t="s">
        <v>397</v>
      </c>
      <c r="F72" s="89" t="s">
        <v>153</v>
      </c>
      <c r="G72" s="122">
        <v>200</v>
      </c>
      <c r="H72" s="289">
        <v>5.0000000000000001E-3</v>
      </c>
      <c r="I72" s="289">
        <v>5.0000000000000001E-3</v>
      </c>
      <c r="J72" s="289">
        <v>5.0000000000000001E-3</v>
      </c>
      <c r="K72" s="289">
        <v>0.03</v>
      </c>
      <c r="L72" s="289">
        <v>0.03</v>
      </c>
    </row>
    <row r="73" spans="5:12" ht="15.6" outlineLevel="1">
      <c r="E73" s="19" t="s">
        <v>402</v>
      </c>
      <c r="F73" s="89" t="s">
        <v>153</v>
      </c>
      <c r="G73" s="122">
        <v>400</v>
      </c>
      <c r="H73" s="289">
        <v>0.01</v>
      </c>
      <c r="I73" s="289">
        <v>0.01</v>
      </c>
      <c r="J73" s="289">
        <v>0.01</v>
      </c>
      <c r="K73" s="289">
        <v>0.04</v>
      </c>
      <c r="L73" s="289">
        <v>0.04</v>
      </c>
    </row>
    <row r="74" spans="5:12" ht="15.6" outlineLevel="1">
      <c r="E74" s="19" t="s">
        <v>400</v>
      </c>
      <c r="F74" s="89" t="s">
        <v>153</v>
      </c>
      <c r="G74" s="122">
        <v>300</v>
      </c>
      <c r="H74" s="289">
        <v>1.4999999999999999E-2</v>
      </c>
      <c r="I74" s="289">
        <v>1.4999999999999999E-2</v>
      </c>
      <c r="J74" s="289">
        <v>1.4999999999999999E-2</v>
      </c>
      <c r="K74" s="289">
        <v>0.03</v>
      </c>
      <c r="L74" s="289">
        <v>0.03</v>
      </c>
    </row>
    <row r="75" spans="5:12" ht="15.6" outlineLevel="1">
      <c r="E75" s="19" t="s">
        <v>405</v>
      </c>
      <c r="F75" s="89" t="s">
        <v>153</v>
      </c>
      <c r="G75" s="122">
        <v>1800</v>
      </c>
      <c r="H75" s="289">
        <v>0.04</v>
      </c>
      <c r="I75" s="289">
        <v>0.04</v>
      </c>
      <c r="J75" s="289">
        <v>0.04</v>
      </c>
      <c r="K75" s="289">
        <v>0.08</v>
      </c>
      <c r="L75" s="289">
        <v>0.08</v>
      </c>
    </row>
    <row r="76" spans="5:12" ht="15.6" outlineLevel="1">
      <c r="E76" s="19" t="s">
        <v>403</v>
      </c>
      <c r="F76" s="89" t="s">
        <v>153</v>
      </c>
      <c r="G76" s="122">
        <v>400</v>
      </c>
      <c r="H76" s="289">
        <v>0.01</v>
      </c>
      <c r="I76" s="289">
        <v>0.01</v>
      </c>
      <c r="J76" s="289">
        <v>0.01</v>
      </c>
      <c r="K76" s="289">
        <v>0.02</v>
      </c>
      <c r="L76" s="289">
        <v>0.02</v>
      </c>
    </row>
    <row r="77" spans="5:12" ht="15.6" outlineLevel="1">
      <c r="E77" s="19" t="s">
        <v>398</v>
      </c>
      <c r="F77" s="89" t="s">
        <v>153</v>
      </c>
      <c r="G77" s="122">
        <v>2200</v>
      </c>
      <c r="H77" s="289">
        <v>0.03</v>
      </c>
      <c r="I77" s="289">
        <v>0.03</v>
      </c>
      <c r="J77" s="289">
        <v>0.03</v>
      </c>
      <c r="K77" s="289">
        <v>0.06</v>
      </c>
      <c r="L77" s="289">
        <v>0.06</v>
      </c>
    </row>
    <row r="78" spans="5:12" ht="15.6" outlineLevel="1">
      <c r="E78" s="19" t="s">
        <v>395</v>
      </c>
      <c r="F78" s="89" t="s">
        <v>153</v>
      </c>
      <c r="G78" s="122">
        <v>1000</v>
      </c>
      <c r="H78" s="289">
        <v>0.05</v>
      </c>
      <c r="I78" s="289">
        <v>0.05</v>
      </c>
      <c r="J78" s="289">
        <v>0.05</v>
      </c>
      <c r="K78" s="289">
        <v>0.1</v>
      </c>
      <c r="L78" s="289">
        <v>0.1</v>
      </c>
    </row>
    <row r="79" spans="5:12" ht="15.6" outlineLevel="1">
      <c r="E79" s="19" t="s">
        <v>401</v>
      </c>
      <c r="F79" s="89" t="s">
        <v>153</v>
      </c>
      <c r="G79" s="122">
        <v>1100</v>
      </c>
      <c r="H79" s="289">
        <v>2.5000000000000001E-2</v>
      </c>
      <c r="I79" s="289">
        <v>2.5000000000000001E-2</v>
      </c>
      <c r="J79" s="289">
        <v>2.5000000000000001E-2</v>
      </c>
      <c r="K79" s="289">
        <v>0.05</v>
      </c>
      <c r="L79" s="289">
        <v>0.05</v>
      </c>
    </row>
    <row r="80" spans="5:12" ht="15.6" outlineLevel="1">
      <c r="E80" s="19" t="s">
        <v>394</v>
      </c>
      <c r="F80" s="89" t="s">
        <v>153</v>
      </c>
      <c r="G80" s="122">
        <v>500</v>
      </c>
      <c r="H80" s="289">
        <v>0.01</v>
      </c>
      <c r="I80" s="289">
        <v>0.01</v>
      </c>
      <c r="J80" s="289">
        <v>0.01</v>
      </c>
      <c r="K80" s="289">
        <v>0.02</v>
      </c>
      <c r="L80" s="289">
        <v>0.02</v>
      </c>
    </row>
    <row r="81" spans="4:15" ht="15.6" outlineLevel="1">
      <c r="F81" s="89"/>
      <c r="G81" s="22"/>
      <c r="I81" s="24"/>
      <c r="J81" s="24"/>
      <c r="K81" s="24"/>
      <c r="L81" s="24"/>
    </row>
    <row r="82" spans="4:15" ht="15.6" outlineLevel="1">
      <c r="E82" s="44" t="s">
        <v>157</v>
      </c>
      <c r="F82" s="89" t="s">
        <v>150</v>
      </c>
      <c r="G82" s="39">
        <v>0.05</v>
      </c>
      <c r="I82" s="24"/>
      <c r="J82" s="24"/>
      <c r="K82" s="24"/>
      <c r="L82" s="24"/>
    </row>
    <row r="83" spans="4:15" ht="15.6">
      <c r="F83" s="89"/>
      <c r="G83" s="19"/>
      <c r="I83" s="24"/>
      <c r="J83" s="24"/>
      <c r="K83" s="24"/>
      <c r="L83" s="24"/>
    </row>
    <row r="84" spans="4:15" ht="16.2" thickBot="1">
      <c r="D84" s="25" t="s">
        <v>420</v>
      </c>
      <c r="E84" s="25"/>
      <c r="F84" s="140"/>
      <c r="G84" s="25"/>
      <c r="H84" s="59"/>
      <c r="I84" s="59"/>
      <c r="J84" s="59"/>
      <c r="K84" s="59"/>
      <c r="L84" s="59"/>
    </row>
    <row r="85" spans="4:15" ht="16.2" outlineLevel="1" thickTop="1">
      <c r="D85" s="45"/>
      <c r="F85" s="142"/>
      <c r="G85" s="49"/>
      <c r="H85" s="49"/>
      <c r="I85" s="49"/>
      <c r="J85" s="24"/>
      <c r="K85" s="24"/>
      <c r="L85" s="24"/>
    </row>
    <row r="86" spans="4:15" ht="15.6" outlineLevel="1">
      <c r="E86" s="45" t="s">
        <v>450</v>
      </c>
      <c r="F86" s="89"/>
      <c r="G86" s="261" t="s">
        <v>189</v>
      </c>
      <c r="H86" s="261" t="s">
        <v>265</v>
      </c>
      <c r="I86" s="261" t="s">
        <v>357</v>
      </c>
      <c r="J86" s="261" t="s">
        <v>409</v>
      </c>
      <c r="K86" s="261" t="s">
        <v>410</v>
      </c>
      <c r="L86" s="261" t="s">
        <v>309</v>
      </c>
    </row>
    <row r="87" spans="4:15" ht="15.6" outlineLevel="1">
      <c r="E87" s="191" t="s">
        <v>304</v>
      </c>
      <c r="F87" s="89"/>
      <c r="G87" s="302">
        <f>F122</f>
        <v>549000</v>
      </c>
      <c r="H87" s="262">
        <v>9</v>
      </c>
      <c r="I87" s="275">
        <f>_xlfn.XLOOKUP(H87,Dates!$B$4:$B$75,Dates!$C$4:$C$75)</f>
        <v>45901</v>
      </c>
      <c r="J87" s="298" t="s">
        <v>411</v>
      </c>
      <c r="K87" s="328">
        <f>G122</f>
        <v>2464663.0236794171</v>
      </c>
      <c r="L87" s="107">
        <v>0.2</v>
      </c>
    </row>
    <row r="88" spans="4:15" ht="15.6" outlineLevel="1">
      <c r="E88" s="191" t="s">
        <v>305</v>
      </c>
      <c r="F88" s="89"/>
      <c r="G88" s="96">
        <v>3000000</v>
      </c>
      <c r="H88" s="262">
        <f>9+12</f>
        <v>21</v>
      </c>
      <c r="I88" s="275">
        <f>_xlfn.XLOOKUP(H88,Dates!$B$4:$B$75,Dates!$C$4:$C$75)</f>
        <v>46266</v>
      </c>
      <c r="J88" s="310">
        <v>0.25</v>
      </c>
      <c r="K88" s="298" t="s">
        <v>411</v>
      </c>
      <c r="L88" s="298" t="s">
        <v>411</v>
      </c>
    </row>
    <row r="89" spans="4:15" ht="15.6" outlineLevel="1">
      <c r="E89" s="191" t="s">
        <v>300</v>
      </c>
      <c r="F89" s="89"/>
      <c r="G89" s="96">
        <v>10000000</v>
      </c>
      <c r="H89" s="262">
        <f>24+9</f>
        <v>33</v>
      </c>
      <c r="I89" s="275">
        <f>_xlfn.XLOOKUP(H89,Dates!$B$4:$B$75,Dates!$C$4:$C$75)</f>
        <v>46631</v>
      </c>
      <c r="J89" s="310">
        <v>0.17499999999999999</v>
      </c>
      <c r="K89" s="298" t="s">
        <v>411</v>
      </c>
      <c r="L89" s="298" t="s">
        <v>411</v>
      </c>
    </row>
    <row r="90" spans="4:15" ht="15.6" outlineLevel="1">
      <c r="E90" s="191" t="s">
        <v>301</v>
      </c>
      <c r="F90" s="89"/>
      <c r="G90" s="96">
        <v>25000000</v>
      </c>
      <c r="H90" s="262">
        <f>36+9</f>
        <v>45</v>
      </c>
      <c r="I90" s="275">
        <f>_xlfn.XLOOKUP(H90,Dates!$B$4:$B$75,Dates!$C$4:$C$75)</f>
        <v>46997</v>
      </c>
      <c r="J90" s="310">
        <v>0.125</v>
      </c>
      <c r="K90" s="298" t="s">
        <v>411</v>
      </c>
      <c r="L90" s="298" t="s">
        <v>411</v>
      </c>
    </row>
    <row r="91" spans="4:15" s="322" customFormat="1" ht="15.6" outlineLevel="1">
      <c r="E91" s="323"/>
      <c r="F91" s="324"/>
      <c r="G91" s="325"/>
      <c r="H91" s="326"/>
      <c r="I91" s="327"/>
      <c r="J91" s="318"/>
      <c r="K91" s="319"/>
      <c r="L91" s="319"/>
    </row>
    <row r="92" spans="4:15" s="322" customFormat="1" ht="15.6" outlineLevel="1">
      <c r="E92" s="45" t="s">
        <v>451</v>
      </c>
      <c r="F92" s="324"/>
      <c r="G92" s="261" t="s">
        <v>189</v>
      </c>
      <c r="H92" s="261" t="s">
        <v>265</v>
      </c>
      <c r="I92" s="261" t="s">
        <v>357</v>
      </c>
      <c r="J92" s="261" t="s">
        <v>452</v>
      </c>
      <c r="K92" s="261" t="s">
        <v>453</v>
      </c>
      <c r="L92" s="261" t="s">
        <v>455</v>
      </c>
      <c r="M92" s="89"/>
      <c r="N92" s="19"/>
      <c r="O92" s="110">
        <v>100000</v>
      </c>
    </row>
    <row r="93" spans="4:15" ht="15.6" outlineLevel="1">
      <c r="E93" s="191" t="s">
        <v>449</v>
      </c>
      <c r="F93" s="89"/>
      <c r="G93" s="320">
        <v>500000</v>
      </c>
      <c r="H93" s="321">
        <v>21</v>
      </c>
      <c r="I93" s="275">
        <f>_xlfn.XLOOKUP(H93,Dates!$B$4:$B$75,Dates!$C$4:$C$75)</f>
        <v>46266</v>
      </c>
      <c r="J93" s="310">
        <v>0.125</v>
      </c>
      <c r="K93" s="321">
        <v>72</v>
      </c>
      <c r="L93" s="298" t="s">
        <v>411</v>
      </c>
    </row>
    <row r="94" spans="4:15" ht="15.6" outlineLevel="1">
      <c r="E94" s="191" t="s">
        <v>303</v>
      </c>
      <c r="F94" s="89"/>
      <c r="G94" s="320">
        <v>250000</v>
      </c>
      <c r="H94" s="321">
        <v>9</v>
      </c>
      <c r="I94" s="275">
        <f>_xlfn.XLOOKUP(H94,Dates!$B$4:$B$75,Dates!$C$4:$C$75)</f>
        <v>45901</v>
      </c>
      <c r="J94" s="310">
        <v>0.125</v>
      </c>
      <c r="K94" s="298" t="s">
        <v>411</v>
      </c>
      <c r="L94" s="110">
        <v>250000</v>
      </c>
    </row>
    <row r="95" spans="4:15" ht="15.6" outlineLevel="1">
      <c r="E95" s="191"/>
      <c r="F95" s="89"/>
      <c r="G95" s="19"/>
      <c r="H95" s="55"/>
      <c r="I95" s="24"/>
      <c r="J95" s="24"/>
      <c r="K95" s="24"/>
      <c r="L95" s="24"/>
    </row>
    <row r="96" spans="4:15" ht="15.6" outlineLevel="1">
      <c r="E96" s="350" t="s">
        <v>330</v>
      </c>
      <c r="F96" s="351"/>
      <c r="G96" s="351"/>
      <c r="H96" s="303"/>
      <c r="I96" s="304"/>
      <c r="J96" s="24"/>
      <c r="K96" s="24"/>
      <c r="L96" s="24"/>
    </row>
    <row r="97" spans="5:13" ht="15.6" outlineLevel="1">
      <c r="E97" s="352" t="s">
        <v>329</v>
      </c>
      <c r="F97" s="351"/>
      <c r="G97" s="351" t="s">
        <v>412</v>
      </c>
      <c r="H97" s="351" t="s">
        <v>313</v>
      </c>
      <c r="I97" s="351"/>
      <c r="J97" s="24"/>
      <c r="K97" s="24"/>
      <c r="L97" s="24"/>
    </row>
    <row r="98" spans="5:13" outlineLevel="1">
      <c r="E98" s="353" t="s">
        <v>346</v>
      </c>
      <c r="F98" s="354"/>
      <c r="G98" s="355">
        <v>1000000</v>
      </c>
      <c r="H98" s="356">
        <f t="shared" ref="H98:H103" si="2">+G98/$G$104</f>
        <v>0.83333333333333337</v>
      </c>
      <c r="I98" s="24"/>
      <c r="J98" s="24"/>
      <c r="K98" s="24"/>
      <c r="L98" s="24"/>
    </row>
    <row r="99" spans="5:13" outlineLevel="1">
      <c r="E99" s="353" t="s">
        <v>347</v>
      </c>
      <c r="F99" s="354"/>
      <c r="G99" s="355">
        <v>100000</v>
      </c>
      <c r="H99" s="356">
        <f t="shared" si="2"/>
        <v>8.3333333333333329E-2</v>
      </c>
      <c r="I99" s="24"/>
      <c r="J99" s="24"/>
      <c r="K99" s="24"/>
      <c r="L99" s="24"/>
    </row>
    <row r="100" spans="5:13" outlineLevel="1">
      <c r="E100" s="353" t="s">
        <v>348</v>
      </c>
      <c r="F100" s="354"/>
      <c r="G100" s="355">
        <v>100000</v>
      </c>
      <c r="H100" s="356">
        <f t="shared" si="2"/>
        <v>8.3333333333333329E-2</v>
      </c>
      <c r="I100" s="24"/>
      <c r="J100" s="24"/>
      <c r="K100" s="24"/>
      <c r="L100" s="24"/>
    </row>
    <row r="101" spans="5:13" outlineLevel="1">
      <c r="E101" s="353" t="s">
        <v>334</v>
      </c>
      <c r="F101" s="354"/>
      <c r="G101" s="355"/>
      <c r="H101" s="356">
        <f t="shared" si="2"/>
        <v>0</v>
      </c>
      <c r="I101" s="24"/>
      <c r="J101" s="24"/>
      <c r="K101" s="24"/>
      <c r="L101" s="24"/>
    </row>
    <row r="102" spans="5:13" outlineLevel="1">
      <c r="E102" s="353" t="s">
        <v>335</v>
      </c>
      <c r="F102" s="354"/>
      <c r="G102" s="355"/>
      <c r="H102" s="356">
        <f t="shared" si="2"/>
        <v>0</v>
      </c>
      <c r="I102" s="24"/>
      <c r="J102" s="24"/>
      <c r="K102" s="24"/>
      <c r="L102" s="24"/>
    </row>
    <row r="103" spans="5:13" outlineLevel="1">
      <c r="E103" s="353" t="s">
        <v>336</v>
      </c>
      <c r="F103" s="354"/>
      <c r="G103" s="355"/>
      <c r="H103" s="356">
        <f t="shared" si="2"/>
        <v>0</v>
      </c>
      <c r="I103" s="24"/>
      <c r="J103" s="24"/>
      <c r="K103" s="24"/>
      <c r="L103" s="24"/>
    </row>
    <row r="104" spans="5:13" ht="15.6" outlineLevel="1">
      <c r="E104" s="357" t="s">
        <v>181</v>
      </c>
      <c r="F104" s="354"/>
      <c r="G104" s="358">
        <f>+SUM(G98:G103)</f>
        <v>1200000</v>
      </c>
      <c r="H104" s="359">
        <f>+SUM(H98:H103)</f>
        <v>1</v>
      </c>
      <c r="I104" s="24"/>
      <c r="J104" s="24"/>
      <c r="K104" s="24"/>
      <c r="L104" s="24"/>
    </row>
    <row r="105" spans="5:13" ht="15.6" outlineLevel="1">
      <c r="E105" s="191"/>
      <c r="F105" s="89"/>
      <c r="G105" s="19"/>
      <c r="H105" s="55"/>
      <c r="I105" s="24"/>
      <c r="J105" s="24"/>
      <c r="K105" s="24"/>
      <c r="L105" s="24"/>
    </row>
    <row r="106" spans="5:13" ht="15.6" outlineLevel="1">
      <c r="E106" s="360" t="s">
        <v>419</v>
      </c>
      <c r="G106" s="361"/>
      <c r="H106" s="361"/>
      <c r="I106" s="192"/>
      <c r="J106" s="192"/>
      <c r="K106" s="192"/>
      <c r="L106" s="192"/>
      <c r="M106" s="362"/>
    </row>
    <row r="107" spans="5:13" ht="46.8" outlineLevel="1">
      <c r="E107" s="363" t="s">
        <v>307</v>
      </c>
      <c r="F107" s="364" t="s">
        <v>308</v>
      </c>
      <c r="G107" s="364" t="s">
        <v>310</v>
      </c>
      <c r="H107" s="364" t="s">
        <v>309</v>
      </c>
      <c r="I107" s="364" t="s">
        <v>311</v>
      </c>
      <c r="J107" s="364" t="s">
        <v>312</v>
      </c>
      <c r="K107" s="364" t="s">
        <v>313</v>
      </c>
    </row>
    <row r="108" spans="5:13" outlineLevel="1">
      <c r="E108" s="365" t="s">
        <v>319</v>
      </c>
      <c r="F108" s="366">
        <v>38000</v>
      </c>
      <c r="G108" s="366">
        <v>2400000</v>
      </c>
      <c r="H108" s="367">
        <v>0.2</v>
      </c>
      <c r="I108" s="368">
        <f>MIN('Cap Table'!$J$162,G108/$G$104)</f>
        <v>2</v>
      </c>
      <c r="J108" s="369">
        <f t="shared" ref="J108:J121" si="3">+ROUNDUP(F108/I108,0)</f>
        <v>19000</v>
      </c>
      <c r="K108" s="370">
        <f>+J108/($G$104+$J$122)</f>
        <v>1.2798042842458788E-2</v>
      </c>
    </row>
    <row r="109" spans="5:13" outlineLevel="1">
      <c r="E109" s="371" t="s">
        <v>320</v>
      </c>
      <c r="F109" s="366">
        <v>26000</v>
      </c>
      <c r="G109" s="372">
        <v>3300000</v>
      </c>
      <c r="H109" s="373">
        <v>0.2</v>
      </c>
      <c r="I109" s="368">
        <f>MIN('Cap Table'!$J$162,G109/$G$104)</f>
        <v>2.75</v>
      </c>
      <c r="J109" s="369">
        <f t="shared" si="3"/>
        <v>9455</v>
      </c>
      <c r="K109" s="370">
        <f t="shared" ref="K109:K121" si="4">+J109/($G$104+$J$122)</f>
        <v>6.3687102671288335E-3</v>
      </c>
    </row>
    <row r="110" spans="5:13" outlineLevel="1">
      <c r="E110" s="371" t="s">
        <v>321</v>
      </c>
      <c r="F110" s="366">
        <v>42000</v>
      </c>
      <c r="G110" s="372">
        <v>3200000</v>
      </c>
      <c r="H110" s="373">
        <v>0.2</v>
      </c>
      <c r="I110" s="368">
        <f>MIN('Cap Table'!$J$162,G110/$G$104)</f>
        <v>2.6666666666666665</v>
      </c>
      <c r="J110" s="369">
        <f t="shared" si="3"/>
        <v>15750</v>
      </c>
      <c r="K110" s="370">
        <f t="shared" si="4"/>
        <v>1.0608903935196101E-2</v>
      </c>
    </row>
    <row r="111" spans="5:13" outlineLevel="1">
      <c r="E111" s="371" t="s">
        <v>322</v>
      </c>
      <c r="F111" s="366">
        <v>49000</v>
      </c>
      <c r="G111" s="372">
        <v>2200000</v>
      </c>
      <c r="H111" s="373">
        <v>0.2</v>
      </c>
      <c r="I111" s="368">
        <f>MIN('Cap Table'!$J$162,G111/$G$104)</f>
        <v>1.8333333333333333</v>
      </c>
      <c r="J111" s="369">
        <f t="shared" si="3"/>
        <v>26728</v>
      </c>
      <c r="K111" s="370">
        <f t="shared" si="4"/>
        <v>1.800347837332834E-2</v>
      </c>
    </row>
    <row r="112" spans="5:13" outlineLevel="1">
      <c r="E112" s="371" t="s">
        <v>323</v>
      </c>
      <c r="F112" s="366">
        <v>31000</v>
      </c>
      <c r="G112" s="372">
        <v>1700000</v>
      </c>
      <c r="H112" s="373">
        <v>0.2</v>
      </c>
      <c r="I112" s="368">
        <f>MIN('Cap Table'!$J$162,G112/$G$104)</f>
        <v>1.4166666666666667</v>
      </c>
      <c r="J112" s="369">
        <f t="shared" si="3"/>
        <v>21883</v>
      </c>
      <c r="K112" s="370">
        <f t="shared" si="4"/>
        <v>1.4739977448501349E-2</v>
      </c>
    </row>
    <row r="113" spans="4:13" outlineLevel="1">
      <c r="E113" s="371" t="s">
        <v>314</v>
      </c>
      <c r="F113" s="366">
        <v>42000</v>
      </c>
      <c r="G113" s="372">
        <v>1900000</v>
      </c>
      <c r="H113" s="373">
        <v>0.2</v>
      </c>
      <c r="I113" s="368">
        <f>MIN('Cap Table'!$J$162,G113/$G$104)</f>
        <v>1.5833333333333333</v>
      </c>
      <c r="J113" s="369">
        <f t="shared" si="3"/>
        <v>26527</v>
      </c>
      <c r="K113" s="370">
        <f t="shared" si="4"/>
        <v>1.7868088551679172E-2</v>
      </c>
    </row>
    <row r="114" spans="4:13" outlineLevel="1">
      <c r="E114" s="371" t="s">
        <v>315</v>
      </c>
      <c r="F114" s="366">
        <v>41000</v>
      </c>
      <c r="G114" s="372">
        <v>3100000</v>
      </c>
      <c r="H114" s="373">
        <v>0.2</v>
      </c>
      <c r="I114" s="368">
        <f>MIN('Cap Table'!$J$162,G114/$G$104)</f>
        <v>2.5833333333333335</v>
      </c>
      <c r="J114" s="369">
        <f t="shared" si="3"/>
        <v>15871</v>
      </c>
      <c r="K114" s="370">
        <f t="shared" si="4"/>
        <v>1.0690407260666494E-2</v>
      </c>
    </row>
    <row r="115" spans="4:13" outlineLevel="1">
      <c r="E115" s="371" t="s">
        <v>316</v>
      </c>
      <c r="F115" s="366">
        <v>38000</v>
      </c>
      <c r="G115" s="372">
        <v>1600000</v>
      </c>
      <c r="H115" s="373">
        <v>0.2</v>
      </c>
      <c r="I115" s="368">
        <f>MIN('Cap Table'!$J$162,G115/$G$104)</f>
        <v>1.3333333333333333</v>
      </c>
      <c r="J115" s="369">
        <f t="shared" si="3"/>
        <v>28500</v>
      </c>
      <c r="K115" s="370">
        <f t="shared" si="4"/>
        <v>1.9197064263688179E-2</v>
      </c>
    </row>
    <row r="116" spans="4:13" outlineLevel="1">
      <c r="E116" s="371" t="s">
        <v>317</v>
      </c>
      <c r="F116" s="366">
        <v>49000</v>
      </c>
      <c r="G116" s="372">
        <v>2800000</v>
      </c>
      <c r="H116" s="373">
        <v>0.2</v>
      </c>
      <c r="I116" s="368">
        <f>MIN('Cap Table'!$J$162,G116/$G$104)</f>
        <v>2.3333333333333335</v>
      </c>
      <c r="J116" s="369">
        <f t="shared" si="3"/>
        <v>21000</v>
      </c>
      <c r="K116" s="370">
        <f t="shared" si="4"/>
        <v>1.4145205246928133E-2</v>
      </c>
    </row>
    <row r="117" spans="4:13" outlineLevel="1">
      <c r="E117" s="371" t="s">
        <v>318</v>
      </c>
      <c r="F117" s="366">
        <v>47000</v>
      </c>
      <c r="G117" s="372">
        <v>2300000</v>
      </c>
      <c r="H117" s="373">
        <v>0.2</v>
      </c>
      <c r="I117" s="368">
        <f>MIN('Cap Table'!$J$162,G117/$G$104)</f>
        <v>1.9166666666666667</v>
      </c>
      <c r="J117" s="369">
        <f t="shared" si="3"/>
        <v>24522</v>
      </c>
      <c r="K117" s="370">
        <f t="shared" si="4"/>
        <v>1.6517558241198649E-2</v>
      </c>
    </row>
    <row r="118" spans="4:13" outlineLevel="1">
      <c r="E118" s="371" t="s">
        <v>324</v>
      </c>
      <c r="F118" s="366">
        <v>30000</v>
      </c>
      <c r="G118" s="372">
        <v>3400000</v>
      </c>
      <c r="H118" s="373">
        <v>0.2</v>
      </c>
      <c r="I118" s="368">
        <f>MIN('Cap Table'!$J$162,G118/$G$104)</f>
        <v>2.8333333333333335</v>
      </c>
      <c r="J118" s="369">
        <f t="shared" si="3"/>
        <v>10589</v>
      </c>
      <c r="K118" s="370">
        <f t="shared" si="4"/>
        <v>7.1325513504629521E-3</v>
      </c>
    </row>
    <row r="119" spans="4:13" outlineLevel="1">
      <c r="E119" s="371" t="s">
        <v>325</v>
      </c>
      <c r="F119" s="366">
        <v>42000</v>
      </c>
      <c r="G119" s="372">
        <v>1900000</v>
      </c>
      <c r="H119" s="373">
        <v>0.2</v>
      </c>
      <c r="I119" s="368">
        <f>MIN('Cap Table'!$J$162,G119/$G$104)</f>
        <v>1.5833333333333333</v>
      </c>
      <c r="J119" s="369">
        <f t="shared" si="3"/>
        <v>26527</v>
      </c>
      <c r="K119" s="370">
        <f t="shared" si="4"/>
        <v>1.7868088551679172E-2</v>
      </c>
    </row>
    <row r="120" spans="4:13" outlineLevel="1">
      <c r="E120" s="371" t="s">
        <v>326</v>
      </c>
      <c r="F120" s="366">
        <v>38000</v>
      </c>
      <c r="G120" s="372">
        <v>3200000</v>
      </c>
      <c r="H120" s="373">
        <v>0.2</v>
      </c>
      <c r="I120" s="368">
        <f>MIN('Cap Table'!$J$162,G120/$G$104)</f>
        <v>2.6666666666666665</v>
      </c>
      <c r="J120" s="369">
        <f t="shared" si="3"/>
        <v>14250</v>
      </c>
      <c r="K120" s="370">
        <f t="shared" si="4"/>
        <v>9.5985321318440894E-3</v>
      </c>
    </row>
    <row r="121" spans="4:13" ht="15.6" outlineLevel="1" thickBot="1">
      <c r="E121" s="374" t="s">
        <v>327</v>
      </c>
      <c r="F121" s="375">
        <v>36000</v>
      </c>
      <c r="G121" s="376">
        <v>1800000</v>
      </c>
      <c r="H121" s="377">
        <v>0.2</v>
      </c>
      <c r="I121" s="368">
        <f>MIN('Cap Table'!$J$162,G121/$G$104)</f>
        <v>1.5</v>
      </c>
      <c r="J121" s="369">
        <f t="shared" si="3"/>
        <v>24000</v>
      </c>
      <c r="K121" s="370">
        <f t="shared" si="4"/>
        <v>1.6165948853632151E-2</v>
      </c>
    </row>
    <row r="122" spans="4:13" ht="16.2" outlineLevel="1" thickBot="1">
      <c r="E122" s="378" t="s">
        <v>181</v>
      </c>
      <c r="F122" s="379">
        <f>SUM(F108:F121)</f>
        <v>549000</v>
      </c>
      <c r="G122" s="379">
        <f t="shared" ref="G122:H122" si="5">SUMPRODUCT($F$108:$F$121,G108:G121)/$F$122</f>
        <v>2464663.0236794171</v>
      </c>
      <c r="H122" s="380">
        <f t="shared" si="5"/>
        <v>0.2</v>
      </c>
      <c r="I122" s="381">
        <f>SUMPRODUCT($F$108:$F$121,I108:I121)/$F$122</f>
        <v>2.053885853066181</v>
      </c>
      <c r="J122" s="382">
        <f>+SUM(J108:J121)</f>
        <v>284602</v>
      </c>
      <c r="K122" s="383">
        <f>+SUM(K108:K121)</f>
        <v>0.19170255731839242</v>
      </c>
    </row>
    <row r="123" spans="4:13" outlineLevel="1">
      <c r="E123" s="384"/>
      <c r="F123" s="385"/>
      <c r="G123" s="385"/>
      <c r="H123" s="385"/>
      <c r="I123" s="386"/>
      <c r="J123" s="386"/>
      <c r="K123" s="386"/>
      <c r="L123" s="386"/>
      <c r="M123" s="386"/>
    </row>
    <row r="124" spans="4:13" ht="15.6" outlineLevel="1">
      <c r="F124" s="89"/>
      <c r="G124" s="19"/>
      <c r="H124" s="55"/>
      <c r="I124" s="24"/>
      <c r="J124" s="24"/>
      <c r="K124" s="24"/>
      <c r="L124" s="24"/>
    </row>
    <row r="125" spans="4:13" ht="15.6" outlineLevel="1">
      <c r="E125" s="44" t="s">
        <v>462</v>
      </c>
      <c r="F125" s="89"/>
      <c r="G125" s="19"/>
      <c r="H125" s="276">
        <v>-200000</v>
      </c>
      <c r="I125" s="24"/>
      <c r="J125" s="24"/>
      <c r="K125" s="24"/>
      <c r="L125" s="24"/>
    </row>
    <row r="126" spans="4:13" ht="15.6">
      <c r="E126" s="103"/>
      <c r="F126" s="89"/>
      <c r="G126" s="19"/>
      <c r="I126" s="24"/>
      <c r="J126" s="24"/>
      <c r="K126" s="24"/>
      <c r="L126" s="24"/>
    </row>
    <row r="127" spans="4:13" ht="16.2" thickBot="1">
      <c r="D127" s="25" t="s">
        <v>158</v>
      </c>
      <c r="E127" s="25"/>
      <c r="F127" s="140"/>
      <c r="G127" s="25"/>
      <c r="H127" s="27"/>
      <c r="I127" s="27"/>
      <c r="J127" s="27"/>
      <c r="K127" s="27"/>
      <c r="L127" s="27"/>
    </row>
    <row r="128" spans="4:13" ht="15.6" thickTop="1"/>
    <row r="129" spans="4:12" ht="15.6">
      <c r="E129" s="146" t="s">
        <v>456</v>
      </c>
      <c r="F129" s="147"/>
      <c r="G129" s="153"/>
      <c r="H129" s="355">
        <v>3</v>
      </c>
      <c r="I129" s="24"/>
      <c r="J129" s="24"/>
      <c r="K129" s="24"/>
      <c r="L129" s="24"/>
    </row>
    <row r="130" spans="4:12" ht="15.6">
      <c r="E130" s="146" t="s">
        <v>389</v>
      </c>
      <c r="F130" s="147"/>
      <c r="G130" s="153"/>
      <c r="H130" s="60">
        <v>0.5</v>
      </c>
      <c r="I130" s="24"/>
      <c r="J130" s="24"/>
      <c r="K130" s="24"/>
      <c r="L130" s="24"/>
    </row>
    <row r="131" spans="4:12" ht="15.6">
      <c r="E131" s="61"/>
      <c r="F131" s="142"/>
      <c r="G131" s="61"/>
      <c r="H131" s="62"/>
      <c r="I131" s="24"/>
      <c r="J131" s="24"/>
      <c r="K131" s="24"/>
      <c r="L131" s="24"/>
    </row>
    <row r="132" spans="4:12" ht="16.2" thickBot="1">
      <c r="D132" s="25" t="s">
        <v>160</v>
      </c>
      <c r="E132" s="25"/>
      <c r="F132" s="145"/>
      <c r="G132" s="25"/>
      <c r="H132" s="27"/>
      <c r="I132" s="27"/>
      <c r="J132" s="27"/>
      <c r="K132" s="27"/>
      <c r="L132" s="27"/>
    </row>
    <row r="133" spans="4:12" ht="16.2" outlineLevel="1" thickTop="1">
      <c r="E133" s="19" t="s">
        <v>161</v>
      </c>
      <c r="F133" s="89"/>
      <c r="G133" s="22" t="s">
        <v>90</v>
      </c>
      <c r="H133" s="58">
        <v>7</v>
      </c>
      <c r="I133" s="24"/>
      <c r="J133" s="24"/>
      <c r="K133" s="24"/>
      <c r="L133" s="24"/>
    </row>
    <row r="134" spans="4:12" ht="15.6" outlineLevel="1">
      <c r="E134" s="19" t="s">
        <v>162</v>
      </c>
      <c r="F134" s="89"/>
      <c r="G134" s="22" t="s">
        <v>90</v>
      </c>
      <c r="H134" s="58">
        <v>30</v>
      </c>
      <c r="I134" s="24"/>
      <c r="J134" s="24"/>
      <c r="K134" s="24"/>
      <c r="L134" s="24"/>
    </row>
    <row r="135" spans="4:12"/>
    <row r="136" spans="4:12"/>
    <row r="137" spans="4:12"/>
  </sheetData>
  <sortState xmlns:xlrd2="http://schemas.microsoft.com/office/spreadsheetml/2017/richdata2" ref="E67:E80">
    <sortCondition ref="E67:E80"/>
  </sortState>
  <mergeCells count="1">
    <mergeCell ref="H66:L66"/>
  </mergeCells>
  <pageMargins left="0.7" right="0.7" top="0.75" bottom="0.75" header="0.3" footer="0.3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7D8-A5D0-4BB5-B494-5DB470DDECF8}">
  <sheetPr>
    <tabColor theme="4" tint="0.39997558519241921"/>
  </sheetPr>
  <dimension ref="A1:CW316"/>
  <sheetViews>
    <sheetView showGridLines="0" zoomScale="70" zoomScaleNormal="70" workbookViewId="0">
      <pane xSplit="5" ySplit="12" topLeftCell="K39" activePane="bottomRight" state="frozen"/>
      <selection pane="topRight" activeCell="F1" sqref="F1"/>
      <selection pane="bottomLeft" activeCell="A12" sqref="A12"/>
      <selection pane="bottomRight" activeCell="N12" sqref="N12"/>
    </sheetView>
  </sheetViews>
  <sheetFormatPr defaultColWidth="0" defaultRowHeight="15.6" zeroHeight="1" outlineLevelRow="1" outlineLevelCol="1"/>
  <cols>
    <col min="1" max="1" width="3.33203125" style="19" customWidth="1"/>
    <col min="2" max="3" width="1.6640625" style="19" customWidth="1"/>
    <col min="4" max="4" width="5.6640625" style="19" customWidth="1"/>
    <col min="5" max="5" width="59.33203125" style="19" bestFit="1" customWidth="1"/>
    <col min="6" max="6" width="43.5546875" style="89" bestFit="1" customWidth="1"/>
    <col min="7" max="7" width="15.77734375" style="19" customWidth="1" outlineLevel="1"/>
    <col min="8" max="12" width="15.77734375" style="23" customWidth="1" outlineLevel="1"/>
    <col min="13" max="13" width="13.6640625" style="23" customWidth="1"/>
    <col min="14" max="14" width="18.109375" style="23" customWidth="1"/>
    <col min="15" max="37" width="22.33203125" style="23" customWidth="1"/>
    <col min="38" max="42" width="20.5546875" style="19" customWidth="1"/>
    <col min="43" max="43" width="20.5546875" style="19" customWidth="1" collapsed="1"/>
    <col min="44" max="49" width="20.5546875" style="19" customWidth="1"/>
    <col min="50" max="54" width="21.44140625" style="19" customWidth="1"/>
    <col min="55" max="55" width="21.44140625" style="19" customWidth="1" collapsed="1"/>
    <col min="56" max="61" width="21.44140625" style="19" customWidth="1"/>
    <col min="62" max="66" width="21" style="19" customWidth="1"/>
    <col min="67" max="67" width="21" style="19" customWidth="1" collapsed="1"/>
    <col min="68" max="72" width="21" style="19" customWidth="1"/>
    <col min="73" max="73" width="21" style="19" customWidth="1" collapsed="1"/>
    <col min="74" max="86" width="19.33203125" style="19" customWidth="1"/>
    <col min="87" max="101" width="19.33203125" style="19" hidden="1" customWidth="1"/>
    <col min="102" max="16384" width="9.33203125" style="19" hidden="1"/>
  </cols>
  <sheetData>
    <row r="1" spans="4:85"/>
    <row r="2" spans="4:85" ht="20.25" customHeight="1">
      <c r="D2" s="416" t="str">
        <f>Cover!D3</f>
        <v>Canoja Technologies</v>
      </c>
      <c r="E2" s="417"/>
      <c r="F2" s="437"/>
      <c r="G2" s="417"/>
      <c r="H2" s="429"/>
      <c r="I2" s="429"/>
      <c r="J2" s="429"/>
      <c r="K2" s="429"/>
      <c r="L2" s="429"/>
      <c r="M2" s="418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  <c r="BG2" s="429"/>
      <c r="BH2" s="429"/>
      <c r="BI2" s="429"/>
      <c r="BJ2" s="429"/>
      <c r="BK2" s="429"/>
      <c r="BL2" s="429"/>
      <c r="BM2" s="429"/>
      <c r="BN2" s="429"/>
      <c r="BO2" s="429"/>
      <c r="BP2" s="429"/>
      <c r="BQ2" s="429"/>
      <c r="BR2" s="429"/>
      <c r="BS2" s="429"/>
      <c r="BT2" s="429"/>
      <c r="BU2" s="429"/>
      <c r="BV2" s="429"/>
      <c r="BW2" s="429"/>
      <c r="BX2" s="429"/>
      <c r="BY2" s="429"/>
      <c r="BZ2" s="429"/>
      <c r="CA2" s="429"/>
      <c r="CB2" s="429"/>
      <c r="CC2" s="429"/>
      <c r="CD2" s="429"/>
      <c r="CE2" s="429"/>
      <c r="CF2" s="429"/>
      <c r="CG2" s="429"/>
    </row>
    <row r="3" spans="4:85">
      <c r="D3" s="419" t="s">
        <v>101</v>
      </c>
      <c r="E3" s="417"/>
      <c r="F3" s="437"/>
      <c r="G3" s="417"/>
      <c r="H3" s="429"/>
      <c r="I3" s="418"/>
      <c r="J3" s="418"/>
      <c r="K3" s="418"/>
      <c r="L3" s="418"/>
      <c r="M3" s="418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29"/>
      <c r="AI3" s="429"/>
      <c r="AJ3" s="429"/>
      <c r="AK3" s="429"/>
      <c r="AL3" s="429"/>
      <c r="AM3" s="429"/>
      <c r="AN3" s="429"/>
      <c r="AO3" s="429"/>
      <c r="AP3" s="429"/>
      <c r="AQ3" s="429"/>
      <c r="AR3" s="429"/>
      <c r="AS3" s="429"/>
      <c r="AT3" s="429"/>
      <c r="AU3" s="429"/>
      <c r="AV3" s="429"/>
      <c r="AW3" s="429"/>
      <c r="AX3" s="429"/>
      <c r="AY3" s="429"/>
      <c r="AZ3" s="429"/>
      <c r="BA3" s="429"/>
      <c r="BB3" s="429"/>
      <c r="BC3" s="429"/>
      <c r="BD3" s="429"/>
      <c r="BE3" s="429"/>
      <c r="BF3" s="429"/>
      <c r="BG3" s="429"/>
      <c r="BH3" s="429"/>
      <c r="BI3" s="429"/>
      <c r="BJ3" s="429"/>
      <c r="BK3" s="429"/>
      <c r="BL3" s="429"/>
      <c r="BM3" s="429"/>
      <c r="BN3" s="429"/>
      <c r="BO3" s="429"/>
      <c r="BP3" s="429"/>
      <c r="BQ3" s="429"/>
      <c r="BR3" s="429"/>
      <c r="BS3" s="429"/>
      <c r="BT3" s="429"/>
      <c r="BU3" s="429"/>
      <c r="BV3" s="429"/>
      <c r="BW3" s="429"/>
      <c r="BX3" s="429"/>
      <c r="BY3" s="429"/>
      <c r="BZ3" s="429"/>
      <c r="CA3" s="429"/>
      <c r="CB3" s="429"/>
      <c r="CC3" s="429"/>
      <c r="CD3" s="429"/>
      <c r="CE3" s="429"/>
      <c r="CF3" s="429"/>
      <c r="CG3" s="429"/>
    </row>
    <row r="4" spans="4:85" hidden="1">
      <c r="D4" s="417"/>
      <c r="E4" s="417"/>
      <c r="F4" s="437"/>
      <c r="G4" s="417"/>
      <c r="H4" s="429"/>
      <c r="I4" s="418"/>
      <c r="J4" s="420"/>
      <c r="K4" s="420"/>
      <c r="L4" s="420"/>
      <c r="M4" s="418"/>
      <c r="N4" s="429"/>
      <c r="O4" s="429"/>
      <c r="P4" s="429"/>
      <c r="Q4" s="429"/>
      <c r="R4" s="429"/>
      <c r="S4" s="429"/>
      <c r="T4" s="429"/>
      <c r="U4" s="429"/>
      <c r="V4" s="429"/>
      <c r="W4" s="429"/>
      <c r="X4" s="429"/>
      <c r="Y4" s="429"/>
      <c r="Z4" s="429"/>
      <c r="AA4" s="429"/>
      <c r="AB4" s="429"/>
      <c r="AC4" s="429"/>
      <c r="AD4" s="429"/>
      <c r="AE4" s="429"/>
      <c r="AF4" s="429"/>
      <c r="AG4" s="429"/>
      <c r="AH4" s="429"/>
      <c r="AI4" s="429"/>
      <c r="AJ4" s="429"/>
      <c r="AK4" s="429"/>
      <c r="AL4" s="417"/>
      <c r="AM4" s="417"/>
      <c r="AN4" s="417"/>
      <c r="AO4" s="417"/>
      <c r="AP4" s="417"/>
      <c r="AQ4" s="417"/>
      <c r="AR4" s="417"/>
      <c r="AS4" s="417"/>
      <c r="AT4" s="417"/>
      <c r="AU4" s="417"/>
      <c r="AV4" s="417"/>
      <c r="AW4" s="417"/>
      <c r="AX4" s="417"/>
      <c r="AY4" s="417"/>
      <c r="AZ4" s="417"/>
      <c r="BA4" s="417"/>
      <c r="BB4" s="417"/>
      <c r="BC4" s="417"/>
      <c r="BD4" s="417"/>
      <c r="BE4" s="417"/>
      <c r="BF4" s="417"/>
      <c r="BG4" s="417"/>
      <c r="BH4" s="417"/>
      <c r="BI4" s="417"/>
      <c r="BJ4" s="417"/>
      <c r="BK4" s="417"/>
      <c r="BL4" s="417"/>
      <c r="BM4" s="417"/>
      <c r="BN4" s="417"/>
      <c r="BO4" s="417"/>
      <c r="BP4" s="417"/>
      <c r="BQ4" s="417"/>
      <c r="BR4" s="417"/>
      <c r="BS4" s="417"/>
      <c r="BT4" s="417"/>
      <c r="BU4" s="417"/>
      <c r="BV4" s="417"/>
      <c r="BW4" s="417"/>
      <c r="BX4" s="417"/>
      <c r="BY4" s="417"/>
      <c r="BZ4" s="417"/>
      <c r="CA4" s="417"/>
      <c r="CB4" s="417"/>
      <c r="CC4" s="417"/>
      <c r="CD4" s="417"/>
      <c r="CE4" s="417"/>
      <c r="CF4" s="417"/>
      <c r="CG4" s="417"/>
    </row>
    <row r="5" spans="4:85" hidden="1">
      <c r="D5" s="417"/>
      <c r="E5" s="417"/>
      <c r="F5" s="437"/>
      <c r="G5" s="417"/>
      <c r="H5" s="429"/>
      <c r="I5" s="420"/>
      <c r="J5" s="420"/>
      <c r="K5" s="420"/>
      <c r="L5" s="420"/>
      <c r="M5" s="418"/>
      <c r="N5" s="429"/>
      <c r="O5" s="429"/>
      <c r="P5" s="429"/>
      <c r="Q5" s="429"/>
      <c r="R5" s="429"/>
      <c r="S5" s="429"/>
      <c r="T5" s="429"/>
      <c r="U5" s="429"/>
      <c r="V5" s="429"/>
      <c r="W5" s="429"/>
      <c r="X5" s="429"/>
      <c r="Y5" s="429"/>
      <c r="Z5" s="429"/>
      <c r="AA5" s="429"/>
      <c r="AB5" s="429"/>
      <c r="AC5" s="429"/>
      <c r="AD5" s="429"/>
      <c r="AE5" s="429"/>
      <c r="AF5" s="429"/>
      <c r="AG5" s="429"/>
      <c r="AH5" s="429"/>
      <c r="AI5" s="429"/>
      <c r="AJ5" s="429"/>
      <c r="AK5" s="429"/>
      <c r="AL5" s="417"/>
      <c r="AM5" s="417"/>
      <c r="AN5" s="417"/>
      <c r="AO5" s="417"/>
      <c r="AP5" s="417"/>
      <c r="AQ5" s="417"/>
      <c r="AR5" s="417"/>
      <c r="AS5" s="417"/>
      <c r="AT5" s="417"/>
      <c r="AU5" s="417"/>
      <c r="AV5" s="417"/>
      <c r="AW5" s="417"/>
      <c r="AX5" s="417"/>
      <c r="AY5" s="417"/>
      <c r="AZ5" s="417"/>
      <c r="BA5" s="417"/>
      <c r="BB5" s="417"/>
      <c r="BC5" s="417"/>
      <c r="BD5" s="417"/>
      <c r="BE5" s="417"/>
      <c r="BF5" s="417"/>
      <c r="BG5" s="417"/>
      <c r="BH5" s="417"/>
      <c r="BI5" s="417"/>
      <c r="BJ5" s="417"/>
      <c r="BK5" s="417"/>
      <c r="BL5" s="417"/>
      <c r="BM5" s="417"/>
      <c r="BN5" s="417"/>
      <c r="BO5" s="417"/>
      <c r="BP5" s="417"/>
      <c r="BQ5" s="417"/>
      <c r="BR5" s="417"/>
      <c r="BS5" s="417"/>
      <c r="BT5" s="417"/>
      <c r="BU5" s="417"/>
      <c r="BV5" s="417"/>
      <c r="BW5" s="417"/>
      <c r="BX5" s="417"/>
      <c r="BY5" s="417"/>
      <c r="BZ5" s="417"/>
      <c r="CA5" s="417"/>
      <c r="CB5" s="417"/>
      <c r="CC5" s="417"/>
      <c r="CD5" s="417"/>
      <c r="CE5" s="417"/>
      <c r="CF5" s="417"/>
      <c r="CG5" s="417"/>
    </row>
    <row r="6" spans="4:85">
      <c r="D6" s="417"/>
      <c r="E6" s="417" t="s">
        <v>390</v>
      </c>
      <c r="F6" s="437"/>
      <c r="G6" s="417"/>
      <c r="H6" s="429"/>
      <c r="I6" s="420"/>
      <c r="J6" s="420"/>
      <c r="K6" s="420"/>
      <c r="L6" s="420"/>
      <c r="M6" s="418"/>
      <c r="N6" s="429">
        <v>1</v>
      </c>
      <c r="O6" s="429">
        <f>N6+1</f>
        <v>2</v>
      </c>
      <c r="P6" s="429">
        <f t="shared" ref="P6:BU6" si="0">O6+1</f>
        <v>3</v>
      </c>
      <c r="Q6" s="429">
        <f t="shared" si="0"/>
        <v>4</v>
      </c>
      <c r="R6" s="429">
        <f t="shared" si="0"/>
        <v>5</v>
      </c>
      <c r="S6" s="429">
        <f t="shared" si="0"/>
        <v>6</v>
      </c>
      <c r="T6" s="429">
        <f t="shared" si="0"/>
        <v>7</v>
      </c>
      <c r="U6" s="429">
        <f t="shared" si="0"/>
        <v>8</v>
      </c>
      <c r="V6" s="429">
        <f t="shared" si="0"/>
        <v>9</v>
      </c>
      <c r="W6" s="429">
        <f t="shared" si="0"/>
        <v>10</v>
      </c>
      <c r="X6" s="429">
        <f t="shared" si="0"/>
        <v>11</v>
      </c>
      <c r="Y6" s="429">
        <f t="shared" si="0"/>
        <v>12</v>
      </c>
      <c r="Z6" s="429">
        <f t="shared" si="0"/>
        <v>13</v>
      </c>
      <c r="AA6" s="429">
        <f t="shared" si="0"/>
        <v>14</v>
      </c>
      <c r="AB6" s="429">
        <f t="shared" si="0"/>
        <v>15</v>
      </c>
      <c r="AC6" s="429">
        <f t="shared" si="0"/>
        <v>16</v>
      </c>
      <c r="AD6" s="429">
        <f t="shared" si="0"/>
        <v>17</v>
      </c>
      <c r="AE6" s="429">
        <f t="shared" si="0"/>
        <v>18</v>
      </c>
      <c r="AF6" s="429">
        <f t="shared" si="0"/>
        <v>19</v>
      </c>
      <c r="AG6" s="429">
        <f t="shared" si="0"/>
        <v>20</v>
      </c>
      <c r="AH6" s="429">
        <f t="shared" si="0"/>
        <v>21</v>
      </c>
      <c r="AI6" s="429">
        <f t="shared" si="0"/>
        <v>22</v>
      </c>
      <c r="AJ6" s="429">
        <f t="shared" si="0"/>
        <v>23</v>
      </c>
      <c r="AK6" s="429">
        <f t="shared" si="0"/>
        <v>24</v>
      </c>
      <c r="AL6" s="429">
        <f t="shared" si="0"/>
        <v>25</v>
      </c>
      <c r="AM6" s="429">
        <f t="shared" si="0"/>
        <v>26</v>
      </c>
      <c r="AN6" s="429">
        <f t="shared" si="0"/>
        <v>27</v>
      </c>
      <c r="AO6" s="429">
        <f t="shared" si="0"/>
        <v>28</v>
      </c>
      <c r="AP6" s="429">
        <f t="shared" si="0"/>
        <v>29</v>
      </c>
      <c r="AQ6" s="429">
        <f t="shared" si="0"/>
        <v>30</v>
      </c>
      <c r="AR6" s="429">
        <f t="shared" si="0"/>
        <v>31</v>
      </c>
      <c r="AS6" s="429">
        <f t="shared" si="0"/>
        <v>32</v>
      </c>
      <c r="AT6" s="429">
        <f t="shared" si="0"/>
        <v>33</v>
      </c>
      <c r="AU6" s="429">
        <f t="shared" si="0"/>
        <v>34</v>
      </c>
      <c r="AV6" s="429">
        <f t="shared" si="0"/>
        <v>35</v>
      </c>
      <c r="AW6" s="429">
        <f t="shared" si="0"/>
        <v>36</v>
      </c>
      <c r="AX6" s="429">
        <f t="shared" si="0"/>
        <v>37</v>
      </c>
      <c r="AY6" s="429">
        <f t="shared" si="0"/>
        <v>38</v>
      </c>
      <c r="AZ6" s="429">
        <f t="shared" si="0"/>
        <v>39</v>
      </c>
      <c r="BA6" s="429">
        <f t="shared" si="0"/>
        <v>40</v>
      </c>
      <c r="BB6" s="429">
        <f t="shared" si="0"/>
        <v>41</v>
      </c>
      <c r="BC6" s="429">
        <f t="shared" si="0"/>
        <v>42</v>
      </c>
      <c r="BD6" s="429">
        <f t="shared" si="0"/>
        <v>43</v>
      </c>
      <c r="BE6" s="429">
        <f t="shared" si="0"/>
        <v>44</v>
      </c>
      <c r="BF6" s="429">
        <f t="shared" si="0"/>
        <v>45</v>
      </c>
      <c r="BG6" s="429">
        <f t="shared" si="0"/>
        <v>46</v>
      </c>
      <c r="BH6" s="429">
        <f t="shared" si="0"/>
        <v>47</v>
      </c>
      <c r="BI6" s="429">
        <f t="shared" si="0"/>
        <v>48</v>
      </c>
      <c r="BJ6" s="429">
        <f t="shared" si="0"/>
        <v>49</v>
      </c>
      <c r="BK6" s="429">
        <f t="shared" si="0"/>
        <v>50</v>
      </c>
      <c r="BL6" s="429">
        <f t="shared" si="0"/>
        <v>51</v>
      </c>
      <c r="BM6" s="429">
        <f t="shared" si="0"/>
        <v>52</v>
      </c>
      <c r="BN6" s="429">
        <f t="shared" si="0"/>
        <v>53</v>
      </c>
      <c r="BO6" s="429">
        <f t="shared" si="0"/>
        <v>54</v>
      </c>
      <c r="BP6" s="429">
        <f t="shared" si="0"/>
        <v>55</v>
      </c>
      <c r="BQ6" s="429">
        <f t="shared" si="0"/>
        <v>56</v>
      </c>
      <c r="BR6" s="429">
        <f t="shared" si="0"/>
        <v>57</v>
      </c>
      <c r="BS6" s="429">
        <f t="shared" si="0"/>
        <v>58</v>
      </c>
      <c r="BT6" s="429">
        <f t="shared" si="0"/>
        <v>59</v>
      </c>
      <c r="BU6" s="429">
        <f t="shared" si="0"/>
        <v>60</v>
      </c>
      <c r="BV6" s="429">
        <f t="shared" ref="BV6:CG6" si="1">BU6+1</f>
        <v>61</v>
      </c>
      <c r="BW6" s="429">
        <f t="shared" si="1"/>
        <v>62</v>
      </c>
      <c r="BX6" s="429">
        <f t="shared" si="1"/>
        <v>63</v>
      </c>
      <c r="BY6" s="429">
        <f t="shared" si="1"/>
        <v>64</v>
      </c>
      <c r="BZ6" s="429">
        <f t="shared" si="1"/>
        <v>65</v>
      </c>
      <c r="CA6" s="429">
        <f t="shared" si="1"/>
        <v>66</v>
      </c>
      <c r="CB6" s="429">
        <f t="shared" si="1"/>
        <v>67</v>
      </c>
      <c r="CC6" s="429">
        <f t="shared" si="1"/>
        <v>68</v>
      </c>
      <c r="CD6" s="429">
        <f t="shared" si="1"/>
        <v>69</v>
      </c>
      <c r="CE6" s="429">
        <f t="shared" si="1"/>
        <v>70</v>
      </c>
      <c r="CF6" s="429">
        <f t="shared" si="1"/>
        <v>71</v>
      </c>
      <c r="CG6" s="429">
        <f t="shared" si="1"/>
        <v>72</v>
      </c>
    </row>
    <row r="7" spans="4:85">
      <c r="D7" s="417"/>
      <c r="E7" s="417" t="s">
        <v>58</v>
      </c>
      <c r="F7" s="438"/>
      <c r="G7" s="417"/>
      <c r="H7" s="429"/>
      <c r="I7" s="420"/>
      <c r="J7" s="420"/>
      <c r="K7" s="420"/>
      <c r="L7" s="420"/>
      <c r="M7" s="420"/>
      <c r="N7" s="420">
        <f>_xlfn.XLOOKUP(N$6,Dates!$B$4:$B$75,Dates!$C$4:$C$75)</f>
        <v>45658</v>
      </c>
      <c r="O7" s="420">
        <f>_xlfn.XLOOKUP(O$6,Dates!$B$4:$B$75,Dates!$C$4:$C$75)</f>
        <v>45689</v>
      </c>
      <c r="P7" s="420">
        <f>_xlfn.XLOOKUP(P$6,Dates!$B$4:$B$75,Dates!$C$4:$C$75)</f>
        <v>45717</v>
      </c>
      <c r="Q7" s="420">
        <f>_xlfn.XLOOKUP(Q$6,Dates!$B$4:$B$75,Dates!$C$4:$C$75)</f>
        <v>45748</v>
      </c>
      <c r="R7" s="420">
        <f>_xlfn.XLOOKUP(R$6,Dates!$B$4:$B$75,Dates!$C$4:$C$75)</f>
        <v>45778</v>
      </c>
      <c r="S7" s="420">
        <f>_xlfn.XLOOKUP(S$6,Dates!$B$4:$B$75,Dates!$C$4:$C$75)</f>
        <v>45809</v>
      </c>
      <c r="T7" s="420">
        <f>_xlfn.XLOOKUP(T$6,Dates!$B$4:$B$75,Dates!$C$4:$C$75)</f>
        <v>45839</v>
      </c>
      <c r="U7" s="420">
        <f>_xlfn.XLOOKUP(U$6,Dates!$B$4:$B$75,Dates!$C$4:$C$75)</f>
        <v>45870</v>
      </c>
      <c r="V7" s="420">
        <f>_xlfn.XLOOKUP(V$6,Dates!$B$4:$B$75,Dates!$C$4:$C$75)</f>
        <v>45901</v>
      </c>
      <c r="W7" s="420">
        <f>_xlfn.XLOOKUP(W$6,Dates!$B$4:$B$75,Dates!$C$4:$C$75)</f>
        <v>45931</v>
      </c>
      <c r="X7" s="420">
        <f>_xlfn.XLOOKUP(X$6,Dates!$B$4:$B$75,Dates!$C$4:$C$75)</f>
        <v>45962</v>
      </c>
      <c r="Y7" s="420">
        <f>_xlfn.XLOOKUP(Y$6,Dates!$B$4:$B$75,Dates!$C$4:$C$75)</f>
        <v>45992</v>
      </c>
      <c r="Z7" s="420">
        <f>_xlfn.XLOOKUP(Z$6,Dates!$B$4:$B$75,Dates!$C$4:$C$75)</f>
        <v>46023</v>
      </c>
      <c r="AA7" s="420">
        <f>_xlfn.XLOOKUP(AA$6,Dates!$B$4:$B$75,Dates!$C$4:$C$75)</f>
        <v>46054</v>
      </c>
      <c r="AB7" s="420">
        <f>_xlfn.XLOOKUP(AB$6,Dates!$B$4:$B$75,Dates!$C$4:$C$75)</f>
        <v>46082</v>
      </c>
      <c r="AC7" s="420">
        <f>_xlfn.XLOOKUP(AC$6,Dates!$B$4:$B$75,Dates!$C$4:$C$75)</f>
        <v>46113</v>
      </c>
      <c r="AD7" s="420">
        <f>_xlfn.XLOOKUP(AD$6,Dates!$B$4:$B$75,Dates!$C$4:$C$75)</f>
        <v>46143</v>
      </c>
      <c r="AE7" s="420">
        <f>_xlfn.XLOOKUP(AE$6,Dates!$B$4:$B$75,Dates!$C$4:$C$75)</f>
        <v>46174</v>
      </c>
      <c r="AF7" s="420">
        <f>_xlfn.XLOOKUP(AF$6,Dates!$B$4:$B$75,Dates!$C$4:$C$75)</f>
        <v>46204</v>
      </c>
      <c r="AG7" s="420">
        <f>_xlfn.XLOOKUP(AG$6,Dates!$B$4:$B$75,Dates!$C$4:$C$75)</f>
        <v>46235</v>
      </c>
      <c r="AH7" s="420">
        <f>_xlfn.XLOOKUP(AH$6,Dates!$B$4:$B$75,Dates!$C$4:$C$75)</f>
        <v>46266</v>
      </c>
      <c r="AI7" s="420">
        <f>_xlfn.XLOOKUP(AI$6,Dates!$B$4:$B$75,Dates!$C$4:$C$75)</f>
        <v>46296</v>
      </c>
      <c r="AJ7" s="420">
        <f>_xlfn.XLOOKUP(AJ$6,Dates!$B$4:$B$75,Dates!$C$4:$C$75)</f>
        <v>46327</v>
      </c>
      <c r="AK7" s="420">
        <f>_xlfn.XLOOKUP(AK$6,Dates!$B$4:$B$75,Dates!$C$4:$C$75)</f>
        <v>46357</v>
      </c>
      <c r="AL7" s="420">
        <f>_xlfn.XLOOKUP(AL$6,Dates!$B$4:$B$75,Dates!$C$4:$C$75)</f>
        <v>46388</v>
      </c>
      <c r="AM7" s="420">
        <f>_xlfn.XLOOKUP(AM$6,Dates!$B$4:$B$75,Dates!$C$4:$C$75)</f>
        <v>46419</v>
      </c>
      <c r="AN7" s="420">
        <f>_xlfn.XLOOKUP(AN$6,Dates!$B$4:$B$75,Dates!$C$4:$C$75)</f>
        <v>46447</v>
      </c>
      <c r="AO7" s="420">
        <f>_xlfn.XLOOKUP(AO$6,Dates!$B$4:$B$75,Dates!$C$4:$C$75)</f>
        <v>46478</v>
      </c>
      <c r="AP7" s="420">
        <f>_xlfn.XLOOKUP(AP$6,Dates!$B$4:$B$75,Dates!$C$4:$C$75)</f>
        <v>46508</v>
      </c>
      <c r="AQ7" s="420">
        <f>_xlfn.XLOOKUP(AQ$6,Dates!$B$4:$B$75,Dates!$C$4:$C$75)</f>
        <v>46539</v>
      </c>
      <c r="AR7" s="420">
        <f>_xlfn.XLOOKUP(AR$6,Dates!$B$4:$B$75,Dates!$C$4:$C$75)</f>
        <v>46569</v>
      </c>
      <c r="AS7" s="420">
        <f>_xlfn.XLOOKUP(AS$6,Dates!$B$4:$B$75,Dates!$C$4:$C$75)</f>
        <v>46600</v>
      </c>
      <c r="AT7" s="420">
        <f>_xlfn.XLOOKUP(AT$6,Dates!$B$4:$B$75,Dates!$C$4:$C$75)</f>
        <v>46631</v>
      </c>
      <c r="AU7" s="420">
        <f>_xlfn.XLOOKUP(AU$6,Dates!$B$4:$B$75,Dates!$C$4:$C$75)</f>
        <v>46661</v>
      </c>
      <c r="AV7" s="420">
        <f>_xlfn.XLOOKUP(AV$6,Dates!$B$4:$B$75,Dates!$C$4:$C$75)</f>
        <v>46692</v>
      </c>
      <c r="AW7" s="420">
        <f>_xlfn.XLOOKUP(AW$6,Dates!$B$4:$B$75,Dates!$C$4:$C$75)</f>
        <v>46722</v>
      </c>
      <c r="AX7" s="420">
        <f>_xlfn.XLOOKUP(AX$6,Dates!$B$4:$B$75,Dates!$C$4:$C$75)</f>
        <v>46753</v>
      </c>
      <c r="AY7" s="420">
        <f>_xlfn.XLOOKUP(AY$6,Dates!$B$4:$B$75,Dates!$C$4:$C$75)</f>
        <v>46784</v>
      </c>
      <c r="AZ7" s="420">
        <f>_xlfn.XLOOKUP(AZ$6,Dates!$B$4:$B$75,Dates!$C$4:$C$75)</f>
        <v>46813</v>
      </c>
      <c r="BA7" s="420">
        <f>_xlfn.XLOOKUP(BA$6,Dates!$B$4:$B$75,Dates!$C$4:$C$75)</f>
        <v>46844</v>
      </c>
      <c r="BB7" s="420">
        <f>_xlfn.XLOOKUP(BB$6,Dates!$B$4:$B$75,Dates!$C$4:$C$75)</f>
        <v>46874</v>
      </c>
      <c r="BC7" s="420">
        <f>_xlfn.XLOOKUP(BC$6,Dates!$B$4:$B$75,Dates!$C$4:$C$75)</f>
        <v>46905</v>
      </c>
      <c r="BD7" s="420">
        <f>_xlfn.XLOOKUP(BD$6,Dates!$B$4:$B$75,Dates!$C$4:$C$75)</f>
        <v>46935</v>
      </c>
      <c r="BE7" s="420">
        <f>_xlfn.XLOOKUP(BE$6,Dates!$B$4:$B$75,Dates!$C$4:$C$75)</f>
        <v>46966</v>
      </c>
      <c r="BF7" s="420">
        <f>_xlfn.XLOOKUP(BF$6,Dates!$B$4:$B$75,Dates!$C$4:$C$75)</f>
        <v>46997</v>
      </c>
      <c r="BG7" s="420">
        <f>_xlfn.XLOOKUP(BG$6,Dates!$B$4:$B$75,Dates!$C$4:$C$75)</f>
        <v>47027</v>
      </c>
      <c r="BH7" s="420">
        <f>_xlfn.XLOOKUP(BH$6,Dates!$B$4:$B$75,Dates!$C$4:$C$75)</f>
        <v>47058</v>
      </c>
      <c r="BI7" s="420">
        <f>_xlfn.XLOOKUP(BI$6,Dates!$B$4:$B$75,Dates!$C$4:$C$75)</f>
        <v>47088</v>
      </c>
      <c r="BJ7" s="420">
        <f>_xlfn.XLOOKUP(BJ$6,Dates!$B$4:$B$75,Dates!$C$4:$C$75)</f>
        <v>47119</v>
      </c>
      <c r="BK7" s="420">
        <f>_xlfn.XLOOKUP(BK$6,Dates!$B$4:$B$75,Dates!$C$4:$C$75)</f>
        <v>47150</v>
      </c>
      <c r="BL7" s="420">
        <f>_xlfn.XLOOKUP(BL$6,Dates!$B$4:$B$75,Dates!$C$4:$C$75)</f>
        <v>47178</v>
      </c>
      <c r="BM7" s="420">
        <f>_xlfn.XLOOKUP(BM$6,Dates!$B$4:$B$75,Dates!$C$4:$C$75)</f>
        <v>47209</v>
      </c>
      <c r="BN7" s="420">
        <f>_xlfn.XLOOKUP(BN$6,Dates!$B$4:$B$75,Dates!$C$4:$C$75)</f>
        <v>47239</v>
      </c>
      <c r="BO7" s="420">
        <f>_xlfn.XLOOKUP(BO$6,Dates!$B$4:$B$75,Dates!$C$4:$C$75)</f>
        <v>47270</v>
      </c>
      <c r="BP7" s="420">
        <f>_xlfn.XLOOKUP(BP$6,Dates!$B$4:$B$75,Dates!$C$4:$C$75)</f>
        <v>47300</v>
      </c>
      <c r="BQ7" s="420">
        <f>_xlfn.XLOOKUP(BQ$6,Dates!$B$4:$B$75,Dates!$C$4:$C$75)</f>
        <v>47331</v>
      </c>
      <c r="BR7" s="420">
        <f>_xlfn.XLOOKUP(BR$6,Dates!$B$4:$B$75,Dates!$C$4:$C$75)</f>
        <v>47362</v>
      </c>
      <c r="BS7" s="420">
        <f>_xlfn.XLOOKUP(BS$6,Dates!$B$4:$B$75,Dates!$C$4:$C$75)</f>
        <v>47392</v>
      </c>
      <c r="BT7" s="420">
        <f>_xlfn.XLOOKUP(BT$6,Dates!$B$4:$B$75,Dates!$C$4:$C$75)</f>
        <v>47423</v>
      </c>
      <c r="BU7" s="420">
        <f>_xlfn.XLOOKUP(BU$6,Dates!$B$4:$B$75,Dates!$C$4:$C$75)</f>
        <v>47453</v>
      </c>
      <c r="BV7" s="420">
        <f>_xlfn.XLOOKUP(BV$6,Dates!$B$4:$B$75,Dates!$C$4:$C$75)</f>
        <v>47484</v>
      </c>
      <c r="BW7" s="420">
        <f>_xlfn.XLOOKUP(BW$6,Dates!$B$4:$B$75,Dates!$C$4:$C$75)</f>
        <v>47515</v>
      </c>
      <c r="BX7" s="420">
        <f>_xlfn.XLOOKUP(BX$6,Dates!$B$4:$B$75,Dates!$C$4:$C$75)</f>
        <v>47543</v>
      </c>
      <c r="BY7" s="420">
        <f>_xlfn.XLOOKUP(BY$6,Dates!$B$4:$B$75,Dates!$C$4:$C$75)</f>
        <v>47574</v>
      </c>
      <c r="BZ7" s="420">
        <f>_xlfn.XLOOKUP(BZ$6,Dates!$B$4:$B$75,Dates!$C$4:$C$75)</f>
        <v>47604</v>
      </c>
      <c r="CA7" s="420">
        <f>_xlfn.XLOOKUP(CA$6,Dates!$B$4:$B$75,Dates!$C$4:$C$75)</f>
        <v>47635</v>
      </c>
      <c r="CB7" s="420">
        <f>_xlfn.XLOOKUP(CB$6,Dates!$B$4:$B$75,Dates!$C$4:$C$75)</f>
        <v>47665</v>
      </c>
      <c r="CC7" s="420">
        <f>_xlfn.XLOOKUP(CC$6,Dates!$B$4:$B$75,Dates!$C$4:$C$75)</f>
        <v>47696</v>
      </c>
      <c r="CD7" s="420">
        <f>_xlfn.XLOOKUP(CD$6,Dates!$B$4:$B$75,Dates!$C$4:$C$75)</f>
        <v>47727</v>
      </c>
      <c r="CE7" s="420">
        <f>_xlfn.XLOOKUP(CE$6,Dates!$B$4:$B$75,Dates!$C$4:$C$75)</f>
        <v>47757</v>
      </c>
      <c r="CF7" s="420">
        <f>_xlfn.XLOOKUP(CF$6,Dates!$B$4:$B$75,Dates!$C$4:$C$75)</f>
        <v>47788</v>
      </c>
      <c r="CG7" s="420">
        <f>_xlfn.XLOOKUP(CG$6,Dates!$B$4:$B$75,Dates!$C$4:$C$75)</f>
        <v>47818</v>
      </c>
    </row>
    <row r="8" spans="4:85">
      <c r="D8" s="417"/>
      <c r="E8" s="417" t="s">
        <v>59</v>
      </c>
      <c r="F8" s="438"/>
      <c r="G8" s="417"/>
      <c r="H8" s="429"/>
      <c r="I8" s="420"/>
      <c r="J8" s="420"/>
      <c r="K8" s="420"/>
      <c r="L8" s="420"/>
      <c r="M8" s="420"/>
      <c r="N8" s="420">
        <f>EDATE(N7,1)-1</f>
        <v>45688</v>
      </c>
      <c r="O8" s="420">
        <f t="shared" ref="O8:AK8" si="2">EDATE(O7,1)-1</f>
        <v>45716</v>
      </c>
      <c r="P8" s="420">
        <f t="shared" si="2"/>
        <v>45747</v>
      </c>
      <c r="Q8" s="420">
        <f t="shared" si="2"/>
        <v>45777</v>
      </c>
      <c r="R8" s="420">
        <f t="shared" si="2"/>
        <v>45808</v>
      </c>
      <c r="S8" s="420">
        <f t="shared" si="2"/>
        <v>45838</v>
      </c>
      <c r="T8" s="420">
        <f t="shared" si="2"/>
        <v>45869</v>
      </c>
      <c r="U8" s="420">
        <f t="shared" si="2"/>
        <v>45900</v>
      </c>
      <c r="V8" s="420">
        <f t="shared" si="2"/>
        <v>45930</v>
      </c>
      <c r="W8" s="420">
        <f t="shared" si="2"/>
        <v>45961</v>
      </c>
      <c r="X8" s="420">
        <f t="shared" si="2"/>
        <v>45991</v>
      </c>
      <c r="Y8" s="420">
        <f t="shared" si="2"/>
        <v>46022</v>
      </c>
      <c r="Z8" s="420">
        <f t="shared" si="2"/>
        <v>46053</v>
      </c>
      <c r="AA8" s="420">
        <f t="shared" si="2"/>
        <v>46081</v>
      </c>
      <c r="AB8" s="420">
        <f t="shared" si="2"/>
        <v>46112</v>
      </c>
      <c r="AC8" s="420">
        <f t="shared" si="2"/>
        <v>46142</v>
      </c>
      <c r="AD8" s="420">
        <f t="shared" si="2"/>
        <v>46173</v>
      </c>
      <c r="AE8" s="420">
        <f t="shared" si="2"/>
        <v>46203</v>
      </c>
      <c r="AF8" s="420">
        <f t="shared" si="2"/>
        <v>46234</v>
      </c>
      <c r="AG8" s="420">
        <f t="shared" si="2"/>
        <v>46265</v>
      </c>
      <c r="AH8" s="420">
        <f t="shared" si="2"/>
        <v>46295</v>
      </c>
      <c r="AI8" s="420">
        <f t="shared" si="2"/>
        <v>46326</v>
      </c>
      <c r="AJ8" s="420">
        <f t="shared" si="2"/>
        <v>46356</v>
      </c>
      <c r="AK8" s="420">
        <f t="shared" si="2"/>
        <v>46387</v>
      </c>
      <c r="AL8" s="420">
        <f t="shared" ref="AL8:CG8" si="3">EDATE(AL7,1)-1</f>
        <v>46418</v>
      </c>
      <c r="AM8" s="420">
        <f t="shared" si="3"/>
        <v>46446</v>
      </c>
      <c r="AN8" s="420">
        <f t="shared" si="3"/>
        <v>46477</v>
      </c>
      <c r="AO8" s="420">
        <f t="shared" si="3"/>
        <v>46507</v>
      </c>
      <c r="AP8" s="420">
        <f t="shared" si="3"/>
        <v>46538</v>
      </c>
      <c r="AQ8" s="420">
        <f t="shared" si="3"/>
        <v>46568</v>
      </c>
      <c r="AR8" s="420">
        <f t="shared" si="3"/>
        <v>46599</v>
      </c>
      <c r="AS8" s="420">
        <f t="shared" si="3"/>
        <v>46630</v>
      </c>
      <c r="AT8" s="420">
        <f t="shared" si="3"/>
        <v>46660</v>
      </c>
      <c r="AU8" s="420">
        <f t="shared" si="3"/>
        <v>46691</v>
      </c>
      <c r="AV8" s="420">
        <f t="shared" si="3"/>
        <v>46721</v>
      </c>
      <c r="AW8" s="420">
        <f t="shared" si="3"/>
        <v>46752</v>
      </c>
      <c r="AX8" s="420">
        <f t="shared" si="3"/>
        <v>46783</v>
      </c>
      <c r="AY8" s="420">
        <f t="shared" si="3"/>
        <v>46812</v>
      </c>
      <c r="AZ8" s="420">
        <f t="shared" si="3"/>
        <v>46843</v>
      </c>
      <c r="BA8" s="420">
        <f t="shared" si="3"/>
        <v>46873</v>
      </c>
      <c r="BB8" s="420">
        <f t="shared" si="3"/>
        <v>46904</v>
      </c>
      <c r="BC8" s="420">
        <f t="shared" si="3"/>
        <v>46934</v>
      </c>
      <c r="BD8" s="420">
        <f t="shared" si="3"/>
        <v>46965</v>
      </c>
      <c r="BE8" s="420">
        <f t="shared" si="3"/>
        <v>46996</v>
      </c>
      <c r="BF8" s="420">
        <f t="shared" si="3"/>
        <v>47026</v>
      </c>
      <c r="BG8" s="420">
        <f t="shared" si="3"/>
        <v>47057</v>
      </c>
      <c r="BH8" s="420">
        <f t="shared" si="3"/>
        <v>47087</v>
      </c>
      <c r="BI8" s="420">
        <f t="shared" si="3"/>
        <v>47118</v>
      </c>
      <c r="BJ8" s="420">
        <f t="shared" si="3"/>
        <v>47149</v>
      </c>
      <c r="BK8" s="420">
        <f t="shared" si="3"/>
        <v>47177</v>
      </c>
      <c r="BL8" s="420">
        <f t="shared" si="3"/>
        <v>47208</v>
      </c>
      <c r="BM8" s="420">
        <f t="shared" si="3"/>
        <v>47238</v>
      </c>
      <c r="BN8" s="420">
        <f t="shared" si="3"/>
        <v>47269</v>
      </c>
      <c r="BO8" s="420">
        <f t="shared" si="3"/>
        <v>47299</v>
      </c>
      <c r="BP8" s="420">
        <f t="shared" si="3"/>
        <v>47330</v>
      </c>
      <c r="BQ8" s="420">
        <f t="shared" si="3"/>
        <v>47361</v>
      </c>
      <c r="BR8" s="420">
        <f t="shared" si="3"/>
        <v>47391</v>
      </c>
      <c r="BS8" s="420">
        <f t="shared" si="3"/>
        <v>47422</v>
      </c>
      <c r="BT8" s="420">
        <f t="shared" si="3"/>
        <v>47452</v>
      </c>
      <c r="BU8" s="420">
        <f t="shared" si="3"/>
        <v>47483</v>
      </c>
      <c r="BV8" s="420">
        <f t="shared" si="3"/>
        <v>47514</v>
      </c>
      <c r="BW8" s="420">
        <f t="shared" si="3"/>
        <v>47542</v>
      </c>
      <c r="BX8" s="420">
        <f t="shared" si="3"/>
        <v>47573</v>
      </c>
      <c r="BY8" s="420">
        <f t="shared" si="3"/>
        <v>47603</v>
      </c>
      <c r="BZ8" s="420">
        <f t="shared" si="3"/>
        <v>47634</v>
      </c>
      <c r="CA8" s="420">
        <f t="shared" si="3"/>
        <v>47664</v>
      </c>
      <c r="CB8" s="420">
        <f t="shared" si="3"/>
        <v>47695</v>
      </c>
      <c r="CC8" s="420">
        <f t="shared" si="3"/>
        <v>47726</v>
      </c>
      <c r="CD8" s="420">
        <f t="shared" si="3"/>
        <v>47756</v>
      </c>
      <c r="CE8" s="420">
        <f t="shared" si="3"/>
        <v>47787</v>
      </c>
      <c r="CF8" s="420">
        <f t="shared" si="3"/>
        <v>47817</v>
      </c>
      <c r="CG8" s="420">
        <f t="shared" si="3"/>
        <v>47848</v>
      </c>
    </row>
    <row r="9" spans="4:85">
      <c r="D9" s="417"/>
      <c r="E9" s="417" t="s">
        <v>238</v>
      </c>
      <c r="F9" s="438"/>
      <c r="G9" s="429"/>
      <c r="H9" s="429"/>
      <c r="I9" s="429"/>
      <c r="J9" s="429"/>
      <c r="K9" s="429"/>
      <c r="L9" s="429"/>
      <c r="M9" s="418"/>
      <c r="N9" s="433">
        <v>1</v>
      </c>
      <c r="O9" s="433">
        <v>2</v>
      </c>
      <c r="P9" s="433">
        <v>3</v>
      </c>
      <c r="Q9" s="433">
        <v>4</v>
      </c>
      <c r="R9" s="433">
        <f>N9</f>
        <v>1</v>
      </c>
      <c r="S9" s="433">
        <f t="shared" ref="S9:AK9" si="4">O9</f>
        <v>2</v>
      </c>
      <c r="T9" s="433">
        <f t="shared" si="4"/>
        <v>3</v>
      </c>
      <c r="U9" s="433">
        <f t="shared" si="4"/>
        <v>4</v>
      </c>
      <c r="V9" s="433">
        <f t="shared" si="4"/>
        <v>1</v>
      </c>
      <c r="W9" s="433">
        <f t="shared" si="4"/>
        <v>2</v>
      </c>
      <c r="X9" s="433">
        <f t="shared" si="4"/>
        <v>3</v>
      </c>
      <c r="Y9" s="433">
        <f t="shared" si="4"/>
        <v>4</v>
      </c>
      <c r="Z9" s="433">
        <f t="shared" si="4"/>
        <v>1</v>
      </c>
      <c r="AA9" s="433">
        <f t="shared" si="4"/>
        <v>2</v>
      </c>
      <c r="AB9" s="433">
        <f t="shared" si="4"/>
        <v>3</v>
      </c>
      <c r="AC9" s="433">
        <f t="shared" si="4"/>
        <v>4</v>
      </c>
      <c r="AD9" s="433">
        <f t="shared" si="4"/>
        <v>1</v>
      </c>
      <c r="AE9" s="433">
        <f t="shared" si="4"/>
        <v>2</v>
      </c>
      <c r="AF9" s="433">
        <f t="shared" si="4"/>
        <v>3</v>
      </c>
      <c r="AG9" s="433">
        <f t="shared" si="4"/>
        <v>4</v>
      </c>
      <c r="AH9" s="433">
        <f t="shared" si="4"/>
        <v>1</v>
      </c>
      <c r="AI9" s="433">
        <f t="shared" si="4"/>
        <v>2</v>
      </c>
      <c r="AJ9" s="433">
        <f t="shared" si="4"/>
        <v>3</v>
      </c>
      <c r="AK9" s="433">
        <f t="shared" si="4"/>
        <v>4</v>
      </c>
      <c r="AL9" s="433">
        <f t="shared" ref="AL9" si="5">AH9</f>
        <v>1</v>
      </c>
      <c r="AM9" s="433">
        <f t="shared" ref="AM9" si="6">AI9</f>
        <v>2</v>
      </c>
      <c r="AN9" s="433">
        <f t="shared" ref="AN9" si="7">AJ9</f>
        <v>3</v>
      </c>
      <c r="AO9" s="433">
        <f t="shared" ref="AO9" si="8">AK9</f>
        <v>4</v>
      </c>
      <c r="AP9" s="433">
        <f t="shared" ref="AP9" si="9">AL9</f>
        <v>1</v>
      </c>
      <c r="AQ9" s="433">
        <f t="shared" ref="AQ9" si="10">AM9</f>
        <v>2</v>
      </c>
      <c r="AR9" s="433">
        <f t="shared" ref="AR9" si="11">AN9</f>
        <v>3</v>
      </c>
      <c r="AS9" s="433">
        <f t="shared" ref="AS9" si="12">AO9</f>
        <v>4</v>
      </c>
      <c r="AT9" s="433">
        <f t="shared" ref="AT9" si="13">AP9</f>
        <v>1</v>
      </c>
      <c r="AU9" s="433">
        <f t="shared" ref="AU9" si="14">AQ9</f>
        <v>2</v>
      </c>
      <c r="AV9" s="433">
        <f t="shared" ref="AV9" si="15">AR9</f>
        <v>3</v>
      </c>
      <c r="AW9" s="433">
        <f t="shared" ref="AW9" si="16">AS9</f>
        <v>4</v>
      </c>
      <c r="AX9" s="433">
        <f t="shared" ref="AX9" si="17">AT9</f>
        <v>1</v>
      </c>
      <c r="AY9" s="433">
        <f t="shared" ref="AY9" si="18">AU9</f>
        <v>2</v>
      </c>
      <c r="AZ9" s="433">
        <f t="shared" ref="AZ9" si="19">AV9</f>
        <v>3</v>
      </c>
      <c r="BA9" s="433">
        <f t="shared" ref="BA9" si="20">AW9</f>
        <v>4</v>
      </c>
      <c r="BB9" s="433">
        <f t="shared" ref="BB9" si="21">AX9</f>
        <v>1</v>
      </c>
      <c r="BC9" s="433">
        <f t="shared" ref="BC9" si="22">AY9</f>
        <v>2</v>
      </c>
      <c r="BD9" s="433">
        <f t="shared" ref="BD9" si="23">AZ9</f>
        <v>3</v>
      </c>
      <c r="BE9" s="433">
        <f t="shared" ref="BE9" si="24">BA9</f>
        <v>4</v>
      </c>
      <c r="BF9" s="433">
        <f t="shared" ref="BF9" si="25">BB9</f>
        <v>1</v>
      </c>
      <c r="BG9" s="433">
        <f t="shared" ref="BG9" si="26">BC9</f>
        <v>2</v>
      </c>
      <c r="BH9" s="433">
        <f t="shared" ref="BH9" si="27">BD9</f>
        <v>3</v>
      </c>
      <c r="BI9" s="433">
        <f t="shared" ref="BI9" si="28">BE9</f>
        <v>4</v>
      </c>
      <c r="BJ9" s="433">
        <f t="shared" ref="BJ9" si="29">BF9</f>
        <v>1</v>
      </c>
      <c r="BK9" s="433">
        <f t="shared" ref="BK9" si="30">BG9</f>
        <v>2</v>
      </c>
      <c r="BL9" s="433">
        <f t="shared" ref="BL9" si="31">BH9</f>
        <v>3</v>
      </c>
      <c r="BM9" s="433">
        <f t="shared" ref="BM9" si="32">BI9</f>
        <v>4</v>
      </c>
      <c r="BN9" s="433">
        <f t="shared" ref="BN9" si="33">BJ9</f>
        <v>1</v>
      </c>
      <c r="BO9" s="433">
        <f t="shared" ref="BO9" si="34">BK9</f>
        <v>2</v>
      </c>
      <c r="BP9" s="433">
        <f t="shared" ref="BP9" si="35">BL9</f>
        <v>3</v>
      </c>
      <c r="BQ9" s="433">
        <f t="shared" ref="BQ9" si="36">BM9</f>
        <v>4</v>
      </c>
      <c r="BR9" s="433">
        <f t="shared" ref="BR9" si="37">BN9</f>
        <v>1</v>
      </c>
      <c r="BS9" s="433">
        <f t="shared" ref="BS9" si="38">BO9</f>
        <v>2</v>
      </c>
      <c r="BT9" s="433">
        <f t="shared" ref="BT9" si="39">BP9</f>
        <v>3</v>
      </c>
      <c r="BU9" s="433">
        <f t="shared" ref="BU9" si="40">BQ9</f>
        <v>4</v>
      </c>
      <c r="BV9" s="433">
        <f t="shared" ref="BV9" si="41">BR9</f>
        <v>1</v>
      </c>
      <c r="BW9" s="433">
        <f t="shared" ref="BW9" si="42">BS9</f>
        <v>2</v>
      </c>
      <c r="BX9" s="433">
        <f t="shared" ref="BX9" si="43">BT9</f>
        <v>3</v>
      </c>
      <c r="BY9" s="433">
        <f t="shared" ref="BY9" si="44">BU9</f>
        <v>4</v>
      </c>
      <c r="BZ9" s="433">
        <f t="shared" ref="BZ9" si="45">BV9</f>
        <v>1</v>
      </c>
      <c r="CA9" s="433">
        <f t="shared" ref="CA9" si="46">BW9</f>
        <v>2</v>
      </c>
      <c r="CB9" s="433">
        <f t="shared" ref="CB9" si="47">BX9</f>
        <v>3</v>
      </c>
      <c r="CC9" s="433">
        <f t="shared" ref="CC9" si="48">BY9</f>
        <v>4</v>
      </c>
      <c r="CD9" s="433">
        <f t="shared" ref="CD9" si="49">BZ9</f>
        <v>1</v>
      </c>
      <c r="CE9" s="433">
        <f t="shared" ref="CE9" si="50">CA9</f>
        <v>2</v>
      </c>
      <c r="CF9" s="433">
        <f t="shared" ref="CF9" si="51">CB9</f>
        <v>3</v>
      </c>
      <c r="CG9" s="433">
        <f t="shared" ref="CG9" si="52">CC9</f>
        <v>4</v>
      </c>
    </row>
    <row r="10" spans="4:85">
      <c r="D10" s="417"/>
      <c r="E10" s="417" t="s">
        <v>190</v>
      </c>
      <c r="F10" s="438"/>
      <c r="G10" s="417"/>
      <c r="H10" s="429"/>
      <c r="I10" s="420"/>
      <c r="J10" s="420"/>
      <c r="K10" s="420"/>
      <c r="L10" s="420"/>
      <c r="M10" s="418"/>
      <c r="N10" s="433" t="str">
        <f>"Q"&amp;N9</f>
        <v>Q1</v>
      </c>
      <c r="O10" s="433" t="str">
        <f t="shared" ref="O10:BZ10" si="53">"Q"&amp;O9</f>
        <v>Q2</v>
      </c>
      <c r="P10" s="433" t="str">
        <f t="shared" si="53"/>
        <v>Q3</v>
      </c>
      <c r="Q10" s="433" t="str">
        <f t="shared" si="53"/>
        <v>Q4</v>
      </c>
      <c r="R10" s="433" t="str">
        <f t="shared" si="53"/>
        <v>Q1</v>
      </c>
      <c r="S10" s="433" t="str">
        <f t="shared" si="53"/>
        <v>Q2</v>
      </c>
      <c r="T10" s="433" t="str">
        <f t="shared" si="53"/>
        <v>Q3</v>
      </c>
      <c r="U10" s="433" t="str">
        <f t="shared" si="53"/>
        <v>Q4</v>
      </c>
      <c r="V10" s="433" t="str">
        <f t="shared" si="53"/>
        <v>Q1</v>
      </c>
      <c r="W10" s="433" t="str">
        <f t="shared" si="53"/>
        <v>Q2</v>
      </c>
      <c r="X10" s="433" t="str">
        <f t="shared" si="53"/>
        <v>Q3</v>
      </c>
      <c r="Y10" s="433" t="str">
        <f t="shared" si="53"/>
        <v>Q4</v>
      </c>
      <c r="Z10" s="433" t="str">
        <f t="shared" si="53"/>
        <v>Q1</v>
      </c>
      <c r="AA10" s="433" t="str">
        <f t="shared" si="53"/>
        <v>Q2</v>
      </c>
      <c r="AB10" s="433" t="str">
        <f t="shared" si="53"/>
        <v>Q3</v>
      </c>
      <c r="AC10" s="433" t="str">
        <f t="shared" si="53"/>
        <v>Q4</v>
      </c>
      <c r="AD10" s="433" t="str">
        <f t="shared" si="53"/>
        <v>Q1</v>
      </c>
      <c r="AE10" s="433" t="str">
        <f t="shared" si="53"/>
        <v>Q2</v>
      </c>
      <c r="AF10" s="433" t="str">
        <f t="shared" si="53"/>
        <v>Q3</v>
      </c>
      <c r="AG10" s="433" t="str">
        <f t="shared" si="53"/>
        <v>Q4</v>
      </c>
      <c r="AH10" s="433" t="str">
        <f t="shared" si="53"/>
        <v>Q1</v>
      </c>
      <c r="AI10" s="433" t="str">
        <f t="shared" si="53"/>
        <v>Q2</v>
      </c>
      <c r="AJ10" s="433" t="str">
        <f t="shared" si="53"/>
        <v>Q3</v>
      </c>
      <c r="AK10" s="433" t="str">
        <f t="shared" si="53"/>
        <v>Q4</v>
      </c>
      <c r="AL10" s="433" t="str">
        <f t="shared" si="53"/>
        <v>Q1</v>
      </c>
      <c r="AM10" s="433" t="str">
        <f t="shared" si="53"/>
        <v>Q2</v>
      </c>
      <c r="AN10" s="433" t="str">
        <f t="shared" si="53"/>
        <v>Q3</v>
      </c>
      <c r="AO10" s="433" t="str">
        <f t="shared" si="53"/>
        <v>Q4</v>
      </c>
      <c r="AP10" s="433" t="str">
        <f t="shared" si="53"/>
        <v>Q1</v>
      </c>
      <c r="AQ10" s="433" t="str">
        <f t="shared" si="53"/>
        <v>Q2</v>
      </c>
      <c r="AR10" s="433" t="str">
        <f t="shared" si="53"/>
        <v>Q3</v>
      </c>
      <c r="AS10" s="433" t="str">
        <f t="shared" si="53"/>
        <v>Q4</v>
      </c>
      <c r="AT10" s="433" t="str">
        <f t="shared" si="53"/>
        <v>Q1</v>
      </c>
      <c r="AU10" s="433" t="str">
        <f t="shared" si="53"/>
        <v>Q2</v>
      </c>
      <c r="AV10" s="433" t="str">
        <f t="shared" si="53"/>
        <v>Q3</v>
      </c>
      <c r="AW10" s="433" t="str">
        <f t="shared" si="53"/>
        <v>Q4</v>
      </c>
      <c r="AX10" s="433" t="str">
        <f t="shared" si="53"/>
        <v>Q1</v>
      </c>
      <c r="AY10" s="433" t="str">
        <f t="shared" si="53"/>
        <v>Q2</v>
      </c>
      <c r="AZ10" s="433" t="str">
        <f t="shared" si="53"/>
        <v>Q3</v>
      </c>
      <c r="BA10" s="433" t="str">
        <f t="shared" si="53"/>
        <v>Q4</v>
      </c>
      <c r="BB10" s="433" t="str">
        <f t="shared" si="53"/>
        <v>Q1</v>
      </c>
      <c r="BC10" s="433" t="str">
        <f t="shared" si="53"/>
        <v>Q2</v>
      </c>
      <c r="BD10" s="433" t="str">
        <f t="shared" si="53"/>
        <v>Q3</v>
      </c>
      <c r="BE10" s="433" t="str">
        <f t="shared" si="53"/>
        <v>Q4</v>
      </c>
      <c r="BF10" s="433" t="str">
        <f t="shared" si="53"/>
        <v>Q1</v>
      </c>
      <c r="BG10" s="433" t="str">
        <f t="shared" si="53"/>
        <v>Q2</v>
      </c>
      <c r="BH10" s="433" t="str">
        <f t="shared" si="53"/>
        <v>Q3</v>
      </c>
      <c r="BI10" s="433" t="str">
        <f t="shared" si="53"/>
        <v>Q4</v>
      </c>
      <c r="BJ10" s="433" t="str">
        <f t="shared" si="53"/>
        <v>Q1</v>
      </c>
      <c r="BK10" s="433" t="str">
        <f t="shared" si="53"/>
        <v>Q2</v>
      </c>
      <c r="BL10" s="433" t="str">
        <f t="shared" si="53"/>
        <v>Q3</v>
      </c>
      <c r="BM10" s="433" t="str">
        <f t="shared" si="53"/>
        <v>Q4</v>
      </c>
      <c r="BN10" s="433" t="str">
        <f t="shared" si="53"/>
        <v>Q1</v>
      </c>
      <c r="BO10" s="433" t="str">
        <f t="shared" si="53"/>
        <v>Q2</v>
      </c>
      <c r="BP10" s="433" t="str">
        <f t="shared" si="53"/>
        <v>Q3</v>
      </c>
      <c r="BQ10" s="433" t="str">
        <f t="shared" si="53"/>
        <v>Q4</v>
      </c>
      <c r="BR10" s="433" t="str">
        <f t="shared" si="53"/>
        <v>Q1</v>
      </c>
      <c r="BS10" s="433" t="str">
        <f t="shared" si="53"/>
        <v>Q2</v>
      </c>
      <c r="BT10" s="433" t="str">
        <f t="shared" si="53"/>
        <v>Q3</v>
      </c>
      <c r="BU10" s="433" t="str">
        <f t="shared" si="53"/>
        <v>Q4</v>
      </c>
      <c r="BV10" s="433" t="str">
        <f t="shared" si="53"/>
        <v>Q1</v>
      </c>
      <c r="BW10" s="433" t="str">
        <f t="shared" si="53"/>
        <v>Q2</v>
      </c>
      <c r="BX10" s="433" t="str">
        <f t="shared" si="53"/>
        <v>Q3</v>
      </c>
      <c r="BY10" s="433" t="str">
        <f t="shared" si="53"/>
        <v>Q4</v>
      </c>
      <c r="BZ10" s="433" t="str">
        <f t="shared" si="53"/>
        <v>Q1</v>
      </c>
      <c r="CA10" s="433" t="str">
        <f t="shared" ref="CA10:CG10" si="54">"Q"&amp;CA9</f>
        <v>Q2</v>
      </c>
      <c r="CB10" s="433" t="str">
        <f t="shared" si="54"/>
        <v>Q3</v>
      </c>
      <c r="CC10" s="433" t="str">
        <f t="shared" si="54"/>
        <v>Q4</v>
      </c>
      <c r="CD10" s="433" t="str">
        <f t="shared" si="54"/>
        <v>Q1</v>
      </c>
      <c r="CE10" s="433" t="str">
        <f t="shared" si="54"/>
        <v>Q2</v>
      </c>
      <c r="CF10" s="433" t="str">
        <f t="shared" si="54"/>
        <v>Q3</v>
      </c>
      <c r="CG10" s="433" t="str">
        <f t="shared" si="54"/>
        <v>Q4</v>
      </c>
    </row>
    <row r="11" spans="4:85">
      <c r="D11" s="417"/>
      <c r="E11" s="417" t="s">
        <v>102</v>
      </c>
      <c r="F11" s="438"/>
      <c r="G11" s="429">
        <v>1</v>
      </c>
      <c r="H11" s="429">
        <v>2</v>
      </c>
      <c r="I11" s="429">
        <v>3</v>
      </c>
      <c r="J11" s="429">
        <v>4</v>
      </c>
      <c r="K11" s="429">
        <v>5</v>
      </c>
      <c r="L11" s="429">
        <v>6</v>
      </c>
      <c r="M11" s="418"/>
      <c r="N11" s="433">
        <f>_xlfn.XLOOKUP(N$6,Dates!$B$4:$B$75,Dates!$D$4:$D$75)</f>
        <v>1</v>
      </c>
      <c r="O11" s="433">
        <f>_xlfn.XLOOKUP(O$6,Dates!$B$4:$B$75,Dates!$D$4:$D$75)</f>
        <v>1</v>
      </c>
      <c r="P11" s="433">
        <f>_xlfn.XLOOKUP(P$6,Dates!$B$4:$B$75,Dates!$D$4:$D$75)</f>
        <v>1</v>
      </c>
      <c r="Q11" s="433">
        <f>_xlfn.XLOOKUP(Q$6,Dates!$B$4:$B$75,Dates!$D$4:$D$75)</f>
        <v>1</v>
      </c>
      <c r="R11" s="433">
        <f>_xlfn.XLOOKUP(R$6,Dates!$B$4:$B$75,Dates!$D$4:$D$75)</f>
        <v>1</v>
      </c>
      <c r="S11" s="433">
        <f>_xlfn.XLOOKUP(S$6,Dates!$B$4:$B$75,Dates!$D$4:$D$75)</f>
        <v>1</v>
      </c>
      <c r="T11" s="433">
        <f>_xlfn.XLOOKUP(T$6,Dates!$B$4:$B$75,Dates!$D$4:$D$75)</f>
        <v>1</v>
      </c>
      <c r="U11" s="433">
        <f>_xlfn.XLOOKUP(U$6,Dates!$B$4:$B$75,Dates!$D$4:$D$75)</f>
        <v>1</v>
      </c>
      <c r="V11" s="433">
        <f>_xlfn.XLOOKUP(V$6,Dates!$B$4:$B$75,Dates!$D$4:$D$75)</f>
        <v>1</v>
      </c>
      <c r="W11" s="433">
        <f>_xlfn.XLOOKUP(W$6,Dates!$B$4:$B$75,Dates!$D$4:$D$75)</f>
        <v>1</v>
      </c>
      <c r="X11" s="433">
        <f>_xlfn.XLOOKUP(X$6,Dates!$B$4:$B$75,Dates!$D$4:$D$75)</f>
        <v>1</v>
      </c>
      <c r="Y11" s="433">
        <f>_xlfn.XLOOKUP(Y$6,Dates!$B$4:$B$75,Dates!$D$4:$D$75)</f>
        <v>1</v>
      </c>
      <c r="Z11" s="433">
        <f>_xlfn.XLOOKUP(Z$6,Dates!$B$4:$B$75,Dates!$D$4:$D$75)</f>
        <v>2</v>
      </c>
      <c r="AA11" s="433">
        <f>_xlfn.XLOOKUP(AA$6,Dates!$B$4:$B$75,Dates!$D$4:$D$75)</f>
        <v>2</v>
      </c>
      <c r="AB11" s="433">
        <f>_xlfn.XLOOKUP(AB$6,Dates!$B$4:$B$75,Dates!$D$4:$D$75)</f>
        <v>2</v>
      </c>
      <c r="AC11" s="433">
        <f>_xlfn.XLOOKUP(AC$6,Dates!$B$4:$B$75,Dates!$D$4:$D$75)</f>
        <v>2</v>
      </c>
      <c r="AD11" s="433">
        <f>_xlfn.XLOOKUP(AD$6,Dates!$B$4:$B$75,Dates!$D$4:$D$75)</f>
        <v>2</v>
      </c>
      <c r="AE11" s="433">
        <f>_xlfn.XLOOKUP(AE$6,Dates!$B$4:$B$75,Dates!$D$4:$D$75)</f>
        <v>2</v>
      </c>
      <c r="AF11" s="433">
        <f>_xlfn.XLOOKUP(AF$6,Dates!$B$4:$B$75,Dates!$D$4:$D$75)</f>
        <v>2</v>
      </c>
      <c r="AG11" s="433">
        <f>_xlfn.XLOOKUP(AG$6,Dates!$B$4:$B$75,Dates!$D$4:$D$75)</f>
        <v>2</v>
      </c>
      <c r="AH11" s="433">
        <f>_xlfn.XLOOKUP(AH$6,Dates!$B$4:$B$75,Dates!$D$4:$D$75)</f>
        <v>2</v>
      </c>
      <c r="AI11" s="433">
        <f>_xlfn.XLOOKUP(AI$6,Dates!$B$4:$B$75,Dates!$D$4:$D$75)</f>
        <v>2</v>
      </c>
      <c r="AJ11" s="433">
        <f>_xlfn.XLOOKUP(AJ$6,Dates!$B$4:$B$75,Dates!$D$4:$D$75)</f>
        <v>2</v>
      </c>
      <c r="AK11" s="433">
        <f>_xlfn.XLOOKUP(AK$6,Dates!$B$4:$B$75,Dates!$D$4:$D$75)</f>
        <v>2</v>
      </c>
      <c r="AL11" s="433">
        <f>_xlfn.XLOOKUP(AL$6,Dates!$B$4:$B$75,Dates!$D$4:$D$75)</f>
        <v>3</v>
      </c>
      <c r="AM11" s="433">
        <f>_xlfn.XLOOKUP(AM$6,Dates!$B$4:$B$75,Dates!$D$4:$D$75)</f>
        <v>3</v>
      </c>
      <c r="AN11" s="433">
        <f>_xlfn.XLOOKUP(AN$6,Dates!$B$4:$B$75,Dates!$D$4:$D$75)</f>
        <v>3</v>
      </c>
      <c r="AO11" s="433">
        <f>_xlfn.XLOOKUP(AO$6,Dates!$B$4:$B$75,Dates!$D$4:$D$75)</f>
        <v>3</v>
      </c>
      <c r="AP11" s="433">
        <f>_xlfn.XLOOKUP(AP$6,Dates!$B$4:$B$75,Dates!$D$4:$D$75)</f>
        <v>3</v>
      </c>
      <c r="AQ11" s="433">
        <f>_xlfn.XLOOKUP(AQ$6,Dates!$B$4:$B$75,Dates!$D$4:$D$75)</f>
        <v>3</v>
      </c>
      <c r="AR11" s="433">
        <f>_xlfn.XLOOKUP(AR$6,Dates!$B$4:$B$75,Dates!$D$4:$D$75)</f>
        <v>3</v>
      </c>
      <c r="AS11" s="433">
        <f>_xlfn.XLOOKUP(AS$6,Dates!$B$4:$B$75,Dates!$D$4:$D$75)</f>
        <v>3</v>
      </c>
      <c r="AT11" s="433">
        <f>_xlfn.XLOOKUP(AT$6,Dates!$B$4:$B$75,Dates!$D$4:$D$75)</f>
        <v>3</v>
      </c>
      <c r="AU11" s="433">
        <f>_xlfn.XLOOKUP(AU$6,Dates!$B$4:$B$75,Dates!$D$4:$D$75)</f>
        <v>3</v>
      </c>
      <c r="AV11" s="433">
        <f>_xlfn.XLOOKUP(AV$6,Dates!$B$4:$B$75,Dates!$D$4:$D$75)</f>
        <v>3</v>
      </c>
      <c r="AW11" s="433">
        <f>_xlfn.XLOOKUP(AW$6,Dates!$B$4:$B$75,Dates!$D$4:$D$75)</f>
        <v>3</v>
      </c>
      <c r="AX11" s="433">
        <f>_xlfn.XLOOKUP(AX$6,Dates!$B$4:$B$75,Dates!$D$4:$D$75)</f>
        <v>4</v>
      </c>
      <c r="AY11" s="433">
        <f>_xlfn.XLOOKUP(AY$6,Dates!$B$4:$B$75,Dates!$D$4:$D$75)</f>
        <v>4</v>
      </c>
      <c r="AZ11" s="433">
        <f>_xlfn.XLOOKUP(AZ$6,Dates!$B$4:$B$75,Dates!$D$4:$D$75)</f>
        <v>4</v>
      </c>
      <c r="BA11" s="433">
        <f>_xlfn.XLOOKUP(BA$6,Dates!$B$4:$B$75,Dates!$D$4:$D$75)</f>
        <v>4</v>
      </c>
      <c r="BB11" s="433">
        <f>_xlfn.XLOOKUP(BB$6,Dates!$B$4:$B$75,Dates!$D$4:$D$75)</f>
        <v>4</v>
      </c>
      <c r="BC11" s="433">
        <f>_xlfn.XLOOKUP(BC$6,Dates!$B$4:$B$75,Dates!$D$4:$D$75)</f>
        <v>4</v>
      </c>
      <c r="BD11" s="433">
        <f>_xlfn.XLOOKUP(BD$6,Dates!$B$4:$B$75,Dates!$D$4:$D$75)</f>
        <v>4</v>
      </c>
      <c r="BE11" s="433">
        <f>_xlfn.XLOOKUP(BE$6,Dates!$B$4:$B$75,Dates!$D$4:$D$75)</f>
        <v>4</v>
      </c>
      <c r="BF11" s="433">
        <f>_xlfn.XLOOKUP(BF$6,Dates!$B$4:$B$75,Dates!$D$4:$D$75)</f>
        <v>4</v>
      </c>
      <c r="BG11" s="433">
        <f>_xlfn.XLOOKUP(BG$6,Dates!$B$4:$B$75,Dates!$D$4:$D$75)</f>
        <v>4</v>
      </c>
      <c r="BH11" s="433">
        <f>_xlfn.XLOOKUP(BH$6,Dates!$B$4:$B$75,Dates!$D$4:$D$75)</f>
        <v>4</v>
      </c>
      <c r="BI11" s="433">
        <f>_xlfn.XLOOKUP(BI$6,Dates!$B$4:$B$75,Dates!$D$4:$D$75)</f>
        <v>4</v>
      </c>
      <c r="BJ11" s="433">
        <f>_xlfn.XLOOKUP(BJ$6,Dates!$B$4:$B$75,Dates!$D$4:$D$75)</f>
        <v>5</v>
      </c>
      <c r="BK11" s="433">
        <f>_xlfn.XLOOKUP(BK$6,Dates!$B$4:$B$75,Dates!$D$4:$D$75)</f>
        <v>5</v>
      </c>
      <c r="BL11" s="433">
        <f>_xlfn.XLOOKUP(BL$6,Dates!$B$4:$B$75,Dates!$D$4:$D$75)</f>
        <v>5</v>
      </c>
      <c r="BM11" s="433">
        <f>_xlfn.XLOOKUP(BM$6,Dates!$B$4:$B$75,Dates!$D$4:$D$75)</f>
        <v>5</v>
      </c>
      <c r="BN11" s="433">
        <f>_xlfn.XLOOKUP(BN$6,Dates!$B$4:$B$75,Dates!$D$4:$D$75)</f>
        <v>5</v>
      </c>
      <c r="BO11" s="433">
        <f>_xlfn.XLOOKUP(BO$6,Dates!$B$4:$B$75,Dates!$D$4:$D$75)</f>
        <v>5</v>
      </c>
      <c r="BP11" s="433">
        <f>_xlfn.XLOOKUP(BP$6,Dates!$B$4:$B$75,Dates!$D$4:$D$75)</f>
        <v>5</v>
      </c>
      <c r="BQ11" s="433">
        <f>_xlfn.XLOOKUP(BQ$6,Dates!$B$4:$B$75,Dates!$D$4:$D$75)</f>
        <v>5</v>
      </c>
      <c r="BR11" s="433">
        <f>_xlfn.XLOOKUP(BR$6,Dates!$B$4:$B$75,Dates!$D$4:$D$75)</f>
        <v>5</v>
      </c>
      <c r="BS11" s="433">
        <f>_xlfn.XLOOKUP(BS$6,Dates!$B$4:$B$75,Dates!$D$4:$D$75)</f>
        <v>5</v>
      </c>
      <c r="BT11" s="433">
        <f>_xlfn.XLOOKUP(BT$6,Dates!$B$4:$B$75,Dates!$D$4:$D$75)</f>
        <v>5</v>
      </c>
      <c r="BU11" s="433">
        <f>_xlfn.XLOOKUP(BU$6,Dates!$B$4:$B$75,Dates!$D$4:$D$75)</f>
        <v>5</v>
      </c>
      <c r="BV11" s="433">
        <f>_xlfn.XLOOKUP(BV$6,Dates!$B$4:$B$75,Dates!$D$4:$D$75)</f>
        <v>6</v>
      </c>
      <c r="BW11" s="433">
        <f>_xlfn.XLOOKUP(BW$6,Dates!$B$4:$B$75,Dates!$D$4:$D$75)</f>
        <v>6</v>
      </c>
      <c r="BX11" s="433">
        <f>_xlfn.XLOOKUP(BX$6,Dates!$B$4:$B$75,Dates!$D$4:$D$75)</f>
        <v>6</v>
      </c>
      <c r="BY11" s="433">
        <f>_xlfn.XLOOKUP(BY$6,Dates!$B$4:$B$75,Dates!$D$4:$D$75)</f>
        <v>6</v>
      </c>
      <c r="BZ11" s="433">
        <f>_xlfn.XLOOKUP(BZ$6,Dates!$B$4:$B$75,Dates!$D$4:$D$75)</f>
        <v>6</v>
      </c>
      <c r="CA11" s="433">
        <f>_xlfn.XLOOKUP(CA$6,Dates!$B$4:$B$75,Dates!$D$4:$D$75)</f>
        <v>6</v>
      </c>
      <c r="CB11" s="433">
        <f>_xlfn.XLOOKUP(CB$6,Dates!$B$4:$B$75,Dates!$D$4:$D$75)</f>
        <v>6</v>
      </c>
      <c r="CC11" s="433">
        <f>_xlfn.XLOOKUP(CC$6,Dates!$B$4:$B$75,Dates!$D$4:$D$75)</f>
        <v>6</v>
      </c>
      <c r="CD11" s="433">
        <f>_xlfn.XLOOKUP(CD$6,Dates!$B$4:$B$75,Dates!$D$4:$D$75)</f>
        <v>6</v>
      </c>
      <c r="CE11" s="433">
        <f>_xlfn.XLOOKUP(CE$6,Dates!$B$4:$B$75,Dates!$D$4:$D$75)</f>
        <v>6</v>
      </c>
      <c r="CF11" s="433">
        <f>_xlfn.XLOOKUP(CF$6,Dates!$B$4:$B$75,Dates!$D$4:$D$75)</f>
        <v>6</v>
      </c>
      <c r="CG11" s="433">
        <f>_xlfn.XLOOKUP(CG$6,Dates!$B$4:$B$75,Dates!$D$4:$D$75)</f>
        <v>6</v>
      </c>
    </row>
    <row r="12" spans="4:85">
      <c r="D12" s="417"/>
      <c r="E12" s="417" t="s">
        <v>61</v>
      </c>
      <c r="F12" s="438"/>
      <c r="G12" s="417"/>
      <c r="H12" s="429"/>
      <c r="I12" s="418"/>
      <c r="J12" s="439"/>
      <c r="K12" s="439"/>
      <c r="L12" s="439"/>
      <c r="M12" s="418"/>
      <c r="N12" s="434">
        <f t="shared" ref="N12:BY12" si="55">YEAR(N8)</f>
        <v>2025</v>
      </c>
      <c r="O12" s="434">
        <f t="shared" si="55"/>
        <v>2025</v>
      </c>
      <c r="P12" s="434">
        <f t="shared" si="55"/>
        <v>2025</v>
      </c>
      <c r="Q12" s="434">
        <f t="shared" si="55"/>
        <v>2025</v>
      </c>
      <c r="R12" s="434">
        <f t="shared" si="55"/>
        <v>2025</v>
      </c>
      <c r="S12" s="434">
        <f t="shared" si="55"/>
        <v>2025</v>
      </c>
      <c r="T12" s="434">
        <f t="shared" si="55"/>
        <v>2025</v>
      </c>
      <c r="U12" s="434">
        <f t="shared" si="55"/>
        <v>2025</v>
      </c>
      <c r="V12" s="434">
        <f t="shared" si="55"/>
        <v>2025</v>
      </c>
      <c r="W12" s="434">
        <f t="shared" si="55"/>
        <v>2025</v>
      </c>
      <c r="X12" s="434">
        <f t="shared" si="55"/>
        <v>2025</v>
      </c>
      <c r="Y12" s="434">
        <f t="shared" si="55"/>
        <v>2025</v>
      </c>
      <c r="Z12" s="434">
        <f t="shared" si="55"/>
        <v>2026</v>
      </c>
      <c r="AA12" s="434">
        <f t="shared" si="55"/>
        <v>2026</v>
      </c>
      <c r="AB12" s="434">
        <f t="shared" si="55"/>
        <v>2026</v>
      </c>
      <c r="AC12" s="434">
        <f t="shared" si="55"/>
        <v>2026</v>
      </c>
      <c r="AD12" s="434">
        <f t="shared" si="55"/>
        <v>2026</v>
      </c>
      <c r="AE12" s="434">
        <f t="shared" si="55"/>
        <v>2026</v>
      </c>
      <c r="AF12" s="434">
        <f t="shared" si="55"/>
        <v>2026</v>
      </c>
      <c r="AG12" s="434">
        <f t="shared" si="55"/>
        <v>2026</v>
      </c>
      <c r="AH12" s="434">
        <f t="shared" si="55"/>
        <v>2026</v>
      </c>
      <c r="AI12" s="434">
        <f t="shared" si="55"/>
        <v>2026</v>
      </c>
      <c r="AJ12" s="434">
        <f t="shared" si="55"/>
        <v>2026</v>
      </c>
      <c r="AK12" s="434">
        <f t="shared" si="55"/>
        <v>2026</v>
      </c>
      <c r="AL12" s="434">
        <f t="shared" si="55"/>
        <v>2027</v>
      </c>
      <c r="AM12" s="434">
        <f t="shared" si="55"/>
        <v>2027</v>
      </c>
      <c r="AN12" s="434">
        <f t="shared" si="55"/>
        <v>2027</v>
      </c>
      <c r="AO12" s="434">
        <f t="shared" si="55"/>
        <v>2027</v>
      </c>
      <c r="AP12" s="434">
        <f t="shared" si="55"/>
        <v>2027</v>
      </c>
      <c r="AQ12" s="434">
        <f t="shared" si="55"/>
        <v>2027</v>
      </c>
      <c r="AR12" s="434">
        <f t="shared" si="55"/>
        <v>2027</v>
      </c>
      <c r="AS12" s="434">
        <f t="shared" si="55"/>
        <v>2027</v>
      </c>
      <c r="AT12" s="434">
        <f t="shared" si="55"/>
        <v>2027</v>
      </c>
      <c r="AU12" s="434">
        <f t="shared" si="55"/>
        <v>2027</v>
      </c>
      <c r="AV12" s="434">
        <f t="shared" si="55"/>
        <v>2027</v>
      </c>
      <c r="AW12" s="434">
        <f t="shared" si="55"/>
        <v>2027</v>
      </c>
      <c r="AX12" s="434">
        <f t="shared" si="55"/>
        <v>2028</v>
      </c>
      <c r="AY12" s="434">
        <f t="shared" si="55"/>
        <v>2028</v>
      </c>
      <c r="AZ12" s="434">
        <f t="shared" si="55"/>
        <v>2028</v>
      </c>
      <c r="BA12" s="434">
        <f t="shared" si="55"/>
        <v>2028</v>
      </c>
      <c r="BB12" s="434">
        <f t="shared" si="55"/>
        <v>2028</v>
      </c>
      <c r="BC12" s="434">
        <f t="shared" si="55"/>
        <v>2028</v>
      </c>
      <c r="BD12" s="434">
        <f t="shared" si="55"/>
        <v>2028</v>
      </c>
      <c r="BE12" s="434">
        <f t="shared" si="55"/>
        <v>2028</v>
      </c>
      <c r="BF12" s="434">
        <f t="shared" si="55"/>
        <v>2028</v>
      </c>
      <c r="BG12" s="434">
        <f t="shared" si="55"/>
        <v>2028</v>
      </c>
      <c r="BH12" s="434">
        <f t="shared" si="55"/>
        <v>2028</v>
      </c>
      <c r="BI12" s="434">
        <f t="shared" si="55"/>
        <v>2028</v>
      </c>
      <c r="BJ12" s="434">
        <f t="shared" si="55"/>
        <v>2029</v>
      </c>
      <c r="BK12" s="434">
        <f t="shared" si="55"/>
        <v>2029</v>
      </c>
      <c r="BL12" s="434">
        <f t="shared" si="55"/>
        <v>2029</v>
      </c>
      <c r="BM12" s="434">
        <f t="shared" si="55"/>
        <v>2029</v>
      </c>
      <c r="BN12" s="434">
        <f t="shared" si="55"/>
        <v>2029</v>
      </c>
      <c r="BO12" s="434">
        <f t="shared" si="55"/>
        <v>2029</v>
      </c>
      <c r="BP12" s="434">
        <f t="shared" si="55"/>
        <v>2029</v>
      </c>
      <c r="BQ12" s="434">
        <f t="shared" si="55"/>
        <v>2029</v>
      </c>
      <c r="BR12" s="434">
        <f t="shared" si="55"/>
        <v>2029</v>
      </c>
      <c r="BS12" s="434">
        <f t="shared" si="55"/>
        <v>2029</v>
      </c>
      <c r="BT12" s="434">
        <f t="shared" si="55"/>
        <v>2029</v>
      </c>
      <c r="BU12" s="434">
        <f t="shared" si="55"/>
        <v>2029</v>
      </c>
      <c r="BV12" s="434">
        <f t="shared" si="55"/>
        <v>2030</v>
      </c>
      <c r="BW12" s="434">
        <f t="shared" si="55"/>
        <v>2030</v>
      </c>
      <c r="BX12" s="434">
        <f t="shared" si="55"/>
        <v>2030</v>
      </c>
      <c r="BY12" s="434">
        <f t="shared" si="55"/>
        <v>2030</v>
      </c>
      <c r="BZ12" s="434">
        <f t="shared" ref="BZ12:CG12" si="56">YEAR(BZ8)</f>
        <v>2030</v>
      </c>
      <c r="CA12" s="434">
        <f t="shared" si="56"/>
        <v>2030</v>
      </c>
      <c r="CB12" s="434">
        <f t="shared" si="56"/>
        <v>2030</v>
      </c>
      <c r="CC12" s="434">
        <f t="shared" si="56"/>
        <v>2030</v>
      </c>
      <c r="CD12" s="434">
        <f t="shared" si="56"/>
        <v>2030</v>
      </c>
      <c r="CE12" s="434">
        <f t="shared" si="56"/>
        <v>2030</v>
      </c>
      <c r="CF12" s="434">
        <f t="shared" si="56"/>
        <v>2030</v>
      </c>
      <c r="CG12" s="434">
        <f t="shared" si="56"/>
        <v>2030</v>
      </c>
    </row>
    <row r="13" spans="4:85">
      <c r="F13" s="13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4:85" ht="16.2" thickBot="1">
      <c r="D14" s="25" t="s">
        <v>103</v>
      </c>
      <c r="E14" s="25"/>
      <c r="F14" s="140"/>
      <c r="G14" s="25"/>
      <c r="H14" s="41"/>
      <c r="I14" s="41"/>
      <c r="J14" s="41"/>
      <c r="K14" s="41"/>
      <c r="L14" s="41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4:85" ht="16.2" thickTop="1">
      <c r="E15" s="19" t="s">
        <v>408</v>
      </c>
      <c r="F15" s="139"/>
      <c r="H15" s="19"/>
      <c r="I15" s="19"/>
      <c r="J15" s="19"/>
      <c r="K15" s="19"/>
      <c r="L15" s="19"/>
      <c r="M15" s="21"/>
      <c r="N15" s="161" t="b">
        <f>IF(N$7&gt;=Assumptions!paid_services,TRUE,FALSE)</f>
        <v>0</v>
      </c>
      <c r="O15" s="161" t="b">
        <f>IF(O$7&gt;=Assumptions!paid_services,TRUE,FALSE)</f>
        <v>0</v>
      </c>
      <c r="P15" s="161" t="b">
        <f>IF(P$7&gt;=Assumptions!paid_services,TRUE,FALSE)</f>
        <v>0</v>
      </c>
      <c r="Q15" s="161" t="b">
        <f>IF(Q$7&gt;=Assumptions!paid_services,TRUE,FALSE)</f>
        <v>0</v>
      </c>
      <c r="R15" s="161" t="b">
        <f>IF(R$7&gt;=Assumptions!paid_services,TRUE,FALSE)</f>
        <v>0</v>
      </c>
      <c r="S15" s="161" t="b">
        <f>IF(S$7&gt;=Assumptions!paid_services,TRUE,FALSE)</f>
        <v>1</v>
      </c>
      <c r="T15" s="161" t="b">
        <f>IF(T$7&gt;=Assumptions!paid_services,TRUE,FALSE)</f>
        <v>1</v>
      </c>
      <c r="U15" s="161" t="b">
        <f>IF(U$7&gt;=Assumptions!paid_services,TRUE,FALSE)</f>
        <v>1</v>
      </c>
      <c r="V15" s="161" t="b">
        <f>IF(V$7&gt;=Assumptions!paid_services,TRUE,FALSE)</f>
        <v>1</v>
      </c>
      <c r="W15" s="161" t="b">
        <f>IF(W$7&gt;=Assumptions!paid_services,TRUE,FALSE)</f>
        <v>1</v>
      </c>
      <c r="X15" s="161" t="b">
        <f>IF(X$7&gt;=Assumptions!paid_services,TRUE,FALSE)</f>
        <v>1</v>
      </c>
      <c r="Y15" s="161" t="b">
        <f>IF(Y$7&gt;=Assumptions!paid_services,TRUE,FALSE)</f>
        <v>1</v>
      </c>
      <c r="Z15" s="161" t="b">
        <f>IF(Z$7&gt;=Assumptions!paid_services,TRUE,FALSE)</f>
        <v>1</v>
      </c>
      <c r="AA15" s="161" t="b">
        <f>IF(AA$7&gt;=Assumptions!paid_services,TRUE,FALSE)</f>
        <v>1</v>
      </c>
      <c r="AB15" s="161" t="b">
        <f>IF(AB$7&gt;=Assumptions!paid_services,TRUE,FALSE)</f>
        <v>1</v>
      </c>
      <c r="AC15" s="161" t="b">
        <f>IF(AC$7&gt;=Assumptions!paid_services,TRUE,FALSE)</f>
        <v>1</v>
      </c>
      <c r="AD15" s="161" t="b">
        <f>IF(AD$7&gt;=Assumptions!paid_services,TRUE,FALSE)</f>
        <v>1</v>
      </c>
      <c r="AE15" s="161" t="b">
        <f>IF(AE$7&gt;=Assumptions!paid_services,TRUE,FALSE)</f>
        <v>1</v>
      </c>
      <c r="AF15" s="161" t="b">
        <f>IF(AF$7&gt;=Assumptions!paid_services,TRUE,FALSE)</f>
        <v>1</v>
      </c>
      <c r="AG15" s="161" t="b">
        <f>IF(AG$7&gt;=Assumptions!paid_services,TRUE,FALSE)</f>
        <v>1</v>
      </c>
      <c r="AH15" s="161" t="b">
        <f>IF(AH$7&gt;=Assumptions!paid_services,TRUE,FALSE)</f>
        <v>1</v>
      </c>
      <c r="AI15" s="161" t="b">
        <f>IF(AI$7&gt;=Assumptions!paid_services,TRUE,FALSE)</f>
        <v>1</v>
      </c>
      <c r="AJ15" s="161" t="b">
        <f>IF(AJ$7&gt;=Assumptions!paid_services,TRUE,FALSE)</f>
        <v>1</v>
      </c>
      <c r="AK15" s="161" t="b">
        <f>IF(AK$7&gt;=Assumptions!paid_services,TRUE,FALSE)</f>
        <v>1</v>
      </c>
      <c r="AL15" s="161" t="b">
        <f>IF(AL$7&gt;=Assumptions!paid_services,TRUE,FALSE)</f>
        <v>1</v>
      </c>
      <c r="AM15" s="161" t="b">
        <f>IF(AM$7&gt;=Assumptions!paid_services,TRUE,FALSE)</f>
        <v>1</v>
      </c>
      <c r="AN15" s="161" t="b">
        <f>IF(AN$7&gt;=Assumptions!paid_services,TRUE,FALSE)</f>
        <v>1</v>
      </c>
      <c r="AO15" s="161" t="b">
        <f>IF(AO$7&gt;=Assumptions!paid_services,TRUE,FALSE)</f>
        <v>1</v>
      </c>
      <c r="AP15" s="161" t="b">
        <f>IF(AP$7&gt;=Assumptions!paid_services,TRUE,FALSE)</f>
        <v>1</v>
      </c>
      <c r="AQ15" s="161" t="b">
        <f>IF(AQ$7&gt;=Assumptions!paid_services,TRUE,FALSE)</f>
        <v>1</v>
      </c>
      <c r="AR15" s="161" t="b">
        <f>IF(AR$7&gt;=Assumptions!paid_services,TRUE,FALSE)</f>
        <v>1</v>
      </c>
      <c r="AS15" s="161" t="b">
        <f>IF(AS$7&gt;=Assumptions!paid_services,TRUE,FALSE)</f>
        <v>1</v>
      </c>
      <c r="AT15" s="161" t="b">
        <f>IF(AT$7&gt;=Assumptions!paid_services,TRUE,FALSE)</f>
        <v>1</v>
      </c>
      <c r="AU15" s="161" t="b">
        <f>IF(AU$7&gt;=Assumptions!paid_services,TRUE,FALSE)</f>
        <v>1</v>
      </c>
      <c r="AV15" s="161" t="b">
        <f>IF(AV$7&gt;=Assumptions!paid_services,TRUE,FALSE)</f>
        <v>1</v>
      </c>
      <c r="AW15" s="161" t="b">
        <f>IF(AW$7&gt;=Assumptions!paid_services,TRUE,FALSE)</f>
        <v>1</v>
      </c>
      <c r="AX15" s="161" t="b">
        <f>IF(AX$7&gt;=Assumptions!paid_services,TRUE,FALSE)</f>
        <v>1</v>
      </c>
      <c r="AY15" s="161" t="b">
        <f>IF(AY$7&gt;=Assumptions!paid_services,TRUE,FALSE)</f>
        <v>1</v>
      </c>
      <c r="AZ15" s="161" t="b">
        <f>IF(AZ$7&gt;=Assumptions!paid_services,TRUE,FALSE)</f>
        <v>1</v>
      </c>
      <c r="BA15" s="161" t="b">
        <f>IF(BA$7&gt;=Assumptions!paid_services,TRUE,FALSE)</f>
        <v>1</v>
      </c>
      <c r="BB15" s="161" t="b">
        <f>IF(BB$7&gt;=Assumptions!paid_services,TRUE,FALSE)</f>
        <v>1</v>
      </c>
      <c r="BC15" s="161" t="b">
        <f>IF(BC$7&gt;=Assumptions!paid_services,TRUE,FALSE)</f>
        <v>1</v>
      </c>
      <c r="BD15" s="161" t="b">
        <f>IF(BD$7&gt;=Assumptions!paid_services,TRUE,FALSE)</f>
        <v>1</v>
      </c>
      <c r="BE15" s="161" t="b">
        <f>IF(BE$7&gt;=Assumptions!paid_services,TRUE,FALSE)</f>
        <v>1</v>
      </c>
      <c r="BF15" s="161" t="b">
        <f>IF(BF$7&gt;=Assumptions!paid_services,TRUE,FALSE)</f>
        <v>1</v>
      </c>
      <c r="BG15" s="161" t="b">
        <f>IF(BG$7&gt;=Assumptions!paid_services,TRUE,FALSE)</f>
        <v>1</v>
      </c>
      <c r="BH15" s="161" t="b">
        <f>IF(BH$7&gt;=Assumptions!paid_services,TRUE,FALSE)</f>
        <v>1</v>
      </c>
      <c r="BI15" s="161" t="b">
        <f>IF(BI$7&gt;=Assumptions!paid_services,TRUE,FALSE)</f>
        <v>1</v>
      </c>
      <c r="BJ15" s="161" t="b">
        <f>IF(BJ$7&gt;=Assumptions!paid_services,TRUE,FALSE)</f>
        <v>1</v>
      </c>
      <c r="BK15" s="161" t="b">
        <f>IF(BK$7&gt;=Assumptions!paid_services,TRUE,FALSE)</f>
        <v>1</v>
      </c>
      <c r="BL15" s="161" t="b">
        <f>IF(BL$7&gt;=Assumptions!paid_services,TRUE,FALSE)</f>
        <v>1</v>
      </c>
      <c r="BM15" s="161" t="b">
        <f>IF(BM$7&gt;=Assumptions!paid_services,TRUE,FALSE)</f>
        <v>1</v>
      </c>
      <c r="BN15" s="161" t="b">
        <f>IF(BN$7&gt;=Assumptions!paid_services,TRUE,FALSE)</f>
        <v>1</v>
      </c>
      <c r="BO15" s="161" t="b">
        <f>IF(BO$7&gt;=Assumptions!paid_services,TRUE,FALSE)</f>
        <v>1</v>
      </c>
      <c r="BP15" s="161" t="b">
        <f>IF(BP$7&gt;=Assumptions!paid_services,TRUE,FALSE)</f>
        <v>1</v>
      </c>
      <c r="BQ15" s="161" t="b">
        <f>IF(BQ$7&gt;=Assumptions!paid_services,TRUE,FALSE)</f>
        <v>1</v>
      </c>
      <c r="BR15" s="161" t="b">
        <f>IF(BR$7&gt;=Assumptions!paid_services,TRUE,FALSE)</f>
        <v>1</v>
      </c>
      <c r="BS15" s="161" t="b">
        <f>IF(BS$7&gt;=Assumptions!paid_services,TRUE,FALSE)</f>
        <v>1</v>
      </c>
      <c r="BT15" s="161" t="b">
        <f>IF(BT$7&gt;=Assumptions!paid_services,TRUE,FALSE)</f>
        <v>1</v>
      </c>
      <c r="BU15" s="161" t="b">
        <f>IF(BU$7&gt;=Assumptions!paid_services,TRUE,FALSE)</f>
        <v>1</v>
      </c>
      <c r="BV15" s="161" t="b">
        <f>IF(BV$7&gt;=Assumptions!paid_services,TRUE,FALSE)</f>
        <v>1</v>
      </c>
      <c r="BW15" s="161" t="b">
        <f>IF(BW$7&gt;=Assumptions!paid_services,TRUE,FALSE)</f>
        <v>1</v>
      </c>
      <c r="BX15" s="161" t="b">
        <f>IF(BX$7&gt;=Assumptions!paid_services,TRUE,FALSE)</f>
        <v>1</v>
      </c>
      <c r="BY15" s="161" t="b">
        <f>IF(BY$7&gt;=Assumptions!paid_services,TRUE,FALSE)</f>
        <v>1</v>
      </c>
      <c r="BZ15" s="161" t="b">
        <f>IF(BZ$7&gt;=Assumptions!paid_services,TRUE,FALSE)</f>
        <v>1</v>
      </c>
      <c r="CA15" s="161" t="b">
        <f>IF(CA$7&gt;=Assumptions!paid_services,TRUE,FALSE)</f>
        <v>1</v>
      </c>
      <c r="CB15" s="161" t="b">
        <f>IF(CB$7&gt;=Assumptions!paid_services,TRUE,FALSE)</f>
        <v>1</v>
      </c>
      <c r="CC15" s="161" t="b">
        <f>IF(CC$7&gt;=Assumptions!paid_services,TRUE,FALSE)</f>
        <v>1</v>
      </c>
      <c r="CD15" s="161" t="b">
        <f>IF(CD$7&gt;=Assumptions!paid_services,TRUE,FALSE)</f>
        <v>1</v>
      </c>
      <c r="CE15" s="161" t="b">
        <f>IF(CE$7&gt;=Assumptions!paid_services,TRUE,FALSE)</f>
        <v>1</v>
      </c>
      <c r="CF15" s="161" t="b">
        <f>IF(CF$7&gt;=Assumptions!paid_services,TRUE,FALSE)</f>
        <v>1</v>
      </c>
      <c r="CG15" s="161" t="b">
        <f>IF(CG$7&gt;=Assumptions!paid_services,TRUE,FALSE)</f>
        <v>1</v>
      </c>
    </row>
    <row r="16" spans="4:85">
      <c r="E16" s="19" t="s">
        <v>406</v>
      </c>
      <c r="F16" s="139"/>
      <c r="H16" s="19"/>
      <c r="I16" s="19"/>
      <c r="J16" s="19"/>
      <c r="K16" s="19"/>
      <c r="L16" s="19"/>
      <c r="M16" s="21"/>
      <c r="N16" s="161" t="b">
        <f>IF(AND(N$7&gt;=Assumptions!$G16,N$8&lt;=Assumptions!$G$17,N15=TRUE),TRUE,FALSE)</f>
        <v>0</v>
      </c>
      <c r="O16" s="161" t="b">
        <f>IF(AND(O$7&gt;=Assumptions!$G16,O$8&lt;=Assumptions!$G$17,O15=TRUE),TRUE,FALSE)</f>
        <v>0</v>
      </c>
      <c r="P16" s="161" t="b">
        <f>IF(AND(P$7&gt;=Assumptions!$G16,P$8&lt;=Assumptions!$G$17,P15=TRUE),TRUE,FALSE)</f>
        <v>0</v>
      </c>
      <c r="Q16" s="161" t="b">
        <f>IF(AND(Q$7&gt;=Assumptions!$G16,Q$8&lt;=Assumptions!$G$17,Q15=TRUE),TRUE,FALSE)</f>
        <v>0</v>
      </c>
      <c r="R16" s="161" t="b">
        <f>IF(AND(R$7&gt;=Assumptions!$G16,R$8&lt;=Assumptions!$G$17,R15=TRUE),TRUE,FALSE)</f>
        <v>0</v>
      </c>
      <c r="S16" s="161" t="b">
        <f>IF(AND(S$7&gt;=Assumptions!$G16,S$8&lt;=Assumptions!$G$17,S15=TRUE),TRUE,FALSE)</f>
        <v>1</v>
      </c>
      <c r="T16" s="161" t="b">
        <f>IF(AND(T$7&gt;=Assumptions!$G16,T$8&lt;=Assumptions!$G$17,T15=TRUE),TRUE,FALSE)</f>
        <v>1</v>
      </c>
      <c r="U16" s="161" t="b">
        <f>IF(AND(U$7&gt;=Assumptions!$G16,U$8&lt;=Assumptions!$G$17,U15=TRUE),TRUE,FALSE)</f>
        <v>1</v>
      </c>
      <c r="V16" s="161" t="b">
        <f>IF(AND(V$7&gt;=Assumptions!$G16,V$8&lt;=Assumptions!$G$17,V15=TRUE),TRUE,FALSE)</f>
        <v>1</v>
      </c>
      <c r="W16" s="161" t="b">
        <f>IF(AND(W$7&gt;=Assumptions!$G16,W$8&lt;=Assumptions!$G$17,W15=TRUE),TRUE,FALSE)</f>
        <v>1</v>
      </c>
      <c r="X16" s="161" t="b">
        <f>IF(AND(X$7&gt;=Assumptions!$G16,X$8&lt;=Assumptions!$G$17,X15=TRUE),TRUE,FALSE)</f>
        <v>1</v>
      </c>
      <c r="Y16" s="161" t="b">
        <f>IF(AND(Y$7&gt;=Assumptions!$G16,Y$8&lt;=Assumptions!$G$17,Y15=TRUE),TRUE,FALSE)</f>
        <v>1</v>
      </c>
      <c r="Z16" s="161" t="b">
        <f>IF(AND(Z$7&gt;=Assumptions!$G16,Z$8&lt;=Assumptions!$G$17,Z15=TRUE),TRUE,FALSE)</f>
        <v>1</v>
      </c>
      <c r="AA16" s="161" t="b">
        <f>IF(AND(AA$7&gt;=Assumptions!$G16,AA$8&lt;=Assumptions!$G$17,AA15=TRUE),TRUE,FALSE)</f>
        <v>1</v>
      </c>
      <c r="AB16" s="161" t="b">
        <f>IF(AND(AB$7&gt;=Assumptions!$G16,AB$8&lt;=Assumptions!$G$17,AB15=TRUE),TRUE,FALSE)</f>
        <v>1</v>
      </c>
      <c r="AC16" s="161" t="b">
        <f>IF(AND(AC$7&gt;=Assumptions!$G16,AC$8&lt;=Assumptions!$G$17,AC15=TRUE),TRUE,FALSE)</f>
        <v>1</v>
      </c>
      <c r="AD16" s="161" t="b">
        <f>IF(AND(AD$7&gt;=Assumptions!$G16,AD$8&lt;=Assumptions!$G$17,AD15=TRUE),TRUE,FALSE)</f>
        <v>1</v>
      </c>
      <c r="AE16" s="161" t="b">
        <f>IF(AND(AE$7&gt;=Assumptions!$G16,AE$8&lt;=Assumptions!$G$17,AE15=TRUE),TRUE,FALSE)</f>
        <v>0</v>
      </c>
      <c r="AF16" s="161" t="b">
        <f>IF(AND(AF$7&gt;=Assumptions!$G16,AF$8&lt;=Assumptions!$G$17,AF15=TRUE),TRUE,FALSE)</f>
        <v>0</v>
      </c>
      <c r="AG16" s="161" t="b">
        <f>IF(AND(AG$7&gt;=Assumptions!$G16,AG$8&lt;=Assumptions!$G$17,AG15=TRUE),TRUE,FALSE)</f>
        <v>0</v>
      </c>
      <c r="AH16" s="161" t="b">
        <f>IF(AND(AH$7&gt;=Assumptions!$G16,AH$8&lt;=Assumptions!$G$17,AH15=TRUE),TRUE,FALSE)</f>
        <v>0</v>
      </c>
      <c r="AI16" s="161" t="b">
        <f>IF(AND(AI$7&gt;=Assumptions!$G16,AI$8&lt;=Assumptions!$G$17,AI15=TRUE),TRUE,FALSE)</f>
        <v>0</v>
      </c>
      <c r="AJ16" s="161" t="b">
        <f>IF(AND(AJ$7&gt;=Assumptions!$G16,AJ$8&lt;=Assumptions!$G$17,AJ15=TRUE),TRUE,FALSE)</f>
        <v>0</v>
      </c>
      <c r="AK16" s="161" t="b">
        <f>IF(AND(AK$7&gt;=Assumptions!$G16,AK$8&lt;=Assumptions!$G$17,AK15=TRUE),TRUE,FALSE)</f>
        <v>0</v>
      </c>
      <c r="AL16" s="161" t="b">
        <f>IF(AND(AL$7&gt;=Assumptions!$G16,AL$8&lt;=Assumptions!$G$17,AL15=TRUE),TRUE,FALSE)</f>
        <v>0</v>
      </c>
      <c r="AM16" s="161" t="b">
        <f>IF(AND(AM$7&gt;=Assumptions!$G16,AM$8&lt;=Assumptions!$G$17,AM15=TRUE),TRUE,FALSE)</f>
        <v>0</v>
      </c>
      <c r="AN16" s="161" t="b">
        <f>IF(AND(AN$7&gt;=Assumptions!$G16,AN$8&lt;=Assumptions!$G$17,AN15=TRUE),TRUE,FALSE)</f>
        <v>0</v>
      </c>
      <c r="AO16" s="161" t="b">
        <f>IF(AND(AO$7&gt;=Assumptions!$G16,AO$8&lt;=Assumptions!$G$17,AO15=TRUE),TRUE,FALSE)</f>
        <v>0</v>
      </c>
      <c r="AP16" s="161" t="b">
        <f>IF(AND(AP$7&gt;=Assumptions!$G16,AP$8&lt;=Assumptions!$G$17,AP15=TRUE),TRUE,FALSE)</f>
        <v>0</v>
      </c>
      <c r="AQ16" s="161" t="b">
        <f>IF(AND(AQ$7&gt;=Assumptions!$G16,AQ$8&lt;=Assumptions!$G$17,AQ15=TRUE),TRUE,FALSE)</f>
        <v>0</v>
      </c>
      <c r="AR16" s="161" t="b">
        <f>IF(AND(AR$7&gt;=Assumptions!$G16,AR$8&lt;=Assumptions!$G$17,AR15=TRUE),TRUE,FALSE)</f>
        <v>0</v>
      </c>
      <c r="AS16" s="161" t="b">
        <f>IF(AND(AS$7&gt;=Assumptions!$G16,AS$8&lt;=Assumptions!$G$17,AS15=TRUE),TRUE,FALSE)</f>
        <v>0</v>
      </c>
      <c r="AT16" s="161" t="b">
        <f>IF(AND(AT$7&gt;=Assumptions!$G16,AT$8&lt;=Assumptions!$G$17,AT15=TRUE),TRUE,FALSE)</f>
        <v>0</v>
      </c>
      <c r="AU16" s="161" t="b">
        <f>IF(AND(AU$7&gt;=Assumptions!$G16,AU$8&lt;=Assumptions!$G$17,AU15=TRUE),TRUE,FALSE)</f>
        <v>0</v>
      </c>
      <c r="AV16" s="161" t="b">
        <f>IF(AND(AV$7&gt;=Assumptions!$G16,AV$8&lt;=Assumptions!$G$17,AV15=TRUE),TRUE,FALSE)</f>
        <v>0</v>
      </c>
      <c r="AW16" s="161" t="b">
        <f>IF(AND(AW$7&gt;=Assumptions!$G16,AW$8&lt;=Assumptions!$G$17,AW15=TRUE),TRUE,FALSE)</f>
        <v>0</v>
      </c>
      <c r="AX16" s="161" t="b">
        <f>IF(AND(AX$7&gt;=Assumptions!$G16,AX$8&lt;=Assumptions!$G$17,AX15=TRUE),TRUE,FALSE)</f>
        <v>0</v>
      </c>
      <c r="AY16" s="161" t="b">
        <f>IF(AND(AY$7&gt;=Assumptions!$G16,AY$8&lt;=Assumptions!$G$17,AY15=TRUE),TRUE,FALSE)</f>
        <v>0</v>
      </c>
      <c r="AZ16" s="161" t="b">
        <f>IF(AND(AZ$7&gt;=Assumptions!$G16,AZ$8&lt;=Assumptions!$G$17,AZ15=TRUE),TRUE,FALSE)</f>
        <v>0</v>
      </c>
      <c r="BA16" s="161" t="b">
        <f>IF(AND(BA$7&gt;=Assumptions!$G16,BA$8&lt;=Assumptions!$G$17,BA15=TRUE),TRUE,FALSE)</f>
        <v>0</v>
      </c>
      <c r="BB16" s="161" t="b">
        <f>IF(AND(BB$7&gt;=Assumptions!$G16,BB$8&lt;=Assumptions!$G$17,BB15=TRUE),TRUE,FALSE)</f>
        <v>0</v>
      </c>
      <c r="BC16" s="161" t="b">
        <f>IF(AND(BC$7&gt;=Assumptions!$G16,BC$8&lt;=Assumptions!$G$17,BC15=TRUE),TRUE,FALSE)</f>
        <v>0</v>
      </c>
      <c r="BD16" s="161" t="b">
        <f>IF(AND(BD$7&gt;=Assumptions!$G16,BD$8&lt;=Assumptions!$G$17,BD15=TRUE),TRUE,FALSE)</f>
        <v>0</v>
      </c>
      <c r="BE16" s="161" t="b">
        <f>IF(AND(BE$7&gt;=Assumptions!$G16,BE$8&lt;=Assumptions!$G$17,BE15=TRUE),TRUE,FALSE)</f>
        <v>0</v>
      </c>
      <c r="BF16" s="161" t="b">
        <f>IF(AND(BF$7&gt;=Assumptions!$G16,BF$8&lt;=Assumptions!$G$17,BF15=TRUE),TRUE,FALSE)</f>
        <v>0</v>
      </c>
      <c r="BG16" s="161" t="b">
        <f>IF(AND(BG$7&gt;=Assumptions!$G16,BG$8&lt;=Assumptions!$G$17,BG15=TRUE),TRUE,FALSE)</f>
        <v>0</v>
      </c>
      <c r="BH16" s="161" t="b">
        <f>IF(AND(BH$7&gt;=Assumptions!$G16,BH$8&lt;=Assumptions!$G$17,BH15=TRUE),TRUE,FALSE)</f>
        <v>0</v>
      </c>
      <c r="BI16" s="161" t="b">
        <f>IF(AND(BI$7&gt;=Assumptions!$G16,BI$8&lt;=Assumptions!$G$17,BI15=TRUE),TRUE,FALSE)</f>
        <v>0</v>
      </c>
      <c r="BJ16" s="161" t="b">
        <f>IF(AND(BJ$7&gt;=Assumptions!$G16,BJ$8&lt;=Assumptions!$G$17,BJ15=TRUE),TRUE,FALSE)</f>
        <v>0</v>
      </c>
      <c r="BK16" s="161" t="b">
        <f>IF(AND(BK$7&gt;=Assumptions!$G16,BK$8&lt;=Assumptions!$G$17,BK15=TRUE),TRUE,FALSE)</f>
        <v>0</v>
      </c>
      <c r="BL16" s="161" t="b">
        <f>IF(AND(BL$7&gt;=Assumptions!$G16,BL$8&lt;=Assumptions!$G$17,BL15=TRUE),TRUE,FALSE)</f>
        <v>0</v>
      </c>
      <c r="BM16" s="161" t="b">
        <f>IF(AND(BM$7&gt;=Assumptions!$G16,BM$8&lt;=Assumptions!$G$17,BM15=TRUE),TRUE,FALSE)</f>
        <v>0</v>
      </c>
      <c r="BN16" s="161" t="b">
        <f>IF(AND(BN$7&gt;=Assumptions!$G16,BN$8&lt;=Assumptions!$G$17,BN15=TRUE),TRUE,FALSE)</f>
        <v>0</v>
      </c>
      <c r="BO16" s="161" t="b">
        <f>IF(AND(BO$7&gt;=Assumptions!$G16,BO$8&lt;=Assumptions!$G$17,BO15=TRUE),TRUE,FALSE)</f>
        <v>0</v>
      </c>
      <c r="BP16" s="161" t="b">
        <f>IF(AND(BP$7&gt;=Assumptions!$G16,BP$8&lt;=Assumptions!$G$17,BP15=TRUE),TRUE,FALSE)</f>
        <v>0</v>
      </c>
      <c r="BQ16" s="161" t="b">
        <f>IF(AND(BQ$7&gt;=Assumptions!$G16,BQ$8&lt;=Assumptions!$G$17,BQ15=TRUE),TRUE,FALSE)</f>
        <v>0</v>
      </c>
      <c r="BR16" s="161" t="b">
        <f>IF(AND(BR$7&gt;=Assumptions!$G16,BR$8&lt;=Assumptions!$G$17,BR15=TRUE),TRUE,FALSE)</f>
        <v>0</v>
      </c>
      <c r="BS16" s="161" t="b">
        <f>IF(AND(BS$7&gt;=Assumptions!$G16,BS$8&lt;=Assumptions!$G$17,BS15=TRUE),TRUE,FALSE)</f>
        <v>0</v>
      </c>
      <c r="BT16" s="161" t="b">
        <f>IF(AND(BT$7&gt;=Assumptions!$G16,BT$8&lt;=Assumptions!$G$17,BT15=TRUE),TRUE,FALSE)</f>
        <v>0</v>
      </c>
      <c r="BU16" s="161" t="b">
        <f>IF(AND(BU$7&gt;=Assumptions!$G16,BU$8&lt;=Assumptions!$G$17,BU15=TRUE),TRUE,FALSE)</f>
        <v>0</v>
      </c>
      <c r="BV16" s="161" t="b">
        <f>IF(AND(BV$7&gt;=Assumptions!$G16,BV$8&lt;=Assumptions!$G$17,BV15=TRUE),TRUE,FALSE)</f>
        <v>0</v>
      </c>
      <c r="BW16" s="161" t="b">
        <f>IF(AND(BW$7&gt;=Assumptions!$G16,BW$8&lt;=Assumptions!$G$17,BW15=TRUE),TRUE,FALSE)</f>
        <v>0</v>
      </c>
      <c r="BX16" s="161" t="b">
        <f>IF(AND(BX$7&gt;=Assumptions!$G16,BX$8&lt;=Assumptions!$G$17,BX15=TRUE),TRUE,FALSE)</f>
        <v>0</v>
      </c>
      <c r="BY16" s="161" t="b">
        <f>IF(AND(BY$7&gt;=Assumptions!$G16,BY$8&lt;=Assumptions!$G$17,BY15=TRUE),TRUE,FALSE)</f>
        <v>0</v>
      </c>
      <c r="BZ16" s="161" t="b">
        <f>IF(AND(BZ$7&gt;=Assumptions!$G16,BZ$8&lt;=Assumptions!$G$17,BZ15=TRUE),TRUE,FALSE)</f>
        <v>0</v>
      </c>
      <c r="CA16" s="161" t="b">
        <f>IF(AND(CA$7&gt;=Assumptions!$G16,CA$8&lt;=Assumptions!$G$17,CA15=TRUE),TRUE,FALSE)</f>
        <v>0</v>
      </c>
      <c r="CB16" s="161" t="b">
        <f>IF(AND(CB$7&gt;=Assumptions!$G16,CB$8&lt;=Assumptions!$G$17,CB15=TRUE),TRUE,FALSE)</f>
        <v>0</v>
      </c>
      <c r="CC16" s="161" t="b">
        <f>IF(AND(CC$7&gt;=Assumptions!$G16,CC$8&lt;=Assumptions!$G$17,CC15=TRUE),TRUE,FALSE)</f>
        <v>0</v>
      </c>
      <c r="CD16" s="161" t="b">
        <f>IF(AND(CD$7&gt;=Assumptions!$G16,CD$8&lt;=Assumptions!$G$17,CD15=TRUE),TRUE,FALSE)</f>
        <v>0</v>
      </c>
      <c r="CE16" s="161" t="b">
        <f>IF(AND(CE$7&gt;=Assumptions!$G16,CE$8&lt;=Assumptions!$G$17,CE15=TRUE),TRUE,FALSE)</f>
        <v>0</v>
      </c>
      <c r="CF16" s="161" t="b">
        <f>IF(AND(CF$7&gt;=Assumptions!$G16,CF$8&lt;=Assumptions!$G$17,CF15=TRUE),TRUE,FALSE)</f>
        <v>0</v>
      </c>
      <c r="CG16" s="161" t="b">
        <f>IF(AND(CG$7&gt;=Assumptions!$G16,CG$8&lt;=Assumptions!$G$17,CG15=TRUE),TRUE,FALSE)</f>
        <v>0</v>
      </c>
    </row>
    <row r="17" spans="4:85">
      <c r="E17" s="19" t="s">
        <v>407</v>
      </c>
      <c r="F17" s="139"/>
      <c r="H17" s="19"/>
      <c r="I17" s="19"/>
      <c r="J17" s="19"/>
      <c r="K17" s="19"/>
      <c r="L17" s="19"/>
      <c r="M17" s="21"/>
      <c r="N17" s="161" t="b">
        <f>IF(AND(N15=TRUE,N16=FALSE),TRUE,FALSE)</f>
        <v>0</v>
      </c>
      <c r="O17" s="161" t="b">
        <f t="shared" ref="O17:BZ17" si="57">IF(AND(O15=TRUE,O16=FALSE),TRUE,FALSE)</f>
        <v>0</v>
      </c>
      <c r="P17" s="161" t="b">
        <f t="shared" si="57"/>
        <v>0</v>
      </c>
      <c r="Q17" s="161" t="b">
        <f t="shared" si="57"/>
        <v>0</v>
      </c>
      <c r="R17" s="161" t="b">
        <f t="shared" si="57"/>
        <v>0</v>
      </c>
      <c r="S17" s="161" t="b">
        <f t="shared" si="57"/>
        <v>0</v>
      </c>
      <c r="T17" s="161" t="b">
        <f t="shared" si="57"/>
        <v>0</v>
      </c>
      <c r="U17" s="161" t="b">
        <f t="shared" si="57"/>
        <v>0</v>
      </c>
      <c r="V17" s="161" t="b">
        <f t="shared" si="57"/>
        <v>0</v>
      </c>
      <c r="W17" s="161" t="b">
        <f t="shared" si="57"/>
        <v>0</v>
      </c>
      <c r="X17" s="161" t="b">
        <f t="shared" si="57"/>
        <v>0</v>
      </c>
      <c r="Y17" s="161" t="b">
        <f t="shared" si="57"/>
        <v>0</v>
      </c>
      <c r="Z17" s="161" t="b">
        <f t="shared" si="57"/>
        <v>0</v>
      </c>
      <c r="AA17" s="161" t="b">
        <f t="shared" si="57"/>
        <v>0</v>
      </c>
      <c r="AB17" s="161" t="b">
        <f t="shared" si="57"/>
        <v>0</v>
      </c>
      <c r="AC17" s="161" t="b">
        <f t="shared" si="57"/>
        <v>0</v>
      </c>
      <c r="AD17" s="161" t="b">
        <f t="shared" si="57"/>
        <v>0</v>
      </c>
      <c r="AE17" s="161" t="b">
        <f t="shared" si="57"/>
        <v>1</v>
      </c>
      <c r="AF17" s="161" t="b">
        <f t="shared" si="57"/>
        <v>1</v>
      </c>
      <c r="AG17" s="161" t="b">
        <f t="shared" si="57"/>
        <v>1</v>
      </c>
      <c r="AH17" s="161" t="b">
        <f t="shared" si="57"/>
        <v>1</v>
      </c>
      <c r="AI17" s="161" t="b">
        <f t="shared" si="57"/>
        <v>1</v>
      </c>
      <c r="AJ17" s="161" t="b">
        <f t="shared" si="57"/>
        <v>1</v>
      </c>
      <c r="AK17" s="161" t="b">
        <f t="shared" si="57"/>
        <v>1</v>
      </c>
      <c r="AL17" s="161" t="b">
        <f t="shared" si="57"/>
        <v>1</v>
      </c>
      <c r="AM17" s="161" t="b">
        <f t="shared" si="57"/>
        <v>1</v>
      </c>
      <c r="AN17" s="161" t="b">
        <f t="shared" si="57"/>
        <v>1</v>
      </c>
      <c r="AO17" s="161" t="b">
        <f t="shared" si="57"/>
        <v>1</v>
      </c>
      <c r="AP17" s="161" t="b">
        <f t="shared" si="57"/>
        <v>1</v>
      </c>
      <c r="AQ17" s="161" t="b">
        <f t="shared" si="57"/>
        <v>1</v>
      </c>
      <c r="AR17" s="161" t="b">
        <f t="shared" si="57"/>
        <v>1</v>
      </c>
      <c r="AS17" s="161" t="b">
        <f t="shared" si="57"/>
        <v>1</v>
      </c>
      <c r="AT17" s="161" t="b">
        <f t="shared" si="57"/>
        <v>1</v>
      </c>
      <c r="AU17" s="161" t="b">
        <f t="shared" si="57"/>
        <v>1</v>
      </c>
      <c r="AV17" s="161" t="b">
        <f t="shared" si="57"/>
        <v>1</v>
      </c>
      <c r="AW17" s="161" t="b">
        <f t="shared" si="57"/>
        <v>1</v>
      </c>
      <c r="AX17" s="161" t="b">
        <f t="shared" si="57"/>
        <v>1</v>
      </c>
      <c r="AY17" s="161" t="b">
        <f t="shared" si="57"/>
        <v>1</v>
      </c>
      <c r="AZ17" s="161" t="b">
        <f t="shared" si="57"/>
        <v>1</v>
      </c>
      <c r="BA17" s="161" t="b">
        <f t="shared" si="57"/>
        <v>1</v>
      </c>
      <c r="BB17" s="161" t="b">
        <f t="shared" si="57"/>
        <v>1</v>
      </c>
      <c r="BC17" s="161" t="b">
        <f t="shared" si="57"/>
        <v>1</v>
      </c>
      <c r="BD17" s="161" t="b">
        <f t="shared" si="57"/>
        <v>1</v>
      </c>
      <c r="BE17" s="161" t="b">
        <f t="shared" si="57"/>
        <v>1</v>
      </c>
      <c r="BF17" s="161" t="b">
        <f t="shared" si="57"/>
        <v>1</v>
      </c>
      <c r="BG17" s="161" t="b">
        <f t="shared" si="57"/>
        <v>1</v>
      </c>
      <c r="BH17" s="161" t="b">
        <f t="shared" si="57"/>
        <v>1</v>
      </c>
      <c r="BI17" s="161" t="b">
        <f t="shared" si="57"/>
        <v>1</v>
      </c>
      <c r="BJ17" s="161" t="b">
        <f t="shared" si="57"/>
        <v>1</v>
      </c>
      <c r="BK17" s="161" t="b">
        <f t="shared" si="57"/>
        <v>1</v>
      </c>
      <c r="BL17" s="161" t="b">
        <f t="shared" si="57"/>
        <v>1</v>
      </c>
      <c r="BM17" s="161" t="b">
        <f t="shared" si="57"/>
        <v>1</v>
      </c>
      <c r="BN17" s="161" t="b">
        <f t="shared" si="57"/>
        <v>1</v>
      </c>
      <c r="BO17" s="161" t="b">
        <f t="shared" si="57"/>
        <v>1</v>
      </c>
      <c r="BP17" s="161" t="b">
        <f t="shared" si="57"/>
        <v>1</v>
      </c>
      <c r="BQ17" s="161" t="b">
        <f t="shared" si="57"/>
        <v>1</v>
      </c>
      <c r="BR17" s="161" t="b">
        <f t="shared" si="57"/>
        <v>1</v>
      </c>
      <c r="BS17" s="161" t="b">
        <f t="shared" si="57"/>
        <v>1</v>
      </c>
      <c r="BT17" s="161" t="b">
        <f t="shared" si="57"/>
        <v>1</v>
      </c>
      <c r="BU17" s="161" t="b">
        <f t="shared" si="57"/>
        <v>1</v>
      </c>
      <c r="BV17" s="161" t="b">
        <f t="shared" si="57"/>
        <v>1</v>
      </c>
      <c r="BW17" s="161" t="b">
        <f t="shared" si="57"/>
        <v>1</v>
      </c>
      <c r="BX17" s="161" t="b">
        <f t="shared" si="57"/>
        <v>1</v>
      </c>
      <c r="BY17" s="161" t="b">
        <f t="shared" si="57"/>
        <v>1</v>
      </c>
      <c r="BZ17" s="161" t="b">
        <f t="shared" si="57"/>
        <v>1</v>
      </c>
      <c r="CA17" s="161" t="b">
        <f t="shared" ref="CA17:CG17" si="58">IF(AND(CA15=TRUE,CA16=FALSE),TRUE,FALSE)</f>
        <v>1</v>
      </c>
      <c r="CB17" s="161" t="b">
        <f t="shared" si="58"/>
        <v>1</v>
      </c>
      <c r="CC17" s="161" t="b">
        <f t="shared" si="58"/>
        <v>1</v>
      </c>
      <c r="CD17" s="161" t="b">
        <f t="shared" si="58"/>
        <v>1</v>
      </c>
      <c r="CE17" s="161" t="b">
        <f t="shared" si="58"/>
        <v>1</v>
      </c>
      <c r="CF17" s="161" t="b">
        <f t="shared" si="58"/>
        <v>1</v>
      </c>
      <c r="CG17" s="161" t="b">
        <f t="shared" si="58"/>
        <v>1</v>
      </c>
    </row>
    <row r="18" spans="4:85" ht="19.8">
      <c r="F18" s="139"/>
      <c r="H18" s="19"/>
      <c r="I18" s="19"/>
      <c r="J18" s="19"/>
      <c r="K18" s="19"/>
      <c r="L18" s="19"/>
      <c r="M18" s="21"/>
      <c r="N18" s="160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4:85" ht="16.2" thickBot="1">
      <c r="D19" s="25" t="s">
        <v>104</v>
      </c>
      <c r="E19" s="25"/>
      <c r="F19" s="140"/>
      <c r="G19" s="25"/>
      <c r="H19" s="41"/>
      <c r="I19" s="41"/>
      <c r="J19" s="41"/>
      <c r="K19" s="41"/>
      <c r="L19" s="41"/>
    </row>
    <row r="20" spans="4:85" ht="16.2" outlineLevel="1" thickTop="1">
      <c r="F20" s="139"/>
      <c r="G20" s="24"/>
      <c r="H20" s="24"/>
      <c r="I20" s="24"/>
      <c r="J20" s="24"/>
      <c r="K20" s="24"/>
      <c r="L20" s="24"/>
    </row>
    <row r="21" spans="4:85" outlineLevel="1">
      <c r="E21" s="44" t="s">
        <v>237</v>
      </c>
      <c r="G21" s="186">
        <v>15000</v>
      </c>
      <c r="H21" s="186">
        <v>30000</v>
      </c>
      <c r="I21" s="186">
        <v>60000</v>
      </c>
      <c r="J21" s="186">
        <v>120000</v>
      </c>
      <c r="K21" s="186">
        <v>240000</v>
      </c>
      <c r="L21" s="186">
        <v>480000</v>
      </c>
      <c r="N21" s="119" cm="1">
        <f t="array" ref="N21">IF(N15=TRUE,INDEX($G21:$L21,,N$11),0)</f>
        <v>0</v>
      </c>
      <c r="O21" s="119" cm="1">
        <f t="array" ref="O21">IF(O15=TRUE,INDEX($G21:$L21,,O$11),0)</f>
        <v>0</v>
      </c>
      <c r="P21" s="119" cm="1">
        <f t="array" ref="P21">IF(P15=TRUE,INDEX($G21:$L21,,P$11),0)</f>
        <v>0</v>
      </c>
      <c r="Q21" s="119" cm="1">
        <f t="array" ref="Q21">IF(Q15=TRUE,INDEX($G21:$L21,,Q$11),0)</f>
        <v>0</v>
      </c>
      <c r="R21" s="119" cm="1">
        <f t="array" ref="R21">IF(R15=TRUE,INDEX($G21:$L21,,R$11),0)</f>
        <v>0</v>
      </c>
      <c r="S21" s="119" cm="1">
        <f t="array" ref="S21">IF(S15=TRUE,INDEX($G21:$L21,,S$11),0)</f>
        <v>15000</v>
      </c>
      <c r="T21" s="119" cm="1">
        <f t="array" ref="T21">IF(T15=TRUE,INDEX($G21:$L21,,T$11),0)</f>
        <v>15000</v>
      </c>
      <c r="U21" s="119" cm="1">
        <f t="array" ref="U21">IF(U15=TRUE,INDEX($G21:$L21,,U$11),0)</f>
        <v>15000</v>
      </c>
      <c r="V21" s="119" cm="1">
        <f t="array" ref="V21">IF(V15=TRUE,INDEX($G21:$L21,,V$11),0)</f>
        <v>15000</v>
      </c>
      <c r="W21" s="119" cm="1">
        <f t="array" ref="W21">IF(W15=TRUE,INDEX($G21:$L21,,W$11),0)</f>
        <v>15000</v>
      </c>
      <c r="X21" s="119" cm="1">
        <f t="array" ref="X21">IF(X15=TRUE,INDEX($G21:$L21,,X$11),0)</f>
        <v>15000</v>
      </c>
      <c r="Y21" s="119" cm="1">
        <f t="array" ref="Y21">IF(Y15=TRUE,INDEX($G21:$L21,,Y$11),0)</f>
        <v>15000</v>
      </c>
      <c r="Z21" s="119" cm="1">
        <f t="array" ref="Z21">IF(Z15=TRUE,INDEX($G21:$L21,,Z$11),0)</f>
        <v>30000</v>
      </c>
      <c r="AA21" s="119" cm="1">
        <f t="array" ref="AA21">IF(AA15=TRUE,INDEX($G21:$L21,,AA$11),0)</f>
        <v>30000</v>
      </c>
      <c r="AB21" s="119" cm="1">
        <f t="array" ref="AB21">IF(AB15=TRUE,INDEX($G21:$L21,,AB$11),0)</f>
        <v>30000</v>
      </c>
      <c r="AC21" s="119" cm="1">
        <f t="array" ref="AC21">IF(AC15=TRUE,INDEX($G21:$L21,,AC$11),0)</f>
        <v>30000</v>
      </c>
      <c r="AD21" s="119" cm="1">
        <f t="array" ref="AD21">IF(AD15=TRUE,INDEX($G21:$L21,,AD$11),0)</f>
        <v>30000</v>
      </c>
      <c r="AE21" s="119" cm="1">
        <f t="array" ref="AE21">IF(AE15=TRUE,INDEX($G21:$L21,,AE$11),0)</f>
        <v>30000</v>
      </c>
      <c r="AF21" s="119" cm="1">
        <f t="array" ref="AF21">IF(AF15=TRUE,INDEX($G21:$L21,,AF$11),0)</f>
        <v>30000</v>
      </c>
      <c r="AG21" s="119" cm="1">
        <f t="array" ref="AG21">IF(AG15=TRUE,INDEX($G21:$L21,,AG$11),0)</f>
        <v>30000</v>
      </c>
      <c r="AH21" s="119" cm="1">
        <f t="array" ref="AH21">IF(AH15=TRUE,INDEX($G21:$L21,,AH$11),0)</f>
        <v>30000</v>
      </c>
      <c r="AI21" s="119" cm="1">
        <f t="array" ref="AI21">IF(AI15=TRUE,INDEX($G21:$L21,,AI$11),0)</f>
        <v>30000</v>
      </c>
      <c r="AJ21" s="119" cm="1">
        <f t="array" ref="AJ21">IF(AJ15=TRUE,INDEX($G21:$L21,,AJ$11),0)</f>
        <v>30000</v>
      </c>
      <c r="AK21" s="119" cm="1">
        <f t="array" ref="AK21">IF(AK15=TRUE,INDEX($G21:$L21,,AK$11),0)</f>
        <v>30000</v>
      </c>
      <c r="AL21" s="119" cm="1">
        <f t="array" ref="AL21">IF(AL15=TRUE,INDEX($G21:$L21,,AL$11),0)</f>
        <v>60000</v>
      </c>
      <c r="AM21" s="119" cm="1">
        <f t="array" ref="AM21">IF(AM15=TRUE,INDEX($G21:$L21,,AM$11),0)</f>
        <v>60000</v>
      </c>
      <c r="AN21" s="119" cm="1">
        <f t="array" ref="AN21">IF(AN15=TRUE,INDEX($G21:$L21,,AN$11),0)</f>
        <v>60000</v>
      </c>
      <c r="AO21" s="119" cm="1">
        <f t="array" ref="AO21">IF(AO15=TRUE,INDEX($G21:$L21,,AO$11),0)</f>
        <v>60000</v>
      </c>
      <c r="AP21" s="119" cm="1">
        <f t="array" ref="AP21">IF(AP15=TRUE,INDEX($G21:$L21,,AP$11),0)</f>
        <v>60000</v>
      </c>
      <c r="AQ21" s="119" cm="1">
        <f t="array" ref="AQ21">IF(AQ15=TRUE,INDEX($G21:$L21,,AQ$11),0)</f>
        <v>60000</v>
      </c>
      <c r="AR21" s="119" cm="1">
        <f t="array" ref="AR21">IF(AR15=TRUE,INDEX($G21:$L21,,AR$11),0)</f>
        <v>60000</v>
      </c>
      <c r="AS21" s="119" cm="1">
        <f t="array" ref="AS21">IF(AS15=TRUE,INDEX($G21:$L21,,AS$11),0)</f>
        <v>60000</v>
      </c>
      <c r="AT21" s="119" cm="1">
        <f t="array" ref="AT21">IF(AT15=TRUE,INDEX($G21:$L21,,AT$11),0)</f>
        <v>60000</v>
      </c>
      <c r="AU21" s="119" cm="1">
        <f t="array" ref="AU21">IF(AU15=TRUE,INDEX($G21:$L21,,AU$11),0)</f>
        <v>60000</v>
      </c>
      <c r="AV21" s="119" cm="1">
        <f t="array" ref="AV21">IF(AV15=TRUE,INDEX($G21:$L21,,AV$11),0)</f>
        <v>60000</v>
      </c>
      <c r="AW21" s="119" cm="1">
        <f t="array" ref="AW21">IF(AW15=TRUE,INDEX($G21:$L21,,AW$11),0)</f>
        <v>60000</v>
      </c>
      <c r="AX21" s="119" cm="1">
        <f t="array" ref="AX21">IF(AX15=TRUE,INDEX($G21:$L21,,AX$11),0)</f>
        <v>120000</v>
      </c>
      <c r="AY21" s="119" cm="1">
        <f t="array" ref="AY21">IF(AY15=TRUE,INDEX($G21:$L21,,AY$11),0)</f>
        <v>120000</v>
      </c>
      <c r="AZ21" s="119" cm="1">
        <f t="array" ref="AZ21">IF(AZ15=TRUE,INDEX($G21:$L21,,AZ$11),0)</f>
        <v>120000</v>
      </c>
      <c r="BA21" s="119" cm="1">
        <f t="array" ref="BA21">IF(BA15=TRUE,INDEX($G21:$L21,,BA$11),0)</f>
        <v>120000</v>
      </c>
      <c r="BB21" s="119" cm="1">
        <f t="array" ref="BB21">IF(BB15=TRUE,INDEX($G21:$L21,,BB$11),0)</f>
        <v>120000</v>
      </c>
      <c r="BC21" s="119" cm="1">
        <f t="array" ref="BC21">IF(BC15=TRUE,INDEX($G21:$L21,,BC$11),0)</f>
        <v>120000</v>
      </c>
      <c r="BD21" s="119" cm="1">
        <f t="array" ref="BD21">IF(BD15=TRUE,INDEX($G21:$L21,,BD$11),0)</f>
        <v>120000</v>
      </c>
      <c r="BE21" s="119" cm="1">
        <f t="array" ref="BE21">IF(BE15=TRUE,INDEX($G21:$L21,,BE$11),0)</f>
        <v>120000</v>
      </c>
      <c r="BF21" s="119" cm="1">
        <f t="array" ref="BF21">IF(BF15=TRUE,INDEX($G21:$L21,,BF$11),0)</f>
        <v>120000</v>
      </c>
      <c r="BG21" s="119" cm="1">
        <f t="array" ref="BG21">IF(BG15=TRUE,INDEX($G21:$L21,,BG$11),0)</f>
        <v>120000</v>
      </c>
      <c r="BH21" s="119" cm="1">
        <f t="array" ref="BH21">IF(BH15=TRUE,INDEX($G21:$L21,,BH$11),0)</f>
        <v>120000</v>
      </c>
      <c r="BI21" s="119" cm="1">
        <f t="array" ref="BI21">IF(BI15=TRUE,INDEX($G21:$L21,,BI$11),0)</f>
        <v>120000</v>
      </c>
      <c r="BJ21" s="119" cm="1">
        <f t="array" ref="BJ21">IF(BJ15=TRUE,INDEX($G21:$L21,,BJ$11),0)</f>
        <v>240000</v>
      </c>
      <c r="BK21" s="119" cm="1">
        <f t="array" ref="BK21">IF(BK15=TRUE,INDEX($G21:$L21,,BK$11),0)</f>
        <v>240000</v>
      </c>
      <c r="BL21" s="119" cm="1">
        <f t="array" ref="BL21">IF(BL15=TRUE,INDEX($G21:$L21,,BL$11),0)</f>
        <v>240000</v>
      </c>
      <c r="BM21" s="119" cm="1">
        <f t="array" ref="BM21">IF(BM15=TRUE,INDEX($G21:$L21,,BM$11),0)</f>
        <v>240000</v>
      </c>
      <c r="BN21" s="119" cm="1">
        <f t="array" ref="BN21">IF(BN15=TRUE,INDEX($G21:$L21,,BN$11),0)</f>
        <v>240000</v>
      </c>
      <c r="BO21" s="119" cm="1">
        <f t="array" ref="BO21">IF(BO15=TRUE,INDEX($G21:$L21,,BO$11),0)</f>
        <v>240000</v>
      </c>
      <c r="BP21" s="119" cm="1">
        <f t="array" ref="BP21">IF(BP15=TRUE,INDEX($G21:$L21,,BP$11),0)</f>
        <v>240000</v>
      </c>
      <c r="BQ21" s="119" cm="1">
        <f t="array" ref="BQ21">IF(BQ15=TRUE,INDEX($G21:$L21,,BQ$11),0)</f>
        <v>240000</v>
      </c>
      <c r="BR21" s="119" cm="1">
        <f t="array" ref="BR21">IF(BR15=TRUE,INDEX($G21:$L21,,BR$11),0)</f>
        <v>240000</v>
      </c>
      <c r="BS21" s="119" cm="1">
        <f t="array" ref="BS21">IF(BS15=TRUE,INDEX($G21:$L21,,BS$11),0)</f>
        <v>240000</v>
      </c>
      <c r="BT21" s="119" cm="1">
        <f t="array" ref="BT21">IF(BT15=TRUE,INDEX($G21:$L21,,BT$11),0)</f>
        <v>240000</v>
      </c>
      <c r="BU21" s="119" cm="1">
        <f t="array" ref="BU21">IF(BU15=TRUE,INDEX($G21:$L21,,BU$11),0)</f>
        <v>240000</v>
      </c>
      <c r="BV21" s="119" cm="1">
        <f t="array" ref="BV21">IF(BV15=TRUE,INDEX($G21:$L21,,BV$11),0)</f>
        <v>480000</v>
      </c>
      <c r="BW21" s="119" cm="1">
        <f t="array" ref="BW21">IF(BW15=TRUE,INDEX($G21:$L21,,BW$11),0)</f>
        <v>480000</v>
      </c>
      <c r="BX21" s="119" cm="1">
        <f t="array" ref="BX21">IF(BX15=TRUE,INDEX($G21:$L21,,BX$11),0)</f>
        <v>480000</v>
      </c>
      <c r="BY21" s="119" cm="1">
        <f t="array" ref="BY21">IF(BY15=TRUE,INDEX($G21:$L21,,BY$11),0)</f>
        <v>480000</v>
      </c>
      <c r="BZ21" s="119" cm="1">
        <f t="array" ref="BZ21">IF(BZ15=TRUE,INDEX($G21:$L21,,BZ$11),0)</f>
        <v>480000</v>
      </c>
      <c r="CA21" s="119" cm="1">
        <f t="array" ref="CA21">IF(CA15=TRUE,INDEX($G21:$L21,,CA$11),0)</f>
        <v>480000</v>
      </c>
      <c r="CB21" s="119" cm="1">
        <f t="array" ref="CB21">IF(CB15=TRUE,INDEX($G21:$L21,,CB$11),0)</f>
        <v>480000</v>
      </c>
      <c r="CC21" s="119" cm="1">
        <f t="array" ref="CC21">IF(CC15=TRUE,INDEX($G21:$L21,,CC$11),0)</f>
        <v>480000</v>
      </c>
      <c r="CD21" s="119" cm="1">
        <f t="array" ref="CD21">IF(CD15=TRUE,INDEX($G21:$L21,,CD$11),0)</f>
        <v>480000</v>
      </c>
      <c r="CE21" s="119" cm="1">
        <f t="array" ref="CE21">IF(CE15=TRUE,INDEX($G21:$L21,,CE$11),0)</f>
        <v>480000</v>
      </c>
      <c r="CF21" s="119" cm="1">
        <f t="array" ref="CF21">IF(CF15=TRUE,INDEX($G21:$L21,,CF$11),0)</f>
        <v>480000</v>
      </c>
      <c r="CG21" s="119" cm="1">
        <f t="array" ref="CG21">IF(CG15=TRUE,INDEX($G21:$L21,,CG$11),0)</f>
        <v>480000</v>
      </c>
    </row>
    <row r="22" spans="4:85" outlineLevel="1">
      <c r="E22" s="44"/>
      <c r="H22" s="163"/>
      <c r="I22" s="19"/>
      <c r="J22" s="19"/>
      <c r="K22" s="24"/>
      <c r="L22" s="24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</row>
    <row r="23" spans="4:85" outlineLevel="1">
      <c r="E23" s="44" t="s">
        <v>235</v>
      </c>
      <c r="G23" s="63">
        <v>0.4</v>
      </c>
      <c r="H23" s="63">
        <v>0.4</v>
      </c>
      <c r="I23" s="63">
        <v>0.4</v>
      </c>
      <c r="J23" s="63">
        <v>0.4</v>
      </c>
      <c r="K23" s="63">
        <v>0.4</v>
      </c>
      <c r="L23" s="63">
        <v>0.4</v>
      </c>
      <c r="N23" s="119" cm="1">
        <f t="array" ref="N23">INDEX($G23:$L23,,N$11)*N$21</f>
        <v>0</v>
      </c>
      <c r="O23" s="119" cm="1">
        <f t="array" ref="O23">INDEX($G23:$L23,,O$11)*O21</f>
        <v>0</v>
      </c>
      <c r="P23" s="119" cm="1">
        <f t="array" ref="P23">INDEX($G23:$L23,,P$11)*P21</f>
        <v>0</v>
      </c>
      <c r="Q23" s="119" cm="1">
        <f t="array" ref="Q23">INDEX($G23:$L23,,Q$11)*Q21</f>
        <v>0</v>
      </c>
      <c r="R23" s="119" cm="1">
        <f t="array" ref="R23">INDEX($G23:$L23,,R$11)*R21</f>
        <v>0</v>
      </c>
      <c r="S23" s="119" cm="1">
        <f t="array" ref="S23">INDEX($G23:$L23,,S$11)*S21</f>
        <v>6000</v>
      </c>
      <c r="T23" s="119" cm="1">
        <f t="array" ref="T23">INDEX($G23:$L23,,T$11)*T21</f>
        <v>6000</v>
      </c>
      <c r="U23" s="119" cm="1">
        <f t="array" ref="U23">INDEX($G23:$L23,,U$11)*U21</f>
        <v>6000</v>
      </c>
      <c r="V23" s="119" cm="1">
        <f t="array" ref="V23">INDEX($G23:$L23,,V$11)*V21</f>
        <v>6000</v>
      </c>
      <c r="W23" s="119" cm="1">
        <f t="array" ref="W23">INDEX($G23:$L23,,W$11)*W21</f>
        <v>6000</v>
      </c>
      <c r="X23" s="119" cm="1">
        <f t="array" ref="X23">INDEX($G23:$L23,,X$11)*X21</f>
        <v>6000</v>
      </c>
      <c r="Y23" s="119" cm="1">
        <f t="array" ref="Y23">INDEX($G23:$L23,,Y$11)*Y21</f>
        <v>6000</v>
      </c>
      <c r="Z23" s="119" cm="1">
        <f t="array" ref="Z23">INDEX($G23:$L23,,Z$11)*Z21</f>
        <v>12000</v>
      </c>
      <c r="AA23" s="119" cm="1">
        <f t="array" ref="AA23">INDEX($G23:$L23,,AA$11)*AA21</f>
        <v>12000</v>
      </c>
      <c r="AB23" s="119" cm="1">
        <f t="array" ref="AB23">INDEX($G23:$L23,,AB$11)*AB21</f>
        <v>12000</v>
      </c>
      <c r="AC23" s="119" cm="1">
        <f t="array" ref="AC23">INDEX($G23:$L23,,AC$11)*AC21</f>
        <v>12000</v>
      </c>
      <c r="AD23" s="119" cm="1">
        <f t="array" ref="AD23">INDEX($G23:$L23,,AD$11)*AD21</f>
        <v>12000</v>
      </c>
      <c r="AE23" s="119" cm="1">
        <f t="array" ref="AE23">INDEX($G23:$L23,,AE$11)*AE21</f>
        <v>12000</v>
      </c>
      <c r="AF23" s="119" cm="1">
        <f t="array" ref="AF23">INDEX($G23:$L23,,AF$11)*AF21</f>
        <v>12000</v>
      </c>
      <c r="AG23" s="119" cm="1">
        <f t="array" ref="AG23">INDEX($G23:$L23,,AG$11)*AG21</f>
        <v>12000</v>
      </c>
      <c r="AH23" s="119" cm="1">
        <f t="array" ref="AH23">INDEX($G23:$L23,,AH$11)*AH21</f>
        <v>12000</v>
      </c>
      <c r="AI23" s="119" cm="1">
        <f t="array" ref="AI23">INDEX($G23:$L23,,AI$11)*AI21</f>
        <v>12000</v>
      </c>
      <c r="AJ23" s="119" cm="1">
        <f t="array" ref="AJ23">INDEX($G23:$L23,,AJ$11)*AJ21</f>
        <v>12000</v>
      </c>
      <c r="AK23" s="119" cm="1">
        <f t="array" ref="AK23">INDEX($G23:$L23,,AK$11)*AK21</f>
        <v>12000</v>
      </c>
      <c r="AL23" s="119" cm="1">
        <f t="array" ref="AL23">INDEX($G23:$L23,,AL$11)*AL21</f>
        <v>24000</v>
      </c>
      <c r="AM23" s="119" cm="1">
        <f t="array" ref="AM23">INDEX($G23:$L23,,AM$11)*AM21</f>
        <v>24000</v>
      </c>
      <c r="AN23" s="119" cm="1">
        <f t="array" ref="AN23">INDEX($G23:$L23,,AN$11)*AN21</f>
        <v>24000</v>
      </c>
      <c r="AO23" s="119" cm="1">
        <f t="array" ref="AO23">INDEX($G23:$L23,,AO$11)*AO21</f>
        <v>24000</v>
      </c>
      <c r="AP23" s="119" cm="1">
        <f t="array" ref="AP23">INDEX($G23:$L23,,AP$11)*AP21</f>
        <v>24000</v>
      </c>
      <c r="AQ23" s="119" cm="1">
        <f t="array" ref="AQ23">INDEX($G23:$L23,,AQ$11)*AQ21</f>
        <v>24000</v>
      </c>
      <c r="AR23" s="119" cm="1">
        <f t="array" ref="AR23">INDEX($G23:$L23,,AR$11)*AR21</f>
        <v>24000</v>
      </c>
      <c r="AS23" s="119" cm="1">
        <f t="array" ref="AS23">INDEX($G23:$L23,,AS$11)*AS21</f>
        <v>24000</v>
      </c>
      <c r="AT23" s="119" cm="1">
        <f t="array" ref="AT23">INDEX($G23:$L23,,AT$11)*AT21</f>
        <v>24000</v>
      </c>
      <c r="AU23" s="119" cm="1">
        <f t="array" ref="AU23">INDEX($G23:$L23,,AU$11)*AU21</f>
        <v>24000</v>
      </c>
      <c r="AV23" s="119" cm="1">
        <f t="array" ref="AV23">INDEX($G23:$L23,,AV$11)*AV21</f>
        <v>24000</v>
      </c>
      <c r="AW23" s="119" cm="1">
        <f t="array" ref="AW23">INDEX($G23:$L23,,AW$11)*AW21</f>
        <v>24000</v>
      </c>
      <c r="AX23" s="119" cm="1">
        <f t="array" ref="AX23">INDEX($G23:$L23,,AX$11)*AX21</f>
        <v>48000</v>
      </c>
      <c r="AY23" s="119" cm="1">
        <f t="array" ref="AY23">INDEX($G23:$L23,,AY$11)*AY21</f>
        <v>48000</v>
      </c>
      <c r="AZ23" s="119" cm="1">
        <f t="array" ref="AZ23">INDEX($G23:$L23,,AZ$11)*AZ21</f>
        <v>48000</v>
      </c>
      <c r="BA23" s="119" cm="1">
        <f t="array" ref="BA23">INDEX($G23:$L23,,BA$11)*BA21</f>
        <v>48000</v>
      </c>
      <c r="BB23" s="119" cm="1">
        <f t="array" ref="BB23">INDEX($G23:$L23,,BB$11)*BB21</f>
        <v>48000</v>
      </c>
      <c r="BC23" s="119" cm="1">
        <f t="array" ref="BC23">INDEX($G23:$L23,,BC$11)*BC21</f>
        <v>48000</v>
      </c>
      <c r="BD23" s="119" cm="1">
        <f t="array" ref="BD23">INDEX($G23:$L23,,BD$11)*BD21</f>
        <v>48000</v>
      </c>
      <c r="BE23" s="119" cm="1">
        <f t="array" ref="BE23">INDEX($G23:$L23,,BE$11)*BE21</f>
        <v>48000</v>
      </c>
      <c r="BF23" s="119" cm="1">
        <f t="array" ref="BF23">INDEX($G23:$L23,,BF$11)*BF21</f>
        <v>48000</v>
      </c>
      <c r="BG23" s="119" cm="1">
        <f t="array" ref="BG23">INDEX($G23:$L23,,BG$11)*BG21</f>
        <v>48000</v>
      </c>
      <c r="BH23" s="119" cm="1">
        <f t="array" ref="BH23">INDEX($G23:$L23,,BH$11)*BH21</f>
        <v>48000</v>
      </c>
      <c r="BI23" s="119" cm="1">
        <f t="array" ref="BI23">INDEX($G23:$L23,,BI$11)*BI21</f>
        <v>48000</v>
      </c>
      <c r="BJ23" s="119" cm="1">
        <f t="array" ref="BJ23">INDEX($G23:$L23,,BJ$11)*BJ21</f>
        <v>96000</v>
      </c>
      <c r="BK23" s="119" cm="1">
        <f t="array" ref="BK23">INDEX($G23:$L23,,BK$11)*BK21</f>
        <v>96000</v>
      </c>
      <c r="BL23" s="119" cm="1">
        <f t="array" ref="BL23">INDEX($G23:$L23,,BL$11)*BL21</f>
        <v>96000</v>
      </c>
      <c r="BM23" s="119" cm="1">
        <f t="array" ref="BM23">INDEX($G23:$L23,,BM$11)*BM21</f>
        <v>96000</v>
      </c>
      <c r="BN23" s="119" cm="1">
        <f t="array" ref="BN23">INDEX($G23:$L23,,BN$11)*BN21</f>
        <v>96000</v>
      </c>
      <c r="BO23" s="119" cm="1">
        <f t="array" ref="BO23">INDEX($G23:$L23,,BO$11)*BO21</f>
        <v>96000</v>
      </c>
      <c r="BP23" s="119" cm="1">
        <f t="array" ref="BP23">INDEX($G23:$L23,,BP$11)*BP21</f>
        <v>96000</v>
      </c>
      <c r="BQ23" s="119" cm="1">
        <f t="array" ref="BQ23">INDEX($G23:$L23,,BQ$11)*BQ21</f>
        <v>96000</v>
      </c>
      <c r="BR23" s="119" cm="1">
        <f t="array" ref="BR23">INDEX($G23:$L23,,BR$11)*BR21</f>
        <v>96000</v>
      </c>
      <c r="BS23" s="119" cm="1">
        <f t="array" ref="BS23">INDEX($G23:$L23,,BS$11)*BS21</f>
        <v>96000</v>
      </c>
      <c r="BT23" s="119" cm="1">
        <f t="array" ref="BT23">INDEX($G23:$L23,,BT$11)*BT21</f>
        <v>96000</v>
      </c>
      <c r="BU23" s="119" cm="1">
        <f t="array" ref="BU23">INDEX($G23:$L23,,BU$11)*BU21</f>
        <v>96000</v>
      </c>
      <c r="BV23" s="119" cm="1">
        <f t="array" ref="BV23">INDEX($G23:$L23,,BV$11)*BV21</f>
        <v>192000</v>
      </c>
      <c r="BW23" s="119" cm="1">
        <f t="array" ref="BW23">INDEX($G23:$L23,,BW$11)*BW21</f>
        <v>192000</v>
      </c>
      <c r="BX23" s="119" cm="1">
        <f t="array" ref="BX23">INDEX($G23:$L23,,BX$11)*BX21</f>
        <v>192000</v>
      </c>
      <c r="BY23" s="119" cm="1">
        <f t="array" ref="BY23">INDEX($G23:$L23,,BY$11)*BY21</f>
        <v>192000</v>
      </c>
      <c r="BZ23" s="119" cm="1">
        <f t="array" ref="BZ23">INDEX($G23:$L23,,BZ$11)*BZ21</f>
        <v>192000</v>
      </c>
      <c r="CA23" s="119" cm="1">
        <f t="array" ref="CA23">INDEX($G23:$L23,,CA$11)*CA21</f>
        <v>192000</v>
      </c>
      <c r="CB23" s="119" cm="1">
        <f t="array" ref="CB23">INDEX($G23:$L23,,CB$11)*CB21</f>
        <v>192000</v>
      </c>
      <c r="CC23" s="119" cm="1">
        <f t="array" ref="CC23">INDEX($G23:$L23,,CC$11)*CC21</f>
        <v>192000</v>
      </c>
      <c r="CD23" s="119" cm="1">
        <f t="array" ref="CD23">INDEX($G23:$L23,,CD$11)*CD21</f>
        <v>192000</v>
      </c>
      <c r="CE23" s="119" cm="1">
        <f t="array" ref="CE23">INDEX($G23:$L23,,CE$11)*CE21</f>
        <v>192000</v>
      </c>
      <c r="CF23" s="119" cm="1">
        <f t="array" ref="CF23">INDEX($G23:$L23,,CF$11)*CF21</f>
        <v>192000</v>
      </c>
      <c r="CG23" s="119" cm="1">
        <f t="array" ref="CG23">INDEX($G23:$L23,,CG$11)*CG21</f>
        <v>192000</v>
      </c>
    </row>
    <row r="24" spans="4:85" outlineLevel="1">
      <c r="E24" s="44" t="s">
        <v>236</v>
      </c>
      <c r="G24" s="185">
        <f t="shared" ref="G24:L24" si="59">1-G23</f>
        <v>0.6</v>
      </c>
      <c r="H24" s="185">
        <f t="shared" si="59"/>
        <v>0.6</v>
      </c>
      <c r="I24" s="185">
        <f t="shared" si="59"/>
        <v>0.6</v>
      </c>
      <c r="J24" s="185">
        <f t="shared" si="59"/>
        <v>0.6</v>
      </c>
      <c r="K24" s="185">
        <f t="shared" si="59"/>
        <v>0.6</v>
      </c>
      <c r="L24" s="185">
        <f t="shared" si="59"/>
        <v>0.6</v>
      </c>
      <c r="N24" s="119" cm="1">
        <f t="array" ref="N24">INDEX($G24:$L24,,N$11)*N$21</f>
        <v>0</v>
      </c>
      <c r="O24" s="119" cm="1">
        <f t="array" ref="O24">INDEX($G24:$L24,,O$11)*O$21</f>
        <v>0</v>
      </c>
      <c r="P24" s="119" cm="1">
        <f t="array" ref="P24">INDEX($G24:$L24,,P$11)*P$21</f>
        <v>0</v>
      </c>
      <c r="Q24" s="119" cm="1">
        <f t="array" ref="Q24">INDEX($G24:$L24,,Q$11)*Q$21</f>
        <v>0</v>
      </c>
      <c r="R24" s="119" cm="1">
        <f t="array" ref="R24">INDEX($G24:$L24,,R$11)*R$21</f>
        <v>0</v>
      </c>
      <c r="S24" s="119" cm="1">
        <f t="array" ref="S24">INDEX($G24:$L24,,S$11)*S$21</f>
        <v>9000</v>
      </c>
      <c r="T24" s="119" cm="1">
        <f t="array" ref="T24">INDEX($G24:$L24,,T$11)*T$21</f>
        <v>9000</v>
      </c>
      <c r="U24" s="119" cm="1">
        <f t="array" ref="U24">INDEX($G24:$L24,,U$11)*U$21</f>
        <v>9000</v>
      </c>
      <c r="V24" s="119" cm="1">
        <f t="array" ref="V24">INDEX($G24:$L24,,V$11)*V$21</f>
        <v>9000</v>
      </c>
      <c r="W24" s="119" cm="1">
        <f t="array" ref="W24">INDEX($G24:$L24,,W$11)*W$21</f>
        <v>9000</v>
      </c>
      <c r="X24" s="119" cm="1">
        <f t="array" ref="X24">INDEX($G24:$L24,,X$11)*X$21</f>
        <v>9000</v>
      </c>
      <c r="Y24" s="119" cm="1">
        <f t="array" ref="Y24">INDEX($G24:$L24,,Y$11)*Y$21</f>
        <v>9000</v>
      </c>
      <c r="Z24" s="119" cm="1">
        <f t="array" ref="Z24">INDEX($G24:$L24,,Z$11)*Z$21</f>
        <v>18000</v>
      </c>
      <c r="AA24" s="119" cm="1">
        <f t="array" ref="AA24">INDEX($G24:$L24,,AA$11)*AA$21</f>
        <v>18000</v>
      </c>
      <c r="AB24" s="119" cm="1">
        <f t="array" ref="AB24">INDEX($G24:$L24,,AB$11)*AB$21</f>
        <v>18000</v>
      </c>
      <c r="AC24" s="119" cm="1">
        <f t="array" ref="AC24">INDEX($G24:$L24,,AC$11)*AC$21</f>
        <v>18000</v>
      </c>
      <c r="AD24" s="119" cm="1">
        <f t="array" ref="AD24">INDEX($G24:$L24,,AD$11)*AD$21</f>
        <v>18000</v>
      </c>
      <c r="AE24" s="119" cm="1">
        <f t="array" ref="AE24">INDEX($G24:$L24,,AE$11)*AE$21</f>
        <v>18000</v>
      </c>
      <c r="AF24" s="119" cm="1">
        <f t="array" ref="AF24">INDEX($G24:$L24,,AF$11)*AF$21</f>
        <v>18000</v>
      </c>
      <c r="AG24" s="119" cm="1">
        <f t="array" ref="AG24">INDEX($G24:$L24,,AG$11)*AG$21</f>
        <v>18000</v>
      </c>
      <c r="AH24" s="119" cm="1">
        <f t="array" ref="AH24">INDEX($G24:$L24,,AH$11)*AH$21</f>
        <v>18000</v>
      </c>
      <c r="AI24" s="119" cm="1">
        <f t="array" ref="AI24">INDEX($G24:$L24,,AI$11)*AI$21</f>
        <v>18000</v>
      </c>
      <c r="AJ24" s="119" cm="1">
        <f t="array" ref="AJ24">INDEX($G24:$L24,,AJ$11)*AJ$21</f>
        <v>18000</v>
      </c>
      <c r="AK24" s="119" cm="1">
        <f t="array" ref="AK24">INDEX($G24:$L24,,AK$11)*AK$21</f>
        <v>18000</v>
      </c>
      <c r="AL24" s="119" cm="1">
        <f t="array" ref="AL24">INDEX($G24:$L24,,AL$11)*AL$21</f>
        <v>36000</v>
      </c>
      <c r="AM24" s="119" cm="1">
        <f t="array" ref="AM24">INDEX($G24:$L24,,AM$11)*AM$21</f>
        <v>36000</v>
      </c>
      <c r="AN24" s="119" cm="1">
        <f t="array" ref="AN24">INDEX($G24:$L24,,AN$11)*AN$21</f>
        <v>36000</v>
      </c>
      <c r="AO24" s="119" cm="1">
        <f t="array" ref="AO24">INDEX($G24:$L24,,AO$11)*AO$21</f>
        <v>36000</v>
      </c>
      <c r="AP24" s="119" cm="1">
        <f t="array" ref="AP24">INDEX($G24:$L24,,AP$11)*AP$21</f>
        <v>36000</v>
      </c>
      <c r="AQ24" s="119" cm="1">
        <f t="array" ref="AQ24">INDEX($G24:$L24,,AQ$11)*AQ$21</f>
        <v>36000</v>
      </c>
      <c r="AR24" s="119" cm="1">
        <f t="array" ref="AR24">INDEX($G24:$L24,,AR$11)*AR$21</f>
        <v>36000</v>
      </c>
      <c r="AS24" s="119" cm="1">
        <f t="array" ref="AS24">INDEX($G24:$L24,,AS$11)*AS$21</f>
        <v>36000</v>
      </c>
      <c r="AT24" s="119" cm="1">
        <f t="array" ref="AT24">INDEX($G24:$L24,,AT$11)*AT$21</f>
        <v>36000</v>
      </c>
      <c r="AU24" s="119" cm="1">
        <f t="array" ref="AU24">INDEX($G24:$L24,,AU$11)*AU$21</f>
        <v>36000</v>
      </c>
      <c r="AV24" s="119" cm="1">
        <f t="array" ref="AV24">INDEX($G24:$L24,,AV$11)*AV$21</f>
        <v>36000</v>
      </c>
      <c r="AW24" s="119" cm="1">
        <f t="array" ref="AW24">INDEX($G24:$L24,,AW$11)*AW$21</f>
        <v>36000</v>
      </c>
      <c r="AX24" s="119" cm="1">
        <f t="array" ref="AX24">INDEX($G24:$L24,,AX$11)*AX$21</f>
        <v>72000</v>
      </c>
      <c r="AY24" s="119" cm="1">
        <f t="array" ref="AY24">INDEX($G24:$L24,,AY$11)*AY$21</f>
        <v>72000</v>
      </c>
      <c r="AZ24" s="119" cm="1">
        <f t="array" ref="AZ24">INDEX($G24:$L24,,AZ$11)*AZ$21</f>
        <v>72000</v>
      </c>
      <c r="BA24" s="119" cm="1">
        <f t="array" ref="BA24">INDEX($G24:$L24,,BA$11)*BA$21</f>
        <v>72000</v>
      </c>
      <c r="BB24" s="119" cm="1">
        <f t="array" ref="BB24">INDEX($G24:$L24,,BB$11)*BB$21</f>
        <v>72000</v>
      </c>
      <c r="BC24" s="119" cm="1">
        <f t="array" ref="BC24">INDEX($G24:$L24,,BC$11)*BC$21</f>
        <v>72000</v>
      </c>
      <c r="BD24" s="119" cm="1">
        <f t="array" ref="BD24">INDEX($G24:$L24,,BD$11)*BD$21</f>
        <v>72000</v>
      </c>
      <c r="BE24" s="119" cm="1">
        <f t="array" ref="BE24">INDEX($G24:$L24,,BE$11)*BE$21</f>
        <v>72000</v>
      </c>
      <c r="BF24" s="119" cm="1">
        <f t="array" ref="BF24">INDEX($G24:$L24,,BF$11)*BF$21</f>
        <v>72000</v>
      </c>
      <c r="BG24" s="119" cm="1">
        <f t="array" ref="BG24">INDEX($G24:$L24,,BG$11)*BG$21</f>
        <v>72000</v>
      </c>
      <c r="BH24" s="119" cm="1">
        <f t="array" ref="BH24">INDEX($G24:$L24,,BH$11)*BH$21</f>
        <v>72000</v>
      </c>
      <c r="BI24" s="119" cm="1">
        <f t="array" ref="BI24">INDEX($G24:$L24,,BI$11)*BI$21</f>
        <v>72000</v>
      </c>
      <c r="BJ24" s="119" cm="1">
        <f t="array" ref="BJ24">INDEX($G24:$L24,,BJ$11)*BJ$21</f>
        <v>144000</v>
      </c>
      <c r="BK24" s="119" cm="1">
        <f t="array" ref="BK24">INDEX($G24:$L24,,BK$11)*BK$21</f>
        <v>144000</v>
      </c>
      <c r="BL24" s="119" cm="1">
        <f t="array" ref="BL24">INDEX($G24:$L24,,BL$11)*BL$21</f>
        <v>144000</v>
      </c>
      <c r="BM24" s="119" cm="1">
        <f t="array" ref="BM24">INDEX($G24:$L24,,BM$11)*BM$21</f>
        <v>144000</v>
      </c>
      <c r="BN24" s="119" cm="1">
        <f t="array" ref="BN24">INDEX($G24:$L24,,BN$11)*BN$21</f>
        <v>144000</v>
      </c>
      <c r="BO24" s="119" cm="1">
        <f t="array" ref="BO24">INDEX($G24:$L24,,BO$11)*BO$21</f>
        <v>144000</v>
      </c>
      <c r="BP24" s="119" cm="1">
        <f t="array" ref="BP24">INDEX($G24:$L24,,BP$11)*BP$21</f>
        <v>144000</v>
      </c>
      <c r="BQ24" s="119" cm="1">
        <f t="array" ref="BQ24">INDEX($G24:$L24,,BQ$11)*BQ$21</f>
        <v>144000</v>
      </c>
      <c r="BR24" s="119" cm="1">
        <f t="array" ref="BR24">INDEX($G24:$L24,,BR$11)*BR$21</f>
        <v>144000</v>
      </c>
      <c r="BS24" s="119" cm="1">
        <f t="array" ref="BS24">INDEX($G24:$L24,,BS$11)*BS$21</f>
        <v>144000</v>
      </c>
      <c r="BT24" s="119" cm="1">
        <f t="array" ref="BT24">INDEX($G24:$L24,,BT$11)*BT$21</f>
        <v>144000</v>
      </c>
      <c r="BU24" s="119" cm="1">
        <f t="array" ref="BU24">INDEX($G24:$L24,,BU$11)*BU$21</f>
        <v>144000</v>
      </c>
      <c r="BV24" s="119" cm="1">
        <f t="array" ref="BV24">INDEX($G24:$L24,,BV$11)*BV$21</f>
        <v>288000</v>
      </c>
      <c r="BW24" s="119" cm="1">
        <f t="array" ref="BW24">INDEX($G24:$L24,,BW$11)*BW$21</f>
        <v>288000</v>
      </c>
      <c r="BX24" s="119" cm="1">
        <f t="array" ref="BX24">INDEX($G24:$L24,,BX$11)*BX$21</f>
        <v>288000</v>
      </c>
      <c r="BY24" s="119" cm="1">
        <f t="array" ref="BY24">INDEX($G24:$L24,,BY$11)*BY$21</f>
        <v>288000</v>
      </c>
      <c r="BZ24" s="119" cm="1">
        <f t="array" ref="BZ24">INDEX($G24:$L24,,BZ$11)*BZ$21</f>
        <v>288000</v>
      </c>
      <c r="CA24" s="119" cm="1">
        <f t="array" ref="CA24">INDEX($G24:$L24,,CA$11)*CA$21</f>
        <v>288000</v>
      </c>
      <c r="CB24" s="119" cm="1">
        <f t="array" ref="CB24">INDEX($G24:$L24,,CB$11)*CB$21</f>
        <v>288000</v>
      </c>
      <c r="CC24" s="119" cm="1">
        <f t="array" ref="CC24">INDEX($G24:$L24,,CC$11)*CC$21</f>
        <v>288000</v>
      </c>
      <c r="CD24" s="119" cm="1">
        <f t="array" ref="CD24">INDEX($G24:$L24,,CD$11)*CD$21</f>
        <v>288000</v>
      </c>
      <c r="CE24" s="119" cm="1">
        <f t="array" ref="CE24">INDEX($G24:$L24,,CE$11)*CE$21</f>
        <v>288000</v>
      </c>
      <c r="CF24" s="119" cm="1">
        <f t="array" ref="CF24">INDEX($G24:$L24,,CF$11)*CF$21</f>
        <v>288000</v>
      </c>
      <c r="CG24" s="119" cm="1">
        <f t="array" ref="CG24">INDEX($G24:$L24,,CG$11)*CG$21</f>
        <v>288000</v>
      </c>
    </row>
    <row r="25" spans="4:85" outlineLevel="1">
      <c r="H25" s="40"/>
      <c r="I25" s="24"/>
      <c r="J25" s="24"/>
      <c r="K25" s="24"/>
      <c r="L25" s="24"/>
    </row>
    <row r="26" spans="4:85" outlineLevel="1">
      <c r="E26" s="44" t="s">
        <v>239</v>
      </c>
      <c r="G26" s="164">
        <v>70.11</v>
      </c>
      <c r="H26" s="184">
        <f>G26*(1+$G$28)</f>
        <v>73.615499999999997</v>
      </c>
      <c r="I26" s="184">
        <f>H26*(1+$G$28)</f>
        <v>77.296274999999994</v>
      </c>
      <c r="J26" s="184">
        <f>I26*(1+$G$28)</f>
        <v>81.16108874999999</v>
      </c>
      <c r="K26" s="184">
        <f>J26*(1+$G$28)</f>
        <v>85.219143187499995</v>
      </c>
      <c r="L26" s="184">
        <f>K26*(1+$G$28)</f>
        <v>89.480100346875005</v>
      </c>
    </row>
    <row r="27" spans="4:85" outlineLevel="1">
      <c r="E27" s="44" t="s">
        <v>240</v>
      </c>
      <c r="G27" s="63">
        <v>0.04</v>
      </c>
      <c r="H27" s="63">
        <v>0.04</v>
      </c>
      <c r="I27" s="63">
        <v>0.05</v>
      </c>
      <c r="J27" s="63">
        <v>0.06</v>
      </c>
      <c r="K27" s="63">
        <v>6.5000000000000002E-2</v>
      </c>
      <c r="L27" s="63">
        <v>7.0000000000000007E-2</v>
      </c>
    </row>
    <row r="28" spans="4:85" outlineLevel="1">
      <c r="E28" s="44" t="s">
        <v>241</v>
      </c>
      <c r="G28" s="63">
        <v>0.05</v>
      </c>
      <c r="H28" s="40"/>
      <c r="I28" s="24"/>
      <c r="J28" s="24"/>
      <c r="K28" s="24"/>
      <c r="L28" s="24"/>
    </row>
    <row r="29" spans="4:85" outlineLevel="1">
      <c r="H29" s="40"/>
      <c r="I29" s="24"/>
      <c r="J29" s="24"/>
      <c r="K29" s="24"/>
      <c r="L29" s="24"/>
    </row>
    <row r="30" spans="4:85" outlineLevel="1">
      <c r="E30" s="44" t="s">
        <v>242</v>
      </c>
      <c r="H30" s="40"/>
      <c r="I30" s="24"/>
      <c r="J30" s="24"/>
      <c r="K30" s="24"/>
      <c r="L30" s="24"/>
      <c r="N30" s="23" cm="1">
        <f t="array" ref="N30">N23/INDEX($G26:$L26,,N$11)</f>
        <v>0</v>
      </c>
      <c r="O30" s="23" cm="1">
        <f t="array" ref="O30">O23/INDEX($G26:$L26,,O$11)</f>
        <v>0</v>
      </c>
      <c r="P30" s="23" cm="1">
        <f t="array" ref="P30">P23/INDEX($G26:$L26,,P$11)</f>
        <v>0</v>
      </c>
      <c r="Q30" s="23" cm="1">
        <f t="array" ref="Q30">Q23/INDEX($G26:$L26,,Q$11)</f>
        <v>0</v>
      </c>
      <c r="R30" s="23" cm="1">
        <f t="array" ref="R30">R23/INDEX($G26:$L26,,R$11)</f>
        <v>0</v>
      </c>
      <c r="S30" s="23" cm="1">
        <f t="array" ref="S30">S23/INDEX($G26:$L26,,S$11)</f>
        <v>85.57980316645272</v>
      </c>
      <c r="T30" s="23" cm="1">
        <f t="array" ref="T30">T23/INDEX($G26:$L26,,T$11)</f>
        <v>85.57980316645272</v>
      </c>
      <c r="U30" s="23" cm="1">
        <f t="array" ref="U30">U23/INDEX($G26:$L26,,U$11)</f>
        <v>85.57980316645272</v>
      </c>
      <c r="V30" s="23" cm="1">
        <f t="array" ref="V30">V23/INDEX($G26:$L26,,V$11)</f>
        <v>85.57980316645272</v>
      </c>
      <c r="W30" s="23" cm="1">
        <f t="array" ref="W30">W23/INDEX($G26:$L26,,W$11)</f>
        <v>85.57980316645272</v>
      </c>
      <c r="X30" s="23" cm="1">
        <f t="array" ref="X30">X23/INDEX($G26:$L26,,X$11)</f>
        <v>85.57980316645272</v>
      </c>
      <c r="Y30" s="23" cm="1">
        <f t="array" ref="Y30">Y23/INDEX($G26:$L26,,Y$11)</f>
        <v>85.57980316645272</v>
      </c>
      <c r="Z30" s="23" cm="1">
        <f t="array" ref="Z30">Z23/INDEX($G26:$L26,,Z$11)</f>
        <v>163.00914888848138</v>
      </c>
      <c r="AA30" s="23" cm="1">
        <f t="array" ref="AA30">AA23/INDEX($G26:$L26,,AA$11)</f>
        <v>163.00914888848138</v>
      </c>
      <c r="AB30" s="23" cm="1">
        <f t="array" ref="AB30">AB23/INDEX($G26:$L26,,AB$11)</f>
        <v>163.00914888848138</v>
      </c>
      <c r="AC30" s="23" cm="1">
        <f t="array" ref="AC30">AC23/INDEX($G26:$L26,,AC$11)</f>
        <v>163.00914888848138</v>
      </c>
      <c r="AD30" s="23" cm="1">
        <f t="array" ref="AD30">AD23/INDEX($G26:$L26,,AD$11)</f>
        <v>163.00914888848138</v>
      </c>
      <c r="AE30" s="23" cm="1">
        <f t="array" ref="AE30">AE23/INDEX($G26:$L26,,AE$11)</f>
        <v>163.00914888848138</v>
      </c>
      <c r="AF30" s="23" cm="1">
        <f t="array" ref="AF30">AF23/INDEX($G26:$L26,,AF$11)</f>
        <v>163.00914888848138</v>
      </c>
      <c r="AG30" s="23" cm="1">
        <f t="array" ref="AG30">AG23/INDEX($G26:$L26,,AG$11)</f>
        <v>163.00914888848138</v>
      </c>
      <c r="AH30" s="23" cm="1">
        <f t="array" ref="AH30">AH23/INDEX($G26:$L26,,AH$11)</f>
        <v>163.00914888848138</v>
      </c>
      <c r="AI30" s="23" cm="1">
        <f t="array" ref="AI30">AI23/INDEX($G26:$L26,,AI$11)</f>
        <v>163.00914888848138</v>
      </c>
      <c r="AJ30" s="23" cm="1">
        <f t="array" ref="AJ30">AJ23/INDEX($G26:$L26,,AJ$11)</f>
        <v>163.00914888848138</v>
      </c>
      <c r="AK30" s="23" cm="1">
        <f t="array" ref="AK30">AK23/INDEX($G26:$L26,,AK$11)</f>
        <v>163.00914888848138</v>
      </c>
      <c r="AL30" s="23" cm="1">
        <f t="array" ref="AL30">AL23/INDEX($G26:$L26,,AL$11)</f>
        <v>310.49361693044074</v>
      </c>
      <c r="AM30" s="23" cm="1">
        <f t="array" ref="AM30">AM23/INDEX($G26:$L26,,AM$11)</f>
        <v>310.49361693044074</v>
      </c>
      <c r="AN30" s="23" cm="1">
        <f t="array" ref="AN30">AN23/INDEX($G26:$L26,,AN$11)</f>
        <v>310.49361693044074</v>
      </c>
      <c r="AO30" s="23" cm="1">
        <f t="array" ref="AO30">AO23/INDEX($G26:$L26,,AO$11)</f>
        <v>310.49361693044074</v>
      </c>
      <c r="AP30" s="23" cm="1">
        <f t="array" ref="AP30">AP23/INDEX($G26:$L26,,AP$11)</f>
        <v>310.49361693044074</v>
      </c>
      <c r="AQ30" s="23" cm="1">
        <f t="array" ref="AQ30">AQ23/INDEX($G26:$L26,,AQ$11)</f>
        <v>310.49361693044074</v>
      </c>
      <c r="AR30" s="23" cm="1">
        <f t="array" ref="AR30">AR23/INDEX($G26:$L26,,AR$11)</f>
        <v>310.49361693044074</v>
      </c>
      <c r="AS30" s="23" cm="1">
        <f t="array" ref="AS30">AS23/INDEX($G26:$L26,,AS$11)</f>
        <v>310.49361693044074</v>
      </c>
      <c r="AT30" s="23" cm="1">
        <f t="array" ref="AT30">AT23/INDEX($G26:$L26,,AT$11)</f>
        <v>310.49361693044074</v>
      </c>
      <c r="AU30" s="23" cm="1">
        <f t="array" ref="AU30">AU23/INDEX($G26:$L26,,AU$11)</f>
        <v>310.49361693044074</v>
      </c>
      <c r="AV30" s="23" cm="1">
        <f t="array" ref="AV30">AV23/INDEX($G26:$L26,,AV$11)</f>
        <v>310.49361693044074</v>
      </c>
      <c r="AW30" s="23" cm="1">
        <f t="array" ref="AW30">AW23/INDEX($G26:$L26,,AW$11)</f>
        <v>310.49361693044074</v>
      </c>
      <c r="AX30" s="23" cm="1">
        <f t="array" ref="AX30">AX23/INDEX($G26:$L26,,AX$11)</f>
        <v>591.41641320083954</v>
      </c>
      <c r="AY30" s="23" cm="1">
        <f t="array" ref="AY30">AY23/INDEX($G26:$L26,,AY$11)</f>
        <v>591.41641320083954</v>
      </c>
      <c r="AZ30" s="23" cm="1">
        <f t="array" ref="AZ30">AZ23/INDEX($G26:$L26,,AZ$11)</f>
        <v>591.41641320083954</v>
      </c>
      <c r="BA30" s="23" cm="1">
        <f t="array" ref="BA30">BA23/INDEX($G26:$L26,,BA$11)</f>
        <v>591.41641320083954</v>
      </c>
      <c r="BB30" s="23" cm="1">
        <f t="array" ref="BB30">BB23/INDEX($G26:$L26,,BB$11)</f>
        <v>591.41641320083954</v>
      </c>
      <c r="BC30" s="23" cm="1">
        <f t="array" ref="BC30">BC23/INDEX($G26:$L26,,BC$11)</f>
        <v>591.41641320083954</v>
      </c>
      <c r="BD30" s="23" cm="1">
        <f t="array" ref="BD30">BD23/INDEX($G26:$L26,,BD$11)</f>
        <v>591.41641320083954</v>
      </c>
      <c r="BE30" s="23" cm="1">
        <f t="array" ref="BE30">BE23/INDEX($G26:$L26,,BE$11)</f>
        <v>591.41641320083954</v>
      </c>
      <c r="BF30" s="23" cm="1">
        <f t="array" ref="BF30">BF23/INDEX($G26:$L26,,BF$11)</f>
        <v>591.41641320083954</v>
      </c>
      <c r="BG30" s="23" cm="1">
        <f t="array" ref="BG30">BG23/INDEX($G26:$L26,,BG$11)</f>
        <v>591.41641320083954</v>
      </c>
      <c r="BH30" s="23" cm="1">
        <f t="array" ref="BH30">BH23/INDEX($G26:$L26,,BH$11)</f>
        <v>591.41641320083954</v>
      </c>
      <c r="BI30" s="23" cm="1">
        <f t="array" ref="BI30">BI23/INDEX($G26:$L26,,BI$11)</f>
        <v>591.41641320083954</v>
      </c>
      <c r="BJ30" s="23" cm="1">
        <f t="array" ref="BJ30">BJ23/INDEX($G26:$L26,,BJ$11)</f>
        <v>1126.5074537158846</v>
      </c>
      <c r="BK30" s="23" cm="1">
        <f t="array" ref="BK30">BK23/INDEX($G26:$L26,,BK$11)</f>
        <v>1126.5074537158846</v>
      </c>
      <c r="BL30" s="23" cm="1">
        <f t="array" ref="BL30">BL23/INDEX($G26:$L26,,BL$11)</f>
        <v>1126.5074537158846</v>
      </c>
      <c r="BM30" s="23" cm="1">
        <f t="array" ref="BM30">BM23/INDEX($G26:$L26,,BM$11)</f>
        <v>1126.5074537158846</v>
      </c>
      <c r="BN30" s="23" cm="1">
        <f t="array" ref="BN30">BN23/INDEX($G26:$L26,,BN$11)</f>
        <v>1126.5074537158846</v>
      </c>
      <c r="BO30" s="23" cm="1">
        <f t="array" ref="BO30">BO23/INDEX($G26:$L26,,BO$11)</f>
        <v>1126.5074537158846</v>
      </c>
      <c r="BP30" s="23" cm="1">
        <f t="array" ref="BP30">BP23/INDEX($G26:$L26,,BP$11)</f>
        <v>1126.5074537158846</v>
      </c>
      <c r="BQ30" s="23" cm="1">
        <f t="array" ref="BQ30">BQ23/INDEX($G26:$L26,,BQ$11)</f>
        <v>1126.5074537158846</v>
      </c>
      <c r="BR30" s="23" cm="1">
        <f t="array" ref="BR30">BR23/INDEX($G26:$L26,,BR$11)</f>
        <v>1126.5074537158846</v>
      </c>
      <c r="BS30" s="23" cm="1">
        <f t="array" ref="BS30">BS23/INDEX($G26:$L26,,BS$11)</f>
        <v>1126.5074537158846</v>
      </c>
      <c r="BT30" s="23" cm="1">
        <f t="array" ref="BT30">BT23/INDEX($G26:$L26,,BT$11)</f>
        <v>1126.5074537158846</v>
      </c>
      <c r="BU30" s="23" cm="1">
        <f t="array" ref="BU30">BU23/INDEX($G26:$L26,,BU$11)</f>
        <v>1126.5074537158846</v>
      </c>
      <c r="BV30" s="23" cm="1">
        <f t="array" ref="BV30">BV23/INDEX($G26:$L26,,BV$11)</f>
        <v>2145.7284832683517</v>
      </c>
      <c r="BW30" s="23" cm="1">
        <f t="array" ref="BW30">BW23/INDEX($G26:$L26,,BW$11)</f>
        <v>2145.7284832683517</v>
      </c>
      <c r="BX30" s="23" cm="1">
        <f t="array" ref="BX30">BX23/INDEX($G26:$L26,,BX$11)</f>
        <v>2145.7284832683517</v>
      </c>
      <c r="BY30" s="23" cm="1">
        <f t="array" ref="BY30">BY23/INDEX($G26:$L26,,BY$11)</f>
        <v>2145.7284832683517</v>
      </c>
      <c r="BZ30" s="23" cm="1">
        <f t="array" ref="BZ30">BZ23/INDEX($G26:$L26,,BZ$11)</f>
        <v>2145.7284832683517</v>
      </c>
      <c r="CA30" s="23" cm="1">
        <f t="array" ref="CA30">CA23/INDEX($G26:$L26,,CA$11)</f>
        <v>2145.7284832683517</v>
      </c>
      <c r="CB30" s="23" cm="1">
        <f t="array" ref="CB30">CB23/INDEX($G26:$L26,,CB$11)</f>
        <v>2145.7284832683517</v>
      </c>
      <c r="CC30" s="23" cm="1">
        <f t="array" ref="CC30">CC23/INDEX($G26:$L26,,CC$11)</f>
        <v>2145.7284832683517</v>
      </c>
      <c r="CD30" s="23" cm="1">
        <f t="array" ref="CD30">CD23/INDEX($G26:$L26,,CD$11)</f>
        <v>2145.7284832683517</v>
      </c>
      <c r="CE30" s="23" cm="1">
        <f t="array" ref="CE30">CE23/INDEX($G26:$L26,,CE$11)</f>
        <v>2145.7284832683517</v>
      </c>
      <c r="CF30" s="23" cm="1">
        <f t="array" ref="CF30">CF23/INDEX($G26:$L26,,CF$11)</f>
        <v>2145.7284832683517</v>
      </c>
      <c r="CG30" s="23" cm="1">
        <f t="array" ref="CG30">CG23/INDEX($G26:$L26,,CG$11)</f>
        <v>2145.7284832683517</v>
      </c>
    </row>
    <row r="31" spans="4:85" outlineLevel="1">
      <c r="E31" s="44" t="s">
        <v>243</v>
      </c>
      <c r="H31" s="40"/>
      <c r="I31" s="24"/>
      <c r="J31" s="24"/>
      <c r="K31" s="24"/>
      <c r="L31" s="24"/>
      <c r="N31" s="23" cm="1">
        <f t="array" ref="N31">N30*INDEX($G$27:$L$27,,N$11)</f>
        <v>0</v>
      </c>
      <c r="O31" s="23" cm="1">
        <f t="array" ref="O31">O30*INDEX($G$27:$L$27,,O$11)</f>
        <v>0</v>
      </c>
      <c r="P31" s="23" cm="1">
        <f t="array" ref="P31">P30*INDEX($G$27:$L$27,,P$11)</f>
        <v>0</v>
      </c>
      <c r="Q31" s="23" cm="1">
        <f t="array" ref="Q31">Q30*INDEX($G$27:$L$27,,Q$11)</f>
        <v>0</v>
      </c>
      <c r="R31" s="23" cm="1">
        <f t="array" ref="R31">R30*INDEX($G$27:$L$27,,R$11)</f>
        <v>0</v>
      </c>
      <c r="S31" s="23" cm="1">
        <f t="array" ref="S31">S30*INDEX($G$27:$L$27,,S$11)</f>
        <v>3.4231921266581087</v>
      </c>
      <c r="T31" s="23" cm="1">
        <f t="array" ref="T31">T30*INDEX($G$27:$L$27,,T$11)</f>
        <v>3.4231921266581087</v>
      </c>
      <c r="U31" s="23" cm="1">
        <f t="array" ref="U31">U30*INDEX($G$27:$L$27,,U$11)</f>
        <v>3.4231921266581087</v>
      </c>
      <c r="V31" s="23" cm="1">
        <f t="array" ref="V31">V30*INDEX($G$27:$L$27,,V$11)</f>
        <v>3.4231921266581087</v>
      </c>
      <c r="W31" s="23" cm="1">
        <f t="array" ref="W31">W30*INDEX($G$27:$L$27,,W$11)</f>
        <v>3.4231921266581087</v>
      </c>
      <c r="X31" s="23" cm="1">
        <f t="array" ref="X31">X30*INDEX($G$27:$L$27,,X$11)</f>
        <v>3.4231921266581087</v>
      </c>
      <c r="Y31" s="23" cm="1">
        <f t="array" ref="Y31">Y30*INDEX($G$27:$L$27,,Y$11)</f>
        <v>3.4231921266581087</v>
      </c>
      <c r="Z31" s="23" cm="1">
        <f t="array" ref="Z31">Z30*INDEX($G$27:$L$27,,Z$11)</f>
        <v>6.5203659555392548</v>
      </c>
      <c r="AA31" s="23" cm="1">
        <f t="array" ref="AA31">AA30*INDEX($G$27:$L$27,,AA$11)</f>
        <v>6.5203659555392548</v>
      </c>
      <c r="AB31" s="23" cm="1">
        <f t="array" ref="AB31">AB30*INDEX($G$27:$L$27,,AB$11)</f>
        <v>6.5203659555392548</v>
      </c>
      <c r="AC31" s="23" cm="1">
        <f t="array" ref="AC31">AC30*INDEX($G$27:$L$27,,AC$11)</f>
        <v>6.5203659555392548</v>
      </c>
      <c r="AD31" s="23" cm="1">
        <f t="array" ref="AD31">AD30*INDEX($G$27:$L$27,,AD$11)</f>
        <v>6.5203659555392548</v>
      </c>
      <c r="AE31" s="23" cm="1">
        <f t="array" ref="AE31">AE30*INDEX($G$27:$L$27,,AE$11)</f>
        <v>6.5203659555392548</v>
      </c>
      <c r="AF31" s="23" cm="1">
        <f t="array" ref="AF31">AF30*INDEX($G$27:$L$27,,AF$11)</f>
        <v>6.5203659555392548</v>
      </c>
      <c r="AG31" s="23" cm="1">
        <f t="array" ref="AG31">AG30*INDEX($G$27:$L$27,,AG$11)</f>
        <v>6.5203659555392548</v>
      </c>
      <c r="AH31" s="23" cm="1">
        <f t="array" ref="AH31">AH30*INDEX($G$27:$L$27,,AH$11)</f>
        <v>6.5203659555392548</v>
      </c>
      <c r="AI31" s="23" cm="1">
        <f t="array" ref="AI31">AI30*INDEX($G$27:$L$27,,AI$11)</f>
        <v>6.5203659555392548</v>
      </c>
      <c r="AJ31" s="23" cm="1">
        <f t="array" ref="AJ31">AJ30*INDEX($G$27:$L$27,,AJ$11)</f>
        <v>6.5203659555392548</v>
      </c>
      <c r="AK31" s="23" cm="1">
        <f t="array" ref="AK31">AK30*INDEX($G$27:$L$27,,AK$11)</f>
        <v>6.5203659555392548</v>
      </c>
      <c r="AL31" s="23" cm="1">
        <f t="array" ref="AL31">AL30*INDEX($G$27:$L$27,,AL$11)</f>
        <v>15.524680846522038</v>
      </c>
      <c r="AM31" s="23" cm="1">
        <f t="array" ref="AM31">AM30*INDEX($G$27:$L$27,,AM$11)</f>
        <v>15.524680846522038</v>
      </c>
      <c r="AN31" s="23" cm="1">
        <f t="array" ref="AN31">AN30*INDEX($G$27:$L$27,,AN$11)</f>
        <v>15.524680846522038</v>
      </c>
      <c r="AO31" s="23" cm="1">
        <f t="array" ref="AO31">AO30*INDEX($G$27:$L$27,,AO$11)</f>
        <v>15.524680846522038</v>
      </c>
      <c r="AP31" s="23" cm="1">
        <f t="array" ref="AP31">AP30*INDEX($G$27:$L$27,,AP$11)</f>
        <v>15.524680846522038</v>
      </c>
      <c r="AQ31" s="23" cm="1">
        <f t="array" ref="AQ31">AQ30*INDEX($G$27:$L$27,,AQ$11)</f>
        <v>15.524680846522038</v>
      </c>
      <c r="AR31" s="23" cm="1">
        <f t="array" ref="AR31">AR30*INDEX($G$27:$L$27,,AR$11)</f>
        <v>15.524680846522038</v>
      </c>
      <c r="AS31" s="23" cm="1">
        <f t="array" ref="AS31">AS30*INDEX($G$27:$L$27,,AS$11)</f>
        <v>15.524680846522038</v>
      </c>
      <c r="AT31" s="23" cm="1">
        <f t="array" ref="AT31">AT30*INDEX($G$27:$L$27,,AT$11)</f>
        <v>15.524680846522038</v>
      </c>
      <c r="AU31" s="23" cm="1">
        <f t="array" ref="AU31">AU30*INDEX($G$27:$L$27,,AU$11)</f>
        <v>15.524680846522038</v>
      </c>
      <c r="AV31" s="23" cm="1">
        <f t="array" ref="AV31">AV30*INDEX($G$27:$L$27,,AV$11)</f>
        <v>15.524680846522038</v>
      </c>
      <c r="AW31" s="23" cm="1">
        <f t="array" ref="AW31">AW30*INDEX($G$27:$L$27,,AW$11)</f>
        <v>15.524680846522038</v>
      </c>
      <c r="AX31" s="23" cm="1">
        <f t="array" ref="AX31">AX30*INDEX($G$27:$L$27,,AX$11)</f>
        <v>35.484984792050369</v>
      </c>
      <c r="AY31" s="23" cm="1">
        <f t="array" ref="AY31">AY30*INDEX($G$27:$L$27,,AY$11)</f>
        <v>35.484984792050369</v>
      </c>
      <c r="AZ31" s="23" cm="1">
        <f t="array" ref="AZ31">AZ30*INDEX($G$27:$L$27,,AZ$11)</f>
        <v>35.484984792050369</v>
      </c>
      <c r="BA31" s="23" cm="1">
        <f t="array" ref="BA31">BA30*INDEX($G$27:$L$27,,BA$11)</f>
        <v>35.484984792050369</v>
      </c>
      <c r="BB31" s="23" cm="1">
        <f t="array" ref="BB31">BB30*INDEX($G$27:$L$27,,BB$11)</f>
        <v>35.484984792050369</v>
      </c>
      <c r="BC31" s="23" cm="1">
        <f t="array" ref="BC31">BC30*INDEX($G$27:$L$27,,BC$11)</f>
        <v>35.484984792050369</v>
      </c>
      <c r="BD31" s="23" cm="1">
        <f t="array" ref="BD31">BD30*INDEX($G$27:$L$27,,BD$11)</f>
        <v>35.484984792050369</v>
      </c>
      <c r="BE31" s="23" cm="1">
        <f t="array" ref="BE31">BE30*INDEX($G$27:$L$27,,BE$11)</f>
        <v>35.484984792050369</v>
      </c>
      <c r="BF31" s="23" cm="1">
        <f t="array" ref="BF31">BF30*INDEX($G$27:$L$27,,BF$11)</f>
        <v>35.484984792050369</v>
      </c>
      <c r="BG31" s="23" cm="1">
        <f t="array" ref="BG31">BG30*INDEX($G$27:$L$27,,BG$11)</f>
        <v>35.484984792050369</v>
      </c>
      <c r="BH31" s="23" cm="1">
        <f t="array" ref="BH31">BH30*INDEX($G$27:$L$27,,BH$11)</f>
        <v>35.484984792050369</v>
      </c>
      <c r="BI31" s="23" cm="1">
        <f t="array" ref="BI31">BI30*INDEX($G$27:$L$27,,BI$11)</f>
        <v>35.484984792050369</v>
      </c>
      <c r="BJ31" s="23" cm="1">
        <f t="array" ref="BJ31">BJ30*INDEX($G$27:$L$27,,BJ$11)</f>
        <v>73.2229844915325</v>
      </c>
      <c r="BK31" s="23" cm="1">
        <f t="array" ref="BK31">BK30*INDEX($G$27:$L$27,,BK$11)</f>
        <v>73.2229844915325</v>
      </c>
      <c r="BL31" s="23" cm="1">
        <f t="array" ref="BL31">BL30*INDEX($G$27:$L$27,,BL$11)</f>
        <v>73.2229844915325</v>
      </c>
      <c r="BM31" s="23" cm="1">
        <f t="array" ref="BM31">BM30*INDEX($G$27:$L$27,,BM$11)</f>
        <v>73.2229844915325</v>
      </c>
      <c r="BN31" s="23" cm="1">
        <f t="array" ref="BN31">BN30*INDEX($G$27:$L$27,,BN$11)</f>
        <v>73.2229844915325</v>
      </c>
      <c r="BO31" s="23" cm="1">
        <f t="array" ref="BO31">BO30*INDEX($G$27:$L$27,,BO$11)</f>
        <v>73.2229844915325</v>
      </c>
      <c r="BP31" s="23" cm="1">
        <f t="array" ref="BP31">BP30*INDEX($G$27:$L$27,,BP$11)</f>
        <v>73.2229844915325</v>
      </c>
      <c r="BQ31" s="23" cm="1">
        <f t="array" ref="BQ31">BQ30*INDEX($G$27:$L$27,,BQ$11)</f>
        <v>73.2229844915325</v>
      </c>
      <c r="BR31" s="23" cm="1">
        <f t="array" ref="BR31">BR30*INDEX($G$27:$L$27,,BR$11)</f>
        <v>73.2229844915325</v>
      </c>
      <c r="BS31" s="23" cm="1">
        <f t="array" ref="BS31">BS30*INDEX($G$27:$L$27,,BS$11)</f>
        <v>73.2229844915325</v>
      </c>
      <c r="BT31" s="23" cm="1">
        <f t="array" ref="BT31">BT30*INDEX($G$27:$L$27,,BT$11)</f>
        <v>73.2229844915325</v>
      </c>
      <c r="BU31" s="23" cm="1">
        <f t="array" ref="BU31">BU30*INDEX($G$27:$L$27,,BU$11)</f>
        <v>73.2229844915325</v>
      </c>
      <c r="BV31" s="23" cm="1">
        <f t="array" ref="BV31">BV30*INDEX($G$27:$L$27,,BV$11)</f>
        <v>150.20099382878465</v>
      </c>
      <c r="BW31" s="23" cm="1">
        <f t="array" ref="BW31">BW30*INDEX($G$27:$L$27,,BW$11)</f>
        <v>150.20099382878465</v>
      </c>
      <c r="BX31" s="23" cm="1">
        <f t="array" ref="BX31">BX30*INDEX($G$27:$L$27,,BX$11)</f>
        <v>150.20099382878465</v>
      </c>
      <c r="BY31" s="23" cm="1">
        <f t="array" ref="BY31">BY30*INDEX($G$27:$L$27,,BY$11)</f>
        <v>150.20099382878465</v>
      </c>
      <c r="BZ31" s="23" cm="1">
        <f t="array" ref="BZ31">BZ30*INDEX($G$27:$L$27,,BZ$11)</f>
        <v>150.20099382878465</v>
      </c>
      <c r="CA31" s="23" cm="1">
        <f t="array" ref="CA31">CA30*INDEX($G$27:$L$27,,CA$11)</f>
        <v>150.20099382878465</v>
      </c>
      <c r="CB31" s="23" cm="1">
        <f t="array" ref="CB31">CB30*INDEX($G$27:$L$27,,CB$11)</f>
        <v>150.20099382878465</v>
      </c>
      <c r="CC31" s="23" cm="1">
        <f t="array" ref="CC31">CC30*INDEX($G$27:$L$27,,CC$11)</f>
        <v>150.20099382878465</v>
      </c>
      <c r="CD31" s="23" cm="1">
        <f t="array" ref="CD31">CD30*INDEX($G$27:$L$27,,CD$11)</f>
        <v>150.20099382878465</v>
      </c>
      <c r="CE31" s="23" cm="1">
        <f t="array" ref="CE31">CE30*INDEX($G$27:$L$27,,CE$11)</f>
        <v>150.20099382878465</v>
      </c>
      <c r="CF31" s="23" cm="1">
        <f t="array" ref="CF31">CF30*INDEX($G$27:$L$27,,CF$11)</f>
        <v>150.20099382878465</v>
      </c>
      <c r="CG31" s="23" cm="1">
        <f t="array" ref="CG31">CG30*INDEX($G$27:$L$27,,CG$11)</f>
        <v>150.20099382878465</v>
      </c>
    </row>
    <row r="32" spans="4:85" outlineLevel="1">
      <c r="H32" s="40"/>
      <c r="I32" s="24"/>
      <c r="J32" s="24"/>
      <c r="K32" s="24"/>
      <c r="L32" s="24"/>
    </row>
    <row r="33" spans="4:85" outlineLevel="1">
      <c r="E33" s="44" t="s">
        <v>244</v>
      </c>
      <c r="G33" s="164">
        <v>7</v>
      </c>
      <c r="H33" s="184">
        <f>G33*(1+$G$28)</f>
        <v>7.3500000000000005</v>
      </c>
      <c r="I33" s="184">
        <f>H33*(1+$G$28)</f>
        <v>7.7175000000000011</v>
      </c>
      <c r="J33" s="184">
        <f>I33*(1+$G$28)</f>
        <v>8.1033750000000015</v>
      </c>
      <c r="K33" s="184">
        <f>J33*(1+$G$28)</f>
        <v>8.5085437500000012</v>
      </c>
      <c r="L33" s="184">
        <f>K33*(1+$G$28)</f>
        <v>8.9339709375000016</v>
      </c>
    </row>
    <row r="34" spans="4:85" outlineLevel="1">
      <c r="E34" s="44" t="s">
        <v>248</v>
      </c>
      <c r="G34" s="63">
        <v>0.04</v>
      </c>
      <c r="H34" s="63">
        <v>0.04</v>
      </c>
      <c r="I34" s="63">
        <v>0.05</v>
      </c>
      <c r="J34" s="63">
        <v>0.06</v>
      </c>
      <c r="K34" s="63">
        <v>6.5000000000000002E-2</v>
      </c>
      <c r="L34" s="63">
        <v>7.0000000000000007E-2</v>
      </c>
    </row>
    <row r="35" spans="4:85" outlineLevel="1">
      <c r="E35" s="44" t="s">
        <v>246</v>
      </c>
      <c r="G35" s="63">
        <v>0.05</v>
      </c>
      <c r="H35" s="40"/>
      <c r="I35" s="24"/>
      <c r="J35" s="24"/>
      <c r="K35" s="24"/>
      <c r="L35" s="24"/>
    </row>
    <row r="36" spans="4:85" outlineLevel="1">
      <c r="H36" s="40"/>
      <c r="I36" s="24"/>
      <c r="J36" s="24"/>
      <c r="K36" s="24"/>
      <c r="L36" s="24"/>
    </row>
    <row r="37" spans="4:85" outlineLevel="1">
      <c r="E37" s="44" t="s">
        <v>245</v>
      </c>
      <c r="H37" s="40"/>
      <c r="I37" s="24"/>
      <c r="J37" s="24"/>
      <c r="K37" s="24"/>
      <c r="L37" s="24"/>
      <c r="N37" s="23" cm="1">
        <f t="array" ref="N37">N24/INDEX($G33:$L33,,N$11)</f>
        <v>0</v>
      </c>
      <c r="O37" s="23" cm="1">
        <f t="array" ref="O37">O24/INDEX($G33:$L33,,O$11)</f>
        <v>0</v>
      </c>
      <c r="P37" s="23" cm="1">
        <f t="array" ref="P37">P24/INDEX($G33:$L33,,P$11)</f>
        <v>0</v>
      </c>
      <c r="Q37" s="23" cm="1">
        <f t="array" ref="Q37">Q24/INDEX($G33:$L33,,Q$11)</f>
        <v>0</v>
      </c>
      <c r="R37" s="23" cm="1">
        <f t="array" ref="R37">R24/INDEX($G33:$L33,,R$11)</f>
        <v>0</v>
      </c>
      <c r="S37" s="23" cm="1">
        <f t="array" ref="S37">S24/INDEX($G33:$L33,,S$11)</f>
        <v>1285.7142857142858</v>
      </c>
      <c r="T37" s="23" cm="1">
        <f t="array" ref="T37">T24/INDEX($G33:$L33,,T$11)</f>
        <v>1285.7142857142858</v>
      </c>
      <c r="U37" s="23" cm="1">
        <f t="array" ref="U37">U24/INDEX($G33:$L33,,U$11)</f>
        <v>1285.7142857142858</v>
      </c>
      <c r="V37" s="23" cm="1">
        <f t="array" ref="V37">V24/INDEX($G33:$L33,,V$11)</f>
        <v>1285.7142857142858</v>
      </c>
      <c r="W37" s="23" cm="1">
        <f t="array" ref="W37">W24/INDEX($G33:$L33,,W$11)</f>
        <v>1285.7142857142858</v>
      </c>
      <c r="X37" s="23" cm="1">
        <f t="array" ref="X37">X24/INDEX($G33:$L33,,X$11)</f>
        <v>1285.7142857142858</v>
      </c>
      <c r="Y37" s="23" cm="1">
        <f t="array" ref="Y37">Y24/INDEX($G33:$L33,,Y$11)</f>
        <v>1285.7142857142858</v>
      </c>
      <c r="Z37" s="23" cm="1">
        <f t="array" ref="Z37">Z24/INDEX($G33:$L33,,Z$11)</f>
        <v>2448.9795918367345</v>
      </c>
      <c r="AA37" s="23" cm="1">
        <f t="array" ref="AA37">AA24/INDEX($G33:$L33,,AA$11)</f>
        <v>2448.9795918367345</v>
      </c>
      <c r="AB37" s="23" cm="1">
        <f t="array" ref="AB37">AB24/INDEX($G33:$L33,,AB$11)</f>
        <v>2448.9795918367345</v>
      </c>
      <c r="AC37" s="23" cm="1">
        <f t="array" ref="AC37">AC24/INDEX($G33:$L33,,AC$11)</f>
        <v>2448.9795918367345</v>
      </c>
      <c r="AD37" s="23" cm="1">
        <f t="array" ref="AD37">AD24/INDEX($G33:$L33,,AD$11)</f>
        <v>2448.9795918367345</v>
      </c>
      <c r="AE37" s="23" cm="1">
        <f t="array" ref="AE37">AE24/INDEX($G33:$L33,,AE$11)</f>
        <v>2448.9795918367345</v>
      </c>
      <c r="AF37" s="23" cm="1">
        <f t="array" ref="AF37">AF24/INDEX($G33:$L33,,AF$11)</f>
        <v>2448.9795918367345</v>
      </c>
      <c r="AG37" s="23" cm="1">
        <f t="array" ref="AG37">AG24/INDEX($G33:$L33,,AG$11)</f>
        <v>2448.9795918367345</v>
      </c>
      <c r="AH37" s="23" cm="1">
        <f t="array" ref="AH37">AH24/INDEX($G33:$L33,,AH$11)</f>
        <v>2448.9795918367345</v>
      </c>
      <c r="AI37" s="23" cm="1">
        <f t="array" ref="AI37">AI24/INDEX($G33:$L33,,AI$11)</f>
        <v>2448.9795918367345</v>
      </c>
      <c r="AJ37" s="23" cm="1">
        <f t="array" ref="AJ37">AJ24/INDEX($G33:$L33,,AJ$11)</f>
        <v>2448.9795918367345</v>
      </c>
      <c r="AK37" s="23" cm="1">
        <f t="array" ref="AK37">AK24/INDEX($G33:$L33,,AK$11)</f>
        <v>2448.9795918367345</v>
      </c>
      <c r="AL37" s="23" cm="1">
        <f t="array" ref="AL37">AL24/INDEX($G33:$L33,,AL$11)</f>
        <v>4664.72303206997</v>
      </c>
      <c r="AM37" s="23" cm="1">
        <f t="array" ref="AM37">AM24/INDEX($G33:$L33,,AM$11)</f>
        <v>4664.72303206997</v>
      </c>
      <c r="AN37" s="23" cm="1">
        <f t="array" ref="AN37">AN24/INDEX($G33:$L33,,AN$11)</f>
        <v>4664.72303206997</v>
      </c>
      <c r="AO37" s="23" cm="1">
        <f t="array" ref="AO37">AO24/INDEX($G33:$L33,,AO$11)</f>
        <v>4664.72303206997</v>
      </c>
      <c r="AP37" s="23" cm="1">
        <f t="array" ref="AP37">AP24/INDEX($G33:$L33,,AP$11)</f>
        <v>4664.72303206997</v>
      </c>
      <c r="AQ37" s="23" cm="1">
        <f t="array" ref="AQ37">AQ24/INDEX($G33:$L33,,AQ$11)</f>
        <v>4664.72303206997</v>
      </c>
      <c r="AR37" s="23" cm="1">
        <f t="array" ref="AR37">AR24/INDEX($G33:$L33,,AR$11)</f>
        <v>4664.72303206997</v>
      </c>
      <c r="AS37" s="23" cm="1">
        <f t="array" ref="AS37">AS24/INDEX($G33:$L33,,AS$11)</f>
        <v>4664.72303206997</v>
      </c>
      <c r="AT37" s="23" cm="1">
        <f t="array" ref="AT37">AT24/INDEX($G33:$L33,,AT$11)</f>
        <v>4664.72303206997</v>
      </c>
      <c r="AU37" s="23" cm="1">
        <f t="array" ref="AU37">AU24/INDEX($G33:$L33,,AU$11)</f>
        <v>4664.72303206997</v>
      </c>
      <c r="AV37" s="23" cm="1">
        <f t="array" ref="AV37">AV24/INDEX($G33:$L33,,AV$11)</f>
        <v>4664.72303206997</v>
      </c>
      <c r="AW37" s="23" cm="1">
        <f t="array" ref="AW37">AW24/INDEX($G33:$L33,,AW$11)</f>
        <v>4664.72303206997</v>
      </c>
      <c r="AX37" s="23" cm="1">
        <f t="array" ref="AX37">AX24/INDEX($G33:$L33,,AX$11)</f>
        <v>8885.1867277523233</v>
      </c>
      <c r="AY37" s="23" cm="1">
        <f t="array" ref="AY37">AY24/INDEX($G33:$L33,,AY$11)</f>
        <v>8885.1867277523233</v>
      </c>
      <c r="AZ37" s="23" cm="1">
        <f t="array" ref="AZ37">AZ24/INDEX($G33:$L33,,AZ$11)</f>
        <v>8885.1867277523233</v>
      </c>
      <c r="BA37" s="23" cm="1">
        <f t="array" ref="BA37">BA24/INDEX($G33:$L33,,BA$11)</f>
        <v>8885.1867277523233</v>
      </c>
      <c r="BB37" s="23" cm="1">
        <f t="array" ref="BB37">BB24/INDEX($G33:$L33,,BB$11)</f>
        <v>8885.1867277523233</v>
      </c>
      <c r="BC37" s="23" cm="1">
        <f t="array" ref="BC37">BC24/INDEX($G33:$L33,,BC$11)</f>
        <v>8885.1867277523233</v>
      </c>
      <c r="BD37" s="23" cm="1">
        <f t="array" ref="BD37">BD24/INDEX($G33:$L33,,BD$11)</f>
        <v>8885.1867277523233</v>
      </c>
      <c r="BE37" s="23" cm="1">
        <f t="array" ref="BE37">BE24/INDEX($G33:$L33,,BE$11)</f>
        <v>8885.1867277523233</v>
      </c>
      <c r="BF37" s="23" cm="1">
        <f t="array" ref="BF37">BF24/INDEX($G33:$L33,,BF$11)</f>
        <v>8885.1867277523233</v>
      </c>
      <c r="BG37" s="23" cm="1">
        <f t="array" ref="BG37">BG24/INDEX($G33:$L33,,BG$11)</f>
        <v>8885.1867277523233</v>
      </c>
      <c r="BH37" s="23" cm="1">
        <f t="array" ref="BH37">BH24/INDEX($G33:$L33,,BH$11)</f>
        <v>8885.1867277523233</v>
      </c>
      <c r="BI37" s="23" cm="1">
        <f t="array" ref="BI37">BI24/INDEX($G33:$L33,,BI$11)</f>
        <v>8885.1867277523233</v>
      </c>
      <c r="BJ37" s="23" cm="1">
        <f t="array" ref="BJ37">BJ24/INDEX($G33:$L33,,BJ$11)</f>
        <v>16924.165195718713</v>
      </c>
      <c r="BK37" s="23" cm="1">
        <f t="array" ref="BK37">BK24/INDEX($G33:$L33,,BK$11)</f>
        <v>16924.165195718713</v>
      </c>
      <c r="BL37" s="23" cm="1">
        <f t="array" ref="BL37">BL24/INDEX($G33:$L33,,BL$11)</f>
        <v>16924.165195718713</v>
      </c>
      <c r="BM37" s="23" cm="1">
        <f t="array" ref="BM37">BM24/INDEX($G33:$L33,,BM$11)</f>
        <v>16924.165195718713</v>
      </c>
      <c r="BN37" s="23" cm="1">
        <f t="array" ref="BN37">BN24/INDEX($G33:$L33,,BN$11)</f>
        <v>16924.165195718713</v>
      </c>
      <c r="BO37" s="23" cm="1">
        <f t="array" ref="BO37">BO24/INDEX($G33:$L33,,BO$11)</f>
        <v>16924.165195718713</v>
      </c>
      <c r="BP37" s="23" cm="1">
        <f t="array" ref="BP37">BP24/INDEX($G33:$L33,,BP$11)</f>
        <v>16924.165195718713</v>
      </c>
      <c r="BQ37" s="23" cm="1">
        <f t="array" ref="BQ37">BQ24/INDEX($G33:$L33,,BQ$11)</f>
        <v>16924.165195718713</v>
      </c>
      <c r="BR37" s="23" cm="1">
        <f t="array" ref="BR37">BR24/INDEX($G33:$L33,,BR$11)</f>
        <v>16924.165195718713</v>
      </c>
      <c r="BS37" s="23" cm="1">
        <f t="array" ref="BS37">BS24/INDEX($G33:$L33,,BS$11)</f>
        <v>16924.165195718713</v>
      </c>
      <c r="BT37" s="23" cm="1">
        <f t="array" ref="BT37">BT24/INDEX($G33:$L33,,BT$11)</f>
        <v>16924.165195718713</v>
      </c>
      <c r="BU37" s="23" cm="1">
        <f t="array" ref="BU37">BU24/INDEX($G33:$L33,,BU$11)</f>
        <v>16924.165195718713</v>
      </c>
      <c r="BV37" s="23" cm="1">
        <f t="array" ref="BV37">BV24/INDEX($G33:$L33,,BV$11)</f>
        <v>32236.505134702307</v>
      </c>
      <c r="BW37" s="23" cm="1">
        <f t="array" ref="BW37">BW24/INDEX($G33:$L33,,BW$11)</f>
        <v>32236.505134702307</v>
      </c>
      <c r="BX37" s="23" cm="1">
        <f t="array" ref="BX37">BX24/INDEX($G33:$L33,,BX$11)</f>
        <v>32236.505134702307</v>
      </c>
      <c r="BY37" s="23" cm="1">
        <f t="array" ref="BY37">BY24/INDEX($G33:$L33,,BY$11)</f>
        <v>32236.505134702307</v>
      </c>
      <c r="BZ37" s="23" cm="1">
        <f t="array" ref="BZ37">BZ24/INDEX($G33:$L33,,BZ$11)</f>
        <v>32236.505134702307</v>
      </c>
      <c r="CA37" s="23" cm="1">
        <f t="array" ref="CA37">CA24/INDEX($G33:$L33,,CA$11)</f>
        <v>32236.505134702307</v>
      </c>
      <c r="CB37" s="23" cm="1">
        <f t="array" ref="CB37">CB24/INDEX($G33:$L33,,CB$11)</f>
        <v>32236.505134702307</v>
      </c>
      <c r="CC37" s="23" cm="1">
        <f t="array" ref="CC37">CC24/INDEX($G33:$L33,,CC$11)</f>
        <v>32236.505134702307</v>
      </c>
      <c r="CD37" s="23" cm="1">
        <f t="array" ref="CD37">CD24/INDEX($G33:$L33,,CD$11)</f>
        <v>32236.505134702307</v>
      </c>
      <c r="CE37" s="23" cm="1">
        <f t="array" ref="CE37">CE24/INDEX($G33:$L33,,CE$11)</f>
        <v>32236.505134702307</v>
      </c>
      <c r="CF37" s="23" cm="1">
        <f t="array" ref="CF37">CF24/INDEX($G33:$L33,,CF$11)</f>
        <v>32236.505134702307</v>
      </c>
      <c r="CG37" s="23" cm="1">
        <f t="array" ref="CG37">CG24/INDEX($G33:$L33,,CG$11)</f>
        <v>32236.505134702307</v>
      </c>
    </row>
    <row r="38" spans="4:85" outlineLevel="1">
      <c r="E38" s="44" t="s">
        <v>247</v>
      </c>
      <c r="H38" s="40"/>
      <c r="I38" s="24"/>
      <c r="J38" s="24"/>
      <c r="K38" s="24"/>
      <c r="L38" s="24"/>
      <c r="N38" s="23" cm="1">
        <f t="array" ref="N38">N37*INDEX($G$34:$L$34,,N$11)</f>
        <v>0</v>
      </c>
      <c r="O38" s="23" cm="1">
        <f t="array" ref="O38">O37*INDEX($G$34:$L$34,,O$11)</f>
        <v>0</v>
      </c>
      <c r="P38" s="23" cm="1">
        <f t="array" ref="P38">P37*INDEX($G$34:$L$34,,P$11)</f>
        <v>0</v>
      </c>
      <c r="Q38" s="23" cm="1">
        <f t="array" ref="Q38">Q37*INDEX($G$34:$L$34,,Q$11)</f>
        <v>0</v>
      </c>
      <c r="R38" s="23" cm="1">
        <f t="array" ref="R38">R37*INDEX($G$34:$L$34,,R$11)</f>
        <v>0</v>
      </c>
      <c r="S38" s="23" cm="1">
        <f t="array" ref="S38">S37*INDEX($G$34:$L$34,,S$11)</f>
        <v>51.428571428571431</v>
      </c>
      <c r="T38" s="23" cm="1">
        <f t="array" ref="T38">T37*INDEX($G$34:$L$34,,T$11)</f>
        <v>51.428571428571431</v>
      </c>
      <c r="U38" s="23" cm="1">
        <f t="array" ref="U38">U37*INDEX($G$34:$L$34,,U$11)</f>
        <v>51.428571428571431</v>
      </c>
      <c r="V38" s="23" cm="1">
        <f t="array" ref="V38">V37*INDEX($G$34:$L$34,,V$11)</f>
        <v>51.428571428571431</v>
      </c>
      <c r="W38" s="23" cm="1">
        <f t="array" ref="W38">W37*INDEX($G$34:$L$34,,W$11)</f>
        <v>51.428571428571431</v>
      </c>
      <c r="X38" s="23" cm="1">
        <f t="array" ref="X38">X37*INDEX($G$34:$L$34,,X$11)</f>
        <v>51.428571428571431</v>
      </c>
      <c r="Y38" s="23" cm="1">
        <f t="array" ref="Y38">Y37*INDEX($G$34:$L$34,,Y$11)</f>
        <v>51.428571428571431</v>
      </c>
      <c r="Z38" s="23" cm="1">
        <f t="array" ref="Z38">Z37*INDEX($G$34:$L$34,,Z$11)</f>
        <v>97.959183673469383</v>
      </c>
      <c r="AA38" s="23" cm="1">
        <f t="array" ref="AA38">AA37*INDEX($G$34:$L$34,,AA$11)</f>
        <v>97.959183673469383</v>
      </c>
      <c r="AB38" s="23" cm="1">
        <f t="array" ref="AB38">AB37*INDEX($G$34:$L$34,,AB$11)</f>
        <v>97.959183673469383</v>
      </c>
      <c r="AC38" s="23" cm="1">
        <f t="array" ref="AC38">AC37*INDEX($G$34:$L$34,,AC$11)</f>
        <v>97.959183673469383</v>
      </c>
      <c r="AD38" s="23" cm="1">
        <f t="array" ref="AD38">AD37*INDEX($G$34:$L$34,,AD$11)</f>
        <v>97.959183673469383</v>
      </c>
      <c r="AE38" s="23" cm="1">
        <f t="array" ref="AE38">AE37*INDEX($G$34:$L$34,,AE$11)</f>
        <v>97.959183673469383</v>
      </c>
      <c r="AF38" s="23" cm="1">
        <f t="array" ref="AF38">AF37*INDEX($G$34:$L$34,,AF$11)</f>
        <v>97.959183673469383</v>
      </c>
      <c r="AG38" s="23" cm="1">
        <f t="array" ref="AG38">AG37*INDEX($G$34:$L$34,,AG$11)</f>
        <v>97.959183673469383</v>
      </c>
      <c r="AH38" s="23" cm="1">
        <f t="array" ref="AH38">AH37*INDEX($G$34:$L$34,,AH$11)</f>
        <v>97.959183673469383</v>
      </c>
      <c r="AI38" s="23" cm="1">
        <f t="array" ref="AI38">AI37*INDEX($G$34:$L$34,,AI$11)</f>
        <v>97.959183673469383</v>
      </c>
      <c r="AJ38" s="23" cm="1">
        <f t="array" ref="AJ38">AJ37*INDEX($G$34:$L$34,,AJ$11)</f>
        <v>97.959183673469383</v>
      </c>
      <c r="AK38" s="23" cm="1">
        <f t="array" ref="AK38">AK37*INDEX($G$34:$L$34,,AK$11)</f>
        <v>97.959183673469383</v>
      </c>
      <c r="AL38" s="23" cm="1">
        <f t="array" ref="AL38">AL37*INDEX($G$34:$L$34,,AL$11)</f>
        <v>233.23615160349851</v>
      </c>
      <c r="AM38" s="23" cm="1">
        <f t="array" ref="AM38">AM37*INDEX($G$34:$L$34,,AM$11)</f>
        <v>233.23615160349851</v>
      </c>
      <c r="AN38" s="23" cm="1">
        <f t="array" ref="AN38">AN37*INDEX($G$34:$L$34,,AN$11)</f>
        <v>233.23615160349851</v>
      </c>
      <c r="AO38" s="23" cm="1">
        <f t="array" ref="AO38">AO37*INDEX($G$34:$L$34,,AO$11)</f>
        <v>233.23615160349851</v>
      </c>
      <c r="AP38" s="23" cm="1">
        <f t="array" ref="AP38">AP37*INDEX($G$34:$L$34,,AP$11)</f>
        <v>233.23615160349851</v>
      </c>
      <c r="AQ38" s="23" cm="1">
        <f t="array" ref="AQ38">AQ37*INDEX($G$34:$L$34,,AQ$11)</f>
        <v>233.23615160349851</v>
      </c>
      <c r="AR38" s="23" cm="1">
        <f t="array" ref="AR38">AR37*INDEX($G$34:$L$34,,AR$11)</f>
        <v>233.23615160349851</v>
      </c>
      <c r="AS38" s="23" cm="1">
        <f t="array" ref="AS38">AS37*INDEX($G$34:$L$34,,AS$11)</f>
        <v>233.23615160349851</v>
      </c>
      <c r="AT38" s="23" cm="1">
        <f t="array" ref="AT38">AT37*INDEX($G$34:$L$34,,AT$11)</f>
        <v>233.23615160349851</v>
      </c>
      <c r="AU38" s="23" cm="1">
        <f t="array" ref="AU38">AU37*INDEX($G$34:$L$34,,AU$11)</f>
        <v>233.23615160349851</v>
      </c>
      <c r="AV38" s="23" cm="1">
        <f t="array" ref="AV38">AV37*INDEX($G$34:$L$34,,AV$11)</f>
        <v>233.23615160349851</v>
      </c>
      <c r="AW38" s="23" cm="1">
        <f t="array" ref="AW38">AW37*INDEX($G$34:$L$34,,AW$11)</f>
        <v>233.23615160349851</v>
      </c>
      <c r="AX38" s="23" cm="1">
        <f t="array" ref="AX38">AX37*INDEX($G$34:$L$34,,AX$11)</f>
        <v>533.11120366513933</v>
      </c>
      <c r="AY38" s="23" cm="1">
        <f t="array" ref="AY38">AY37*INDEX($G$34:$L$34,,AY$11)</f>
        <v>533.11120366513933</v>
      </c>
      <c r="AZ38" s="23" cm="1">
        <f t="array" ref="AZ38">AZ37*INDEX($G$34:$L$34,,AZ$11)</f>
        <v>533.11120366513933</v>
      </c>
      <c r="BA38" s="23" cm="1">
        <f t="array" ref="BA38">BA37*INDEX($G$34:$L$34,,BA$11)</f>
        <v>533.11120366513933</v>
      </c>
      <c r="BB38" s="23" cm="1">
        <f t="array" ref="BB38">BB37*INDEX($G$34:$L$34,,BB$11)</f>
        <v>533.11120366513933</v>
      </c>
      <c r="BC38" s="23" cm="1">
        <f t="array" ref="BC38">BC37*INDEX($G$34:$L$34,,BC$11)</f>
        <v>533.11120366513933</v>
      </c>
      <c r="BD38" s="23" cm="1">
        <f t="array" ref="BD38">BD37*INDEX($G$34:$L$34,,BD$11)</f>
        <v>533.11120366513933</v>
      </c>
      <c r="BE38" s="23" cm="1">
        <f t="array" ref="BE38">BE37*INDEX($G$34:$L$34,,BE$11)</f>
        <v>533.11120366513933</v>
      </c>
      <c r="BF38" s="23" cm="1">
        <f t="array" ref="BF38">BF37*INDEX($G$34:$L$34,,BF$11)</f>
        <v>533.11120366513933</v>
      </c>
      <c r="BG38" s="23" cm="1">
        <f t="array" ref="BG38">BG37*INDEX($G$34:$L$34,,BG$11)</f>
        <v>533.11120366513933</v>
      </c>
      <c r="BH38" s="23" cm="1">
        <f t="array" ref="BH38">BH37*INDEX($G$34:$L$34,,BH$11)</f>
        <v>533.11120366513933</v>
      </c>
      <c r="BI38" s="23" cm="1">
        <f t="array" ref="BI38">BI37*INDEX($G$34:$L$34,,BI$11)</f>
        <v>533.11120366513933</v>
      </c>
      <c r="BJ38" s="23" cm="1">
        <f t="array" ref="BJ38">BJ37*INDEX($G$34:$L$34,,BJ$11)</f>
        <v>1100.0707377217163</v>
      </c>
      <c r="BK38" s="23" cm="1">
        <f t="array" ref="BK38">BK37*INDEX($G$34:$L$34,,BK$11)</f>
        <v>1100.0707377217163</v>
      </c>
      <c r="BL38" s="23" cm="1">
        <f t="array" ref="BL38">BL37*INDEX($G$34:$L$34,,BL$11)</f>
        <v>1100.0707377217163</v>
      </c>
      <c r="BM38" s="23" cm="1">
        <f t="array" ref="BM38">BM37*INDEX($G$34:$L$34,,BM$11)</f>
        <v>1100.0707377217163</v>
      </c>
      <c r="BN38" s="23" cm="1">
        <f t="array" ref="BN38">BN37*INDEX($G$34:$L$34,,BN$11)</f>
        <v>1100.0707377217163</v>
      </c>
      <c r="BO38" s="23" cm="1">
        <f t="array" ref="BO38">BO37*INDEX($G$34:$L$34,,BO$11)</f>
        <v>1100.0707377217163</v>
      </c>
      <c r="BP38" s="23" cm="1">
        <f t="array" ref="BP38">BP37*INDEX($G$34:$L$34,,BP$11)</f>
        <v>1100.0707377217163</v>
      </c>
      <c r="BQ38" s="23" cm="1">
        <f t="array" ref="BQ38">BQ37*INDEX($G$34:$L$34,,BQ$11)</f>
        <v>1100.0707377217163</v>
      </c>
      <c r="BR38" s="23" cm="1">
        <f t="array" ref="BR38">BR37*INDEX($G$34:$L$34,,BR$11)</f>
        <v>1100.0707377217163</v>
      </c>
      <c r="BS38" s="23" cm="1">
        <f t="array" ref="BS38">BS37*INDEX($G$34:$L$34,,BS$11)</f>
        <v>1100.0707377217163</v>
      </c>
      <c r="BT38" s="23" cm="1">
        <f t="array" ref="BT38">BT37*INDEX($G$34:$L$34,,BT$11)</f>
        <v>1100.0707377217163</v>
      </c>
      <c r="BU38" s="23" cm="1">
        <f t="array" ref="BU38">BU37*INDEX($G$34:$L$34,,BU$11)</f>
        <v>1100.0707377217163</v>
      </c>
      <c r="BV38" s="23" cm="1">
        <f t="array" ref="BV38">BV37*INDEX($G$34:$L$34,,BV$11)</f>
        <v>2256.5553594291619</v>
      </c>
      <c r="BW38" s="23" cm="1">
        <f t="array" ref="BW38">BW37*INDEX($G$34:$L$34,,BW$11)</f>
        <v>2256.5553594291619</v>
      </c>
      <c r="BX38" s="23" cm="1">
        <f t="array" ref="BX38">BX37*INDEX($G$34:$L$34,,BX$11)</f>
        <v>2256.5553594291619</v>
      </c>
      <c r="BY38" s="23" cm="1">
        <f t="array" ref="BY38">BY37*INDEX($G$34:$L$34,,BY$11)</f>
        <v>2256.5553594291619</v>
      </c>
      <c r="BZ38" s="23" cm="1">
        <f t="array" ref="BZ38">BZ37*INDEX($G$34:$L$34,,BZ$11)</f>
        <v>2256.5553594291619</v>
      </c>
      <c r="CA38" s="23" cm="1">
        <f t="array" ref="CA38">CA37*INDEX($G$34:$L$34,,CA$11)</f>
        <v>2256.5553594291619</v>
      </c>
      <c r="CB38" s="23" cm="1">
        <f t="array" ref="CB38">CB37*INDEX($G$34:$L$34,,CB$11)</f>
        <v>2256.5553594291619</v>
      </c>
      <c r="CC38" s="23" cm="1">
        <f t="array" ref="CC38">CC37*INDEX($G$34:$L$34,,CC$11)</f>
        <v>2256.5553594291619</v>
      </c>
      <c r="CD38" s="23" cm="1">
        <f t="array" ref="CD38">CD37*INDEX($G$34:$L$34,,CD$11)</f>
        <v>2256.5553594291619</v>
      </c>
      <c r="CE38" s="23" cm="1">
        <f t="array" ref="CE38">CE37*INDEX($G$34:$L$34,,CE$11)</f>
        <v>2256.5553594291619</v>
      </c>
      <c r="CF38" s="23" cm="1">
        <f t="array" ref="CF38">CF37*INDEX($G$34:$L$34,,CF$11)</f>
        <v>2256.5553594291619</v>
      </c>
      <c r="CG38" s="23" cm="1">
        <f t="array" ref="CG38">CG37*INDEX($G$34:$L$34,,CG$11)</f>
        <v>2256.5553594291619</v>
      </c>
    </row>
    <row r="39" spans="4:85">
      <c r="H39" s="40"/>
      <c r="I39" s="24"/>
      <c r="J39" s="24"/>
      <c r="K39" s="24"/>
      <c r="L39" s="24"/>
    </row>
    <row r="40" spans="4:85" ht="16.2" thickBot="1">
      <c r="D40" s="25" t="s">
        <v>97</v>
      </c>
      <c r="E40" s="25"/>
      <c r="F40" s="26"/>
      <c r="G40" s="27"/>
      <c r="H40" s="27"/>
      <c r="I40" s="27"/>
      <c r="J40" s="27"/>
      <c r="K40" s="27"/>
      <c r="L40" s="27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4:85" outlineLevel="1" thickTop="1">
      <c r="F41" s="22"/>
      <c r="G41" s="23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4:85" ht="15" outlineLevel="1">
      <c r="E42" s="44" t="s">
        <v>98</v>
      </c>
      <c r="F42" s="22"/>
      <c r="G42" s="128">
        <v>1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4:85" ht="15" outlineLevel="1">
      <c r="E43" s="44"/>
      <c r="F43" s="22"/>
      <c r="G43" s="128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4:85" ht="15" outlineLevel="1">
      <c r="E44" s="44" t="s">
        <v>46</v>
      </c>
      <c r="F44" s="22"/>
      <c r="G44" s="39">
        <v>0.25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4:85" ht="15" outlineLevel="1">
      <c r="E45" s="44" t="s">
        <v>48</v>
      </c>
      <c r="F45" s="22"/>
      <c r="G45" s="39">
        <v>0.5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4:85" ht="15" outlineLevel="1">
      <c r="E46" s="44" t="s">
        <v>99</v>
      </c>
      <c r="F46" s="22"/>
      <c r="G46" s="190">
        <f>SUM(G44:G45)</f>
        <v>0.75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4:85" ht="15" outlineLevel="1">
      <c r="F47" s="22"/>
      <c r="G47" s="23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4:85" ht="15" outlineLevel="1">
      <c r="E48" s="19" t="s">
        <v>100</v>
      </c>
      <c r="F48" s="22"/>
      <c r="G48" s="106">
        <f>CHOOSE(switch,G44,G45,G46)</f>
        <v>0.25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4:85" ht="15">
      <c r="F49" s="22"/>
      <c r="G49" s="23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4:85" ht="16.2" thickBot="1">
      <c r="D50" s="25" t="s">
        <v>264</v>
      </c>
      <c r="E50" s="25"/>
      <c r="F50" s="140"/>
      <c r="G50" s="25"/>
      <c r="H50" s="41"/>
      <c r="I50" s="41"/>
      <c r="J50" s="41"/>
      <c r="K50" s="41"/>
      <c r="L50" s="41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</row>
    <row r="51" spans="4:85" ht="16.2" outlineLevel="1" thickTop="1">
      <c r="E51" s="48"/>
      <c r="F51" s="142"/>
      <c r="G51" s="48"/>
      <c r="H51" s="50"/>
      <c r="I51" s="51"/>
      <c r="J51" s="52"/>
      <c r="K51" s="52"/>
      <c r="L51" s="52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</row>
    <row r="52" spans="4:85" outlineLevel="1">
      <c r="E52" s="48" t="s">
        <v>250</v>
      </c>
      <c r="F52" s="142" t="s">
        <v>252</v>
      </c>
      <c r="G52" s="63">
        <v>0.2</v>
      </c>
      <c r="H52" s="63">
        <v>0.3</v>
      </c>
      <c r="I52" s="63">
        <v>0.4</v>
      </c>
      <c r="J52" s="63">
        <v>0.5</v>
      </c>
      <c r="K52" s="63">
        <v>0.5</v>
      </c>
      <c r="L52" s="63">
        <v>0.5</v>
      </c>
      <c r="M52" s="53"/>
      <c r="N52" s="53" cm="1">
        <f t="array" ref="N52">INDEX($G52:$L52,,N$11)*N$31</f>
        <v>0</v>
      </c>
      <c r="O52" s="53" cm="1">
        <f t="array" ref="O52">INDEX($G52:$L52,,O$11)*O$31</f>
        <v>0</v>
      </c>
      <c r="P52" s="53" cm="1">
        <f t="array" ref="P52">INDEX($G52:$L52,,P$11)*P$31</f>
        <v>0</v>
      </c>
      <c r="Q52" s="53" cm="1">
        <f t="array" ref="Q52">INDEX($G52:$L52,,Q$11)*Q$31</f>
        <v>0</v>
      </c>
      <c r="R52" s="53" cm="1">
        <f t="array" ref="R52">INDEX($G52:$L52,,R$11)*R$31</f>
        <v>0</v>
      </c>
      <c r="S52" s="53" cm="1">
        <f t="array" ref="S52">INDEX($G52:$L52,,S$11)*S$31</f>
        <v>0.68463842533162178</v>
      </c>
      <c r="T52" s="53" cm="1">
        <f t="array" ref="T52">INDEX($G52:$L52,,T$11)*T$31</f>
        <v>0.68463842533162178</v>
      </c>
      <c r="U52" s="53" cm="1">
        <f t="array" ref="U52">INDEX($G52:$L52,,U$11)*U$31</f>
        <v>0.68463842533162178</v>
      </c>
      <c r="V52" s="53" cm="1">
        <f t="array" ref="V52">INDEX($G52:$L52,,V$11)*V$31</f>
        <v>0.68463842533162178</v>
      </c>
      <c r="W52" s="53" cm="1">
        <f t="array" ref="W52">INDEX($G52:$L52,,W$11)*W$31</f>
        <v>0.68463842533162178</v>
      </c>
      <c r="X52" s="53" cm="1">
        <f t="array" ref="X52">INDEX($G52:$L52,,X$11)*X$31</f>
        <v>0.68463842533162178</v>
      </c>
      <c r="Y52" s="53" cm="1">
        <f t="array" ref="Y52">INDEX($G52:$L52,,Y$11)*Y$31</f>
        <v>0.68463842533162178</v>
      </c>
      <c r="Z52" s="53" cm="1">
        <f t="array" ref="Z52">INDEX($G52:$L52,,Z$11)*Z$31</f>
        <v>1.9561097866617763</v>
      </c>
      <c r="AA52" s="53" cm="1">
        <f t="array" ref="AA52">INDEX($G52:$L52,,AA$11)*AA$31</f>
        <v>1.9561097866617763</v>
      </c>
      <c r="AB52" s="53" cm="1">
        <f t="array" ref="AB52">INDEX($G52:$L52,,AB$11)*AB$31</f>
        <v>1.9561097866617763</v>
      </c>
      <c r="AC52" s="53" cm="1">
        <f t="array" ref="AC52">INDEX($G52:$L52,,AC$11)*AC$31</f>
        <v>1.9561097866617763</v>
      </c>
      <c r="AD52" s="53" cm="1">
        <f t="array" ref="AD52">INDEX($G52:$L52,,AD$11)*AD$31</f>
        <v>1.9561097866617763</v>
      </c>
      <c r="AE52" s="53" cm="1">
        <f t="array" ref="AE52">INDEX($G52:$L52,,AE$11)*AE$31</f>
        <v>1.9561097866617763</v>
      </c>
      <c r="AF52" s="53" cm="1">
        <f t="array" ref="AF52">INDEX($G52:$L52,,AF$11)*AF$31</f>
        <v>1.9561097866617763</v>
      </c>
      <c r="AG52" s="53" cm="1">
        <f t="array" ref="AG52">INDEX($G52:$L52,,AG$11)*AG$31</f>
        <v>1.9561097866617763</v>
      </c>
      <c r="AH52" s="53" cm="1">
        <f t="array" ref="AH52">INDEX($G52:$L52,,AH$11)*AH$31</f>
        <v>1.9561097866617763</v>
      </c>
      <c r="AI52" s="53" cm="1">
        <f t="array" ref="AI52">INDEX($G52:$L52,,AI$11)*AI$31</f>
        <v>1.9561097866617763</v>
      </c>
      <c r="AJ52" s="53" cm="1">
        <f t="array" ref="AJ52">INDEX($G52:$L52,,AJ$11)*AJ$31</f>
        <v>1.9561097866617763</v>
      </c>
      <c r="AK52" s="53" cm="1">
        <f t="array" ref="AK52">INDEX($G52:$L52,,AK$11)*AK$31</f>
        <v>1.9561097866617763</v>
      </c>
      <c r="AL52" s="53" cm="1">
        <f t="array" ref="AL52">INDEX($G52:$L52,,AL$11)*AL$31</f>
        <v>6.2098723386088155</v>
      </c>
      <c r="AM52" s="53" cm="1">
        <f t="array" ref="AM52">INDEX($G52:$L52,,AM$11)*AM$31</f>
        <v>6.2098723386088155</v>
      </c>
      <c r="AN52" s="53" cm="1">
        <f t="array" ref="AN52">INDEX($G52:$L52,,AN$11)*AN$31</f>
        <v>6.2098723386088155</v>
      </c>
      <c r="AO52" s="53" cm="1">
        <f t="array" ref="AO52">INDEX($G52:$L52,,AO$11)*AO$31</f>
        <v>6.2098723386088155</v>
      </c>
      <c r="AP52" s="53" cm="1">
        <f t="array" ref="AP52">INDEX($G52:$L52,,AP$11)*AP$31</f>
        <v>6.2098723386088155</v>
      </c>
      <c r="AQ52" s="53" cm="1">
        <f t="array" ref="AQ52">INDEX($G52:$L52,,AQ$11)*AQ$31</f>
        <v>6.2098723386088155</v>
      </c>
      <c r="AR52" s="53" cm="1">
        <f t="array" ref="AR52">INDEX($G52:$L52,,AR$11)*AR$31</f>
        <v>6.2098723386088155</v>
      </c>
      <c r="AS52" s="53" cm="1">
        <f t="array" ref="AS52">INDEX($G52:$L52,,AS$11)*AS$31</f>
        <v>6.2098723386088155</v>
      </c>
      <c r="AT52" s="53" cm="1">
        <f t="array" ref="AT52">INDEX($G52:$L52,,AT$11)*AT$31</f>
        <v>6.2098723386088155</v>
      </c>
      <c r="AU52" s="53" cm="1">
        <f t="array" ref="AU52">INDEX($G52:$L52,,AU$11)*AU$31</f>
        <v>6.2098723386088155</v>
      </c>
      <c r="AV52" s="53" cm="1">
        <f t="array" ref="AV52">INDEX($G52:$L52,,AV$11)*AV$31</f>
        <v>6.2098723386088155</v>
      </c>
      <c r="AW52" s="53" cm="1">
        <f t="array" ref="AW52">INDEX($G52:$L52,,AW$11)*AW$31</f>
        <v>6.2098723386088155</v>
      </c>
      <c r="AX52" s="53" cm="1">
        <f t="array" ref="AX52">INDEX($G52:$L52,,AX$11)*AX$31</f>
        <v>17.742492396025185</v>
      </c>
      <c r="AY52" s="53" cm="1">
        <f t="array" ref="AY52">INDEX($G52:$L52,,AY$11)*AY$31</f>
        <v>17.742492396025185</v>
      </c>
      <c r="AZ52" s="53" cm="1">
        <f t="array" ref="AZ52">INDEX($G52:$L52,,AZ$11)*AZ$31</f>
        <v>17.742492396025185</v>
      </c>
      <c r="BA52" s="53" cm="1">
        <f t="array" ref="BA52">INDEX($G52:$L52,,BA$11)*BA$31</f>
        <v>17.742492396025185</v>
      </c>
      <c r="BB52" s="53" cm="1">
        <f t="array" ref="BB52">INDEX($G52:$L52,,BB$11)*BB$31</f>
        <v>17.742492396025185</v>
      </c>
      <c r="BC52" s="53" cm="1">
        <f t="array" ref="BC52">INDEX($G52:$L52,,BC$11)*BC$31</f>
        <v>17.742492396025185</v>
      </c>
      <c r="BD52" s="53" cm="1">
        <f t="array" ref="BD52">INDEX($G52:$L52,,BD$11)*BD$31</f>
        <v>17.742492396025185</v>
      </c>
      <c r="BE52" s="53" cm="1">
        <f t="array" ref="BE52">INDEX($G52:$L52,,BE$11)*BE$31</f>
        <v>17.742492396025185</v>
      </c>
      <c r="BF52" s="53" cm="1">
        <f t="array" ref="BF52">INDEX($G52:$L52,,BF$11)*BF$31</f>
        <v>17.742492396025185</v>
      </c>
      <c r="BG52" s="53" cm="1">
        <f t="array" ref="BG52">INDEX($G52:$L52,,BG$11)*BG$31</f>
        <v>17.742492396025185</v>
      </c>
      <c r="BH52" s="53" cm="1">
        <f t="array" ref="BH52">INDEX($G52:$L52,,BH$11)*BH$31</f>
        <v>17.742492396025185</v>
      </c>
      <c r="BI52" s="53" cm="1">
        <f t="array" ref="BI52">INDEX($G52:$L52,,BI$11)*BI$31</f>
        <v>17.742492396025185</v>
      </c>
      <c r="BJ52" s="53" cm="1">
        <f t="array" ref="BJ52">INDEX($G52:$L52,,BJ$11)*BJ$31</f>
        <v>36.61149224576625</v>
      </c>
      <c r="BK52" s="53" cm="1">
        <f t="array" ref="BK52">INDEX($G52:$L52,,BK$11)*BK$31</f>
        <v>36.61149224576625</v>
      </c>
      <c r="BL52" s="53" cm="1">
        <f t="array" ref="BL52">INDEX($G52:$L52,,BL$11)*BL$31</f>
        <v>36.61149224576625</v>
      </c>
      <c r="BM52" s="53" cm="1">
        <f t="array" ref="BM52">INDEX($G52:$L52,,BM$11)*BM$31</f>
        <v>36.61149224576625</v>
      </c>
      <c r="BN52" s="53" cm="1">
        <f t="array" ref="BN52">INDEX($G52:$L52,,BN$11)*BN$31</f>
        <v>36.61149224576625</v>
      </c>
      <c r="BO52" s="53" cm="1">
        <f t="array" ref="BO52">INDEX($G52:$L52,,BO$11)*BO$31</f>
        <v>36.61149224576625</v>
      </c>
      <c r="BP52" s="53" cm="1">
        <f t="array" ref="BP52">INDEX($G52:$L52,,BP$11)*BP$31</f>
        <v>36.61149224576625</v>
      </c>
      <c r="BQ52" s="53" cm="1">
        <f t="array" ref="BQ52">INDEX($G52:$L52,,BQ$11)*BQ$31</f>
        <v>36.61149224576625</v>
      </c>
      <c r="BR52" s="53" cm="1">
        <f t="array" ref="BR52">INDEX($G52:$L52,,BR$11)*BR$31</f>
        <v>36.61149224576625</v>
      </c>
      <c r="BS52" s="53" cm="1">
        <f t="array" ref="BS52">INDEX($G52:$L52,,BS$11)*BS$31</f>
        <v>36.61149224576625</v>
      </c>
      <c r="BT52" s="53" cm="1">
        <f t="array" ref="BT52">INDEX($G52:$L52,,BT$11)*BT$31</f>
        <v>36.61149224576625</v>
      </c>
      <c r="BU52" s="53" cm="1">
        <f t="array" ref="BU52">INDEX($G52:$L52,,BU$11)*BU$31</f>
        <v>36.61149224576625</v>
      </c>
      <c r="BV52" s="53" cm="1">
        <f t="array" ref="BV52">INDEX($G52:$L52,,BV$11)*BV$31</f>
        <v>75.100496914392323</v>
      </c>
      <c r="BW52" s="53" cm="1">
        <f t="array" ref="BW52">INDEX($G52:$L52,,BW$11)*BW$31</f>
        <v>75.100496914392323</v>
      </c>
      <c r="BX52" s="53" cm="1">
        <f t="array" ref="BX52">INDEX($G52:$L52,,BX$11)*BX$31</f>
        <v>75.100496914392323</v>
      </c>
      <c r="BY52" s="53" cm="1">
        <f t="array" ref="BY52">INDEX($G52:$L52,,BY$11)*BY$31</f>
        <v>75.100496914392323</v>
      </c>
      <c r="BZ52" s="53" cm="1">
        <f t="array" ref="BZ52">INDEX($G52:$L52,,BZ$11)*BZ$31</f>
        <v>75.100496914392323</v>
      </c>
      <c r="CA52" s="53" cm="1">
        <f t="array" ref="CA52">INDEX($G52:$L52,,CA$11)*CA$31</f>
        <v>75.100496914392323</v>
      </c>
      <c r="CB52" s="53" cm="1">
        <f t="array" ref="CB52">INDEX($G52:$L52,,CB$11)*CB$31</f>
        <v>75.100496914392323</v>
      </c>
      <c r="CC52" s="53" cm="1">
        <f t="array" ref="CC52">INDEX($G52:$L52,,CC$11)*CC$31</f>
        <v>75.100496914392323</v>
      </c>
      <c r="CD52" s="53" cm="1">
        <f t="array" ref="CD52">INDEX($G52:$L52,,CD$11)*CD$31</f>
        <v>75.100496914392323</v>
      </c>
      <c r="CE52" s="53" cm="1">
        <f t="array" ref="CE52">INDEX($G52:$L52,,CE$11)*CE$31</f>
        <v>75.100496914392323</v>
      </c>
      <c r="CF52" s="53" cm="1">
        <f t="array" ref="CF52">INDEX($G52:$L52,,CF$11)*CF$31</f>
        <v>75.100496914392323</v>
      </c>
      <c r="CG52" s="53" cm="1">
        <f t="array" ref="CG52">INDEX($G52:$L52,,CG$11)*CG$31</f>
        <v>75.100496914392323</v>
      </c>
    </row>
    <row r="53" spans="4:85" outlineLevel="1">
      <c r="E53" s="48" t="s">
        <v>251</v>
      </c>
      <c r="F53" s="142" t="s">
        <v>253</v>
      </c>
      <c r="G53" s="63">
        <v>0.8</v>
      </c>
      <c r="H53" s="63">
        <v>0.8</v>
      </c>
      <c r="I53" s="63">
        <v>0.8</v>
      </c>
      <c r="J53" s="63">
        <v>0.8</v>
      </c>
      <c r="K53" s="63">
        <v>0.8</v>
      </c>
      <c r="L53" s="63">
        <v>0.8</v>
      </c>
      <c r="M53" s="53"/>
      <c r="N53" s="53" cm="1">
        <f t="array" ref="N53">INDEX($G53:$L53,,N$11)*N$31</f>
        <v>0</v>
      </c>
      <c r="O53" s="53" cm="1">
        <f t="array" ref="O53">INDEX($G53:$L53,,O$11)*O$31</f>
        <v>0</v>
      </c>
      <c r="P53" s="53" cm="1">
        <f t="array" ref="P53">INDEX($G53:$L53,,P$11)*P$31</f>
        <v>0</v>
      </c>
      <c r="Q53" s="53" cm="1">
        <f t="array" ref="Q53">INDEX($G53:$L53,,Q$11)*Q$31</f>
        <v>0</v>
      </c>
      <c r="R53" s="53" cm="1">
        <f t="array" ref="R53">INDEX($G53:$L53,,R$11)*R$31</f>
        <v>0</v>
      </c>
      <c r="S53" s="53" cm="1">
        <f t="array" ref="S53">INDEX($G53:$L53,,S$11)*S$31</f>
        <v>2.7385537013264871</v>
      </c>
      <c r="T53" s="53" cm="1">
        <f t="array" ref="T53">INDEX($G53:$L53,,T$11)*T$31</f>
        <v>2.7385537013264871</v>
      </c>
      <c r="U53" s="53" cm="1">
        <f t="array" ref="U53">INDEX($G53:$L53,,U$11)*U$31</f>
        <v>2.7385537013264871</v>
      </c>
      <c r="V53" s="53" cm="1">
        <f t="array" ref="V53">INDEX($G53:$L53,,V$11)*V$31</f>
        <v>2.7385537013264871</v>
      </c>
      <c r="W53" s="53" cm="1">
        <f t="array" ref="W53">INDEX($G53:$L53,,W$11)*W$31</f>
        <v>2.7385537013264871</v>
      </c>
      <c r="X53" s="53" cm="1">
        <f t="array" ref="X53">INDEX($G53:$L53,,X$11)*X$31</f>
        <v>2.7385537013264871</v>
      </c>
      <c r="Y53" s="53" cm="1">
        <f t="array" ref="Y53">INDEX($G53:$L53,,Y$11)*Y$31</f>
        <v>2.7385537013264871</v>
      </c>
      <c r="Z53" s="53" cm="1">
        <f t="array" ref="Z53">INDEX($G53:$L53,,Z$11)*Z$31</f>
        <v>5.2162927644314045</v>
      </c>
      <c r="AA53" s="53" cm="1">
        <f t="array" ref="AA53">INDEX($G53:$L53,,AA$11)*AA$31</f>
        <v>5.2162927644314045</v>
      </c>
      <c r="AB53" s="53" cm="1">
        <f t="array" ref="AB53">INDEX($G53:$L53,,AB$11)*AB$31</f>
        <v>5.2162927644314045</v>
      </c>
      <c r="AC53" s="53" cm="1">
        <f t="array" ref="AC53">INDEX($G53:$L53,,AC$11)*AC$31</f>
        <v>5.2162927644314045</v>
      </c>
      <c r="AD53" s="53" cm="1">
        <f t="array" ref="AD53">INDEX($G53:$L53,,AD$11)*AD$31</f>
        <v>5.2162927644314045</v>
      </c>
      <c r="AE53" s="53" cm="1">
        <f t="array" ref="AE53">INDEX($G53:$L53,,AE$11)*AE$31</f>
        <v>5.2162927644314045</v>
      </c>
      <c r="AF53" s="53" cm="1">
        <f t="array" ref="AF53">INDEX($G53:$L53,,AF$11)*AF$31</f>
        <v>5.2162927644314045</v>
      </c>
      <c r="AG53" s="53" cm="1">
        <f t="array" ref="AG53">INDEX($G53:$L53,,AG$11)*AG$31</f>
        <v>5.2162927644314045</v>
      </c>
      <c r="AH53" s="53" cm="1">
        <f t="array" ref="AH53">INDEX($G53:$L53,,AH$11)*AH$31</f>
        <v>5.2162927644314045</v>
      </c>
      <c r="AI53" s="53" cm="1">
        <f t="array" ref="AI53">INDEX($G53:$L53,,AI$11)*AI$31</f>
        <v>5.2162927644314045</v>
      </c>
      <c r="AJ53" s="53" cm="1">
        <f t="array" ref="AJ53">INDEX($G53:$L53,,AJ$11)*AJ$31</f>
        <v>5.2162927644314045</v>
      </c>
      <c r="AK53" s="53" cm="1">
        <f t="array" ref="AK53">INDEX($G53:$L53,,AK$11)*AK$31</f>
        <v>5.2162927644314045</v>
      </c>
      <c r="AL53" s="53" cm="1">
        <f t="array" ref="AL53">INDEX($G53:$L53,,AL$11)*AL$31</f>
        <v>12.419744677217631</v>
      </c>
      <c r="AM53" s="53" cm="1">
        <f t="array" ref="AM53">INDEX($G53:$L53,,AM$11)*AM$31</f>
        <v>12.419744677217631</v>
      </c>
      <c r="AN53" s="53" cm="1">
        <f t="array" ref="AN53">INDEX($G53:$L53,,AN$11)*AN$31</f>
        <v>12.419744677217631</v>
      </c>
      <c r="AO53" s="53" cm="1">
        <f t="array" ref="AO53">INDEX($G53:$L53,,AO$11)*AO$31</f>
        <v>12.419744677217631</v>
      </c>
      <c r="AP53" s="53" cm="1">
        <f t="array" ref="AP53">INDEX($G53:$L53,,AP$11)*AP$31</f>
        <v>12.419744677217631</v>
      </c>
      <c r="AQ53" s="53" cm="1">
        <f t="array" ref="AQ53">INDEX($G53:$L53,,AQ$11)*AQ$31</f>
        <v>12.419744677217631</v>
      </c>
      <c r="AR53" s="53" cm="1">
        <f t="array" ref="AR53">INDEX($G53:$L53,,AR$11)*AR$31</f>
        <v>12.419744677217631</v>
      </c>
      <c r="AS53" s="53" cm="1">
        <f t="array" ref="AS53">INDEX($G53:$L53,,AS$11)*AS$31</f>
        <v>12.419744677217631</v>
      </c>
      <c r="AT53" s="53" cm="1">
        <f t="array" ref="AT53">INDEX($G53:$L53,,AT$11)*AT$31</f>
        <v>12.419744677217631</v>
      </c>
      <c r="AU53" s="53" cm="1">
        <f t="array" ref="AU53">INDEX($G53:$L53,,AU$11)*AU$31</f>
        <v>12.419744677217631</v>
      </c>
      <c r="AV53" s="53" cm="1">
        <f t="array" ref="AV53">INDEX($G53:$L53,,AV$11)*AV$31</f>
        <v>12.419744677217631</v>
      </c>
      <c r="AW53" s="53" cm="1">
        <f t="array" ref="AW53">INDEX($G53:$L53,,AW$11)*AW$31</f>
        <v>12.419744677217631</v>
      </c>
      <c r="AX53" s="53" cm="1">
        <f t="array" ref="AX53">INDEX($G53:$L53,,AX$11)*AX$31</f>
        <v>28.387987833640295</v>
      </c>
      <c r="AY53" s="53" cm="1">
        <f t="array" ref="AY53">INDEX($G53:$L53,,AY$11)*AY$31</f>
        <v>28.387987833640295</v>
      </c>
      <c r="AZ53" s="53" cm="1">
        <f t="array" ref="AZ53">INDEX($G53:$L53,,AZ$11)*AZ$31</f>
        <v>28.387987833640295</v>
      </c>
      <c r="BA53" s="53" cm="1">
        <f t="array" ref="BA53">INDEX($G53:$L53,,BA$11)*BA$31</f>
        <v>28.387987833640295</v>
      </c>
      <c r="BB53" s="53" cm="1">
        <f t="array" ref="BB53">INDEX($G53:$L53,,BB$11)*BB$31</f>
        <v>28.387987833640295</v>
      </c>
      <c r="BC53" s="53" cm="1">
        <f t="array" ref="BC53">INDEX($G53:$L53,,BC$11)*BC$31</f>
        <v>28.387987833640295</v>
      </c>
      <c r="BD53" s="53" cm="1">
        <f t="array" ref="BD53">INDEX($G53:$L53,,BD$11)*BD$31</f>
        <v>28.387987833640295</v>
      </c>
      <c r="BE53" s="53" cm="1">
        <f t="array" ref="BE53">INDEX($G53:$L53,,BE$11)*BE$31</f>
        <v>28.387987833640295</v>
      </c>
      <c r="BF53" s="53" cm="1">
        <f t="array" ref="BF53">INDEX($G53:$L53,,BF$11)*BF$31</f>
        <v>28.387987833640295</v>
      </c>
      <c r="BG53" s="53" cm="1">
        <f t="array" ref="BG53">INDEX($G53:$L53,,BG$11)*BG$31</f>
        <v>28.387987833640295</v>
      </c>
      <c r="BH53" s="53" cm="1">
        <f t="array" ref="BH53">INDEX($G53:$L53,,BH$11)*BH$31</f>
        <v>28.387987833640295</v>
      </c>
      <c r="BI53" s="53" cm="1">
        <f t="array" ref="BI53">INDEX($G53:$L53,,BI$11)*BI$31</f>
        <v>28.387987833640295</v>
      </c>
      <c r="BJ53" s="53" cm="1">
        <f t="array" ref="BJ53">INDEX($G53:$L53,,BJ$11)*BJ$31</f>
        <v>58.578387593226005</v>
      </c>
      <c r="BK53" s="53" cm="1">
        <f t="array" ref="BK53">INDEX($G53:$L53,,BK$11)*BK$31</f>
        <v>58.578387593226005</v>
      </c>
      <c r="BL53" s="53" cm="1">
        <f t="array" ref="BL53">INDEX($G53:$L53,,BL$11)*BL$31</f>
        <v>58.578387593226005</v>
      </c>
      <c r="BM53" s="53" cm="1">
        <f t="array" ref="BM53">INDEX($G53:$L53,,BM$11)*BM$31</f>
        <v>58.578387593226005</v>
      </c>
      <c r="BN53" s="53" cm="1">
        <f t="array" ref="BN53">INDEX($G53:$L53,,BN$11)*BN$31</f>
        <v>58.578387593226005</v>
      </c>
      <c r="BO53" s="53" cm="1">
        <f t="array" ref="BO53">INDEX($G53:$L53,,BO$11)*BO$31</f>
        <v>58.578387593226005</v>
      </c>
      <c r="BP53" s="53" cm="1">
        <f t="array" ref="BP53">INDEX($G53:$L53,,BP$11)*BP$31</f>
        <v>58.578387593226005</v>
      </c>
      <c r="BQ53" s="53" cm="1">
        <f t="array" ref="BQ53">INDEX($G53:$L53,,BQ$11)*BQ$31</f>
        <v>58.578387593226005</v>
      </c>
      <c r="BR53" s="53" cm="1">
        <f t="array" ref="BR53">INDEX($G53:$L53,,BR$11)*BR$31</f>
        <v>58.578387593226005</v>
      </c>
      <c r="BS53" s="53" cm="1">
        <f t="array" ref="BS53">INDEX($G53:$L53,,BS$11)*BS$31</f>
        <v>58.578387593226005</v>
      </c>
      <c r="BT53" s="53" cm="1">
        <f t="array" ref="BT53">INDEX($G53:$L53,,BT$11)*BT$31</f>
        <v>58.578387593226005</v>
      </c>
      <c r="BU53" s="53" cm="1">
        <f t="array" ref="BU53">INDEX($G53:$L53,,BU$11)*BU$31</f>
        <v>58.578387593226005</v>
      </c>
      <c r="BV53" s="53" cm="1">
        <f t="array" ref="BV53">INDEX($G53:$L53,,BV$11)*BV$31</f>
        <v>120.16079506302772</v>
      </c>
      <c r="BW53" s="53" cm="1">
        <f t="array" ref="BW53">INDEX($G53:$L53,,BW$11)*BW$31</f>
        <v>120.16079506302772</v>
      </c>
      <c r="BX53" s="53" cm="1">
        <f t="array" ref="BX53">INDEX($G53:$L53,,BX$11)*BX$31</f>
        <v>120.16079506302772</v>
      </c>
      <c r="BY53" s="53" cm="1">
        <f t="array" ref="BY53">INDEX($G53:$L53,,BY$11)*BY$31</f>
        <v>120.16079506302772</v>
      </c>
      <c r="BZ53" s="53" cm="1">
        <f t="array" ref="BZ53">INDEX($G53:$L53,,BZ$11)*BZ$31</f>
        <v>120.16079506302772</v>
      </c>
      <c r="CA53" s="53" cm="1">
        <f t="array" ref="CA53">INDEX($G53:$L53,,CA$11)*CA$31</f>
        <v>120.16079506302772</v>
      </c>
      <c r="CB53" s="53" cm="1">
        <f t="array" ref="CB53">INDEX($G53:$L53,,CB$11)*CB$31</f>
        <v>120.16079506302772</v>
      </c>
      <c r="CC53" s="53" cm="1">
        <f t="array" ref="CC53">INDEX($G53:$L53,,CC$11)*CC$31</f>
        <v>120.16079506302772</v>
      </c>
      <c r="CD53" s="53" cm="1">
        <f t="array" ref="CD53">INDEX($G53:$L53,,CD$11)*CD$31</f>
        <v>120.16079506302772</v>
      </c>
      <c r="CE53" s="53" cm="1">
        <f t="array" ref="CE53">INDEX($G53:$L53,,CE$11)*CE$31</f>
        <v>120.16079506302772</v>
      </c>
      <c r="CF53" s="53" cm="1">
        <f t="array" ref="CF53">INDEX($G53:$L53,,CF$11)*CF$31</f>
        <v>120.16079506302772</v>
      </c>
      <c r="CG53" s="53" cm="1">
        <f t="array" ref="CG53">INDEX($G53:$L53,,CG$11)*CG$31</f>
        <v>120.16079506302772</v>
      </c>
    </row>
    <row r="54" spans="4:85" outlineLevel="1">
      <c r="E54" s="48" t="s">
        <v>181</v>
      </c>
      <c r="F54" s="142"/>
      <c r="G54" s="187">
        <f t="shared" ref="G54:L54" si="60">SUM(G52:G53)</f>
        <v>1</v>
      </c>
      <c r="H54" s="187">
        <f t="shared" si="60"/>
        <v>1.1000000000000001</v>
      </c>
      <c r="I54" s="187">
        <f t="shared" si="60"/>
        <v>1.2000000000000002</v>
      </c>
      <c r="J54" s="187">
        <f t="shared" si="60"/>
        <v>1.3</v>
      </c>
      <c r="K54" s="187">
        <f t="shared" si="60"/>
        <v>1.3</v>
      </c>
      <c r="L54" s="187">
        <f t="shared" si="60"/>
        <v>1.3</v>
      </c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</row>
    <row r="55" spans="4:85" outlineLevel="1">
      <c r="E55" s="48"/>
      <c r="F55" s="142"/>
      <c r="G55" s="48"/>
      <c r="H55" s="50"/>
      <c r="I55" s="51"/>
      <c r="J55" s="52"/>
      <c r="K55" s="52"/>
      <c r="L55" s="52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</row>
    <row r="56" spans="4:85" outlineLevel="1">
      <c r="E56" s="45" t="s">
        <v>54</v>
      </c>
      <c r="H56" s="46"/>
      <c r="I56" s="42"/>
      <c r="J56" s="24"/>
      <c r="K56" s="24"/>
      <c r="L56" s="24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 spans="4:85" outlineLevel="1">
      <c r="E57" s="44" t="s">
        <v>249</v>
      </c>
      <c r="F57" s="29"/>
      <c r="H57" s="129"/>
      <c r="I57" s="42"/>
      <c r="J57" s="24"/>
      <c r="K57" s="24"/>
      <c r="L57" s="24"/>
      <c r="N57" s="23">
        <f t="shared" ref="N57:AK57" si="61">N52</f>
        <v>0</v>
      </c>
      <c r="O57" s="23">
        <f t="shared" si="61"/>
        <v>0</v>
      </c>
      <c r="P57" s="23">
        <f t="shared" si="61"/>
        <v>0</v>
      </c>
      <c r="Q57" s="23">
        <f t="shared" si="61"/>
        <v>0</v>
      </c>
      <c r="R57" s="23">
        <f t="shared" si="61"/>
        <v>0</v>
      </c>
      <c r="S57" s="23">
        <f t="shared" si="61"/>
        <v>0.68463842533162178</v>
      </c>
      <c r="T57" s="23">
        <f t="shared" si="61"/>
        <v>0.68463842533162178</v>
      </c>
      <c r="U57" s="23">
        <f t="shared" si="61"/>
        <v>0.68463842533162178</v>
      </c>
      <c r="V57" s="23">
        <f t="shared" si="61"/>
        <v>0.68463842533162178</v>
      </c>
      <c r="W57" s="23">
        <f t="shared" si="61"/>
        <v>0.68463842533162178</v>
      </c>
      <c r="X57" s="23">
        <f t="shared" si="61"/>
        <v>0.68463842533162178</v>
      </c>
      <c r="Y57" s="23">
        <f t="shared" si="61"/>
        <v>0.68463842533162178</v>
      </c>
      <c r="Z57" s="23">
        <f t="shared" si="61"/>
        <v>1.9561097866617763</v>
      </c>
      <c r="AA57" s="23">
        <f t="shared" si="61"/>
        <v>1.9561097866617763</v>
      </c>
      <c r="AB57" s="23">
        <f t="shared" si="61"/>
        <v>1.9561097866617763</v>
      </c>
      <c r="AC57" s="23">
        <f t="shared" si="61"/>
        <v>1.9561097866617763</v>
      </c>
      <c r="AD57" s="23">
        <f t="shared" si="61"/>
        <v>1.9561097866617763</v>
      </c>
      <c r="AE57" s="23">
        <f t="shared" si="61"/>
        <v>1.9561097866617763</v>
      </c>
      <c r="AF57" s="23">
        <f t="shared" si="61"/>
        <v>1.9561097866617763</v>
      </c>
      <c r="AG57" s="23">
        <f t="shared" si="61"/>
        <v>1.9561097866617763</v>
      </c>
      <c r="AH57" s="23">
        <f t="shared" si="61"/>
        <v>1.9561097866617763</v>
      </c>
      <c r="AI57" s="23">
        <f t="shared" si="61"/>
        <v>1.9561097866617763</v>
      </c>
      <c r="AJ57" s="23">
        <f t="shared" si="61"/>
        <v>1.9561097866617763</v>
      </c>
      <c r="AK57" s="23">
        <f t="shared" si="61"/>
        <v>1.9561097866617763</v>
      </c>
      <c r="AL57" s="23">
        <f t="shared" ref="AL57:CG57" si="62">AL52</f>
        <v>6.2098723386088155</v>
      </c>
      <c r="AM57" s="23">
        <f t="shared" si="62"/>
        <v>6.2098723386088155</v>
      </c>
      <c r="AN57" s="23">
        <f t="shared" si="62"/>
        <v>6.2098723386088155</v>
      </c>
      <c r="AO57" s="23">
        <f t="shared" si="62"/>
        <v>6.2098723386088155</v>
      </c>
      <c r="AP57" s="23">
        <f t="shared" si="62"/>
        <v>6.2098723386088155</v>
      </c>
      <c r="AQ57" s="23">
        <f t="shared" si="62"/>
        <v>6.2098723386088155</v>
      </c>
      <c r="AR57" s="23">
        <f t="shared" si="62"/>
        <v>6.2098723386088155</v>
      </c>
      <c r="AS57" s="23">
        <f t="shared" si="62"/>
        <v>6.2098723386088155</v>
      </c>
      <c r="AT57" s="23">
        <f t="shared" si="62"/>
        <v>6.2098723386088155</v>
      </c>
      <c r="AU57" s="23">
        <f t="shared" si="62"/>
        <v>6.2098723386088155</v>
      </c>
      <c r="AV57" s="23">
        <f t="shared" si="62"/>
        <v>6.2098723386088155</v>
      </c>
      <c r="AW57" s="23">
        <f t="shared" si="62"/>
        <v>6.2098723386088155</v>
      </c>
      <c r="AX57" s="23">
        <f t="shared" si="62"/>
        <v>17.742492396025185</v>
      </c>
      <c r="AY57" s="23">
        <f t="shared" si="62"/>
        <v>17.742492396025185</v>
      </c>
      <c r="AZ57" s="23">
        <f t="shared" si="62"/>
        <v>17.742492396025185</v>
      </c>
      <c r="BA57" s="23">
        <f t="shared" si="62"/>
        <v>17.742492396025185</v>
      </c>
      <c r="BB57" s="23">
        <f t="shared" si="62"/>
        <v>17.742492396025185</v>
      </c>
      <c r="BC57" s="23">
        <f t="shared" si="62"/>
        <v>17.742492396025185</v>
      </c>
      <c r="BD57" s="23">
        <f t="shared" si="62"/>
        <v>17.742492396025185</v>
      </c>
      <c r="BE57" s="23">
        <f t="shared" si="62"/>
        <v>17.742492396025185</v>
      </c>
      <c r="BF57" s="23">
        <f t="shared" si="62"/>
        <v>17.742492396025185</v>
      </c>
      <c r="BG57" s="23">
        <f t="shared" si="62"/>
        <v>17.742492396025185</v>
      </c>
      <c r="BH57" s="23">
        <f t="shared" si="62"/>
        <v>17.742492396025185</v>
      </c>
      <c r="BI57" s="23">
        <f t="shared" si="62"/>
        <v>17.742492396025185</v>
      </c>
      <c r="BJ57" s="23">
        <f t="shared" si="62"/>
        <v>36.61149224576625</v>
      </c>
      <c r="BK57" s="23">
        <f t="shared" si="62"/>
        <v>36.61149224576625</v>
      </c>
      <c r="BL57" s="23">
        <f t="shared" si="62"/>
        <v>36.61149224576625</v>
      </c>
      <c r="BM57" s="23">
        <f t="shared" si="62"/>
        <v>36.61149224576625</v>
      </c>
      <c r="BN57" s="23">
        <f t="shared" si="62"/>
        <v>36.61149224576625</v>
      </c>
      <c r="BO57" s="23">
        <f t="shared" si="62"/>
        <v>36.61149224576625</v>
      </c>
      <c r="BP57" s="23">
        <f t="shared" si="62"/>
        <v>36.61149224576625</v>
      </c>
      <c r="BQ57" s="23">
        <f t="shared" si="62"/>
        <v>36.61149224576625</v>
      </c>
      <c r="BR57" s="23">
        <f t="shared" si="62"/>
        <v>36.61149224576625</v>
      </c>
      <c r="BS57" s="23">
        <f t="shared" si="62"/>
        <v>36.61149224576625</v>
      </c>
      <c r="BT57" s="23">
        <f t="shared" si="62"/>
        <v>36.61149224576625</v>
      </c>
      <c r="BU57" s="23">
        <f t="shared" si="62"/>
        <v>36.61149224576625</v>
      </c>
      <c r="BV57" s="23">
        <f t="shared" si="62"/>
        <v>75.100496914392323</v>
      </c>
      <c r="BW57" s="23">
        <f t="shared" si="62"/>
        <v>75.100496914392323</v>
      </c>
      <c r="BX57" s="23">
        <f t="shared" si="62"/>
        <v>75.100496914392323</v>
      </c>
      <c r="BY57" s="23">
        <f t="shared" si="62"/>
        <v>75.100496914392323</v>
      </c>
      <c r="BZ57" s="23">
        <f t="shared" si="62"/>
        <v>75.100496914392323</v>
      </c>
      <c r="CA57" s="23">
        <f t="shared" si="62"/>
        <v>75.100496914392323</v>
      </c>
      <c r="CB57" s="23">
        <f t="shared" si="62"/>
        <v>75.100496914392323</v>
      </c>
      <c r="CC57" s="23">
        <f t="shared" si="62"/>
        <v>75.100496914392323</v>
      </c>
      <c r="CD57" s="23">
        <f t="shared" si="62"/>
        <v>75.100496914392323</v>
      </c>
      <c r="CE57" s="23">
        <f t="shared" si="62"/>
        <v>75.100496914392323</v>
      </c>
      <c r="CF57" s="23">
        <f t="shared" si="62"/>
        <v>75.100496914392323</v>
      </c>
      <c r="CG57" s="23">
        <f t="shared" si="62"/>
        <v>75.100496914392323</v>
      </c>
    </row>
    <row r="58" spans="4:85" outlineLevel="1">
      <c r="E58" s="44" t="s">
        <v>105</v>
      </c>
      <c r="F58" s="29" t="s">
        <v>469</v>
      </c>
      <c r="G58" s="63">
        <v>0.6</v>
      </c>
      <c r="H58" s="63">
        <v>0.5</v>
      </c>
      <c r="I58" s="63">
        <v>0.4</v>
      </c>
      <c r="J58" s="63">
        <v>0.4</v>
      </c>
      <c r="K58" s="63">
        <v>0.3</v>
      </c>
      <c r="L58" s="63">
        <v>0.3</v>
      </c>
      <c r="N58" s="23" cm="1">
        <f t="array" ref="N58">INDEX($G58:$L58,,N$11)*N57</f>
        <v>0</v>
      </c>
      <c r="O58" s="23" cm="1">
        <f t="array" ref="O58">INDEX($G58:$L58,,O$11)*O57</f>
        <v>0</v>
      </c>
      <c r="P58" s="23" cm="1">
        <f t="array" ref="P58">INDEX($G58:$L58,,P$11)*P57</f>
        <v>0</v>
      </c>
      <c r="Q58" s="23" cm="1">
        <f t="array" ref="Q58">INDEX($G58:$L58,,Q$11)*Q57</f>
        <v>0</v>
      </c>
      <c r="R58" s="23" cm="1">
        <f t="array" ref="R58">INDEX($G58:$L58,,R$11)*R57</f>
        <v>0</v>
      </c>
      <c r="S58" s="23" cm="1">
        <f t="array" ref="S58">INDEX($G58:$L58,,S$11)*S57</f>
        <v>0.41078305519897307</v>
      </c>
      <c r="T58" s="23" cm="1">
        <f t="array" ref="T58">INDEX($G58:$L58,,T$11)*T57</f>
        <v>0.41078305519897307</v>
      </c>
      <c r="U58" s="23" cm="1">
        <f t="array" ref="U58">INDEX($G58:$L58,,U$11)*U57</f>
        <v>0.41078305519897307</v>
      </c>
      <c r="V58" s="23" cm="1">
        <f t="array" ref="V58">INDEX($G58:$L58,,V$11)*V57</f>
        <v>0.41078305519897307</v>
      </c>
      <c r="W58" s="23" cm="1">
        <f t="array" ref="W58">INDEX($G58:$L58,,W$11)*W57</f>
        <v>0.41078305519897307</v>
      </c>
      <c r="X58" s="23" cm="1">
        <f t="array" ref="X58">INDEX($G58:$L58,,X$11)*X57</f>
        <v>0.41078305519897307</v>
      </c>
      <c r="Y58" s="23" cm="1">
        <f t="array" ref="Y58">INDEX($G58:$L58,,Y$11)*Y57</f>
        <v>0.41078305519897307</v>
      </c>
      <c r="Z58" s="23" cm="1">
        <f t="array" ref="Z58">INDEX($G58:$L58,,Z$11)*Z57</f>
        <v>0.97805489333088813</v>
      </c>
      <c r="AA58" s="23" cm="1">
        <f t="array" ref="AA58">INDEX($G58:$L58,,AA$11)*AA57</f>
        <v>0.97805489333088813</v>
      </c>
      <c r="AB58" s="23" cm="1">
        <f t="array" ref="AB58">INDEX($G58:$L58,,AB$11)*AB57</f>
        <v>0.97805489333088813</v>
      </c>
      <c r="AC58" s="23" cm="1">
        <f t="array" ref="AC58">INDEX($G58:$L58,,AC$11)*AC57</f>
        <v>0.97805489333088813</v>
      </c>
      <c r="AD58" s="23" cm="1">
        <f t="array" ref="AD58">INDEX($G58:$L58,,AD$11)*AD57</f>
        <v>0.97805489333088813</v>
      </c>
      <c r="AE58" s="23" cm="1">
        <f t="array" ref="AE58">INDEX($G58:$L58,,AE$11)*AE57</f>
        <v>0.97805489333088813</v>
      </c>
      <c r="AF58" s="23" cm="1">
        <f t="array" ref="AF58">INDEX($G58:$L58,,AF$11)*AF57</f>
        <v>0.97805489333088813</v>
      </c>
      <c r="AG58" s="23" cm="1">
        <f t="array" ref="AG58">INDEX($G58:$L58,,AG$11)*AG57</f>
        <v>0.97805489333088813</v>
      </c>
      <c r="AH58" s="23" cm="1">
        <f t="array" ref="AH58">INDEX($G58:$L58,,AH$11)*AH57</f>
        <v>0.97805489333088813</v>
      </c>
      <c r="AI58" s="23" cm="1">
        <f t="array" ref="AI58">INDEX($G58:$L58,,AI$11)*AI57</f>
        <v>0.97805489333088813</v>
      </c>
      <c r="AJ58" s="23" cm="1">
        <f t="array" ref="AJ58">INDEX($G58:$L58,,AJ$11)*AJ57</f>
        <v>0.97805489333088813</v>
      </c>
      <c r="AK58" s="23" cm="1">
        <f t="array" ref="AK58">INDEX($G58:$L58,,AK$11)*AK57</f>
        <v>0.97805489333088813</v>
      </c>
      <c r="AL58" s="23" cm="1">
        <f t="array" ref="AL58">INDEX($G58:$L58,,AL$11)*AL57</f>
        <v>2.4839489354435265</v>
      </c>
      <c r="AM58" s="23" cm="1">
        <f t="array" ref="AM58">INDEX($G58:$L58,,AM$11)*AM57</f>
        <v>2.4839489354435265</v>
      </c>
      <c r="AN58" s="23" cm="1">
        <f t="array" ref="AN58">INDEX($G58:$L58,,AN$11)*AN57</f>
        <v>2.4839489354435265</v>
      </c>
      <c r="AO58" s="23" cm="1">
        <f t="array" ref="AO58">INDEX($G58:$L58,,AO$11)*AO57</f>
        <v>2.4839489354435265</v>
      </c>
      <c r="AP58" s="23" cm="1">
        <f t="array" ref="AP58">INDEX($G58:$L58,,AP$11)*AP57</f>
        <v>2.4839489354435265</v>
      </c>
      <c r="AQ58" s="23" cm="1">
        <f t="array" ref="AQ58">INDEX($G58:$L58,,AQ$11)*AQ57</f>
        <v>2.4839489354435265</v>
      </c>
      <c r="AR58" s="23" cm="1">
        <f t="array" ref="AR58">INDEX($G58:$L58,,AR$11)*AR57</f>
        <v>2.4839489354435265</v>
      </c>
      <c r="AS58" s="23" cm="1">
        <f t="array" ref="AS58">INDEX($G58:$L58,,AS$11)*AS57</f>
        <v>2.4839489354435265</v>
      </c>
      <c r="AT58" s="23" cm="1">
        <f t="array" ref="AT58">INDEX($G58:$L58,,AT$11)*AT57</f>
        <v>2.4839489354435265</v>
      </c>
      <c r="AU58" s="23" cm="1">
        <f t="array" ref="AU58">INDEX($G58:$L58,,AU$11)*AU57</f>
        <v>2.4839489354435265</v>
      </c>
      <c r="AV58" s="23" cm="1">
        <f t="array" ref="AV58">INDEX($G58:$L58,,AV$11)*AV57</f>
        <v>2.4839489354435265</v>
      </c>
      <c r="AW58" s="23" cm="1">
        <f t="array" ref="AW58">INDEX($G58:$L58,,AW$11)*AW57</f>
        <v>2.4839489354435265</v>
      </c>
      <c r="AX58" s="23" cm="1">
        <f t="array" ref="AX58">INDEX($G58:$L58,,AX$11)*AX57</f>
        <v>7.0969969584100738</v>
      </c>
      <c r="AY58" s="23" cm="1">
        <f t="array" ref="AY58">INDEX($G58:$L58,,AY$11)*AY57</f>
        <v>7.0969969584100738</v>
      </c>
      <c r="AZ58" s="23" cm="1">
        <f t="array" ref="AZ58">INDEX($G58:$L58,,AZ$11)*AZ57</f>
        <v>7.0969969584100738</v>
      </c>
      <c r="BA58" s="23" cm="1">
        <f t="array" ref="BA58">INDEX($G58:$L58,,BA$11)*BA57</f>
        <v>7.0969969584100738</v>
      </c>
      <c r="BB58" s="23" cm="1">
        <f t="array" ref="BB58">INDEX($G58:$L58,,BB$11)*BB57</f>
        <v>7.0969969584100738</v>
      </c>
      <c r="BC58" s="23" cm="1">
        <f t="array" ref="BC58">INDEX($G58:$L58,,BC$11)*BC57</f>
        <v>7.0969969584100738</v>
      </c>
      <c r="BD58" s="23" cm="1">
        <f t="array" ref="BD58">INDEX($G58:$L58,,BD$11)*BD57</f>
        <v>7.0969969584100738</v>
      </c>
      <c r="BE58" s="23" cm="1">
        <f t="array" ref="BE58">INDEX($G58:$L58,,BE$11)*BE57</f>
        <v>7.0969969584100738</v>
      </c>
      <c r="BF58" s="23" cm="1">
        <f t="array" ref="BF58">INDEX($G58:$L58,,BF$11)*BF57</f>
        <v>7.0969969584100738</v>
      </c>
      <c r="BG58" s="23" cm="1">
        <f t="array" ref="BG58">INDEX($G58:$L58,,BG$11)*BG57</f>
        <v>7.0969969584100738</v>
      </c>
      <c r="BH58" s="23" cm="1">
        <f t="array" ref="BH58">INDEX($G58:$L58,,BH$11)*BH57</f>
        <v>7.0969969584100738</v>
      </c>
      <c r="BI58" s="23" cm="1">
        <f t="array" ref="BI58">INDEX($G58:$L58,,BI$11)*BI57</f>
        <v>7.0969969584100738</v>
      </c>
      <c r="BJ58" s="23" cm="1">
        <f t="array" ref="BJ58">INDEX($G58:$L58,,BJ$11)*BJ57</f>
        <v>10.983447673729875</v>
      </c>
      <c r="BK58" s="23" cm="1">
        <f t="array" ref="BK58">INDEX($G58:$L58,,BK$11)*BK57</f>
        <v>10.983447673729875</v>
      </c>
      <c r="BL58" s="23" cm="1">
        <f t="array" ref="BL58">INDEX($G58:$L58,,BL$11)*BL57</f>
        <v>10.983447673729875</v>
      </c>
      <c r="BM58" s="23" cm="1">
        <f t="array" ref="BM58">INDEX($G58:$L58,,BM$11)*BM57</f>
        <v>10.983447673729875</v>
      </c>
      <c r="BN58" s="23" cm="1">
        <f t="array" ref="BN58">INDEX($G58:$L58,,BN$11)*BN57</f>
        <v>10.983447673729875</v>
      </c>
      <c r="BO58" s="23" cm="1">
        <f t="array" ref="BO58">INDEX($G58:$L58,,BO$11)*BO57</f>
        <v>10.983447673729875</v>
      </c>
      <c r="BP58" s="23" cm="1">
        <f t="array" ref="BP58">INDEX($G58:$L58,,BP$11)*BP57</f>
        <v>10.983447673729875</v>
      </c>
      <c r="BQ58" s="23" cm="1">
        <f t="array" ref="BQ58">INDEX($G58:$L58,,BQ$11)*BQ57</f>
        <v>10.983447673729875</v>
      </c>
      <c r="BR58" s="23" cm="1">
        <f t="array" ref="BR58">INDEX($G58:$L58,,BR$11)*BR57</f>
        <v>10.983447673729875</v>
      </c>
      <c r="BS58" s="23" cm="1">
        <f t="array" ref="BS58">INDEX($G58:$L58,,BS$11)*BS57</f>
        <v>10.983447673729875</v>
      </c>
      <c r="BT58" s="23" cm="1">
        <f t="array" ref="BT58">INDEX($G58:$L58,,BT$11)*BT57</f>
        <v>10.983447673729875</v>
      </c>
      <c r="BU58" s="23" cm="1">
        <f t="array" ref="BU58">INDEX($G58:$L58,,BU$11)*BU57</f>
        <v>10.983447673729875</v>
      </c>
      <c r="BV58" s="23" cm="1">
        <f t="array" ref="BV58">INDEX($G58:$L58,,BV$11)*BV57</f>
        <v>22.530149074317695</v>
      </c>
      <c r="BW58" s="23" cm="1">
        <f t="array" ref="BW58">INDEX($G58:$L58,,BW$11)*BW57</f>
        <v>22.530149074317695</v>
      </c>
      <c r="BX58" s="23" cm="1">
        <f t="array" ref="BX58">INDEX($G58:$L58,,BX$11)*BX57</f>
        <v>22.530149074317695</v>
      </c>
      <c r="BY58" s="23" cm="1">
        <f t="array" ref="BY58">INDEX($G58:$L58,,BY$11)*BY57</f>
        <v>22.530149074317695</v>
      </c>
      <c r="BZ58" s="23" cm="1">
        <f t="array" ref="BZ58">INDEX($G58:$L58,,BZ$11)*BZ57</f>
        <v>22.530149074317695</v>
      </c>
      <c r="CA58" s="23" cm="1">
        <f t="array" ref="CA58">INDEX($G58:$L58,,CA$11)*CA57</f>
        <v>22.530149074317695</v>
      </c>
      <c r="CB58" s="23" cm="1">
        <f t="array" ref="CB58">INDEX($G58:$L58,,CB$11)*CB57</f>
        <v>22.530149074317695</v>
      </c>
      <c r="CC58" s="23" cm="1">
        <f t="array" ref="CC58">INDEX($G58:$L58,,CC$11)*CC57</f>
        <v>22.530149074317695</v>
      </c>
      <c r="CD58" s="23" cm="1">
        <f t="array" ref="CD58">INDEX($G58:$L58,,CD$11)*CD57</f>
        <v>22.530149074317695</v>
      </c>
      <c r="CE58" s="23" cm="1">
        <f t="array" ref="CE58">INDEX($G58:$L58,,CE$11)*CE57</f>
        <v>22.530149074317695</v>
      </c>
      <c r="CF58" s="23" cm="1">
        <f t="array" ref="CF58">INDEX($G58:$L58,,CF$11)*CF57</f>
        <v>22.530149074317695</v>
      </c>
      <c r="CG58" s="23" cm="1">
        <f t="array" ref="CG58">INDEX($G58:$L58,,CG$11)*CG57</f>
        <v>22.530149074317695</v>
      </c>
    </row>
    <row r="59" spans="4:85" outlineLevel="1">
      <c r="E59" s="146" t="s">
        <v>254</v>
      </c>
      <c r="F59" s="147"/>
      <c r="G59" s="146"/>
      <c r="H59" s="148"/>
      <c r="I59" s="149"/>
      <c r="J59" s="150"/>
      <c r="K59" s="150"/>
      <c r="L59" s="150"/>
      <c r="M59" s="152"/>
      <c r="N59" s="151">
        <f>ROUNDUP((N57-N58),0)</f>
        <v>0</v>
      </c>
      <c r="O59" s="151">
        <f t="shared" ref="O59:AK59" si="63">N59+(O57-O58)</f>
        <v>0</v>
      </c>
      <c r="P59" s="151">
        <f t="shared" si="63"/>
        <v>0</v>
      </c>
      <c r="Q59" s="151">
        <f t="shared" si="63"/>
        <v>0</v>
      </c>
      <c r="R59" s="151">
        <f t="shared" si="63"/>
        <v>0</v>
      </c>
      <c r="S59" s="151">
        <f t="shared" si="63"/>
        <v>0.27385537013264871</v>
      </c>
      <c r="T59" s="151">
        <f t="shared" si="63"/>
        <v>0.54771074026529742</v>
      </c>
      <c r="U59" s="151">
        <f t="shared" si="63"/>
        <v>0.82156611039794614</v>
      </c>
      <c r="V59" s="151">
        <f t="shared" si="63"/>
        <v>1.0954214805305948</v>
      </c>
      <c r="W59" s="151">
        <f t="shared" si="63"/>
        <v>1.3692768506632436</v>
      </c>
      <c r="X59" s="151">
        <f t="shared" si="63"/>
        <v>1.6431322207958923</v>
      </c>
      <c r="Y59" s="151">
        <f t="shared" si="63"/>
        <v>1.916987590928541</v>
      </c>
      <c r="Z59" s="151">
        <f t="shared" si="63"/>
        <v>2.8950424842594291</v>
      </c>
      <c r="AA59" s="151">
        <f t="shared" si="63"/>
        <v>3.8730973775903172</v>
      </c>
      <c r="AB59" s="151">
        <f t="shared" si="63"/>
        <v>4.8511522709212054</v>
      </c>
      <c r="AC59" s="151">
        <f t="shared" si="63"/>
        <v>5.8292071642520931</v>
      </c>
      <c r="AD59" s="151">
        <f t="shared" si="63"/>
        <v>6.8072620575829816</v>
      </c>
      <c r="AE59" s="151">
        <f t="shared" si="63"/>
        <v>7.7853169509138702</v>
      </c>
      <c r="AF59" s="151">
        <f t="shared" si="63"/>
        <v>8.7633718442447588</v>
      </c>
      <c r="AG59" s="151">
        <f t="shared" si="63"/>
        <v>9.7414267375756474</v>
      </c>
      <c r="AH59" s="151">
        <f t="shared" si="63"/>
        <v>10.719481630906536</v>
      </c>
      <c r="AI59" s="151">
        <f t="shared" si="63"/>
        <v>11.697536524237425</v>
      </c>
      <c r="AJ59" s="151">
        <f t="shared" si="63"/>
        <v>12.675591417568313</v>
      </c>
      <c r="AK59" s="151">
        <f t="shared" si="63"/>
        <v>13.653646310899202</v>
      </c>
      <c r="AL59" s="151">
        <f t="shared" ref="AL59" si="64">AK59+(AL57-AL58)</f>
        <v>17.379569714064491</v>
      </c>
      <c r="AM59" s="151">
        <f t="shared" ref="AM59" si="65">AL59+(AM57-AM58)</f>
        <v>21.105493117229781</v>
      </c>
      <c r="AN59" s="151">
        <f t="shared" ref="AN59" si="66">AM59+(AN57-AN58)</f>
        <v>24.83141652039507</v>
      </c>
      <c r="AO59" s="151">
        <f t="shared" ref="AO59" si="67">AN59+(AO57-AO58)</f>
        <v>28.55733992356036</v>
      </c>
      <c r="AP59" s="151">
        <f t="shared" ref="AP59" si="68">AO59+(AP57-AP58)</f>
        <v>32.283263326725645</v>
      </c>
      <c r="AQ59" s="151">
        <f t="shared" ref="AQ59" si="69">AP59+(AQ57-AQ58)</f>
        <v>36.009186729890935</v>
      </c>
      <c r="AR59" s="151">
        <f t="shared" ref="AR59" si="70">AQ59+(AR57-AR58)</f>
        <v>39.735110133056224</v>
      </c>
      <c r="AS59" s="151">
        <f t="shared" ref="AS59" si="71">AR59+(AS57-AS58)</f>
        <v>43.461033536221514</v>
      </c>
      <c r="AT59" s="151">
        <f t="shared" ref="AT59" si="72">AS59+(AT57-AT58)</f>
        <v>47.186956939386803</v>
      </c>
      <c r="AU59" s="151">
        <f t="shared" ref="AU59" si="73">AT59+(AU57-AU58)</f>
        <v>50.912880342552093</v>
      </c>
      <c r="AV59" s="151">
        <f t="shared" ref="AV59" si="74">AU59+(AV57-AV58)</f>
        <v>54.638803745717382</v>
      </c>
      <c r="AW59" s="151">
        <f t="shared" ref="AW59" si="75">AV59+(AW57-AW58)</f>
        <v>58.364727148882672</v>
      </c>
      <c r="AX59" s="151">
        <f t="shared" ref="AX59" si="76">AW59+(AX57-AX58)</f>
        <v>69.010222586497775</v>
      </c>
      <c r="AY59" s="151">
        <f t="shared" ref="AY59" si="77">AX59+(AY57-AY58)</f>
        <v>79.655718024112886</v>
      </c>
      <c r="AZ59" s="151">
        <f t="shared" ref="AZ59" si="78">AY59+(AZ57-AZ58)</f>
        <v>90.301213461727997</v>
      </c>
      <c r="BA59" s="151">
        <f t="shared" ref="BA59" si="79">AZ59+(BA57-BA58)</f>
        <v>100.94670889934311</v>
      </c>
      <c r="BB59" s="151">
        <f t="shared" ref="BB59" si="80">BA59+(BB57-BB58)</f>
        <v>111.59220433695822</v>
      </c>
      <c r="BC59" s="151">
        <f t="shared" ref="BC59" si="81">BB59+(BC57-BC58)</f>
        <v>122.23769977457333</v>
      </c>
      <c r="BD59" s="151">
        <f t="shared" ref="BD59" si="82">BC59+(BD57-BD58)</f>
        <v>132.88319521218844</v>
      </c>
      <c r="BE59" s="151">
        <f t="shared" ref="BE59" si="83">BD59+(BE57-BE58)</f>
        <v>143.52869064980354</v>
      </c>
      <c r="BF59" s="151">
        <f t="shared" ref="BF59" si="84">BE59+(BF57-BF58)</f>
        <v>154.17418608741866</v>
      </c>
      <c r="BG59" s="151">
        <f t="shared" ref="BG59" si="85">BF59+(BG57-BG58)</f>
        <v>164.81968152503379</v>
      </c>
      <c r="BH59" s="151">
        <f t="shared" ref="BH59" si="86">BG59+(BH57-BH58)</f>
        <v>175.46517696264891</v>
      </c>
      <c r="BI59" s="151">
        <f t="shared" ref="BI59" si="87">BH59+(BI57-BI58)</f>
        <v>186.11067240026404</v>
      </c>
      <c r="BJ59" s="151">
        <f t="shared" ref="BJ59" si="88">BI59+(BJ57-BJ58)</f>
        <v>211.73871697230041</v>
      </c>
      <c r="BK59" s="151">
        <f t="shared" ref="BK59" si="89">BJ59+(BK57-BK58)</f>
        <v>237.36676154433678</v>
      </c>
      <c r="BL59" s="151">
        <f t="shared" ref="BL59" si="90">BK59+(BL57-BL58)</f>
        <v>262.99480611637318</v>
      </c>
      <c r="BM59" s="151">
        <f t="shared" ref="BM59" si="91">BL59+(BM57-BM58)</f>
        <v>288.62285068840959</v>
      </c>
      <c r="BN59" s="151">
        <f t="shared" ref="BN59" si="92">BM59+(BN57-BN58)</f>
        <v>314.25089526044599</v>
      </c>
      <c r="BO59" s="151">
        <f t="shared" ref="BO59" si="93">BN59+(BO57-BO58)</f>
        <v>339.87893983248239</v>
      </c>
      <c r="BP59" s="151">
        <f t="shared" ref="BP59" si="94">BO59+(BP57-BP58)</f>
        <v>365.50698440451879</v>
      </c>
      <c r="BQ59" s="151">
        <f t="shared" ref="BQ59" si="95">BP59+(BQ57-BQ58)</f>
        <v>391.13502897655519</v>
      </c>
      <c r="BR59" s="151">
        <f t="shared" ref="BR59" si="96">BQ59+(BR57-BR58)</f>
        <v>416.76307354859159</v>
      </c>
      <c r="BS59" s="151">
        <f t="shared" ref="BS59" si="97">BR59+(BS57-BS58)</f>
        <v>442.39111812062799</v>
      </c>
      <c r="BT59" s="151">
        <f t="shared" ref="BT59" si="98">BS59+(BT57-BT58)</f>
        <v>468.01916269266439</v>
      </c>
      <c r="BU59" s="151">
        <f t="shared" ref="BU59" si="99">BT59+(BU57-BU58)</f>
        <v>493.6472072647008</v>
      </c>
      <c r="BV59" s="151">
        <f t="shared" ref="BV59" si="100">BU59+(BV57-BV58)</f>
        <v>546.21755510477544</v>
      </c>
      <c r="BW59" s="151">
        <f t="shared" ref="BW59" si="101">BV59+(BW57-BW58)</f>
        <v>598.78790294485009</v>
      </c>
      <c r="BX59" s="151">
        <f t="shared" ref="BX59" si="102">BW59+(BX57-BX58)</f>
        <v>651.35825078492473</v>
      </c>
      <c r="BY59" s="151">
        <f t="shared" ref="BY59" si="103">BX59+(BY57-BY58)</f>
        <v>703.92859862499938</v>
      </c>
      <c r="BZ59" s="151">
        <f t="shared" ref="BZ59" si="104">BY59+(BZ57-BZ58)</f>
        <v>756.49894646507403</v>
      </c>
      <c r="CA59" s="151">
        <f t="shared" ref="CA59" si="105">BZ59+(CA57-CA58)</f>
        <v>809.06929430514867</v>
      </c>
      <c r="CB59" s="151">
        <f t="shared" ref="CB59" si="106">CA59+(CB57-CB58)</f>
        <v>861.63964214522332</v>
      </c>
      <c r="CC59" s="151">
        <f t="shared" ref="CC59" si="107">CB59+(CC57-CC58)</f>
        <v>914.20998998529797</v>
      </c>
      <c r="CD59" s="151">
        <f t="shared" ref="CD59" si="108">CC59+(CD57-CD58)</f>
        <v>966.78033782537261</v>
      </c>
      <c r="CE59" s="151">
        <f t="shared" ref="CE59" si="109">CD59+(CE57-CE58)</f>
        <v>1019.3506856654473</v>
      </c>
      <c r="CF59" s="151">
        <f t="shared" ref="CF59" si="110">CE59+(CF57-CF58)</f>
        <v>1071.9210335055218</v>
      </c>
      <c r="CG59" s="151">
        <f t="shared" ref="CG59" si="111">CF59+(CG57-CG58)</f>
        <v>1124.4913813455964</v>
      </c>
    </row>
    <row r="60" spans="4:85" outlineLevel="1">
      <c r="E60" s="48"/>
      <c r="F60" s="142"/>
      <c r="G60" s="48"/>
      <c r="H60" s="50"/>
      <c r="I60" s="51"/>
      <c r="J60" s="52"/>
      <c r="K60" s="52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</row>
    <row r="61" spans="4:85" outlineLevel="1">
      <c r="E61" s="45" t="s">
        <v>55</v>
      </c>
      <c r="H61" s="46"/>
      <c r="I61" s="42"/>
      <c r="J61" s="24"/>
      <c r="K61" s="24"/>
      <c r="L61" s="24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 spans="4:85" outlineLevel="1">
      <c r="E62" s="44" t="s">
        <v>106</v>
      </c>
      <c r="F62" s="130"/>
      <c r="G62" s="123"/>
      <c r="H62" s="129"/>
      <c r="I62" s="42"/>
      <c r="J62" s="24"/>
      <c r="K62" s="24"/>
      <c r="L62" s="24"/>
      <c r="N62" s="24">
        <f t="shared" ref="N62:AK62" si="112">N38</f>
        <v>0</v>
      </c>
      <c r="O62" s="24">
        <f t="shared" si="112"/>
        <v>0</v>
      </c>
      <c r="P62" s="24">
        <f t="shared" si="112"/>
        <v>0</v>
      </c>
      <c r="Q62" s="24">
        <f t="shared" si="112"/>
        <v>0</v>
      </c>
      <c r="R62" s="24">
        <f t="shared" si="112"/>
        <v>0</v>
      </c>
      <c r="S62" s="24">
        <f t="shared" si="112"/>
        <v>51.428571428571431</v>
      </c>
      <c r="T62" s="24">
        <f t="shared" si="112"/>
        <v>51.428571428571431</v>
      </c>
      <c r="U62" s="24">
        <f t="shared" si="112"/>
        <v>51.428571428571431</v>
      </c>
      <c r="V62" s="24">
        <f t="shared" si="112"/>
        <v>51.428571428571431</v>
      </c>
      <c r="W62" s="24">
        <f t="shared" si="112"/>
        <v>51.428571428571431</v>
      </c>
      <c r="X62" s="24">
        <f t="shared" si="112"/>
        <v>51.428571428571431</v>
      </c>
      <c r="Y62" s="24">
        <f t="shared" si="112"/>
        <v>51.428571428571431</v>
      </c>
      <c r="Z62" s="24">
        <f t="shared" si="112"/>
        <v>97.959183673469383</v>
      </c>
      <c r="AA62" s="24">
        <f t="shared" si="112"/>
        <v>97.959183673469383</v>
      </c>
      <c r="AB62" s="24">
        <f t="shared" si="112"/>
        <v>97.959183673469383</v>
      </c>
      <c r="AC62" s="24">
        <f t="shared" si="112"/>
        <v>97.959183673469383</v>
      </c>
      <c r="AD62" s="24">
        <f t="shared" si="112"/>
        <v>97.959183673469383</v>
      </c>
      <c r="AE62" s="24">
        <f t="shared" si="112"/>
        <v>97.959183673469383</v>
      </c>
      <c r="AF62" s="24">
        <f t="shared" si="112"/>
        <v>97.959183673469383</v>
      </c>
      <c r="AG62" s="24">
        <f t="shared" si="112"/>
        <v>97.959183673469383</v>
      </c>
      <c r="AH62" s="24">
        <f t="shared" si="112"/>
        <v>97.959183673469383</v>
      </c>
      <c r="AI62" s="24">
        <f t="shared" si="112"/>
        <v>97.959183673469383</v>
      </c>
      <c r="AJ62" s="24">
        <f t="shared" si="112"/>
        <v>97.959183673469383</v>
      </c>
      <c r="AK62" s="24">
        <f t="shared" si="112"/>
        <v>97.959183673469383</v>
      </c>
      <c r="AL62" s="24">
        <f t="shared" ref="AL62:CG62" si="113">AL38</f>
        <v>233.23615160349851</v>
      </c>
      <c r="AM62" s="24">
        <f t="shared" si="113"/>
        <v>233.23615160349851</v>
      </c>
      <c r="AN62" s="24">
        <f t="shared" si="113"/>
        <v>233.23615160349851</v>
      </c>
      <c r="AO62" s="24">
        <f t="shared" si="113"/>
        <v>233.23615160349851</v>
      </c>
      <c r="AP62" s="24">
        <f t="shared" si="113"/>
        <v>233.23615160349851</v>
      </c>
      <c r="AQ62" s="24">
        <f t="shared" si="113"/>
        <v>233.23615160349851</v>
      </c>
      <c r="AR62" s="24">
        <f t="shared" si="113"/>
        <v>233.23615160349851</v>
      </c>
      <c r="AS62" s="24">
        <f t="shared" si="113"/>
        <v>233.23615160349851</v>
      </c>
      <c r="AT62" s="24">
        <f t="shared" si="113"/>
        <v>233.23615160349851</v>
      </c>
      <c r="AU62" s="24">
        <f t="shared" si="113"/>
        <v>233.23615160349851</v>
      </c>
      <c r="AV62" s="24">
        <f t="shared" si="113"/>
        <v>233.23615160349851</v>
      </c>
      <c r="AW62" s="24">
        <f t="shared" si="113"/>
        <v>233.23615160349851</v>
      </c>
      <c r="AX62" s="24">
        <f t="shared" si="113"/>
        <v>533.11120366513933</v>
      </c>
      <c r="AY62" s="24">
        <f t="shared" si="113"/>
        <v>533.11120366513933</v>
      </c>
      <c r="AZ62" s="24">
        <f t="shared" si="113"/>
        <v>533.11120366513933</v>
      </c>
      <c r="BA62" s="24">
        <f t="shared" si="113"/>
        <v>533.11120366513933</v>
      </c>
      <c r="BB62" s="24">
        <f t="shared" si="113"/>
        <v>533.11120366513933</v>
      </c>
      <c r="BC62" s="24">
        <f t="shared" si="113"/>
        <v>533.11120366513933</v>
      </c>
      <c r="BD62" s="24">
        <f t="shared" si="113"/>
        <v>533.11120366513933</v>
      </c>
      <c r="BE62" s="24">
        <f t="shared" si="113"/>
        <v>533.11120366513933</v>
      </c>
      <c r="BF62" s="24">
        <f t="shared" si="113"/>
        <v>533.11120366513933</v>
      </c>
      <c r="BG62" s="24">
        <f t="shared" si="113"/>
        <v>533.11120366513933</v>
      </c>
      <c r="BH62" s="24">
        <f t="shared" si="113"/>
        <v>533.11120366513933</v>
      </c>
      <c r="BI62" s="24">
        <f t="shared" si="113"/>
        <v>533.11120366513933</v>
      </c>
      <c r="BJ62" s="24">
        <f t="shared" si="113"/>
        <v>1100.0707377217163</v>
      </c>
      <c r="BK62" s="24">
        <f t="shared" si="113"/>
        <v>1100.0707377217163</v>
      </c>
      <c r="BL62" s="24">
        <f t="shared" si="113"/>
        <v>1100.0707377217163</v>
      </c>
      <c r="BM62" s="24">
        <f t="shared" si="113"/>
        <v>1100.0707377217163</v>
      </c>
      <c r="BN62" s="24">
        <f t="shared" si="113"/>
        <v>1100.0707377217163</v>
      </c>
      <c r="BO62" s="24">
        <f t="shared" si="113"/>
        <v>1100.0707377217163</v>
      </c>
      <c r="BP62" s="24">
        <f t="shared" si="113"/>
        <v>1100.0707377217163</v>
      </c>
      <c r="BQ62" s="24">
        <f t="shared" si="113"/>
        <v>1100.0707377217163</v>
      </c>
      <c r="BR62" s="24">
        <f t="shared" si="113"/>
        <v>1100.0707377217163</v>
      </c>
      <c r="BS62" s="24">
        <f t="shared" si="113"/>
        <v>1100.0707377217163</v>
      </c>
      <c r="BT62" s="24">
        <f t="shared" si="113"/>
        <v>1100.0707377217163</v>
      </c>
      <c r="BU62" s="24">
        <f t="shared" si="113"/>
        <v>1100.0707377217163</v>
      </c>
      <c r="BV62" s="24">
        <f t="shared" si="113"/>
        <v>2256.5553594291619</v>
      </c>
      <c r="BW62" s="24">
        <f t="shared" si="113"/>
        <v>2256.5553594291619</v>
      </c>
      <c r="BX62" s="24">
        <f t="shared" si="113"/>
        <v>2256.5553594291619</v>
      </c>
      <c r="BY62" s="24">
        <f t="shared" si="113"/>
        <v>2256.5553594291619</v>
      </c>
      <c r="BZ62" s="24">
        <f t="shared" si="113"/>
        <v>2256.5553594291619</v>
      </c>
      <c r="CA62" s="24">
        <f t="shared" si="113"/>
        <v>2256.5553594291619</v>
      </c>
      <c r="CB62" s="24">
        <f t="shared" si="113"/>
        <v>2256.5553594291619</v>
      </c>
      <c r="CC62" s="24">
        <f t="shared" si="113"/>
        <v>2256.5553594291619</v>
      </c>
      <c r="CD62" s="24">
        <f t="shared" si="113"/>
        <v>2256.5553594291619</v>
      </c>
      <c r="CE62" s="24">
        <f t="shared" si="113"/>
        <v>2256.5553594291619</v>
      </c>
      <c r="CF62" s="24">
        <f t="shared" si="113"/>
        <v>2256.5553594291619</v>
      </c>
      <c r="CG62" s="24">
        <f t="shared" si="113"/>
        <v>2256.5553594291619</v>
      </c>
    </row>
    <row r="63" spans="4:85" outlineLevel="1">
      <c r="E63" s="44" t="s">
        <v>107</v>
      </c>
      <c r="F63" s="29" t="s">
        <v>108</v>
      </c>
      <c r="G63" s="63">
        <v>0.6</v>
      </c>
      <c r="H63" s="63">
        <v>0.5</v>
      </c>
      <c r="I63" s="63">
        <v>0.4</v>
      </c>
      <c r="J63" s="63">
        <v>0.4</v>
      </c>
      <c r="K63" s="63">
        <v>0.4</v>
      </c>
      <c r="L63" s="63">
        <v>0.4</v>
      </c>
      <c r="N63" s="111" cm="1">
        <f t="array" ref="N63">INDEX($G63:$L63,,N$11)*N62</f>
        <v>0</v>
      </c>
      <c r="O63" s="111" cm="1">
        <f t="array" ref="O63">INDEX($G63:$L63,,O$11)*O62</f>
        <v>0</v>
      </c>
      <c r="P63" s="111" cm="1">
        <f t="array" ref="P63">INDEX($G63:$L63,,P$11)*P62</f>
        <v>0</v>
      </c>
      <c r="Q63" s="111" cm="1">
        <f t="array" ref="Q63">INDEX($G63:$L63,,Q$11)*Q62</f>
        <v>0</v>
      </c>
      <c r="R63" s="111" cm="1">
        <f t="array" ref="R63">INDEX($G63:$L63,,R$11)*R62</f>
        <v>0</v>
      </c>
      <c r="S63" s="111" cm="1">
        <f t="array" ref="S63">INDEX($G63:$L63,,S$11)*S62</f>
        <v>30.857142857142858</v>
      </c>
      <c r="T63" s="111" cm="1">
        <f t="array" ref="T63">INDEX($G63:$L63,,T$11)*T62</f>
        <v>30.857142857142858</v>
      </c>
      <c r="U63" s="111" cm="1">
        <f t="array" ref="U63">INDEX($G63:$L63,,U$11)*U62</f>
        <v>30.857142857142858</v>
      </c>
      <c r="V63" s="111" cm="1">
        <f t="array" ref="V63">INDEX($G63:$L63,,V$11)*V62</f>
        <v>30.857142857142858</v>
      </c>
      <c r="W63" s="111" cm="1">
        <f t="array" ref="W63">INDEX($G63:$L63,,W$11)*W62</f>
        <v>30.857142857142858</v>
      </c>
      <c r="X63" s="111" cm="1">
        <f t="array" ref="X63">INDEX($G63:$L63,,X$11)*X62</f>
        <v>30.857142857142858</v>
      </c>
      <c r="Y63" s="111" cm="1">
        <f t="array" ref="Y63">INDEX($G63:$L63,,Y$11)*Y62</f>
        <v>30.857142857142858</v>
      </c>
      <c r="Z63" s="111" cm="1">
        <f t="array" ref="Z63">INDEX($G63:$L63,,Z$11)*Z62</f>
        <v>48.979591836734691</v>
      </c>
      <c r="AA63" s="111" cm="1">
        <f t="array" ref="AA63">INDEX($G63:$L63,,AA$11)*AA62</f>
        <v>48.979591836734691</v>
      </c>
      <c r="AB63" s="111" cm="1">
        <f t="array" ref="AB63">INDEX($G63:$L63,,AB$11)*AB62</f>
        <v>48.979591836734691</v>
      </c>
      <c r="AC63" s="111" cm="1">
        <f t="array" ref="AC63">INDEX($G63:$L63,,AC$11)*AC62</f>
        <v>48.979591836734691</v>
      </c>
      <c r="AD63" s="111" cm="1">
        <f t="array" ref="AD63">INDEX($G63:$L63,,AD$11)*AD62</f>
        <v>48.979591836734691</v>
      </c>
      <c r="AE63" s="111" cm="1">
        <f t="array" ref="AE63">INDEX($G63:$L63,,AE$11)*AE62</f>
        <v>48.979591836734691</v>
      </c>
      <c r="AF63" s="111" cm="1">
        <f t="array" ref="AF63">INDEX($G63:$L63,,AF$11)*AF62</f>
        <v>48.979591836734691</v>
      </c>
      <c r="AG63" s="111" cm="1">
        <f t="array" ref="AG63">INDEX($G63:$L63,,AG$11)*AG62</f>
        <v>48.979591836734691</v>
      </c>
      <c r="AH63" s="111" cm="1">
        <f t="array" ref="AH63">INDEX($G63:$L63,,AH$11)*AH62</f>
        <v>48.979591836734691</v>
      </c>
      <c r="AI63" s="111" cm="1">
        <f t="array" ref="AI63">INDEX($G63:$L63,,AI$11)*AI62</f>
        <v>48.979591836734691</v>
      </c>
      <c r="AJ63" s="111" cm="1">
        <f t="array" ref="AJ63">INDEX($G63:$L63,,AJ$11)*AJ62</f>
        <v>48.979591836734691</v>
      </c>
      <c r="AK63" s="111" cm="1">
        <f t="array" ref="AK63">INDEX($G63:$L63,,AK$11)*AK62</f>
        <v>48.979591836734691</v>
      </c>
      <c r="AL63" s="111" cm="1">
        <f t="array" ref="AL63">INDEX($G63:$L63,,AL$11)*AL62</f>
        <v>93.294460641399411</v>
      </c>
      <c r="AM63" s="111" cm="1">
        <f t="array" ref="AM63">INDEX($G63:$L63,,AM$11)*AM62</f>
        <v>93.294460641399411</v>
      </c>
      <c r="AN63" s="111" cm="1">
        <f t="array" ref="AN63">INDEX($G63:$L63,,AN$11)*AN62</f>
        <v>93.294460641399411</v>
      </c>
      <c r="AO63" s="111" cm="1">
        <f t="array" ref="AO63">INDEX($G63:$L63,,AO$11)*AO62</f>
        <v>93.294460641399411</v>
      </c>
      <c r="AP63" s="111" cm="1">
        <f t="array" ref="AP63">INDEX($G63:$L63,,AP$11)*AP62</f>
        <v>93.294460641399411</v>
      </c>
      <c r="AQ63" s="111" cm="1">
        <f t="array" ref="AQ63">INDEX($G63:$L63,,AQ$11)*AQ62</f>
        <v>93.294460641399411</v>
      </c>
      <c r="AR63" s="111" cm="1">
        <f t="array" ref="AR63">INDEX($G63:$L63,,AR$11)*AR62</f>
        <v>93.294460641399411</v>
      </c>
      <c r="AS63" s="111" cm="1">
        <f t="array" ref="AS63">INDEX($G63:$L63,,AS$11)*AS62</f>
        <v>93.294460641399411</v>
      </c>
      <c r="AT63" s="111" cm="1">
        <f t="array" ref="AT63">INDEX($G63:$L63,,AT$11)*AT62</f>
        <v>93.294460641399411</v>
      </c>
      <c r="AU63" s="111" cm="1">
        <f t="array" ref="AU63">INDEX($G63:$L63,,AU$11)*AU62</f>
        <v>93.294460641399411</v>
      </c>
      <c r="AV63" s="111" cm="1">
        <f t="array" ref="AV63">INDEX($G63:$L63,,AV$11)*AV62</f>
        <v>93.294460641399411</v>
      </c>
      <c r="AW63" s="111" cm="1">
        <f t="array" ref="AW63">INDEX($G63:$L63,,AW$11)*AW62</f>
        <v>93.294460641399411</v>
      </c>
      <c r="AX63" s="111" cm="1">
        <f t="array" ref="AX63">INDEX($G63:$L63,,AX$11)*AX62</f>
        <v>213.24448146605573</v>
      </c>
      <c r="AY63" s="111" cm="1">
        <f t="array" ref="AY63">INDEX($G63:$L63,,AY$11)*AY62</f>
        <v>213.24448146605573</v>
      </c>
      <c r="AZ63" s="111" cm="1">
        <f t="array" ref="AZ63">INDEX($G63:$L63,,AZ$11)*AZ62</f>
        <v>213.24448146605573</v>
      </c>
      <c r="BA63" s="111" cm="1">
        <f t="array" ref="BA63">INDEX($G63:$L63,,BA$11)*BA62</f>
        <v>213.24448146605573</v>
      </c>
      <c r="BB63" s="111" cm="1">
        <f t="array" ref="BB63">INDEX($G63:$L63,,BB$11)*BB62</f>
        <v>213.24448146605573</v>
      </c>
      <c r="BC63" s="111" cm="1">
        <f t="array" ref="BC63">INDEX($G63:$L63,,BC$11)*BC62</f>
        <v>213.24448146605573</v>
      </c>
      <c r="BD63" s="111" cm="1">
        <f t="array" ref="BD63">INDEX($G63:$L63,,BD$11)*BD62</f>
        <v>213.24448146605573</v>
      </c>
      <c r="BE63" s="111" cm="1">
        <f t="array" ref="BE63">INDEX($G63:$L63,,BE$11)*BE62</f>
        <v>213.24448146605573</v>
      </c>
      <c r="BF63" s="111" cm="1">
        <f t="array" ref="BF63">INDEX($G63:$L63,,BF$11)*BF62</f>
        <v>213.24448146605573</v>
      </c>
      <c r="BG63" s="111" cm="1">
        <f t="array" ref="BG63">INDEX($G63:$L63,,BG$11)*BG62</f>
        <v>213.24448146605573</v>
      </c>
      <c r="BH63" s="111" cm="1">
        <f t="array" ref="BH63">INDEX($G63:$L63,,BH$11)*BH62</f>
        <v>213.24448146605573</v>
      </c>
      <c r="BI63" s="111" cm="1">
        <f t="array" ref="BI63">INDEX($G63:$L63,,BI$11)*BI62</f>
        <v>213.24448146605573</v>
      </c>
      <c r="BJ63" s="111" cm="1">
        <f t="array" ref="BJ63">INDEX($G63:$L63,,BJ$11)*BJ62</f>
        <v>440.02829508868655</v>
      </c>
      <c r="BK63" s="111" cm="1">
        <f t="array" ref="BK63">INDEX($G63:$L63,,BK$11)*BK62</f>
        <v>440.02829508868655</v>
      </c>
      <c r="BL63" s="111" cm="1">
        <f t="array" ref="BL63">INDEX($G63:$L63,,BL$11)*BL62</f>
        <v>440.02829508868655</v>
      </c>
      <c r="BM63" s="111" cm="1">
        <f t="array" ref="BM63">INDEX($G63:$L63,,BM$11)*BM62</f>
        <v>440.02829508868655</v>
      </c>
      <c r="BN63" s="111" cm="1">
        <f t="array" ref="BN63">INDEX($G63:$L63,,BN$11)*BN62</f>
        <v>440.02829508868655</v>
      </c>
      <c r="BO63" s="111" cm="1">
        <f t="array" ref="BO63">INDEX($G63:$L63,,BO$11)*BO62</f>
        <v>440.02829508868655</v>
      </c>
      <c r="BP63" s="111" cm="1">
        <f t="array" ref="BP63">INDEX($G63:$L63,,BP$11)*BP62</f>
        <v>440.02829508868655</v>
      </c>
      <c r="BQ63" s="111" cm="1">
        <f t="array" ref="BQ63">INDEX($G63:$L63,,BQ$11)*BQ62</f>
        <v>440.02829508868655</v>
      </c>
      <c r="BR63" s="111" cm="1">
        <f t="array" ref="BR63">INDEX($G63:$L63,,BR$11)*BR62</f>
        <v>440.02829508868655</v>
      </c>
      <c r="BS63" s="111" cm="1">
        <f t="array" ref="BS63">INDEX($G63:$L63,,BS$11)*BS62</f>
        <v>440.02829508868655</v>
      </c>
      <c r="BT63" s="111" cm="1">
        <f t="array" ref="BT63">INDEX($G63:$L63,,BT$11)*BT62</f>
        <v>440.02829508868655</v>
      </c>
      <c r="BU63" s="111" cm="1">
        <f t="array" ref="BU63">INDEX($G63:$L63,,BU$11)*BU62</f>
        <v>440.02829508868655</v>
      </c>
      <c r="BV63" s="111" cm="1">
        <f t="array" ref="BV63">INDEX($G63:$L63,,BV$11)*BV62</f>
        <v>902.62214377166481</v>
      </c>
      <c r="BW63" s="111" cm="1">
        <f t="array" ref="BW63">INDEX($G63:$L63,,BW$11)*BW62</f>
        <v>902.62214377166481</v>
      </c>
      <c r="BX63" s="111" cm="1">
        <f t="array" ref="BX63">INDEX($G63:$L63,,BX$11)*BX62</f>
        <v>902.62214377166481</v>
      </c>
      <c r="BY63" s="111" cm="1">
        <f t="array" ref="BY63">INDEX($G63:$L63,,BY$11)*BY62</f>
        <v>902.62214377166481</v>
      </c>
      <c r="BZ63" s="111" cm="1">
        <f t="array" ref="BZ63">INDEX($G63:$L63,,BZ$11)*BZ62</f>
        <v>902.62214377166481</v>
      </c>
      <c r="CA63" s="111" cm="1">
        <f t="array" ref="CA63">INDEX($G63:$L63,,CA$11)*CA62</f>
        <v>902.62214377166481</v>
      </c>
      <c r="CB63" s="111" cm="1">
        <f t="array" ref="CB63">INDEX($G63:$L63,,CB$11)*CB62</f>
        <v>902.62214377166481</v>
      </c>
      <c r="CC63" s="111" cm="1">
        <f t="array" ref="CC63">INDEX($G63:$L63,,CC$11)*CC62</f>
        <v>902.62214377166481</v>
      </c>
      <c r="CD63" s="111" cm="1">
        <f t="array" ref="CD63">INDEX($G63:$L63,,CD$11)*CD62</f>
        <v>902.62214377166481</v>
      </c>
      <c r="CE63" s="111" cm="1">
        <f t="array" ref="CE63">INDEX($G63:$L63,,CE$11)*CE62</f>
        <v>902.62214377166481</v>
      </c>
      <c r="CF63" s="111" cm="1">
        <f t="array" ref="CF63">INDEX($G63:$L63,,CF$11)*CF62</f>
        <v>902.62214377166481</v>
      </c>
      <c r="CG63" s="111" cm="1">
        <f t="array" ref="CG63">INDEX($G63:$L63,,CG$11)*CG62</f>
        <v>902.62214377166481</v>
      </c>
    </row>
    <row r="64" spans="4:85" outlineLevel="1">
      <c r="E64" s="44" t="s">
        <v>109</v>
      </c>
      <c r="F64" s="29" t="s">
        <v>110</v>
      </c>
      <c r="H64" s="108"/>
      <c r="I64" s="42"/>
      <c r="J64" s="24"/>
      <c r="K64" s="24"/>
      <c r="L64" s="24"/>
      <c r="N64" s="111">
        <f>ROUNDUP((N62-N63),0)</f>
        <v>0</v>
      </c>
      <c r="O64" s="111">
        <f t="shared" ref="O64:AK64" si="114">ROUNDUP((N64+(O62-O63)),0)</f>
        <v>0</v>
      </c>
      <c r="P64" s="111">
        <f t="shared" si="114"/>
        <v>0</v>
      </c>
      <c r="Q64" s="111">
        <f t="shared" si="114"/>
        <v>0</v>
      </c>
      <c r="R64" s="111">
        <f t="shared" si="114"/>
        <v>0</v>
      </c>
      <c r="S64" s="111">
        <f t="shared" si="114"/>
        <v>21</v>
      </c>
      <c r="T64" s="111">
        <f t="shared" si="114"/>
        <v>42</v>
      </c>
      <c r="U64" s="111">
        <f t="shared" si="114"/>
        <v>63</v>
      </c>
      <c r="V64" s="111">
        <f t="shared" si="114"/>
        <v>84</v>
      </c>
      <c r="W64" s="111">
        <f t="shared" si="114"/>
        <v>105</v>
      </c>
      <c r="X64" s="111">
        <f t="shared" si="114"/>
        <v>126</v>
      </c>
      <c r="Y64" s="111">
        <f t="shared" si="114"/>
        <v>147</v>
      </c>
      <c r="Z64" s="111">
        <f t="shared" si="114"/>
        <v>196</v>
      </c>
      <c r="AA64" s="111">
        <f t="shared" si="114"/>
        <v>245</v>
      </c>
      <c r="AB64" s="111">
        <f t="shared" si="114"/>
        <v>294</v>
      </c>
      <c r="AC64" s="111">
        <f t="shared" si="114"/>
        <v>343</v>
      </c>
      <c r="AD64" s="111">
        <f t="shared" si="114"/>
        <v>392</v>
      </c>
      <c r="AE64" s="111">
        <f t="shared" si="114"/>
        <v>441</v>
      </c>
      <c r="AF64" s="111">
        <f t="shared" si="114"/>
        <v>490</v>
      </c>
      <c r="AG64" s="111">
        <f t="shared" si="114"/>
        <v>539</v>
      </c>
      <c r="AH64" s="111">
        <f t="shared" si="114"/>
        <v>588</v>
      </c>
      <c r="AI64" s="111">
        <f t="shared" si="114"/>
        <v>637</v>
      </c>
      <c r="AJ64" s="111">
        <f t="shared" si="114"/>
        <v>686</v>
      </c>
      <c r="AK64" s="111">
        <f t="shared" si="114"/>
        <v>735</v>
      </c>
      <c r="AL64" s="111">
        <f t="shared" ref="AL64" si="115">ROUNDUP((AK64+(AL62-AL63)),0)</f>
        <v>875</v>
      </c>
      <c r="AM64" s="111">
        <f t="shared" ref="AM64" si="116">ROUNDUP((AL64+(AM62-AM63)),0)</f>
        <v>1015</v>
      </c>
      <c r="AN64" s="111">
        <f t="shared" ref="AN64" si="117">ROUNDUP((AM64+(AN62-AN63)),0)</f>
        <v>1155</v>
      </c>
      <c r="AO64" s="111">
        <f t="shared" ref="AO64" si="118">ROUNDUP((AN64+(AO62-AO63)),0)</f>
        <v>1295</v>
      </c>
      <c r="AP64" s="111">
        <f t="shared" ref="AP64" si="119">ROUNDUP((AO64+(AP62-AP63)),0)</f>
        <v>1435</v>
      </c>
      <c r="AQ64" s="111">
        <f t="shared" ref="AQ64" si="120">ROUNDUP((AP64+(AQ62-AQ63)),0)</f>
        <v>1575</v>
      </c>
      <c r="AR64" s="111">
        <f t="shared" ref="AR64" si="121">ROUNDUP((AQ64+(AR62-AR63)),0)</f>
        <v>1715</v>
      </c>
      <c r="AS64" s="111">
        <f t="shared" ref="AS64" si="122">ROUNDUP((AR64+(AS62-AS63)),0)</f>
        <v>1855</v>
      </c>
      <c r="AT64" s="111">
        <f t="shared" ref="AT64" si="123">ROUNDUP((AS64+(AT62-AT63)),0)</f>
        <v>1995</v>
      </c>
      <c r="AU64" s="111">
        <f t="shared" ref="AU64" si="124">ROUNDUP((AT64+(AU62-AU63)),0)</f>
        <v>2135</v>
      </c>
      <c r="AV64" s="111">
        <f t="shared" ref="AV64" si="125">ROUNDUP((AU64+(AV62-AV63)),0)</f>
        <v>2275</v>
      </c>
      <c r="AW64" s="111">
        <f t="shared" ref="AW64" si="126">ROUNDUP((AV64+(AW62-AW63)),0)</f>
        <v>2415</v>
      </c>
      <c r="AX64" s="111">
        <f t="shared" ref="AX64" si="127">ROUNDUP((AW64+(AX62-AX63)),0)</f>
        <v>2735</v>
      </c>
      <c r="AY64" s="111">
        <f t="shared" ref="AY64" si="128">ROUNDUP((AX64+(AY62-AY63)),0)</f>
        <v>3055</v>
      </c>
      <c r="AZ64" s="111">
        <f t="shared" ref="AZ64" si="129">ROUNDUP((AY64+(AZ62-AZ63)),0)</f>
        <v>3375</v>
      </c>
      <c r="BA64" s="111">
        <f t="shared" ref="BA64" si="130">ROUNDUP((AZ64+(BA62-BA63)),0)</f>
        <v>3695</v>
      </c>
      <c r="BB64" s="111">
        <f t="shared" ref="BB64" si="131">ROUNDUP((BA64+(BB62-BB63)),0)</f>
        <v>4015</v>
      </c>
      <c r="BC64" s="111">
        <f t="shared" ref="BC64" si="132">ROUNDUP((BB64+(BC62-BC63)),0)</f>
        <v>4335</v>
      </c>
      <c r="BD64" s="111">
        <f t="shared" ref="BD64" si="133">ROUNDUP((BC64+(BD62-BD63)),0)</f>
        <v>4655</v>
      </c>
      <c r="BE64" s="111">
        <f t="shared" ref="BE64" si="134">ROUNDUP((BD64+(BE62-BE63)),0)</f>
        <v>4975</v>
      </c>
      <c r="BF64" s="111">
        <f t="shared" ref="BF64" si="135">ROUNDUP((BE64+(BF62-BF63)),0)</f>
        <v>5295</v>
      </c>
      <c r="BG64" s="111">
        <f t="shared" ref="BG64" si="136">ROUNDUP((BF64+(BG62-BG63)),0)</f>
        <v>5615</v>
      </c>
      <c r="BH64" s="111">
        <f t="shared" ref="BH64" si="137">ROUNDUP((BG64+(BH62-BH63)),0)</f>
        <v>5935</v>
      </c>
      <c r="BI64" s="111">
        <f t="shared" ref="BI64" si="138">ROUNDUP((BH64+(BI62-BI63)),0)</f>
        <v>6255</v>
      </c>
      <c r="BJ64" s="111">
        <f t="shared" ref="BJ64" si="139">ROUNDUP((BI64+(BJ62-BJ63)),0)</f>
        <v>6916</v>
      </c>
      <c r="BK64" s="111">
        <f t="shared" ref="BK64" si="140">ROUNDUP((BJ64+(BK62-BK63)),0)</f>
        <v>7577</v>
      </c>
      <c r="BL64" s="111">
        <f t="shared" ref="BL64" si="141">ROUNDUP((BK64+(BL62-BL63)),0)</f>
        <v>8238</v>
      </c>
      <c r="BM64" s="111">
        <f t="shared" ref="BM64" si="142">ROUNDUP((BL64+(BM62-BM63)),0)</f>
        <v>8899</v>
      </c>
      <c r="BN64" s="111">
        <f t="shared" ref="BN64" si="143">ROUNDUP((BM64+(BN62-BN63)),0)</f>
        <v>9560</v>
      </c>
      <c r="BO64" s="111">
        <f t="shared" ref="BO64" si="144">ROUNDUP((BN64+(BO62-BO63)),0)</f>
        <v>10221</v>
      </c>
      <c r="BP64" s="111">
        <f t="shared" ref="BP64" si="145">ROUNDUP((BO64+(BP62-BP63)),0)</f>
        <v>10882</v>
      </c>
      <c r="BQ64" s="111">
        <f t="shared" ref="BQ64" si="146">ROUNDUP((BP64+(BQ62-BQ63)),0)</f>
        <v>11543</v>
      </c>
      <c r="BR64" s="111">
        <f t="shared" ref="BR64" si="147">ROUNDUP((BQ64+(BR62-BR63)),0)</f>
        <v>12204</v>
      </c>
      <c r="BS64" s="111">
        <f t="shared" ref="BS64" si="148">ROUNDUP((BR64+(BS62-BS63)),0)</f>
        <v>12865</v>
      </c>
      <c r="BT64" s="111">
        <f t="shared" ref="BT64" si="149">ROUNDUP((BS64+(BT62-BT63)),0)</f>
        <v>13526</v>
      </c>
      <c r="BU64" s="111">
        <f t="shared" ref="BU64" si="150">ROUNDUP((BT64+(BU62-BU63)),0)</f>
        <v>14187</v>
      </c>
      <c r="BV64" s="111">
        <f t="shared" ref="BV64" si="151">ROUNDUP((BU64+(BV62-BV63)),0)</f>
        <v>15541</v>
      </c>
      <c r="BW64" s="111">
        <f t="shared" ref="BW64" si="152">ROUNDUP((BV64+(BW62-BW63)),0)</f>
        <v>16895</v>
      </c>
      <c r="BX64" s="111">
        <f t="shared" ref="BX64" si="153">ROUNDUP((BW64+(BX62-BX63)),0)</f>
        <v>18249</v>
      </c>
      <c r="BY64" s="111">
        <f t="shared" ref="BY64" si="154">ROUNDUP((BX64+(BY62-BY63)),0)</f>
        <v>19603</v>
      </c>
      <c r="BZ64" s="111">
        <f t="shared" ref="BZ64" si="155">ROUNDUP((BY64+(BZ62-BZ63)),0)</f>
        <v>20957</v>
      </c>
      <c r="CA64" s="111">
        <f t="shared" ref="CA64" si="156">ROUNDUP((BZ64+(CA62-CA63)),0)</f>
        <v>22311</v>
      </c>
      <c r="CB64" s="111">
        <f t="shared" ref="CB64" si="157">ROUNDUP((CA64+(CB62-CB63)),0)</f>
        <v>23665</v>
      </c>
      <c r="CC64" s="111">
        <f t="shared" ref="CC64" si="158">ROUNDUP((CB64+(CC62-CC63)),0)</f>
        <v>25019</v>
      </c>
      <c r="CD64" s="111">
        <f t="shared" ref="CD64" si="159">ROUNDUP((CC64+(CD62-CD63)),0)</f>
        <v>26373</v>
      </c>
      <c r="CE64" s="111">
        <f t="shared" ref="CE64" si="160">ROUNDUP((CD64+(CE62-CE63)),0)</f>
        <v>27727</v>
      </c>
      <c r="CF64" s="111">
        <f t="shared" ref="CF64" si="161">ROUNDUP((CE64+(CF62-CF63)),0)</f>
        <v>29081</v>
      </c>
      <c r="CG64" s="111">
        <f t="shared" ref="CG64" si="162">ROUNDUP((CF64+(CG62-CG63)),0)</f>
        <v>30435</v>
      </c>
    </row>
    <row r="65" spans="1:85" outlineLevel="1">
      <c r="E65" s="44" t="s">
        <v>256</v>
      </c>
      <c r="F65" s="29" t="s">
        <v>111</v>
      </c>
      <c r="G65" s="107">
        <v>0.05</v>
      </c>
      <c r="H65" s="42"/>
      <c r="J65" s="24"/>
      <c r="K65" s="24"/>
      <c r="L65" s="24"/>
      <c r="N65" s="92">
        <f t="shared" ref="N65:AK65" si="163">$G$65*N64</f>
        <v>0</v>
      </c>
      <c r="O65" s="92">
        <f t="shared" si="163"/>
        <v>0</v>
      </c>
      <c r="P65" s="92">
        <f t="shared" si="163"/>
        <v>0</v>
      </c>
      <c r="Q65" s="92">
        <f t="shared" si="163"/>
        <v>0</v>
      </c>
      <c r="R65" s="92">
        <f t="shared" si="163"/>
        <v>0</v>
      </c>
      <c r="S65" s="92">
        <f t="shared" si="163"/>
        <v>1.05</v>
      </c>
      <c r="T65" s="92">
        <f t="shared" si="163"/>
        <v>2.1</v>
      </c>
      <c r="U65" s="92">
        <f t="shared" si="163"/>
        <v>3.1500000000000004</v>
      </c>
      <c r="V65" s="92">
        <f t="shared" si="163"/>
        <v>4.2</v>
      </c>
      <c r="W65" s="92">
        <f t="shared" si="163"/>
        <v>5.25</v>
      </c>
      <c r="X65" s="92">
        <f t="shared" si="163"/>
        <v>6.3000000000000007</v>
      </c>
      <c r="Y65" s="92">
        <f t="shared" si="163"/>
        <v>7.3500000000000005</v>
      </c>
      <c r="Z65" s="92">
        <f t="shared" si="163"/>
        <v>9.8000000000000007</v>
      </c>
      <c r="AA65" s="92">
        <f t="shared" si="163"/>
        <v>12.25</v>
      </c>
      <c r="AB65" s="92">
        <f t="shared" si="163"/>
        <v>14.700000000000001</v>
      </c>
      <c r="AC65" s="92">
        <f t="shared" si="163"/>
        <v>17.150000000000002</v>
      </c>
      <c r="AD65" s="92">
        <f t="shared" si="163"/>
        <v>19.600000000000001</v>
      </c>
      <c r="AE65" s="92">
        <f t="shared" si="163"/>
        <v>22.05</v>
      </c>
      <c r="AF65" s="92">
        <f t="shared" si="163"/>
        <v>24.5</v>
      </c>
      <c r="AG65" s="92">
        <f t="shared" si="163"/>
        <v>26.950000000000003</v>
      </c>
      <c r="AH65" s="92">
        <f t="shared" si="163"/>
        <v>29.400000000000002</v>
      </c>
      <c r="AI65" s="92">
        <f t="shared" si="163"/>
        <v>31.85</v>
      </c>
      <c r="AJ65" s="92">
        <f t="shared" si="163"/>
        <v>34.300000000000004</v>
      </c>
      <c r="AK65" s="92">
        <f t="shared" si="163"/>
        <v>36.75</v>
      </c>
      <c r="AL65" s="92">
        <f t="shared" ref="AL65" si="164">$G$65*AL64</f>
        <v>43.75</v>
      </c>
      <c r="AM65" s="92">
        <f t="shared" ref="AM65" si="165">$G$65*AM64</f>
        <v>50.75</v>
      </c>
      <c r="AN65" s="92">
        <f t="shared" ref="AN65" si="166">$G$65*AN64</f>
        <v>57.75</v>
      </c>
      <c r="AO65" s="92">
        <f t="shared" ref="AO65" si="167">$G$65*AO64</f>
        <v>64.75</v>
      </c>
      <c r="AP65" s="92">
        <f t="shared" ref="AP65" si="168">$G$65*AP64</f>
        <v>71.75</v>
      </c>
      <c r="AQ65" s="92">
        <f t="shared" ref="AQ65" si="169">$G$65*AQ64</f>
        <v>78.75</v>
      </c>
      <c r="AR65" s="92">
        <f t="shared" ref="AR65" si="170">$G$65*AR64</f>
        <v>85.75</v>
      </c>
      <c r="AS65" s="92">
        <f t="shared" ref="AS65" si="171">$G$65*AS64</f>
        <v>92.75</v>
      </c>
      <c r="AT65" s="92">
        <f t="shared" ref="AT65" si="172">$G$65*AT64</f>
        <v>99.75</v>
      </c>
      <c r="AU65" s="92">
        <f t="shared" ref="AU65" si="173">$G$65*AU64</f>
        <v>106.75</v>
      </c>
      <c r="AV65" s="92">
        <f t="shared" ref="AV65" si="174">$G$65*AV64</f>
        <v>113.75</v>
      </c>
      <c r="AW65" s="92">
        <f t="shared" ref="AW65" si="175">$G$65*AW64</f>
        <v>120.75</v>
      </c>
      <c r="AX65" s="92">
        <f t="shared" ref="AX65" si="176">$G$65*AX64</f>
        <v>136.75</v>
      </c>
      <c r="AY65" s="92">
        <f t="shared" ref="AY65" si="177">$G$65*AY64</f>
        <v>152.75</v>
      </c>
      <c r="AZ65" s="92">
        <f t="shared" ref="AZ65" si="178">$G$65*AZ64</f>
        <v>168.75</v>
      </c>
      <c r="BA65" s="92">
        <f t="shared" ref="BA65" si="179">$G$65*BA64</f>
        <v>184.75</v>
      </c>
      <c r="BB65" s="92">
        <f t="shared" ref="BB65" si="180">$G$65*BB64</f>
        <v>200.75</v>
      </c>
      <c r="BC65" s="92">
        <f t="shared" ref="BC65" si="181">$G$65*BC64</f>
        <v>216.75</v>
      </c>
      <c r="BD65" s="92">
        <f t="shared" ref="BD65" si="182">$G$65*BD64</f>
        <v>232.75</v>
      </c>
      <c r="BE65" s="92">
        <f t="shared" ref="BE65" si="183">$G$65*BE64</f>
        <v>248.75</v>
      </c>
      <c r="BF65" s="92">
        <f t="shared" ref="BF65" si="184">$G$65*BF64</f>
        <v>264.75</v>
      </c>
      <c r="BG65" s="92">
        <f t="shared" ref="BG65" si="185">$G$65*BG64</f>
        <v>280.75</v>
      </c>
      <c r="BH65" s="92">
        <f t="shared" ref="BH65" si="186">$G$65*BH64</f>
        <v>296.75</v>
      </c>
      <c r="BI65" s="92">
        <f t="shared" ref="BI65" si="187">$G$65*BI64</f>
        <v>312.75</v>
      </c>
      <c r="BJ65" s="92">
        <f t="shared" ref="BJ65" si="188">$G$65*BJ64</f>
        <v>345.8</v>
      </c>
      <c r="BK65" s="92">
        <f t="shared" ref="BK65" si="189">$G$65*BK64</f>
        <v>378.85</v>
      </c>
      <c r="BL65" s="92">
        <f t="shared" ref="BL65" si="190">$G$65*BL64</f>
        <v>411.90000000000003</v>
      </c>
      <c r="BM65" s="92">
        <f t="shared" ref="BM65" si="191">$G$65*BM64</f>
        <v>444.95000000000005</v>
      </c>
      <c r="BN65" s="92">
        <f t="shared" ref="BN65" si="192">$G$65*BN64</f>
        <v>478</v>
      </c>
      <c r="BO65" s="92">
        <f t="shared" ref="BO65" si="193">$G$65*BO64</f>
        <v>511.05</v>
      </c>
      <c r="BP65" s="92">
        <f t="shared" ref="BP65" si="194">$G$65*BP64</f>
        <v>544.1</v>
      </c>
      <c r="BQ65" s="92">
        <f t="shared" ref="BQ65" si="195">$G$65*BQ64</f>
        <v>577.15</v>
      </c>
      <c r="BR65" s="92">
        <f t="shared" ref="BR65" si="196">$G$65*BR64</f>
        <v>610.20000000000005</v>
      </c>
      <c r="BS65" s="92">
        <f t="shared" ref="BS65" si="197">$G$65*BS64</f>
        <v>643.25</v>
      </c>
      <c r="BT65" s="92">
        <f t="shared" ref="BT65" si="198">$G$65*BT64</f>
        <v>676.30000000000007</v>
      </c>
      <c r="BU65" s="92">
        <f t="shared" ref="BU65" si="199">$G$65*BU64</f>
        <v>709.35</v>
      </c>
      <c r="BV65" s="92">
        <f t="shared" ref="BV65" si="200">$G$65*BV64</f>
        <v>777.05000000000007</v>
      </c>
      <c r="BW65" s="92">
        <f t="shared" ref="BW65" si="201">$G$65*BW64</f>
        <v>844.75</v>
      </c>
      <c r="BX65" s="92">
        <f t="shared" ref="BX65" si="202">$G$65*BX64</f>
        <v>912.45</v>
      </c>
      <c r="BY65" s="92">
        <f t="shared" ref="BY65" si="203">$G$65*BY64</f>
        <v>980.15000000000009</v>
      </c>
      <c r="BZ65" s="92">
        <f t="shared" ref="BZ65" si="204">$G$65*BZ64</f>
        <v>1047.8500000000001</v>
      </c>
      <c r="CA65" s="92">
        <f t="shared" ref="CA65" si="205">$G$65*CA64</f>
        <v>1115.55</v>
      </c>
      <c r="CB65" s="92">
        <f t="shared" ref="CB65" si="206">$G$65*CB64</f>
        <v>1183.25</v>
      </c>
      <c r="CC65" s="92">
        <f t="shared" ref="CC65" si="207">$G$65*CC64</f>
        <v>1250.95</v>
      </c>
      <c r="CD65" s="92">
        <f t="shared" ref="CD65" si="208">$G$65*CD64</f>
        <v>1318.65</v>
      </c>
      <c r="CE65" s="92">
        <f t="shared" ref="CE65" si="209">$G$65*CE64</f>
        <v>1386.3500000000001</v>
      </c>
      <c r="CF65" s="92">
        <f t="shared" ref="CF65" si="210">$G$65*CF64</f>
        <v>1454.0500000000002</v>
      </c>
      <c r="CG65" s="92">
        <f t="shared" ref="CG65" si="211">$G$65*CG64</f>
        <v>1521.75</v>
      </c>
    </row>
    <row r="66" spans="1:85" outlineLevel="1">
      <c r="E66" s="44" t="s">
        <v>112</v>
      </c>
      <c r="F66" s="29" t="s">
        <v>113</v>
      </c>
      <c r="G66" s="107">
        <v>0.05</v>
      </c>
      <c r="H66" s="42"/>
      <c r="J66" s="24"/>
      <c r="K66" s="24"/>
      <c r="L66" s="24"/>
      <c r="N66" s="110">
        <f>25*3</f>
        <v>75</v>
      </c>
      <c r="O66" s="24">
        <f t="shared" ref="O66:AK66" si="212">ROUNDUP((1*(N66-$G$66)),0)</f>
        <v>75</v>
      </c>
      <c r="P66" s="24">
        <f t="shared" si="212"/>
        <v>75</v>
      </c>
      <c r="Q66" s="24">
        <f t="shared" si="212"/>
        <v>75</v>
      </c>
      <c r="R66" s="24">
        <f t="shared" si="212"/>
        <v>75</v>
      </c>
      <c r="S66" s="24">
        <f t="shared" si="212"/>
        <v>75</v>
      </c>
      <c r="T66" s="24">
        <f t="shared" si="212"/>
        <v>75</v>
      </c>
      <c r="U66" s="24">
        <f t="shared" si="212"/>
        <v>75</v>
      </c>
      <c r="V66" s="24">
        <f t="shared" si="212"/>
        <v>75</v>
      </c>
      <c r="W66" s="24">
        <f t="shared" si="212"/>
        <v>75</v>
      </c>
      <c r="X66" s="24">
        <f t="shared" si="212"/>
        <v>75</v>
      </c>
      <c r="Y66" s="24">
        <f t="shared" si="212"/>
        <v>75</v>
      </c>
      <c r="Z66" s="24">
        <f t="shared" si="212"/>
        <v>75</v>
      </c>
      <c r="AA66" s="24">
        <f t="shared" si="212"/>
        <v>75</v>
      </c>
      <c r="AB66" s="24">
        <f t="shared" si="212"/>
        <v>75</v>
      </c>
      <c r="AC66" s="24">
        <f t="shared" si="212"/>
        <v>75</v>
      </c>
      <c r="AD66" s="24">
        <f t="shared" si="212"/>
        <v>75</v>
      </c>
      <c r="AE66" s="24">
        <f t="shared" si="212"/>
        <v>75</v>
      </c>
      <c r="AF66" s="24">
        <f t="shared" si="212"/>
        <v>75</v>
      </c>
      <c r="AG66" s="24">
        <f t="shared" si="212"/>
        <v>75</v>
      </c>
      <c r="AH66" s="24">
        <f t="shared" si="212"/>
        <v>75</v>
      </c>
      <c r="AI66" s="24">
        <f t="shared" si="212"/>
        <v>75</v>
      </c>
      <c r="AJ66" s="24">
        <f t="shared" si="212"/>
        <v>75</v>
      </c>
      <c r="AK66" s="24">
        <f t="shared" si="212"/>
        <v>75</v>
      </c>
      <c r="AL66" s="24">
        <f t="shared" ref="AL66:CG66" si="213">ROUNDUP((1*(AK66-$G$66)),0)</f>
        <v>75</v>
      </c>
      <c r="AM66" s="24">
        <f t="shared" si="213"/>
        <v>75</v>
      </c>
      <c r="AN66" s="24">
        <f t="shared" si="213"/>
        <v>75</v>
      </c>
      <c r="AO66" s="24">
        <f t="shared" si="213"/>
        <v>75</v>
      </c>
      <c r="AP66" s="24">
        <f t="shared" si="213"/>
        <v>75</v>
      </c>
      <c r="AQ66" s="24">
        <f t="shared" si="213"/>
        <v>75</v>
      </c>
      <c r="AR66" s="24">
        <f t="shared" si="213"/>
        <v>75</v>
      </c>
      <c r="AS66" s="24">
        <f t="shared" si="213"/>
        <v>75</v>
      </c>
      <c r="AT66" s="24">
        <f t="shared" si="213"/>
        <v>75</v>
      </c>
      <c r="AU66" s="24">
        <f t="shared" si="213"/>
        <v>75</v>
      </c>
      <c r="AV66" s="24">
        <f t="shared" si="213"/>
        <v>75</v>
      </c>
      <c r="AW66" s="24">
        <f t="shared" si="213"/>
        <v>75</v>
      </c>
      <c r="AX66" s="24">
        <f t="shared" si="213"/>
        <v>75</v>
      </c>
      <c r="AY66" s="24">
        <f t="shared" si="213"/>
        <v>75</v>
      </c>
      <c r="AZ66" s="24">
        <f t="shared" si="213"/>
        <v>75</v>
      </c>
      <c r="BA66" s="24">
        <f t="shared" si="213"/>
        <v>75</v>
      </c>
      <c r="BB66" s="24">
        <f t="shared" si="213"/>
        <v>75</v>
      </c>
      <c r="BC66" s="24">
        <f t="shared" si="213"/>
        <v>75</v>
      </c>
      <c r="BD66" s="24">
        <f t="shared" si="213"/>
        <v>75</v>
      </c>
      <c r="BE66" s="24">
        <f t="shared" si="213"/>
        <v>75</v>
      </c>
      <c r="BF66" s="24">
        <f t="shared" si="213"/>
        <v>75</v>
      </c>
      <c r="BG66" s="24">
        <f t="shared" si="213"/>
        <v>75</v>
      </c>
      <c r="BH66" s="24">
        <f t="shared" si="213"/>
        <v>75</v>
      </c>
      <c r="BI66" s="24">
        <f t="shared" si="213"/>
        <v>75</v>
      </c>
      <c r="BJ66" s="24">
        <f t="shared" si="213"/>
        <v>75</v>
      </c>
      <c r="BK66" s="24">
        <f t="shared" si="213"/>
        <v>75</v>
      </c>
      <c r="BL66" s="24">
        <f t="shared" si="213"/>
        <v>75</v>
      </c>
      <c r="BM66" s="24">
        <f t="shared" si="213"/>
        <v>75</v>
      </c>
      <c r="BN66" s="24">
        <f t="shared" si="213"/>
        <v>75</v>
      </c>
      <c r="BO66" s="24">
        <f t="shared" si="213"/>
        <v>75</v>
      </c>
      <c r="BP66" s="24">
        <f t="shared" si="213"/>
        <v>75</v>
      </c>
      <c r="BQ66" s="24">
        <f t="shared" si="213"/>
        <v>75</v>
      </c>
      <c r="BR66" s="24">
        <f t="shared" si="213"/>
        <v>75</v>
      </c>
      <c r="BS66" s="24">
        <f t="shared" si="213"/>
        <v>75</v>
      </c>
      <c r="BT66" s="24">
        <f t="shared" si="213"/>
        <v>75</v>
      </c>
      <c r="BU66" s="24">
        <f t="shared" si="213"/>
        <v>75</v>
      </c>
      <c r="BV66" s="24">
        <f t="shared" si="213"/>
        <v>75</v>
      </c>
      <c r="BW66" s="24">
        <f t="shared" si="213"/>
        <v>75</v>
      </c>
      <c r="BX66" s="24">
        <f t="shared" si="213"/>
        <v>75</v>
      </c>
      <c r="BY66" s="24">
        <f t="shared" si="213"/>
        <v>75</v>
      </c>
      <c r="BZ66" s="24">
        <f t="shared" si="213"/>
        <v>75</v>
      </c>
      <c r="CA66" s="24">
        <f t="shared" si="213"/>
        <v>75</v>
      </c>
      <c r="CB66" s="24">
        <f t="shared" si="213"/>
        <v>75</v>
      </c>
      <c r="CC66" s="24">
        <f t="shared" si="213"/>
        <v>75</v>
      </c>
      <c r="CD66" s="24">
        <f t="shared" si="213"/>
        <v>75</v>
      </c>
      <c r="CE66" s="24">
        <f t="shared" si="213"/>
        <v>75</v>
      </c>
      <c r="CF66" s="24">
        <f t="shared" si="213"/>
        <v>75</v>
      </c>
      <c r="CG66" s="24">
        <f t="shared" si="213"/>
        <v>75</v>
      </c>
    </row>
    <row r="67" spans="1:85" outlineLevel="1">
      <c r="E67" s="44" t="s">
        <v>114</v>
      </c>
      <c r="F67" s="29" t="s">
        <v>115</v>
      </c>
      <c r="G67" s="47">
        <v>3</v>
      </c>
      <c r="H67" s="100" t="s">
        <v>116</v>
      </c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</row>
    <row r="68" spans="1:85" outlineLevel="1">
      <c r="E68" s="44" t="s">
        <v>117</v>
      </c>
      <c r="F68" s="29" t="s">
        <v>118</v>
      </c>
      <c r="H68" s="19"/>
      <c r="I68" s="42"/>
      <c r="J68" s="24"/>
      <c r="K68" s="24"/>
      <c r="L68" s="24"/>
      <c r="N68" s="23">
        <f t="shared" ref="N68:AK68" si="214">N66*$G$67</f>
        <v>225</v>
      </c>
      <c r="O68" s="23">
        <f t="shared" si="214"/>
        <v>225</v>
      </c>
      <c r="P68" s="23">
        <f t="shared" si="214"/>
        <v>225</v>
      </c>
      <c r="Q68" s="23">
        <f t="shared" si="214"/>
        <v>225</v>
      </c>
      <c r="R68" s="23">
        <f t="shared" si="214"/>
        <v>225</v>
      </c>
      <c r="S68" s="23">
        <f t="shared" si="214"/>
        <v>225</v>
      </c>
      <c r="T68" s="23">
        <f t="shared" si="214"/>
        <v>225</v>
      </c>
      <c r="U68" s="23">
        <f t="shared" si="214"/>
        <v>225</v>
      </c>
      <c r="V68" s="23">
        <f t="shared" si="214"/>
        <v>225</v>
      </c>
      <c r="W68" s="23">
        <f t="shared" si="214"/>
        <v>225</v>
      </c>
      <c r="X68" s="23">
        <f t="shared" si="214"/>
        <v>225</v>
      </c>
      <c r="Y68" s="23">
        <f t="shared" si="214"/>
        <v>225</v>
      </c>
      <c r="Z68" s="23">
        <f t="shared" si="214"/>
        <v>225</v>
      </c>
      <c r="AA68" s="23">
        <f t="shared" si="214"/>
        <v>225</v>
      </c>
      <c r="AB68" s="23">
        <f t="shared" si="214"/>
        <v>225</v>
      </c>
      <c r="AC68" s="23">
        <f t="shared" si="214"/>
        <v>225</v>
      </c>
      <c r="AD68" s="23">
        <f t="shared" si="214"/>
        <v>225</v>
      </c>
      <c r="AE68" s="23">
        <f t="shared" si="214"/>
        <v>225</v>
      </c>
      <c r="AF68" s="23">
        <f t="shared" si="214"/>
        <v>225</v>
      </c>
      <c r="AG68" s="23">
        <f t="shared" si="214"/>
        <v>225</v>
      </c>
      <c r="AH68" s="23">
        <f t="shared" si="214"/>
        <v>225</v>
      </c>
      <c r="AI68" s="23">
        <f t="shared" si="214"/>
        <v>225</v>
      </c>
      <c r="AJ68" s="23">
        <f t="shared" si="214"/>
        <v>225</v>
      </c>
      <c r="AK68" s="23">
        <f t="shared" si="214"/>
        <v>225</v>
      </c>
      <c r="AL68" s="23">
        <f t="shared" ref="AL68:CG68" si="215">AL66*$G$67</f>
        <v>225</v>
      </c>
      <c r="AM68" s="23">
        <f t="shared" si="215"/>
        <v>225</v>
      </c>
      <c r="AN68" s="23">
        <f t="shared" si="215"/>
        <v>225</v>
      </c>
      <c r="AO68" s="23">
        <f t="shared" si="215"/>
        <v>225</v>
      </c>
      <c r="AP68" s="23">
        <f t="shared" si="215"/>
        <v>225</v>
      </c>
      <c r="AQ68" s="23">
        <f t="shared" si="215"/>
        <v>225</v>
      </c>
      <c r="AR68" s="23">
        <f t="shared" si="215"/>
        <v>225</v>
      </c>
      <c r="AS68" s="23">
        <f t="shared" si="215"/>
        <v>225</v>
      </c>
      <c r="AT68" s="23">
        <f t="shared" si="215"/>
        <v>225</v>
      </c>
      <c r="AU68" s="23">
        <f t="shared" si="215"/>
        <v>225</v>
      </c>
      <c r="AV68" s="23">
        <f t="shared" si="215"/>
        <v>225</v>
      </c>
      <c r="AW68" s="23">
        <f t="shared" si="215"/>
        <v>225</v>
      </c>
      <c r="AX68" s="23">
        <f t="shared" si="215"/>
        <v>225</v>
      </c>
      <c r="AY68" s="23">
        <f t="shared" si="215"/>
        <v>225</v>
      </c>
      <c r="AZ68" s="23">
        <f t="shared" si="215"/>
        <v>225</v>
      </c>
      <c r="BA68" s="23">
        <f t="shared" si="215"/>
        <v>225</v>
      </c>
      <c r="BB68" s="23">
        <f t="shared" si="215"/>
        <v>225</v>
      </c>
      <c r="BC68" s="23">
        <f t="shared" si="215"/>
        <v>225</v>
      </c>
      <c r="BD68" s="23">
        <f t="shared" si="215"/>
        <v>225</v>
      </c>
      <c r="BE68" s="23">
        <f t="shared" si="215"/>
        <v>225</v>
      </c>
      <c r="BF68" s="23">
        <f t="shared" si="215"/>
        <v>225</v>
      </c>
      <c r="BG68" s="23">
        <f t="shared" si="215"/>
        <v>225</v>
      </c>
      <c r="BH68" s="23">
        <f t="shared" si="215"/>
        <v>225</v>
      </c>
      <c r="BI68" s="23">
        <f t="shared" si="215"/>
        <v>225</v>
      </c>
      <c r="BJ68" s="23">
        <f t="shared" si="215"/>
        <v>225</v>
      </c>
      <c r="BK68" s="23">
        <f t="shared" si="215"/>
        <v>225</v>
      </c>
      <c r="BL68" s="23">
        <f t="shared" si="215"/>
        <v>225</v>
      </c>
      <c r="BM68" s="23">
        <f t="shared" si="215"/>
        <v>225</v>
      </c>
      <c r="BN68" s="23">
        <f t="shared" si="215"/>
        <v>225</v>
      </c>
      <c r="BO68" s="23">
        <f t="shared" si="215"/>
        <v>225</v>
      </c>
      <c r="BP68" s="23">
        <f t="shared" si="215"/>
        <v>225</v>
      </c>
      <c r="BQ68" s="23">
        <f t="shared" si="215"/>
        <v>225</v>
      </c>
      <c r="BR68" s="23">
        <f t="shared" si="215"/>
        <v>225</v>
      </c>
      <c r="BS68" s="23">
        <f t="shared" si="215"/>
        <v>225</v>
      </c>
      <c r="BT68" s="23">
        <f t="shared" si="215"/>
        <v>225</v>
      </c>
      <c r="BU68" s="23">
        <f t="shared" si="215"/>
        <v>225</v>
      </c>
      <c r="BV68" s="23">
        <f t="shared" si="215"/>
        <v>225</v>
      </c>
      <c r="BW68" s="23">
        <f t="shared" si="215"/>
        <v>225</v>
      </c>
      <c r="BX68" s="23">
        <f t="shared" si="215"/>
        <v>225</v>
      </c>
      <c r="BY68" s="23">
        <f t="shared" si="215"/>
        <v>225</v>
      </c>
      <c r="BZ68" s="23">
        <f t="shared" si="215"/>
        <v>225</v>
      </c>
      <c r="CA68" s="23">
        <f t="shared" si="215"/>
        <v>225</v>
      </c>
      <c r="CB68" s="23">
        <f t="shared" si="215"/>
        <v>225</v>
      </c>
      <c r="CC68" s="23">
        <f t="shared" si="215"/>
        <v>225</v>
      </c>
      <c r="CD68" s="23">
        <f t="shared" si="215"/>
        <v>225</v>
      </c>
      <c r="CE68" s="23">
        <f t="shared" si="215"/>
        <v>225</v>
      </c>
      <c r="CF68" s="23">
        <f t="shared" si="215"/>
        <v>225</v>
      </c>
      <c r="CG68" s="23">
        <f t="shared" si="215"/>
        <v>225</v>
      </c>
    </row>
    <row r="69" spans="1:85" outlineLevel="1">
      <c r="E69" s="146" t="s">
        <v>119</v>
      </c>
      <c r="F69" s="147"/>
      <c r="G69" s="146"/>
      <c r="H69" s="146"/>
      <c r="I69" s="146"/>
      <c r="J69" s="150"/>
      <c r="K69" s="150"/>
      <c r="L69" s="150"/>
      <c r="M69" s="152"/>
      <c r="N69" s="151">
        <f t="shared" ref="N69:AK69" si="216">N68*N64</f>
        <v>0</v>
      </c>
      <c r="O69" s="151">
        <f t="shared" si="216"/>
        <v>0</v>
      </c>
      <c r="P69" s="151">
        <f t="shared" si="216"/>
        <v>0</v>
      </c>
      <c r="Q69" s="151">
        <f t="shared" si="216"/>
        <v>0</v>
      </c>
      <c r="R69" s="151">
        <f t="shared" si="216"/>
        <v>0</v>
      </c>
      <c r="S69" s="151">
        <f t="shared" si="216"/>
        <v>4725</v>
      </c>
      <c r="T69" s="151">
        <f t="shared" si="216"/>
        <v>9450</v>
      </c>
      <c r="U69" s="151">
        <f t="shared" si="216"/>
        <v>14175</v>
      </c>
      <c r="V69" s="151">
        <f t="shared" si="216"/>
        <v>18900</v>
      </c>
      <c r="W69" s="151">
        <f t="shared" si="216"/>
        <v>23625</v>
      </c>
      <c r="X69" s="151">
        <f t="shared" si="216"/>
        <v>28350</v>
      </c>
      <c r="Y69" s="151">
        <f t="shared" si="216"/>
        <v>33075</v>
      </c>
      <c r="Z69" s="151">
        <f t="shared" si="216"/>
        <v>44100</v>
      </c>
      <c r="AA69" s="151">
        <f t="shared" si="216"/>
        <v>55125</v>
      </c>
      <c r="AB69" s="151">
        <f t="shared" si="216"/>
        <v>66150</v>
      </c>
      <c r="AC69" s="151">
        <f t="shared" si="216"/>
        <v>77175</v>
      </c>
      <c r="AD69" s="151">
        <f t="shared" si="216"/>
        <v>88200</v>
      </c>
      <c r="AE69" s="151">
        <f t="shared" si="216"/>
        <v>99225</v>
      </c>
      <c r="AF69" s="151">
        <f t="shared" si="216"/>
        <v>110250</v>
      </c>
      <c r="AG69" s="151">
        <f t="shared" si="216"/>
        <v>121275</v>
      </c>
      <c r="AH69" s="151">
        <f t="shared" si="216"/>
        <v>132300</v>
      </c>
      <c r="AI69" s="151">
        <f t="shared" si="216"/>
        <v>143325</v>
      </c>
      <c r="AJ69" s="151">
        <f t="shared" si="216"/>
        <v>154350</v>
      </c>
      <c r="AK69" s="151">
        <f t="shared" si="216"/>
        <v>165375</v>
      </c>
      <c r="AL69" s="151">
        <f t="shared" ref="AL69" si="217">AL68*AL64</f>
        <v>196875</v>
      </c>
      <c r="AM69" s="151">
        <f t="shared" ref="AM69" si="218">AM68*AM64</f>
        <v>228375</v>
      </c>
      <c r="AN69" s="151">
        <f t="shared" ref="AN69" si="219">AN68*AN64</f>
        <v>259875</v>
      </c>
      <c r="AO69" s="151">
        <f t="shared" ref="AO69" si="220">AO68*AO64</f>
        <v>291375</v>
      </c>
      <c r="AP69" s="151">
        <f t="shared" ref="AP69" si="221">AP68*AP64</f>
        <v>322875</v>
      </c>
      <c r="AQ69" s="151">
        <f t="shared" ref="AQ69" si="222">AQ68*AQ64</f>
        <v>354375</v>
      </c>
      <c r="AR69" s="151">
        <f t="shared" ref="AR69" si="223">AR68*AR64</f>
        <v>385875</v>
      </c>
      <c r="AS69" s="151">
        <f t="shared" ref="AS69" si="224">AS68*AS64</f>
        <v>417375</v>
      </c>
      <c r="AT69" s="151">
        <f t="shared" ref="AT69" si="225">AT68*AT64</f>
        <v>448875</v>
      </c>
      <c r="AU69" s="151">
        <f t="shared" ref="AU69" si="226">AU68*AU64</f>
        <v>480375</v>
      </c>
      <c r="AV69" s="151">
        <f t="shared" ref="AV69" si="227">AV68*AV64</f>
        <v>511875</v>
      </c>
      <c r="AW69" s="151">
        <f t="shared" ref="AW69" si="228">AW68*AW64</f>
        <v>543375</v>
      </c>
      <c r="AX69" s="151">
        <f t="shared" ref="AX69" si="229">AX68*AX64</f>
        <v>615375</v>
      </c>
      <c r="AY69" s="151">
        <f t="shared" ref="AY69" si="230">AY68*AY64</f>
        <v>687375</v>
      </c>
      <c r="AZ69" s="151">
        <f t="shared" ref="AZ69" si="231">AZ68*AZ64</f>
        <v>759375</v>
      </c>
      <c r="BA69" s="151">
        <f t="shared" ref="BA69" si="232">BA68*BA64</f>
        <v>831375</v>
      </c>
      <c r="BB69" s="151">
        <f t="shared" ref="BB69" si="233">BB68*BB64</f>
        <v>903375</v>
      </c>
      <c r="BC69" s="151">
        <f t="shared" ref="BC69" si="234">BC68*BC64</f>
        <v>975375</v>
      </c>
      <c r="BD69" s="151">
        <f t="shared" ref="BD69" si="235">BD68*BD64</f>
        <v>1047375</v>
      </c>
      <c r="BE69" s="151">
        <f t="shared" ref="BE69" si="236">BE68*BE64</f>
        <v>1119375</v>
      </c>
      <c r="BF69" s="151">
        <f t="shared" ref="BF69" si="237">BF68*BF64</f>
        <v>1191375</v>
      </c>
      <c r="BG69" s="151">
        <f t="shared" ref="BG69" si="238">BG68*BG64</f>
        <v>1263375</v>
      </c>
      <c r="BH69" s="151">
        <f t="shared" ref="BH69" si="239">BH68*BH64</f>
        <v>1335375</v>
      </c>
      <c r="BI69" s="151">
        <f t="shared" ref="BI69" si="240">BI68*BI64</f>
        <v>1407375</v>
      </c>
      <c r="BJ69" s="151">
        <f t="shared" ref="BJ69" si="241">BJ68*BJ64</f>
        <v>1556100</v>
      </c>
      <c r="BK69" s="151">
        <f t="shared" ref="BK69" si="242">BK68*BK64</f>
        <v>1704825</v>
      </c>
      <c r="BL69" s="151">
        <f t="shared" ref="BL69" si="243">BL68*BL64</f>
        <v>1853550</v>
      </c>
      <c r="BM69" s="151">
        <f t="shared" ref="BM69" si="244">BM68*BM64</f>
        <v>2002275</v>
      </c>
      <c r="BN69" s="151">
        <f t="shared" ref="BN69" si="245">BN68*BN64</f>
        <v>2151000</v>
      </c>
      <c r="BO69" s="151">
        <f t="shared" ref="BO69" si="246">BO68*BO64</f>
        <v>2299725</v>
      </c>
      <c r="BP69" s="151">
        <f t="shared" ref="BP69" si="247">BP68*BP64</f>
        <v>2448450</v>
      </c>
      <c r="BQ69" s="151">
        <f t="shared" ref="BQ69" si="248">BQ68*BQ64</f>
        <v>2597175</v>
      </c>
      <c r="BR69" s="151">
        <f t="shared" ref="BR69" si="249">BR68*BR64</f>
        <v>2745900</v>
      </c>
      <c r="BS69" s="151">
        <f t="shared" ref="BS69" si="250">BS68*BS64</f>
        <v>2894625</v>
      </c>
      <c r="BT69" s="151">
        <f t="shared" ref="BT69" si="251">BT68*BT64</f>
        <v>3043350</v>
      </c>
      <c r="BU69" s="151">
        <f t="shared" ref="BU69" si="252">BU68*BU64</f>
        <v>3192075</v>
      </c>
      <c r="BV69" s="151">
        <f t="shared" ref="BV69" si="253">BV68*BV64</f>
        <v>3496725</v>
      </c>
      <c r="BW69" s="151">
        <f t="shared" ref="BW69" si="254">BW68*BW64</f>
        <v>3801375</v>
      </c>
      <c r="BX69" s="151">
        <f t="shared" ref="BX69" si="255">BX68*BX64</f>
        <v>4106025</v>
      </c>
      <c r="BY69" s="151">
        <f t="shared" ref="BY69" si="256">BY68*BY64</f>
        <v>4410675</v>
      </c>
      <c r="BZ69" s="151">
        <f t="shared" ref="BZ69" si="257">BZ68*BZ64</f>
        <v>4715325</v>
      </c>
      <c r="CA69" s="151">
        <f t="shared" ref="CA69" si="258">CA68*CA64</f>
        <v>5019975</v>
      </c>
      <c r="CB69" s="151">
        <f t="shared" ref="CB69" si="259">CB68*CB64</f>
        <v>5324625</v>
      </c>
      <c r="CC69" s="151">
        <f t="shared" ref="CC69" si="260">CC68*CC64</f>
        <v>5629275</v>
      </c>
      <c r="CD69" s="151">
        <f t="shared" ref="CD69" si="261">CD68*CD64</f>
        <v>5933925</v>
      </c>
      <c r="CE69" s="151">
        <f t="shared" ref="CE69" si="262">CE68*CE64</f>
        <v>6238575</v>
      </c>
      <c r="CF69" s="151">
        <f t="shared" ref="CF69" si="263">CF68*CF64</f>
        <v>6543225</v>
      </c>
      <c r="CG69" s="151">
        <f t="shared" ref="CG69" si="264">CG68*CG64</f>
        <v>6847875</v>
      </c>
    </row>
    <row r="70" spans="1:85" outlineLevel="1">
      <c r="E70" s="48"/>
      <c r="F70" s="142"/>
      <c r="G70" s="48"/>
      <c r="H70" s="50"/>
      <c r="I70" s="51"/>
      <c r="J70" s="52"/>
      <c r="K70" s="52"/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</row>
    <row r="71" spans="1:85" outlineLevel="1">
      <c r="E71" s="45" t="s">
        <v>56</v>
      </c>
      <c r="H71" s="46"/>
      <c r="I71" s="42"/>
      <c r="J71" s="24"/>
      <c r="K71" s="24"/>
      <c r="L71" s="24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 spans="1:85" outlineLevel="1">
      <c r="E72" s="44" t="s">
        <v>109</v>
      </c>
      <c r="F72" s="29"/>
      <c r="H72" s="46"/>
      <c r="I72" s="42"/>
      <c r="J72" s="24"/>
      <c r="K72" s="24"/>
      <c r="L72" s="24"/>
      <c r="N72" s="23">
        <f t="shared" ref="N72:AK72" si="265">N64</f>
        <v>0</v>
      </c>
      <c r="O72" s="23">
        <f t="shared" si="265"/>
        <v>0</v>
      </c>
      <c r="P72" s="23">
        <f t="shared" si="265"/>
        <v>0</v>
      </c>
      <c r="Q72" s="23">
        <f t="shared" si="265"/>
        <v>0</v>
      </c>
      <c r="R72" s="23">
        <f t="shared" si="265"/>
        <v>0</v>
      </c>
      <c r="S72" s="23">
        <f t="shared" si="265"/>
        <v>21</v>
      </c>
      <c r="T72" s="23">
        <f t="shared" si="265"/>
        <v>42</v>
      </c>
      <c r="U72" s="23">
        <f t="shared" si="265"/>
        <v>63</v>
      </c>
      <c r="V72" s="23">
        <f t="shared" si="265"/>
        <v>84</v>
      </c>
      <c r="W72" s="23">
        <f t="shared" si="265"/>
        <v>105</v>
      </c>
      <c r="X72" s="23">
        <f t="shared" si="265"/>
        <v>126</v>
      </c>
      <c r="Y72" s="23">
        <f t="shared" si="265"/>
        <v>147</v>
      </c>
      <c r="Z72" s="23">
        <f t="shared" si="265"/>
        <v>196</v>
      </c>
      <c r="AA72" s="23">
        <f t="shared" si="265"/>
        <v>245</v>
      </c>
      <c r="AB72" s="23">
        <f t="shared" si="265"/>
        <v>294</v>
      </c>
      <c r="AC72" s="23">
        <f t="shared" si="265"/>
        <v>343</v>
      </c>
      <c r="AD72" s="23">
        <f t="shared" si="265"/>
        <v>392</v>
      </c>
      <c r="AE72" s="23">
        <f t="shared" si="265"/>
        <v>441</v>
      </c>
      <c r="AF72" s="23">
        <f t="shared" si="265"/>
        <v>490</v>
      </c>
      <c r="AG72" s="23">
        <f t="shared" si="265"/>
        <v>539</v>
      </c>
      <c r="AH72" s="23">
        <f t="shared" si="265"/>
        <v>588</v>
      </c>
      <c r="AI72" s="23">
        <f t="shared" si="265"/>
        <v>637</v>
      </c>
      <c r="AJ72" s="23">
        <f t="shared" si="265"/>
        <v>686</v>
      </c>
      <c r="AK72" s="23">
        <f t="shared" si="265"/>
        <v>735</v>
      </c>
      <c r="AL72" s="23">
        <f t="shared" ref="AL72:CG72" si="266">AL64</f>
        <v>875</v>
      </c>
      <c r="AM72" s="23">
        <f t="shared" si="266"/>
        <v>1015</v>
      </c>
      <c r="AN72" s="23">
        <f t="shared" si="266"/>
        <v>1155</v>
      </c>
      <c r="AO72" s="23">
        <f t="shared" si="266"/>
        <v>1295</v>
      </c>
      <c r="AP72" s="23">
        <f t="shared" si="266"/>
        <v>1435</v>
      </c>
      <c r="AQ72" s="23">
        <f t="shared" si="266"/>
        <v>1575</v>
      </c>
      <c r="AR72" s="23">
        <f t="shared" si="266"/>
        <v>1715</v>
      </c>
      <c r="AS72" s="23">
        <f t="shared" si="266"/>
        <v>1855</v>
      </c>
      <c r="AT72" s="23">
        <f t="shared" si="266"/>
        <v>1995</v>
      </c>
      <c r="AU72" s="23">
        <f t="shared" si="266"/>
        <v>2135</v>
      </c>
      <c r="AV72" s="23">
        <f t="shared" si="266"/>
        <v>2275</v>
      </c>
      <c r="AW72" s="23">
        <f t="shared" si="266"/>
        <v>2415</v>
      </c>
      <c r="AX72" s="23">
        <f t="shared" si="266"/>
        <v>2735</v>
      </c>
      <c r="AY72" s="23">
        <f t="shared" si="266"/>
        <v>3055</v>
      </c>
      <c r="AZ72" s="23">
        <f t="shared" si="266"/>
        <v>3375</v>
      </c>
      <c r="BA72" s="23">
        <f t="shared" si="266"/>
        <v>3695</v>
      </c>
      <c r="BB72" s="23">
        <f t="shared" si="266"/>
        <v>4015</v>
      </c>
      <c r="BC72" s="23">
        <f t="shared" si="266"/>
        <v>4335</v>
      </c>
      <c r="BD72" s="23">
        <f t="shared" si="266"/>
        <v>4655</v>
      </c>
      <c r="BE72" s="23">
        <f t="shared" si="266"/>
        <v>4975</v>
      </c>
      <c r="BF72" s="23">
        <f t="shared" si="266"/>
        <v>5295</v>
      </c>
      <c r="BG72" s="23">
        <f t="shared" si="266"/>
        <v>5615</v>
      </c>
      <c r="BH72" s="23">
        <f t="shared" si="266"/>
        <v>5935</v>
      </c>
      <c r="BI72" s="23">
        <f t="shared" si="266"/>
        <v>6255</v>
      </c>
      <c r="BJ72" s="23">
        <f t="shared" si="266"/>
        <v>6916</v>
      </c>
      <c r="BK72" s="23">
        <f t="shared" si="266"/>
        <v>7577</v>
      </c>
      <c r="BL72" s="23">
        <f t="shared" si="266"/>
        <v>8238</v>
      </c>
      <c r="BM72" s="23">
        <f t="shared" si="266"/>
        <v>8899</v>
      </c>
      <c r="BN72" s="23">
        <f t="shared" si="266"/>
        <v>9560</v>
      </c>
      <c r="BO72" s="23">
        <f t="shared" si="266"/>
        <v>10221</v>
      </c>
      <c r="BP72" s="23">
        <f t="shared" si="266"/>
        <v>10882</v>
      </c>
      <c r="BQ72" s="23">
        <f t="shared" si="266"/>
        <v>11543</v>
      </c>
      <c r="BR72" s="23">
        <f t="shared" si="266"/>
        <v>12204</v>
      </c>
      <c r="BS72" s="23">
        <f t="shared" si="266"/>
        <v>12865</v>
      </c>
      <c r="BT72" s="23">
        <f t="shared" si="266"/>
        <v>13526</v>
      </c>
      <c r="BU72" s="23">
        <f t="shared" si="266"/>
        <v>14187</v>
      </c>
      <c r="BV72" s="23">
        <f t="shared" si="266"/>
        <v>15541</v>
      </c>
      <c r="BW72" s="23">
        <f t="shared" si="266"/>
        <v>16895</v>
      </c>
      <c r="BX72" s="23">
        <f t="shared" si="266"/>
        <v>18249</v>
      </c>
      <c r="BY72" s="23">
        <f t="shared" si="266"/>
        <v>19603</v>
      </c>
      <c r="BZ72" s="23">
        <f t="shared" si="266"/>
        <v>20957</v>
      </c>
      <c r="CA72" s="23">
        <f t="shared" si="266"/>
        <v>22311</v>
      </c>
      <c r="CB72" s="23">
        <f t="shared" si="266"/>
        <v>23665</v>
      </c>
      <c r="CC72" s="23">
        <f t="shared" si="266"/>
        <v>25019</v>
      </c>
      <c r="CD72" s="23">
        <f t="shared" si="266"/>
        <v>26373</v>
      </c>
      <c r="CE72" s="23">
        <f t="shared" si="266"/>
        <v>27727</v>
      </c>
      <c r="CF72" s="23">
        <f t="shared" si="266"/>
        <v>29081</v>
      </c>
      <c r="CG72" s="23">
        <f t="shared" si="266"/>
        <v>30435</v>
      </c>
    </row>
    <row r="73" spans="1:85" outlineLevel="1">
      <c r="E73" s="44" t="s">
        <v>120</v>
      </c>
      <c r="F73" s="29" t="s">
        <v>121</v>
      </c>
      <c r="G73" s="107">
        <v>0.2</v>
      </c>
      <c r="H73" s="107">
        <v>0.2</v>
      </c>
      <c r="I73" s="107">
        <v>0.2</v>
      </c>
      <c r="J73" s="107">
        <v>0.2</v>
      </c>
      <c r="K73" s="107">
        <v>0.2</v>
      </c>
      <c r="L73" s="107">
        <v>0.2</v>
      </c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</row>
    <row r="74" spans="1:85" outlineLevel="1">
      <c r="E74" s="44" t="s">
        <v>122</v>
      </c>
      <c r="F74" s="29"/>
      <c r="H74" s="108"/>
      <c r="I74" s="42"/>
      <c r="J74" s="24"/>
      <c r="K74" s="24"/>
      <c r="L74" s="24"/>
      <c r="N74" s="111" cm="1">
        <f t="array" ref="N74">INDEX($G73:$L73,,N$11)*N72*N$17</f>
        <v>0</v>
      </c>
      <c r="O74" s="111" cm="1">
        <f t="array" ref="O74">INDEX($G73:$L73,,O$11)*O72*O$17</f>
        <v>0</v>
      </c>
      <c r="P74" s="111" cm="1">
        <f t="array" ref="P74">INDEX($G73:$L73,,P$11)*P72*P$17</f>
        <v>0</v>
      </c>
      <c r="Q74" s="111" cm="1">
        <f t="array" ref="Q74">INDEX($G73:$L73,,Q$11)*Q72*Q$17</f>
        <v>0</v>
      </c>
      <c r="R74" s="111" cm="1">
        <f t="array" ref="R74">INDEX($G73:$L73,,R$11)*R72*R$17</f>
        <v>0</v>
      </c>
      <c r="S74" s="111" cm="1">
        <f t="array" ref="S74">INDEX($G73:$L73,,S$11)*S72*S$17</f>
        <v>0</v>
      </c>
      <c r="T74" s="111" cm="1">
        <f t="array" ref="T74">INDEX($G73:$L73,,T$11)*T72*T$17</f>
        <v>0</v>
      </c>
      <c r="U74" s="111" cm="1">
        <f t="array" ref="U74">INDEX($G73:$L73,,U$11)*U72*U$17</f>
        <v>0</v>
      </c>
      <c r="V74" s="111" cm="1">
        <f t="array" ref="V74">INDEX($G73:$L73,,V$11)*V72*V$17</f>
        <v>0</v>
      </c>
      <c r="W74" s="111" cm="1">
        <f t="array" ref="W74">INDEX($G73:$L73,,W$11)*W72*W$17</f>
        <v>0</v>
      </c>
      <c r="X74" s="111" cm="1">
        <f t="array" ref="X74">INDEX($G73:$L73,,X$11)*X72*X$17</f>
        <v>0</v>
      </c>
      <c r="Y74" s="111" cm="1">
        <f t="array" ref="Y74">INDEX($G73:$L73,,Y$11)*Y72*Y$17</f>
        <v>0</v>
      </c>
      <c r="Z74" s="111" cm="1">
        <f t="array" ref="Z74">INDEX($G73:$L73,,Z$11)*Z72*Z$17</f>
        <v>0</v>
      </c>
      <c r="AA74" s="111" cm="1">
        <f t="array" ref="AA74">INDEX($G73:$L73,,AA$11)*AA72*AA$17</f>
        <v>0</v>
      </c>
      <c r="AB74" s="111" cm="1">
        <f t="array" ref="AB74">INDEX($G73:$L73,,AB$11)*AB72*AB$17</f>
        <v>0</v>
      </c>
      <c r="AC74" s="111" cm="1">
        <f t="array" ref="AC74">INDEX($G73:$L73,,AC$11)*AC72*AC$17</f>
        <v>0</v>
      </c>
      <c r="AD74" s="111" cm="1">
        <f t="array" ref="AD74">INDEX($G73:$L73,,AD$11)*AD72*AD$17</f>
        <v>0</v>
      </c>
      <c r="AE74" s="111" cm="1">
        <f t="array" ref="AE74">INDEX($G73:$L73,,AE$11)*AE72*AE$17</f>
        <v>88.2</v>
      </c>
      <c r="AF74" s="111" cm="1">
        <f t="array" ref="AF74">INDEX($G73:$L73,,AF$11)*AF72*AF$17</f>
        <v>98</v>
      </c>
      <c r="AG74" s="111" cm="1">
        <f t="array" ref="AG74">INDEX($G73:$L73,,AG$11)*AG72*AG$17</f>
        <v>107.80000000000001</v>
      </c>
      <c r="AH74" s="111" cm="1">
        <f t="array" ref="AH74">INDEX($G73:$L73,,AH$11)*AH72*AH$17</f>
        <v>117.60000000000001</v>
      </c>
      <c r="AI74" s="111" cm="1">
        <f t="array" ref="AI74">INDEX($G73:$L73,,AI$11)*AI72*AI$17</f>
        <v>127.4</v>
      </c>
      <c r="AJ74" s="111" cm="1">
        <f t="array" ref="AJ74">INDEX($G73:$L73,,AJ$11)*AJ72*AJ$17</f>
        <v>137.20000000000002</v>
      </c>
      <c r="AK74" s="111" cm="1">
        <f t="array" ref="AK74">INDEX($G73:$L73,,AK$11)*AK72*AK$17</f>
        <v>147</v>
      </c>
      <c r="AL74" s="111" cm="1">
        <f t="array" ref="AL74">INDEX($G73:$L73,,AL$11)*AL72*AL$17</f>
        <v>175</v>
      </c>
      <c r="AM74" s="111" cm="1">
        <f t="array" ref="AM74">INDEX($G73:$L73,,AM$11)*AM72*AM$17</f>
        <v>203</v>
      </c>
      <c r="AN74" s="111" cm="1">
        <f t="array" ref="AN74">INDEX($G73:$L73,,AN$11)*AN72*AN$17</f>
        <v>231</v>
      </c>
      <c r="AO74" s="111" cm="1">
        <f t="array" ref="AO74">INDEX($G73:$L73,,AO$11)*AO72*AO$17</f>
        <v>259</v>
      </c>
      <c r="AP74" s="111" cm="1">
        <f t="array" ref="AP74">INDEX($G73:$L73,,AP$11)*AP72*AP$17</f>
        <v>287</v>
      </c>
      <c r="AQ74" s="111" cm="1">
        <f t="array" ref="AQ74">INDEX($G73:$L73,,AQ$11)*AQ72*AQ$17</f>
        <v>315</v>
      </c>
      <c r="AR74" s="111" cm="1">
        <f t="array" ref="AR74">INDEX($G73:$L73,,AR$11)*AR72*AR$17</f>
        <v>343</v>
      </c>
      <c r="AS74" s="111" cm="1">
        <f t="array" ref="AS74">INDEX($G73:$L73,,AS$11)*AS72*AS$17</f>
        <v>371</v>
      </c>
      <c r="AT74" s="111" cm="1">
        <f t="array" ref="AT74">INDEX($G73:$L73,,AT$11)*AT72*AT$17</f>
        <v>399</v>
      </c>
      <c r="AU74" s="111" cm="1">
        <f t="array" ref="AU74">INDEX($G73:$L73,,AU$11)*AU72*AU$17</f>
        <v>427</v>
      </c>
      <c r="AV74" s="111" cm="1">
        <f t="array" ref="AV74">INDEX($G73:$L73,,AV$11)*AV72*AV$17</f>
        <v>455</v>
      </c>
      <c r="AW74" s="111" cm="1">
        <f t="array" ref="AW74">INDEX($G73:$L73,,AW$11)*AW72*AW$17</f>
        <v>483</v>
      </c>
      <c r="AX74" s="111" cm="1">
        <f t="array" ref="AX74">INDEX($G73:$L73,,AX$11)*AX72*AX$17</f>
        <v>547</v>
      </c>
      <c r="AY74" s="111" cm="1">
        <f t="array" ref="AY74">INDEX($G73:$L73,,AY$11)*AY72*AY$17</f>
        <v>611</v>
      </c>
      <c r="AZ74" s="111" cm="1">
        <f t="array" ref="AZ74">INDEX($G73:$L73,,AZ$11)*AZ72*AZ$17</f>
        <v>675</v>
      </c>
      <c r="BA74" s="111" cm="1">
        <f t="array" ref="BA74">INDEX($G73:$L73,,BA$11)*BA72*BA$17</f>
        <v>739</v>
      </c>
      <c r="BB74" s="111" cm="1">
        <f t="array" ref="BB74">INDEX($G73:$L73,,BB$11)*BB72*BB$17</f>
        <v>803</v>
      </c>
      <c r="BC74" s="111" cm="1">
        <f t="array" ref="BC74">INDEX($G73:$L73,,BC$11)*BC72*BC$17</f>
        <v>867</v>
      </c>
      <c r="BD74" s="111" cm="1">
        <f t="array" ref="BD74">INDEX($G73:$L73,,BD$11)*BD72*BD$17</f>
        <v>931</v>
      </c>
      <c r="BE74" s="111" cm="1">
        <f t="array" ref="BE74">INDEX($G73:$L73,,BE$11)*BE72*BE$17</f>
        <v>995</v>
      </c>
      <c r="BF74" s="111" cm="1">
        <f t="array" ref="BF74">INDEX($G73:$L73,,BF$11)*BF72*BF$17</f>
        <v>1059</v>
      </c>
      <c r="BG74" s="111" cm="1">
        <f t="array" ref="BG74">INDEX($G73:$L73,,BG$11)*BG72*BG$17</f>
        <v>1123</v>
      </c>
      <c r="BH74" s="111" cm="1">
        <f t="array" ref="BH74">INDEX($G73:$L73,,BH$11)*BH72*BH$17</f>
        <v>1187</v>
      </c>
      <c r="BI74" s="111" cm="1">
        <f t="array" ref="BI74">INDEX($G73:$L73,,BI$11)*BI72*BI$17</f>
        <v>1251</v>
      </c>
      <c r="BJ74" s="111" cm="1">
        <f t="array" ref="BJ74">INDEX($G73:$L73,,BJ$11)*BJ72*BJ$17</f>
        <v>1383.2</v>
      </c>
      <c r="BK74" s="111" cm="1">
        <f t="array" ref="BK74">INDEX($G73:$L73,,BK$11)*BK72*BK$17</f>
        <v>1515.4</v>
      </c>
      <c r="BL74" s="111" cm="1">
        <f t="array" ref="BL74">INDEX($G73:$L73,,BL$11)*BL72*BL$17</f>
        <v>1647.6000000000001</v>
      </c>
      <c r="BM74" s="111" cm="1">
        <f t="array" ref="BM74">INDEX($G73:$L73,,BM$11)*BM72*BM$17</f>
        <v>1779.8000000000002</v>
      </c>
      <c r="BN74" s="111" cm="1">
        <f t="array" ref="BN74">INDEX($G73:$L73,,BN$11)*BN72*BN$17</f>
        <v>1912</v>
      </c>
      <c r="BO74" s="111" cm="1">
        <f t="array" ref="BO74">INDEX($G73:$L73,,BO$11)*BO72*BO$17</f>
        <v>2044.2</v>
      </c>
      <c r="BP74" s="111" cm="1">
        <f t="array" ref="BP74">INDEX($G73:$L73,,BP$11)*BP72*BP$17</f>
        <v>2176.4</v>
      </c>
      <c r="BQ74" s="111" cm="1">
        <f t="array" ref="BQ74">INDEX($G73:$L73,,BQ$11)*BQ72*BQ$17</f>
        <v>2308.6</v>
      </c>
      <c r="BR74" s="111" cm="1">
        <f t="array" ref="BR74">INDEX($G73:$L73,,BR$11)*BR72*BR$17</f>
        <v>2440.8000000000002</v>
      </c>
      <c r="BS74" s="111" cm="1">
        <f t="array" ref="BS74">INDEX($G73:$L73,,BS$11)*BS72*BS$17</f>
        <v>2573</v>
      </c>
      <c r="BT74" s="111" cm="1">
        <f t="array" ref="BT74">INDEX($G73:$L73,,BT$11)*BT72*BT$17</f>
        <v>2705.2000000000003</v>
      </c>
      <c r="BU74" s="111" cm="1">
        <f t="array" ref="BU74">INDEX($G73:$L73,,BU$11)*BU72*BU$17</f>
        <v>2837.4</v>
      </c>
      <c r="BV74" s="111" cm="1">
        <f t="array" ref="BV74">INDEX($G73:$L73,,BV$11)*BV72*BV$17</f>
        <v>3108.2000000000003</v>
      </c>
      <c r="BW74" s="111" cm="1">
        <f t="array" ref="BW74">INDEX($G73:$L73,,BW$11)*BW72*BW$17</f>
        <v>3379</v>
      </c>
      <c r="BX74" s="111" cm="1">
        <f t="array" ref="BX74">INDEX($G73:$L73,,BX$11)*BX72*BX$17</f>
        <v>3649.8</v>
      </c>
      <c r="BY74" s="111" cm="1">
        <f t="array" ref="BY74">INDEX($G73:$L73,,BY$11)*BY72*BY$17</f>
        <v>3920.6000000000004</v>
      </c>
      <c r="BZ74" s="111" cm="1">
        <f t="array" ref="BZ74">INDEX($G73:$L73,,BZ$11)*BZ72*BZ$17</f>
        <v>4191.4000000000005</v>
      </c>
      <c r="CA74" s="111" cm="1">
        <f t="array" ref="CA74">INDEX($G73:$L73,,CA$11)*CA72*CA$17</f>
        <v>4462.2</v>
      </c>
      <c r="CB74" s="111" cm="1">
        <f t="array" ref="CB74">INDEX($G73:$L73,,CB$11)*CB72*CB$17</f>
        <v>4733</v>
      </c>
      <c r="CC74" s="111" cm="1">
        <f t="array" ref="CC74">INDEX($G73:$L73,,CC$11)*CC72*CC$17</f>
        <v>5003.8</v>
      </c>
      <c r="CD74" s="111" cm="1">
        <f t="array" ref="CD74">INDEX($G73:$L73,,CD$11)*CD72*CD$17</f>
        <v>5274.6</v>
      </c>
      <c r="CE74" s="111" cm="1">
        <f t="array" ref="CE74">INDEX($G73:$L73,,CE$11)*CE72*CE$17</f>
        <v>5545.4000000000005</v>
      </c>
      <c r="CF74" s="111" cm="1">
        <f t="array" ref="CF74">INDEX($G73:$L73,,CF$11)*CF72*CF$17</f>
        <v>5816.2000000000007</v>
      </c>
      <c r="CG74" s="111" cm="1">
        <f t="array" ref="CG74">INDEX($G73:$L73,,CG$11)*CG72*CG$17</f>
        <v>6087</v>
      </c>
    </row>
    <row r="75" spans="1:85" outlineLevel="1">
      <c r="E75" s="48"/>
      <c r="F75" s="142"/>
      <c r="G75" s="48"/>
      <c r="H75" s="50"/>
      <c r="I75" s="51"/>
      <c r="J75" s="52"/>
      <c r="K75" s="52"/>
      <c r="L75" s="52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</row>
    <row r="76" spans="1:85">
      <c r="H76" s="37"/>
      <c r="I76" s="42"/>
      <c r="J76" s="24"/>
      <c r="K76" s="24"/>
      <c r="L76" s="24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 spans="1:85" ht="16.2" thickBot="1">
      <c r="D77" s="25" t="s">
        <v>123</v>
      </c>
      <c r="E77" s="25"/>
      <c r="F77" s="140"/>
      <c r="G77" s="25"/>
      <c r="H77" s="41"/>
      <c r="I77" s="41"/>
      <c r="J77" s="41"/>
      <c r="K77" s="41"/>
      <c r="L77" s="41"/>
    </row>
    <row r="78" spans="1:85" ht="16.2" outlineLevel="1" thickTop="1">
      <c r="A78" s="24"/>
      <c r="B78" s="24"/>
      <c r="C78" s="24"/>
      <c r="D78" s="24"/>
      <c r="E78" s="24"/>
      <c r="F78" s="141"/>
      <c r="G78" s="24"/>
      <c r="H78" s="24"/>
      <c r="I78" s="24"/>
      <c r="J78" s="24"/>
      <c r="K78" s="24"/>
      <c r="L78" s="24"/>
    </row>
    <row r="79" spans="1:85" outlineLevel="1">
      <c r="A79" s="24"/>
      <c r="B79" s="24"/>
      <c r="C79" s="24"/>
      <c r="D79" s="24"/>
      <c r="E79" s="45" t="s">
        <v>54</v>
      </c>
      <c r="F79" s="141"/>
      <c r="G79" s="24"/>
      <c r="H79" s="92"/>
      <c r="I79" s="92"/>
      <c r="J79" s="92"/>
      <c r="K79" s="92"/>
      <c r="L79" s="92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</row>
    <row r="80" spans="1:85" outlineLevel="1">
      <c r="C80" s="48"/>
      <c r="E80" s="44" t="s">
        <v>254</v>
      </c>
      <c r="F80" s="29" t="s">
        <v>124</v>
      </c>
      <c r="G80" s="23"/>
      <c r="I80" s="94"/>
      <c r="J80" s="94"/>
      <c r="K80" s="94"/>
      <c r="L80" s="94"/>
      <c r="M80" s="93"/>
      <c r="N80" s="93">
        <f t="shared" ref="N80:AK80" si="267">N59</f>
        <v>0</v>
      </c>
      <c r="O80" s="93">
        <f t="shared" si="267"/>
        <v>0</v>
      </c>
      <c r="P80" s="93">
        <f t="shared" si="267"/>
        <v>0</v>
      </c>
      <c r="Q80" s="93">
        <f t="shared" si="267"/>
        <v>0</v>
      </c>
      <c r="R80" s="93">
        <f t="shared" si="267"/>
        <v>0</v>
      </c>
      <c r="S80" s="93">
        <f t="shared" si="267"/>
        <v>0.27385537013264871</v>
      </c>
      <c r="T80" s="93">
        <f t="shared" si="267"/>
        <v>0.54771074026529742</v>
      </c>
      <c r="U80" s="93">
        <f t="shared" si="267"/>
        <v>0.82156611039794614</v>
      </c>
      <c r="V80" s="93">
        <f t="shared" si="267"/>
        <v>1.0954214805305948</v>
      </c>
      <c r="W80" s="93">
        <f t="shared" si="267"/>
        <v>1.3692768506632436</v>
      </c>
      <c r="X80" s="93">
        <f t="shared" si="267"/>
        <v>1.6431322207958923</v>
      </c>
      <c r="Y80" s="93">
        <f t="shared" si="267"/>
        <v>1.916987590928541</v>
      </c>
      <c r="Z80" s="93">
        <f t="shared" si="267"/>
        <v>2.8950424842594291</v>
      </c>
      <c r="AA80" s="93">
        <f t="shared" si="267"/>
        <v>3.8730973775903172</v>
      </c>
      <c r="AB80" s="93">
        <f t="shared" si="267"/>
        <v>4.8511522709212054</v>
      </c>
      <c r="AC80" s="93">
        <f t="shared" si="267"/>
        <v>5.8292071642520931</v>
      </c>
      <c r="AD80" s="93">
        <f t="shared" si="267"/>
        <v>6.8072620575829816</v>
      </c>
      <c r="AE80" s="93">
        <f t="shared" si="267"/>
        <v>7.7853169509138702</v>
      </c>
      <c r="AF80" s="93">
        <f t="shared" si="267"/>
        <v>8.7633718442447588</v>
      </c>
      <c r="AG80" s="93">
        <f t="shared" si="267"/>
        <v>9.7414267375756474</v>
      </c>
      <c r="AH80" s="93">
        <f t="shared" si="267"/>
        <v>10.719481630906536</v>
      </c>
      <c r="AI80" s="93">
        <f t="shared" si="267"/>
        <v>11.697536524237425</v>
      </c>
      <c r="AJ80" s="93">
        <f t="shared" si="267"/>
        <v>12.675591417568313</v>
      </c>
      <c r="AK80" s="93">
        <f t="shared" si="267"/>
        <v>13.653646310899202</v>
      </c>
      <c r="AL80" s="93">
        <f t="shared" ref="AL80:CG80" si="268">AL59</f>
        <v>17.379569714064491</v>
      </c>
      <c r="AM80" s="93">
        <f t="shared" si="268"/>
        <v>21.105493117229781</v>
      </c>
      <c r="AN80" s="93">
        <f t="shared" si="268"/>
        <v>24.83141652039507</v>
      </c>
      <c r="AO80" s="93">
        <f t="shared" si="268"/>
        <v>28.55733992356036</v>
      </c>
      <c r="AP80" s="93">
        <f t="shared" si="268"/>
        <v>32.283263326725645</v>
      </c>
      <c r="AQ80" s="93">
        <f t="shared" si="268"/>
        <v>36.009186729890935</v>
      </c>
      <c r="AR80" s="93">
        <f t="shared" si="268"/>
        <v>39.735110133056224</v>
      </c>
      <c r="AS80" s="93">
        <f t="shared" si="268"/>
        <v>43.461033536221514</v>
      </c>
      <c r="AT80" s="93">
        <f t="shared" si="268"/>
        <v>47.186956939386803</v>
      </c>
      <c r="AU80" s="93">
        <f t="shared" si="268"/>
        <v>50.912880342552093</v>
      </c>
      <c r="AV80" s="93">
        <f t="shared" si="268"/>
        <v>54.638803745717382</v>
      </c>
      <c r="AW80" s="93">
        <f t="shared" si="268"/>
        <v>58.364727148882672</v>
      </c>
      <c r="AX80" s="93">
        <f t="shared" si="268"/>
        <v>69.010222586497775</v>
      </c>
      <c r="AY80" s="93">
        <f t="shared" si="268"/>
        <v>79.655718024112886</v>
      </c>
      <c r="AZ80" s="93">
        <f t="shared" si="268"/>
        <v>90.301213461727997</v>
      </c>
      <c r="BA80" s="93">
        <f t="shared" si="268"/>
        <v>100.94670889934311</v>
      </c>
      <c r="BB80" s="93">
        <f t="shared" si="268"/>
        <v>111.59220433695822</v>
      </c>
      <c r="BC80" s="93">
        <f t="shared" si="268"/>
        <v>122.23769977457333</v>
      </c>
      <c r="BD80" s="93">
        <f t="shared" si="268"/>
        <v>132.88319521218844</v>
      </c>
      <c r="BE80" s="93">
        <f t="shared" si="268"/>
        <v>143.52869064980354</v>
      </c>
      <c r="BF80" s="93">
        <f t="shared" si="268"/>
        <v>154.17418608741866</v>
      </c>
      <c r="BG80" s="93">
        <f t="shared" si="268"/>
        <v>164.81968152503379</v>
      </c>
      <c r="BH80" s="93">
        <f t="shared" si="268"/>
        <v>175.46517696264891</v>
      </c>
      <c r="BI80" s="93">
        <f t="shared" si="268"/>
        <v>186.11067240026404</v>
      </c>
      <c r="BJ80" s="93">
        <f t="shared" si="268"/>
        <v>211.73871697230041</v>
      </c>
      <c r="BK80" s="93">
        <f t="shared" si="268"/>
        <v>237.36676154433678</v>
      </c>
      <c r="BL80" s="93">
        <f t="shared" si="268"/>
        <v>262.99480611637318</v>
      </c>
      <c r="BM80" s="93">
        <f t="shared" si="268"/>
        <v>288.62285068840959</v>
      </c>
      <c r="BN80" s="93">
        <f t="shared" si="268"/>
        <v>314.25089526044599</v>
      </c>
      <c r="BO80" s="93">
        <f t="shared" si="268"/>
        <v>339.87893983248239</v>
      </c>
      <c r="BP80" s="93">
        <f t="shared" si="268"/>
        <v>365.50698440451879</v>
      </c>
      <c r="BQ80" s="93">
        <f t="shared" si="268"/>
        <v>391.13502897655519</v>
      </c>
      <c r="BR80" s="93">
        <f t="shared" si="268"/>
        <v>416.76307354859159</v>
      </c>
      <c r="BS80" s="93">
        <f t="shared" si="268"/>
        <v>442.39111812062799</v>
      </c>
      <c r="BT80" s="93">
        <f t="shared" si="268"/>
        <v>468.01916269266439</v>
      </c>
      <c r="BU80" s="93">
        <f t="shared" si="268"/>
        <v>493.6472072647008</v>
      </c>
      <c r="BV80" s="93">
        <f t="shared" si="268"/>
        <v>546.21755510477544</v>
      </c>
      <c r="BW80" s="93">
        <f t="shared" si="268"/>
        <v>598.78790294485009</v>
      </c>
      <c r="BX80" s="93">
        <f t="shared" si="268"/>
        <v>651.35825078492473</v>
      </c>
      <c r="BY80" s="93">
        <f t="shared" si="268"/>
        <v>703.92859862499938</v>
      </c>
      <c r="BZ80" s="93">
        <f t="shared" si="268"/>
        <v>756.49894646507403</v>
      </c>
      <c r="CA80" s="93">
        <f t="shared" si="268"/>
        <v>809.06929430514867</v>
      </c>
      <c r="CB80" s="93">
        <f t="shared" si="268"/>
        <v>861.63964214522332</v>
      </c>
      <c r="CC80" s="93">
        <f t="shared" si="268"/>
        <v>914.20998998529797</v>
      </c>
      <c r="CD80" s="93">
        <f t="shared" si="268"/>
        <v>966.78033782537261</v>
      </c>
      <c r="CE80" s="93">
        <f t="shared" si="268"/>
        <v>1019.3506856654473</v>
      </c>
      <c r="CF80" s="93">
        <f t="shared" si="268"/>
        <v>1071.9210335055218</v>
      </c>
      <c r="CG80" s="93">
        <f t="shared" si="268"/>
        <v>1124.4913813455964</v>
      </c>
    </row>
    <row r="81" spans="3:85" outlineLevel="1">
      <c r="C81" s="48"/>
      <c r="E81" s="44" t="s">
        <v>463</v>
      </c>
      <c r="F81" s="29" t="s">
        <v>125</v>
      </c>
      <c r="G81" s="117">
        <v>599</v>
      </c>
      <c r="H81" s="447">
        <v>999</v>
      </c>
      <c r="I81" s="447">
        <v>1499</v>
      </c>
      <c r="J81" s="447">
        <v>1999</v>
      </c>
      <c r="K81" s="447">
        <v>2499</v>
      </c>
      <c r="L81" s="447">
        <v>2999</v>
      </c>
      <c r="M81" s="93"/>
      <c r="N81" s="23" cm="1">
        <f t="array" ref="N81">INDEX($G81:$L81,,N$11)*N80*INDEX($G$84:$L$84,,N$11)</f>
        <v>0</v>
      </c>
      <c r="O81" s="23" cm="1">
        <f t="array" ref="O81">INDEX($G81:$L81,,O$11)*O80*INDEX($G$84:$L$84,,O$11)</f>
        <v>0</v>
      </c>
      <c r="P81" s="23" cm="1">
        <f t="array" ref="P81">INDEX($G81:$L81,,P$11)*P80*INDEX($G$84:$L$84,,P$11)</f>
        <v>0</v>
      </c>
      <c r="Q81" s="23" cm="1">
        <f t="array" ref="Q81">INDEX($G81:$L81,,Q$11)*Q80*INDEX($G$84:$L$84,,Q$11)</f>
        <v>0</v>
      </c>
      <c r="R81" s="23" cm="1">
        <f t="array" ref="R81">INDEX($G81:$L81,,R$11)*R80*INDEX($G$84:$L$84,,R$11)</f>
        <v>0</v>
      </c>
      <c r="S81" s="23" cm="1">
        <f t="array" ref="S81">INDEX($G81:$L81,,S$11)*S80*INDEX($G$84:$L$84,,S$11)</f>
        <v>164.03936670945657</v>
      </c>
      <c r="T81" s="23" cm="1">
        <f t="array" ref="T81">INDEX($G81:$L81,,T$11)*T80*INDEX($G$84:$L$84,,T$11)</f>
        <v>328.07873341891315</v>
      </c>
      <c r="U81" s="23" cm="1">
        <f t="array" ref="U81">INDEX($G81:$L81,,U$11)*U80*INDEX($G$84:$L$84,,U$11)</f>
        <v>492.11810012836975</v>
      </c>
      <c r="V81" s="23" cm="1">
        <f t="array" ref="V81">INDEX($G81:$L81,,V$11)*V80*INDEX($G$84:$L$84,,V$11)</f>
        <v>656.15746683782629</v>
      </c>
      <c r="W81" s="23" cm="1">
        <f t="array" ref="W81">INDEX($G81:$L81,,W$11)*W80*INDEX($G$84:$L$84,,W$11)</f>
        <v>820.19683354728295</v>
      </c>
      <c r="X81" s="23" cm="1">
        <f t="array" ref="X81">INDEX($G81:$L81,,X$11)*X80*INDEX($G$84:$L$84,,X$11)</f>
        <v>984.23620025673949</v>
      </c>
      <c r="Y81" s="23" cm="1">
        <f t="array" ref="Y81">INDEX($G81:$L81,,Y$11)*Y80*INDEX($G$84:$L$84,,Y$11)</f>
        <v>1148.275566966196</v>
      </c>
      <c r="Z81" s="23" cm="1">
        <f t="array" ref="Z81">INDEX($G81:$L81,,Z$11)*Z80*INDEX($G$84:$L$84,,Z$11)</f>
        <v>2313.7179534201359</v>
      </c>
      <c r="AA81" s="23" cm="1">
        <f t="array" ref="AA81">INDEX($G81:$L81,,AA$11)*AA80*INDEX($G$84:$L$84,,AA$11)</f>
        <v>3095.3794241701817</v>
      </c>
      <c r="AB81" s="23" cm="1">
        <f t="array" ref="AB81">INDEX($G81:$L81,,AB$11)*AB80*INDEX($G$84:$L$84,,AB$11)</f>
        <v>3877.0408949202279</v>
      </c>
      <c r="AC81" s="23" cm="1">
        <f t="array" ref="AC81">INDEX($G81:$L81,,AC$11)*AC80*INDEX($G$84:$L$84,,AC$11)</f>
        <v>4658.7023656702731</v>
      </c>
      <c r="AD81" s="23" cm="1">
        <f t="array" ref="AD81">INDEX($G81:$L81,,AD$11)*AD80*INDEX($G$84:$L$84,,AD$11)</f>
        <v>5440.3638364203189</v>
      </c>
      <c r="AE81" s="23" cm="1">
        <f t="array" ref="AE81">INDEX($G81:$L81,,AE$11)*AE80*INDEX($G$84:$L$84,,AE$11)</f>
        <v>6222.0253071703655</v>
      </c>
      <c r="AF81" s="23" cm="1">
        <f t="array" ref="AF81">INDEX($G81:$L81,,AF$11)*AF80*INDEX($G$84:$L$84,,AF$11)</f>
        <v>7003.6867779204113</v>
      </c>
      <c r="AG81" s="23" cm="1">
        <f t="array" ref="AG81">INDEX($G81:$L81,,AG$11)*AG80*INDEX($G$84:$L$84,,AG$11)</f>
        <v>7785.348248670457</v>
      </c>
      <c r="AH81" s="23" cm="1">
        <f t="array" ref="AH81">INDEX($G81:$L81,,AH$11)*AH80*INDEX($G$84:$L$84,,AH$11)</f>
        <v>8567.0097194205046</v>
      </c>
      <c r="AI81" s="23" cm="1">
        <f t="array" ref="AI81">INDEX($G81:$L81,,AI$11)*AI80*INDEX($G$84:$L$84,,AI$11)</f>
        <v>9348.6711901705494</v>
      </c>
      <c r="AJ81" s="23" cm="1">
        <f t="array" ref="AJ81">INDEX($G81:$L81,,AJ$11)*AJ80*INDEX($G$84:$L$84,,AJ$11)</f>
        <v>10130.332660920598</v>
      </c>
      <c r="AK81" s="23" cm="1">
        <f t="array" ref="AK81">INDEX($G81:$L81,,AK$11)*AK80*INDEX($G$84:$L$84,,AK$11)</f>
        <v>10911.994131670643</v>
      </c>
      <c r="AL81" s="23" cm="1">
        <f t="array" ref="AL81">INDEX($G81:$L81,,AL$11)*AL80*INDEX($G$84:$L$84,,AL$11)</f>
        <v>15631.185000829602</v>
      </c>
      <c r="AM81" s="23" cm="1">
        <f t="array" ref="AM81">INDEX($G81:$L81,,AM$11)*AM80*INDEX($G$84:$L$84,,AM$11)</f>
        <v>18982.280509636465</v>
      </c>
      <c r="AN81" s="23" cm="1">
        <f t="array" ref="AN81">INDEX($G81:$L81,,AN$11)*AN80*INDEX($G$84:$L$84,,AN$11)</f>
        <v>22333.376018443327</v>
      </c>
      <c r="AO81" s="23" cm="1">
        <f t="array" ref="AO81">INDEX($G81:$L81,,AO$11)*AO80*INDEX($G$84:$L$84,,AO$11)</f>
        <v>25684.471527250185</v>
      </c>
      <c r="AP81" s="23" cm="1">
        <f t="array" ref="AP81">INDEX($G81:$L81,,AP$11)*AP80*INDEX($G$84:$L$84,,AP$11)</f>
        <v>29035.567036057048</v>
      </c>
      <c r="AQ81" s="23" cm="1">
        <f t="array" ref="AQ81">INDEX($G81:$L81,,AQ$11)*AQ80*INDEX($G$84:$L$84,,AQ$11)</f>
        <v>32386.662544863906</v>
      </c>
      <c r="AR81" s="23" cm="1">
        <f t="array" ref="AR81">INDEX($G81:$L81,,AR$11)*AR80*INDEX($G$84:$L$84,,AR$11)</f>
        <v>35737.758053670768</v>
      </c>
      <c r="AS81" s="23" cm="1">
        <f t="array" ref="AS81">INDEX($G81:$L81,,AS$11)*AS80*INDEX($G$84:$L$84,,AS$11)</f>
        <v>39088.853562477627</v>
      </c>
      <c r="AT81" s="23" cm="1">
        <f t="array" ref="AT81">INDEX($G81:$L81,,AT$11)*AT80*INDEX($G$84:$L$84,,AT$11)</f>
        <v>42439.949071284493</v>
      </c>
      <c r="AU81" s="23" cm="1">
        <f t="array" ref="AU81">INDEX($G81:$L81,,AU$11)*AU80*INDEX($G$84:$L$84,,AU$11)</f>
        <v>45791.044580091351</v>
      </c>
      <c r="AV81" s="23" cm="1">
        <f t="array" ref="AV81">INDEX($G81:$L81,,AV$11)*AV80*INDEX($G$84:$L$84,,AV$11)</f>
        <v>49142.14008889821</v>
      </c>
      <c r="AW81" s="23" cm="1">
        <f t="array" ref="AW81">INDEX($G81:$L81,,AW$11)*AW80*INDEX($G$84:$L$84,,AW$11)</f>
        <v>52493.235597705076</v>
      </c>
      <c r="AX81" s="23" cm="1">
        <f t="array" ref="AX81">INDEX($G81:$L81,,AX$11)*AX80*INDEX($G$84:$L$84,,AX$11)</f>
        <v>82770.860970245427</v>
      </c>
      <c r="AY81" s="23" cm="1">
        <f t="array" ref="AY81">INDEX($G81:$L81,,AY$11)*AY80*INDEX($G$84:$L$84,,AY$11)</f>
        <v>95539.068198120993</v>
      </c>
      <c r="AZ81" s="23" cm="1">
        <f t="array" ref="AZ81">INDEX($G81:$L81,,AZ$11)*AZ80*INDEX($G$84:$L$84,,AZ$11)</f>
        <v>108307.27542599656</v>
      </c>
      <c r="BA81" s="23" cm="1">
        <f t="array" ref="BA81">INDEX($G81:$L81,,BA$11)*BA80*INDEX($G$84:$L$84,,BA$11)</f>
        <v>121075.48265387212</v>
      </c>
      <c r="BB81" s="23" cm="1">
        <f t="array" ref="BB81">INDEX($G81:$L81,,BB$11)*BB80*INDEX($G$84:$L$84,,BB$11)</f>
        <v>133843.68988174768</v>
      </c>
      <c r="BC81" s="23" cm="1">
        <f t="array" ref="BC81">INDEX($G81:$L81,,BC$11)*BC80*INDEX($G$84:$L$84,,BC$11)</f>
        <v>146611.89710962324</v>
      </c>
      <c r="BD81" s="23" cm="1">
        <f t="array" ref="BD81">INDEX($G81:$L81,,BD$11)*BD80*INDEX($G$84:$L$84,,BD$11)</f>
        <v>159380.10433749881</v>
      </c>
      <c r="BE81" s="23" cm="1">
        <f t="array" ref="BE81">INDEX($G81:$L81,,BE$11)*BE80*INDEX($G$84:$L$84,,BE$11)</f>
        <v>172148.31156537434</v>
      </c>
      <c r="BF81" s="23" cm="1">
        <f t="array" ref="BF81">INDEX($G81:$L81,,BF$11)*BF80*INDEX($G$84:$L$84,,BF$11)</f>
        <v>184916.51879324994</v>
      </c>
      <c r="BG81" s="23" cm="1">
        <f t="array" ref="BG81">INDEX($G81:$L81,,BG$11)*BG80*INDEX($G$84:$L$84,,BG$11)</f>
        <v>197684.72602112553</v>
      </c>
      <c r="BH81" s="23" cm="1">
        <f t="array" ref="BH81">INDEX($G81:$L81,,BH$11)*BH80*INDEX($G$84:$L$84,,BH$11)</f>
        <v>210452.9332490011</v>
      </c>
      <c r="BI81" s="23" cm="1">
        <f t="array" ref="BI81">INDEX($G81:$L81,,BI$11)*BI80*INDEX($G$84:$L$84,,BI$11)</f>
        <v>223221.14047687667</v>
      </c>
      <c r="BJ81" s="23" cm="1">
        <f t="array" ref="BJ81">INDEX($G81:$L81,,BJ$11)*BJ80*INDEX($G$84:$L$84,,BJ$11)</f>
        <v>317481.03222826723</v>
      </c>
      <c r="BK81" s="23" cm="1">
        <f t="array" ref="BK81">INDEX($G81:$L81,,BK$11)*BK80*INDEX($G$84:$L$84,,BK$11)</f>
        <v>355907.72225957859</v>
      </c>
      <c r="BL81" s="23" cm="1">
        <f t="array" ref="BL81">INDEX($G81:$L81,,BL$11)*BL80*INDEX($G$84:$L$84,,BL$11)</f>
        <v>394334.41229088994</v>
      </c>
      <c r="BM81" s="23" cm="1">
        <f t="array" ref="BM81">INDEX($G81:$L81,,BM$11)*BM80*INDEX($G$84:$L$84,,BM$11)</f>
        <v>432761.1023222013</v>
      </c>
      <c r="BN81" s="23" cm="1">
        <f t="array" ref="BN81">INDEX($G81:$L81,,BN$11)*BN80*INDEX($G$84:$L$84,,BN$11)</f>
        <v>471187.79235351272</v>
      </c>
      <c r="BO81" s="23" cm="1">
        <f t="array" ref="BO81">INDEX($G81:$L81,,BO$11)*BO80*INDEX($G$84:$L$84,,BO$11)</f>
        <v>509614.48238482408</v>
      </c>
      <c r="BP81" s="23" cm="1">
        <f t="array" ref="BP81">INDEX($G81:$L81,,BP$11)*BP80*INDEX($G$84:$L$84,,BP$11)</f>
        <v>548041.17241613544</v>
      </c>
      <c r="BQ81" s="23" cm="1">
        <f t="array" ref="BQ81">INDEX($G81:$L81,,BQ$11)*BQ80*INDEX($G$84:$L$84,,BQ$11)</f>
        <v>586467.86244744679</v>
      </c>
      <c r="BR81" s="23" cm="1">
        <f t="array" ref="BR81">INDEX($G81:$L81,,BR$11)*BR80*INDEX($G$84:$L$84,,BR$11)</f>
        <v>624894.55247875815</v>
      </c>
      <c r="BS81" s="23" cm="1">
        <f t="array" ref="BS81">INDEX($G81:$L81,,BS$11)*BS80*INDEX($G$84:$L$84,,BS$11)</f>
        <v>663321.24251006963</v>
      </c>
      <c r="BT81" s="23" cm="1">
        <f t="array" ref="BT81">INDEX($G81:$L81,,BT$11)*BT80*INDEX($G$84:$L$84,,BT$11)</f>
        <v>701747.93254138099</v>
      </c>
      <c r="BU81" s="23" cm="1">
        <f t="array" ref="BU81">INDEX($G81:$L81,,BU$11)*BU80*INDEX($G$84:$L$84,,BU$11)</f>
        <v>740174.62257269234</v>
      </c>
      <c r="BV81" s="23" cm="1">
        <f t="array" ref="BV81">INDEX($G81:$L81,,BV$11)*BV80*INDEX($G$84:$L$84,,BV$11)</f>
        <v>982863.86865553283</v>
      </c>
      <c r="BW81" s="23" cm="1">
        <f t="array" ref="BW81">INDEX($G81:$L81,,BW$11)*BW80*INDEX($G$84:$L$84,,BW$11)</f>
        <v>1077458.9525589631</v>
      </c>
      <c r="BX81" s="23" cm="1">
        <f t="array" ref="BX81">INDEX($G81:$L81,,BX$11)*BX80*INDEX($G$84:$L$84,,BX$11)</f>
        <v>1172054.0364623936</v>
      </c>
      <c r="BY81" s="23" cm="1">
        <f t="array" ref="BY81">INDEX($G81:$L81,,BY$11)*BY80*INDEX($G$84:$L$84,,BY$11)</f>
        <v>1266649.1203658239</v>
      </c>
      <c r="BZ81" s="23" cm="1">
        <f t="array" ref="BZ81">INDEX($G81:$L81,,BZ$11)*BZ80*INDEX($G$84:$L$84,,BZ$11)</f>
        <v>1361244.2042692543</v>
      </c>
      <c r="CA81" s="23" cm="1">
        <f t="array" ref="CA81">INDEX($G81:$L81,,CA$11)*CA80*INDEX($G$84:$L$84,,CA$11)</f>
        <v>1455839.2881726846</v>
      </c>
      <c r="CB81" s="23" cm="1">
        <f t="array" ref="CB81">INDEX($G81:$L81,,CB$11)*CB80*INDEX($G$84:$L$84,,CB$11)</f>
        <v>1550434.3720761149</v>
      </c>
      <c r="CC81" s="23" cm="1">
        <f t="array" ref="CC81">INDEX($G81:$L81,,CC$11)*CC80*INDEX($G$84:$L$84,,CC$11)</f>
        <v>1645029.4559795451</v>
      </c>
      <c r="CD81" s="23" cm="1">
        <f t="array" ref="CD81">INDEX($G81:$L81,,CD$11)*CD80*INDEX($G$84:$L$84,,CD$11)</f>
        <v>1739624.5398829754</v>
      </c>
      <c r="CE81" s="23" cm="1">
        <f t="array" ref="CE81">INDEX($G81:$L81,,CE$11)*CE80*INDEX($G$84:$L$84,,CE$11)</f>
        <v>1834219.6237864059</v>
      </c>
      <c r="CF81" s="23" cm="1">
        <f t="array" ref="CF81">INDEX($G81:$L81,,CF$11)*CF80*INDEX($G$84:$L$84,,CF$11)</f>
        <v>1928814.7076898357</v>
      </c>
      <c r="CG81" s="23" cm="1">
        <f t="array" ref="CG81">INDEX($G81:$L81,,CG$11)*CG80*INDEX($G$84:$L$84,,CG$11)</f>
        <v>2023409.7915932662</v>
      </c>
    </row>
    <row r="82" spans="3:85" outlineLevel="1">
      <c r="C82" s="48"/>
      <c r="E82" s="44" t="s">
        <v>465</v>
      </c>
      <c r="F82" s="29" t="s">
        <v>466</v>
      </c>
      <c r="G82" s="107">
        <v>0.2</v>
      </c>
      <c r="H82" s="448"/>
      <c r="I82" s="448"/>
      <c r="J82" s="448"/>
      <c r="K82" s="448"/>
      <c r="L82" s="448"/>
      <c r="M82" s="9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</row>
    <row r="83" spans="3:85" outlineLevel="1">
      <c r="C83" s="48"/>
      <c r="E83" s="44" t="s">
        <v>464</v>
      </c>
      <c r="F83" s="29" t="s">
        <v>125</v>
      </c>
      <c r="G83" s="449">
        <f>G81*(1-$G$82)*12</f>
        <v>5750.4000000000005</v>
      </c>
      <c r="H83" s="449">
        <f t="shared" ref="H83:L83" si="269">H81*(1-$G$82)*12</f>
        <v>9590.4000000000015</v>
      </c>
      <c r="I83" s="449">
        <f t="shared" si="269"/>
        <v>14390.400000000001</v>
      </c>
      <c r="J83" s="449">
        <f t="shared" si="269"/>
        <v>19190.400000000001</v>
      </c>
      <c r="K83" s="449">
        <f t="shared" si="269"/>
        <v>23990.400000000001</v>
      </c>
      <c r="L83" s="449">
        <f t="shared" si="269"/>
        <v>28790.400000000001</v>
      </c>
      <c r="M83" s="93"/>
      <c r="N83" s="23" cm="1">
        <f t="array" ref="N83">INDEX($G83:$L83,,N$11)*N80*INDEX($G$85:$L$85,,N$11)</f>
        <v>0</v>
      </c>
      <c r="O83" s="23" cm="1">
        <f t="array" ref="O83">INDEX($G83:$L83,,O$11)*O80*INDEX($G$85:$L$85,,O$11)</f>
        <v>0</v>
      </c>
      <c r="P83" s="23" cm="1">
        <f t="array" ref="P83">INDEX($G83:$L83,,P$11)*P80*INDEX($G$85:$L$85,,P$11)</f>
        <v>0</v>
      </c>
      <c r="Q83" s="23" cm="1">
        <f t="array" ref="Q83">INDEX($G83:$L83,,Q$11)*Q80*INDEX($G$85:$L$85,,Q$11)</f>
        <v>0</v>
      </c>
      <c r="R83" s="23" cm="1">
        <f t="array" ref="R83">INDEX($G83:$L83,,R$11)*R80*INDEX($G$85:$L$85,,R$11)</f>
        <v>0</v>
      </c>
      <c r="S83" s="23" cm="1">
        <f t="array" ref="S83">INDEX($G83:$L83,,S$11)*S80*INDEX($G$85:$L$85,,S$11)</f>
        <v>0</v>
      </c>
      <c r="T83" s="23" cm="1">
        <f t="array" ref="T83">INDEX($G83:$L83,,T$11)*T80*INDEX($G$85:$L$85,,T$11)</f>
        <v>0</v>
      </c>
      <c r="U83" s="23" cm="1">
        <f t="array" ref="U83">INDEX($G83:$L83,,U$11)*U80*INDEX($G$85:$L$85,,U$11)</f>
        <v>0</v>
      </c>
      <c r="V83" s="23" cm="1">
        <f t="array" ref="V83">INDEX($G83:$L83,,V$11)*V80*INDEX($G$85:$L$85,,V$11)</f>
        <v>0</v>
      </c>
      <c r="W83" s="23" cm="1">
        <f t="array" ref="W83">INDEX($G83:$L83,,W$11)*W80*INDEX($G$85:$L$85,,W$11)</f>
        <v>0</v>
      </c>
      <c r="X83" s="23" cm="1">
        <f t="array" ref="X83">INDEX($G83:$L83,,X$11)*X80*INDEX($G$85:$L$85,,X$11)</f>
        <v>0</v>
      </c>
      <c r="Y83" s="23" cm="1">
        <f t="array" ref="Y83">INDEX($G83:$L83,,Y$11)*Y80*INDEX($G$85:$L$85,,Y$11)</f>
        <v>0</v>
      </c>
      <c r="Z83" s="23" cm="1">
        <f t="array" ref="Z83">INDEX($G83:$L83,,Z$11)*Z80*INDEX($G$85:$L$85,,Z$11)</f>
        <v>5552.9230882083257</v>
      </c>
      <c r="AA83" s="23" cm="1">
        <f t="array" ref="AA83">INDEX($G83:$L83,,AA$11)*AA80*INDEX($G$85:$L$85,,AA$11)</f>
        <v>7428.9106180084354</v>
      </c>
      <c r="AB83" s="23" cm="1">
        <f t="array" ref="AB83">INDEX($G83:$L83,,AB$11)*AB80*INDEX($G$85:$L$85,,AB$11)</f>
        <v>9304.8981478085443</v>
      </c>
      <c r="AC83" s="23" cm="1">
        <f t="array" ref="AC83">INDEX($G83:$L83,,AC$11)*AC80*INDEX($G$85:$L$85,,AC$11)</f>
        <v>11180.885677608654</v>
      </c>
      <c r="AD83" s="23" cm="1">
        <f t="array" ref="AD83">INDEX($G83:$L83,,AD$11)*AD80*INDEX($G$85:$L$85,,AD$11)</f>
        <v>13056.873207408764</v>
      </c>
      <c r="AE83" s="23" cm="1">
        <f t="array" ref="AE83">INDEX($G83:$L83,,AE$11)*AE80*INDEX($G$85:$L$85,,AE$11)</f>
        <v>14932.860737208875</v>
      </c>
      <c r="AF83" s="23" cm="1">
        <f t="array" ref="AF83">INDEX($G83:$L83,,AF$11)*AF80*INDEX($G$85:$L$85,,AF$11)</f>
        <v>16808.848267008987</v>
      </c>
      <c r="AG83" s="23" cm="1">
        <f t="array" ref="AG83">INDEX($G83:$L83,,AG$11)*AG80*INDEX($G$85:$L$85,,AG$11)</f>
        <v>18684.835796809097</v>
      </c>
      <c r="AH83" s="23" cm="1">
        <f t="array" ref="AH83">INDEX($G83:$L83,,AH$11)*AH80*INDEX($G$85:$L$85,,AH$11)</f>
        <v>20560.823326609207</v>
      </c>
      <c r="AI83" s="23" cm="1">
        <f t="array" ref="AI83">INDEX($G83:$L83,,AI$11)*AI80*INDEX($G$85:$L$85,,AI$11)</f>
        <v>22436.810856409316</v>
      </c>
      <c r="AJ83" s="23" cm="1">
        <f t="array" ref="AJ83">INDEX($G83:$L83,,AJ$11)*AJ80*INDEX($G$85:$L$85,,AJ$11)</f>
        <v>24312.79838620943</v>
      </c>
      <c r="AK83" s="23" cm="1">
        <f t="array" ref="AK83">INDEX($G83:$L83,,AK$11)*AK80*INDEX($G$85:$L$85,,AK$11)</f>
        <v>26188.78591600954</v>
      </c>
      <c r="AL83" s="23" cm="1">
        <f t="array" ref="AL83">INDEX($G83:$L83,,AL$11)*AL80*INDEX($G$85:$L$85,,AL$11)</f>
        <v>100039.58400530947</v>
      </c>
      <c r="AM83" s="23" cm="1">
        <f t="array" ref="AM83">INDEX($G83:$L83,,AM$11)*AM80*INDEX($G$85:$L$85,,AM$11)</f>
        <v>121486.5952616734</v>
      </c>
      <c r="AN83" s="23" cm="1">
        <f t="array" ref="AN83">INDEX($G83:$L83,,AN$11)*AN80*INDEX($G$85:$L$85,,AN$11)</f>
        <v>142933.6065180373</v>
      </c>
      <c r="AO83" s="23" cm="1">
        <f t="array" ref="AO83">INDEX($G83:$L83,,AO$11)*AO80*INDEX($G$85:$L$85,,AO$11)</f>
        <v>164380.61777440121</v>
      </c>
      <c r="AP83" s="23" cm="1">
        <f t="array" ref="AP83">INDEX($G83:$L83,,AP$11)*AP80*INDEX($G$85:$L$85,,AP$11)</f>
        <v>185827.62903076512</v>
      </c>
      <c r="AQ83" s="23" cm="1">
        <f t="array" ref="AQ83">INDEX($G83:$L83,,AQ$11)*AQ80*INDEX($G$85:$L$85,,AQ$11)</f>
        <v>207274.64028712903</v>
      </c>
      <c r="AR83" s="23" cm="1">
        <f t="array" ref="AR83">INDEX($G83:$L83,,AR$11)*AR80*INDEX($G$85:$L$85,,AR$11)</f>
        <v>228721.65154349292</v>
      </c>
      <c r="AS83" s="23" cm="1">
        <f t="array" ref="AS83">INDEX($G83:$L83,,AS$11)*AS80*INDEX($G$85:$L$85,,AS$11)</f>
        <v>250168.66279985686</v>
      </c>
      <c r="AT83" s="23" cm="1">
        <f t="array" ref="AT83">INDEX($G83:$L83,,AT$11)*AT80*INDEX($G$85:$L$85,,AT$11)</f>
        <v>271615.67405622074</v>
      </c>
      <c r="AU83" s="23" cm="1">
        <f t="array" ref="AU83">INDEX($G83:$L83,,AU$11)*AU80*INDEX($G$85:$L$85,,AU$11)</f>
        <v>293062.68531258468</v>
      </c>
      <c r="AV83" s="23" cm="1">
        <f t="array" ref="AV83">INDEX($G83:$L83,,AV$11)*AV80*INDEX($G$85:$L$85,,AV$11)</f>
        <v>314509.69656894862</v>
      </c>
      <c r="AW83" s="23" cm="1">
        <f t="array" ref="AW83">INDEX($G83:$L83,,AW$11)*AW80*INDEX($G$85:$L$85,,AW$11)</f>
        <v>335956.70782531257</v>
      </c>
      <c r="AX83" s="23" cm="1">
        <f t="array" ref="AX83">INDEX($G83:$L83,,AX$11)*AX80*INDEX($G$85:$L$85,,AX$11)</f>
        <v>529733.51020957087</v>
      </c>
      <c r="AY83" s="23" cm="1">
        <f t="array" ref="AY83">INDEX($G83:$L83,,AY$11)*AY80*INDEX($G$85:$L$85,,AY$11)</f>
        <v>611450.03646797442</v>
      </c>
      <c r="AZ83" s="23" cm="1">
        <f t="array" ref="AZ83">INDEX($G83:$L83,,AZ$11)*AZ80*INDEX($G$85:$L$85,,AZ$11)</f>
        <v>693166.56272637809</v>
      </c>
      <c r="BA83" s="23" cm="1">
        <f t="array" ref="BA83">INDEX($G83:$L83,,BA$11)*BA80*INDEX($G$85:$L$85,,BA$11)</f>
        <v>774883.08898478176</v>
      </c>
      <c r="BB83" s="23" cm="1">
        <f t="array" ref="BB83">INDEX($G83:$L83,,BB$11)*BB80*INDEX($G$85:$L$85,,BB$11)</f>
        <v>856599.61524318531</v>
      </c>
      <c r="BC83" s="23" cm="1">
        <f t="array" ref="BC83">INDEX($G83:$L83,,BC$11)*BC80*INDEX($G$85:$L$85,,BC$11)</f>
        <v>938316.14150158898</v>
      </c>
      <c r="BD83" s="23" cm="1">
        <f t="array" ref="BD83">INDEX($G83:$L83,,BD$11)*BD80*INDEX($G$85:$L$85,,BD$11)</f>
        <v>1020032.6677599926</v>
      </c>
      <c r="BE83" s="23" cm="1">
        <f t="array" ref="BE83">INDEX($G83:$L83,,BE$11)*BE80*INDEX($G$85:$L$85,,BE$11)</f>
        <v>1101749.1940183961</v>
      </c>
      <c r="BF83" s="23" cm="1">
        <f t="array" ref="BF83">INDEX($G83:$L83,,BF$11)*BF80*INDEX($G$85:$L$85,,BF$11)</f>
        <v>1183465.7202767998</v>
      </c>
      <c r="BG83" s="23" cm="1">
        <f t="array" ref="BG83">INDEX($G83:$L83,,BG$11)*BG80*INDEX($G$85:$L$85,,BG$11)</f>
        <v>1265182.2465352034</v>
      </c>
      <c r="BH83" s="23" cm="1">
        <f t="array" ref="BH83">INDEX($G83:$L83,,BH$11)*BH80*INDEX($G$85:$L$85,,BH$11)</f>
        <v>1346898.7727936073</v>
      </c>
      <c r="BI83" s="23" cm="1">
        <f t="array" ref="BI83">INDEX($G83:$L83,,BI$11)*BI80*INDEX($G$85:$L$85,,BI$11)</f>
        <v>1428615.299052011</v>
      </c>
      <c r="BJ83" s="23" cm="1">
        <f t="array" ref="BJ83">INDEX($G83:$L83,,BJ$11)*BJ80*INDEX($G$85:$L$85,,BJ$11)</f>
        <v>2031878.6062609104</v>
      </c>
      <c r="BK83" s="23" cm="1">
        <f t="array" ref="BK83">INDEX($G83:$L83,,BK$11)*BK80*INDEX($G$85:$L$85,,BK$11)</f>
        <v>2277809.422461303</v>
      </c>
      <c r="BL83" s="23" cm="1">
        <f t="array" ref="BL83">INDEX($G83:$L83,,BL$11)*BL80*INDEX($G$85:$L$85,,BL$11)</f>
        <v>2523740.2386616962</v>
      </c>
      <c r="BM83" s="23" cm="1">
        <f t="array" ref="BM83">INDEX($G83:$L83,,BM$11)*BM80*INDEX($G$85:$L$85,,BM$11)</f>
        <v>2769671.054862089</v>
      </c>
      <c r="BN83" s="23" cm="1">
        <f t="array" ref="BN83">INDEX($G83:$L83,,BN$11)*BN80*INDEX($G$85:$L$85,,BN$11)</f>
        <v>3015601.8710624818</v>
      </c>
      <c r="BO83" s="23" cm="1">
        <f t="array" ref="BO83">INDEX($G83:$L83,,BO$11)*BO80*INDEX($G$85:$L$85,,BO$11)</f>
        <v>3261532.6872628746</v>
      </c>
      <c r="BP83" s="23" cm="1">
        <f t="array" ref="BP83">INDEX($G83:$L83,,BP$11)*BP80*INDEX($G$85:$L$85,,BP$11)</f>
        <v>3507463.5034632678</v>
      </c>
      <c r="BQ83" s="23" cm="1">
        <f t="array" ref="BQ83">INDEX($G83:$L83,,BQ$11)*BQ80*INDEX($G$85:$L$85,,BQ$11)</f>
        <v>3753394.3196636606</v>
      </c>
      <c r="BR83" s="23" cm="1">
        <f t="array" ref="BR83">INDEX($G83:$L83,,BR$11)*BR80*INDEX($G$85:$L$85,,BR$11)</f>
        <v>3999325.1358640529</v>
      </c>
      <c r="BS83" s="23" cm="1">
        <f t="array" ref="BS83">INDEX($G83:$L83,,BS$11)*BS80*INDEX($G$85:$L$85,,BS$11)</f>
        <v>4245255.9520644462</v>
      </c>
      <c r="BT83" s="23" cm="1">
        <f t="array" ref="BT83">INDEX($G83:$L83,,BT$11)*BT80*INDEX($G$85:$L$85,,BT$11)</f>
        <v>4491186.7682648385</v>
      </c>
      <c r="BU83" s="23" cm="1">
        <f t="array" ref="BU83">INDEX($G83:$L83,,BU$11)*BU80*INDEX($G$85:$L$85,,BU$11)</f>
        <v>4737117.5844652317</v>
      </c>
      <c r="BV83" s="23" cm="1">
        <f t="array" ref="BV83">INDEX($G83:$L83,,BV$11)*BV80*INDEX($G$85:$L$85,,BV$11)</f>
        <v>6290328.7593954112</v>
      </c>
      <c r="BW83" s="23" cm="1">
        <f t="array" ref="BW83">INDEX($G83:$L83,,BW$11)*BW80*INDEX($G$85:$L$85,,BW$11)</f>
        <v>6895737.2963773655</v>
      </c>
      <c r="BX83" s="23" cm="1">
        <f t="array" ref="BX83">INDEX($G83:$L83,,BX$11)*BX80*INDEX($G$85:$L$85,,BX$11)</f>
        <v>7501145.8333593197</v>
      </c>
      <c r="BY83" s="23" cm="1">
        <f t="array" ref="BY83">INDEX($G83:$L83,,BY$11)*BY80*INDEX($G$85:$L$85,,BY$11)</f>
        <v>8106554.370341273</v>
      </c>
      <c r="BZ83" s="23" cm="1">
        <f t="array" ref="BZ83">INDEX($G83:$L83,,BZ$11)*BZ80*INDEX($G$85:$L$85,,BZ$11)</f>
        <v>8711962.9073232282</v>
      </c>
      <c r="CA83" s="23" cm="1">
        <f t="array" ref="CA83">INDEX($G83:$L83,,CA$11)*CA80*INDEX($G$85:$L$85,,CA$11)</f>
        <v>9317371.4443051815</v>
      </c>
      <c r="CB83" s="23" cm="1">
        <f t="array" ref="CB83">INDEX($G83:$L83,,CB$11)*CB80*INDEX($G$85:$L$85,,CB$11)</f>
        <v>9922779.9812871348</v>
      </c>
      <c r="CC83" s="23" cm="1">
        <f t="array" ref="CC83">INDEX($G83:$L83,,CC$11)*CC80*INDEX($G$85:$L$85,,CC$11)</f>
        <v>10528188.51826909</v>
      </c>
      <c r="CD83" s="23" cm="1">
        <f t="array" ref="CD83">INDEX($G83:$L83,,CD$11)*CD80*INDEX($G$85:$L$85,,CD$11)</f>
        <v>11133597.055251045</v>
      </c>
      <c r="CE83" s="23" cm="1">
        <f t="array" ref="CE83">INDEX($G83:$L83,,CE$11)*CE80*INDEX($G$85:$L$85,,CE$11)</f>
        <v>11739005.592232998</v>
      </c>
      <c r="CF83" s="23" cm="1">
        <f t="array" ref="CF83">INDEX($G83:$L83,,CF$11)*CF80*INDEX($G$85:$L$85,,CF$11)</f>
        <v>12344414.12921495</v>
      </c>
      <c r="CG83" s="23" cm="1">
        <f t="array" ref="CG83">INDEX($G83:$L83,,CG$11)*CG80*INDEX($G$85:$L$85,,CG$11)</f>
        <v>12949822.666196905</v>
      </c>
    </row>
    <row r="84" spans="3:85" outlineLevel="1">
      <c r="C84" s="48"/>
      <c r="E84" s="44" t="s">
        <v>467</v>
      </c>
      <c r="F84" s="29"/>
      <c r="G84" s="107">
        <v>1</v>
      </c>
      <c r="H84" s="107">
        <v>0.8</v>
      </c>
      <c r="I84" s="107">
        <v>0.6</v>
      </c>
      <c r="J84" s="107">
        <v>0.6</v>
      </c>
      <c r="K84" s="107">
        <v>0.6</v>
      </c>
      <c r="L84" s="107">
        <v>0.6</v>
      </c>
      <c r="M84" s="9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</row>
    <row r="85" spans="3:85" outlineLevel="1">
      <c r="C85" s="48"/>
      <c r="E85" s="44" t="s">
        <v>468</v>
      </c>
      <c r="F85" s="29"/>
      <c r="G85" s="450">
        <f t="shared" ref="G85:L85" si="270">1-G84</f>
        <v>0</v>
      </c>
      <c r="H85" s="450">
        <f t="shared" si="270"/>
        <v>0.19999999999999996</v>
      </c>
      <c r="I85" s="450">
        <f t="shared" si="270"/>
        <v>0.4</v>
      </c>
      <c r="J85" s="450">
        <f t="shared" si="270"/>
        <v>0.4</v>
      </c>
      <c r="K85" s="450">
        <f t="shared" si="270"/>
        <v>0.4</v>
      </c>
      <c r="L85" s="450">
        <f t="shared" si="270"/>
        <v>0.4</v>
      </c>
      <c r="M85" s="9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</row>
    <row r="86" spans="3:85" outlineLevel="1">
      <c r="C86" s="48"/>
      <c r="E86" s="103" t="s">
        <v>126</v>
      </c>
      <c r="F86" s="29"/>
      <c r="G86" s="24"/>
      <c r="H86" s="92"/>
      <c r="I86" s="94"/>
      <c r="J86" s="94"/>
      <c r="K86" s="94"/>
      <c r="L86" s="94"/>
      <c r="M86" s="93"/>
      <c r="N86" s="189">
        <f>SUM(N81:N85)</f>
        <v>0</v>
      </c>
      <c r="O86" s="189">
        <f t="shared" ref="O86:BZ86" si="271">SUM(O81:O85)</f>
        <v>0</v>
      </c>
      <c r="P86" s="189">
        <f t="shared" si="271"/>
        <v>0</v>
      </c>
      <c r="Q86" s="189">
        <f t="shared" si="271"/>
        <v>0</v>
      </c>
      <c r="R86" s="189">
        <f t="shared" si="271"/>
        <v>0</v>
      </c>
      <c r="S86" s="189">
        <f t="shared" si="271"/>
        <v>164.03936670945657</v>
      </c>
      <c r="T86" s="189">
        <f t="shared" si="271"/>
        <v>328.07873341891315</v>
      </c>
      <c r="U86" s="189">
        <f t="shared" si="271"/>
        <v>492.11810012836975</v>
      </c>
      <c r="V86" s="189">
        <f t="shared" si="271"/>
        <v>656.15746683782629</v>
      </c>
      <c r="W86" s="189">
        <f t="shared" si="271"/>
        <v>820.19683354728295</v>
      </c>
      <c r="X86" s="189">
        <f t="shared" si="271"/>
        <v>984.23620025673949</v>
      </c>
      <c r="Y86" s="189">
        <f t="shared" si="271"/>
        <v>1148.275566966196</v>
      </c>
      <c r="Z86" s="189">
        <f t="shared" si="271"/>
        <v>7866.6410416284616</v>
      </c>
      <c r="AA86" s="189">
        <f t="shared" si="271"/>
        <v>10524.290042178618</v>
      </c>
      <c r="AB86" s="189">
        <f t="shared" si="271"/>
        <v>13181.939042728773</v>
      </c>
      <c r="AC86" s="189">
        <f t="shared" si="271"/>
        <v>15839.588043278927</v>
      </c>
      <c r="AD86" s="189">
        <f t="shared" si="271"/>
        <v>18497.237043829082</v>
      </c>
      <c r="AE86" s="189">
        <f t="shared" si="271"/>
        <v>21154.88604437924</v>
      </c>
      <c r="AF86" s="189">
        <f t="shared" si="271"/>
        <v>23812.535044929398</v>
      </c>
      <c r="AG86" s="189">
        <f t="shared" si="271"/>
        <v>26470.184045479553</v>
      </c>
      <c r="AH86" s="189">
        <f t="shared" si="271"/>
        <v>29127.833046029711</v>
      </c>
      <c r="AI86" s="189">
        <f t="shared" si="271"/>
        <v>31785.482046579866</v>
      </c>
      <c r="AJ86" s="189">
        <f t="shared" si="271"/>
        <v>34443.131047130024</v>
      </c>
      <c r="AK86" s="189">
        <f t="shared" si="271"/>
        <v>37100.780047680179</v>
      </c>
      <c r="AL86" s="189">
        <f t="shared" si="271"/>
        <v>115670.76900613907</v>
      </c>
      <c r="AM86" s="189">
        <f t="shared" si="271"/>
        <v>140468.87577130986</v>
      </c>
      <c r="AN86" s="189">
        <f t="shared" si="271"/>
        <v>165266.98253648062</v>
      </c>
      <c r="AO86" s="189">
        <f t="shared" si="271"/>
        <v>190065.0893016514</v>
      </c>
      <c r="AP86" s="189">
        <f t="shared" si="271"/>
        <v>214863.19606682216</v>
      </c>
      <c r="AQ86" s="189">
        <f t="shared" si="271"/>
        <v>239661.30283199294</v>
      </c>
      <c r="AR86" s="189">
        <f t="shared" si="271"/>
        <v>264459.40959716367</v>
      </c>
      <c r="AS86" s="189">
        <f t="shared" si="271"/>
        <v>289257.51636233449</v>
      </c>
      <c r="AT86" s="189">
        <f t="shared" si="271"/>
        <v>314055.62312750524</v>
      </c>
      <c r="AU86" s="189">
        <f t="shared" si="271"/>
        <v>338853.72989267606</v>
      </c>
      <c r="AV86" s="189">
        <f t="shared" si="271"/>
        <v>363651.83665784681</v>
      </c>
      <c r="AW86" s="189">
        <f t="shared" si="271"/>
        <v>388449.94342301763</v>
      </c>
      <c r="AX86" s="189">
        <f t="shared" si="271"/>
        <v>612504.37117981631</v>
      </c>
      <c r="AY86" s="189">
        <f t="shared" si="271"/>
        <v>706989.10466609546</v>
      </c>
      <c r="AZ86" s="189">
        <f t="shared" si="271"/>
        <v>801473.83815237461</v>
      </c>
      <c r="BA86" s="189">
        <f t="shared" si="271"/>
        <v>895958.57163865387</v>
      </c>
      <c r="BB86" s="189">
        <f t="shared" si="271"/>
        <v>990443.30512493302</v>
      </c>
      <c r="BC86" s="189">
        <f t="shared" si="271"/>
        <v>1084928.0386112123</v>
      </c>
      <c r="BD86" s="189">
        <f t="shared" si="271"/>
        <v>1179412.7720974914</v>
      </c>
      <c r="BE86" s="189">
        <f t="shared" si="271"/>
        <v>1273897.5055837703</v>
      </c>
      <c r="BF86" s="189">
        <f t="shared" si="271"/>
        <v>1368382.2390700497</v>
      </c>
      <c r="BG86" s="189">
        <f t="shared" si="271"/>
        <v>1462866.9725563289</v>
      </c>
      <c r="BH86" s="189">
        <f t="shared" si="271"/>
        <v>1557351.7060426085</v>
      </c>
      <c r="BI86" s="189">
        <f t="shared" si="271"/>
        <v>1651836.4395288876</v>
      </c>
      <c r="BJ86" s="189">
        <f t="shared" si="271"/>
        <v>2349359.6384891775</v>
      </c>
      <c r="BK86" s="189">
        <f t="shared" si="271"/>
        <v>2633717.1447208817</v>
      </c>
      <c r="BL86" s="189">
        <f t="shared" si="271"/>
        <v>2918074.650952586</v>
      </c>
      <c r="BM86" s="189">
        <f t="shared" si="271"/>
        <v>3202432.1571842902</v>
      </c>
      <c r="BN86" s="189">
        <f t="shared" si="271"/>
        <v>3486789.6634159945</v>
      </c>
      <c r="BO86" s="189">
        <f t="shared" si="271"/>
        <v>3771147.1696476988</v>
      </c>
      <c r="BP86" s="189">
        <f t="shared" si="271"/>
        <v>4055504.675879403</v>
      </c>
      <c r="BQ86" s="189">
        <f t="shared" si="271"/>
        <v>4339862.1821111077</v>
      </c>
      <c r="BR86" s="189">
        <f t="shared" si="271"/>
        <v>4624219.6883428115</v>
      </c>
      <c r="BS86" s="189">
        <f t="shared" si="271"/>
        <v>4908577.1945745163</v>
      </c>
      <c r="BT86" s="189">
        <f t="shared" si="271"/>
        <v>5192934.7008062191</v>
      </c>
      <c r="BU86" s="189">
        <f t="shared" si="271"/>
        <v>5477292.2070379239</v>
      </c>
      <c r="BV86" s="189">
        <f t="shared" si="271"/>
        <v>7273192.6280509438</v>
      </c>
      <c r="BW86" s="189">
        <f t="shared" si="271"/>
        <v>7973196.248936329</v>
      </c>
      <c r="BX86" s="189">
        <f t="shared" si="271"/>
        <v>8673199.8698217124</v>
      </c>
      <c r="BY86" s="189">
        <f t="shared" si="271"/>
        <v>9373203.4907070976</v>
      </c>
      <c r="BZ86" s="189">
        <f t="shared" si="271"/>
        <v>10073207.111592483</v>
      </c>
      <c r="CA86" s="189">
        <f t="shared" ref="CA86:CG86" si="272">SUM(CA81:CA85)</f>
        <v>10773210.732477866</v>
      </c>
      <c r="CB86" s="189">
        <f t="shared" si="272"/>
        <v>11473214.353363249</v>
      </c>
      <c r="CC86" s="189">
        <f t="shared" si="272"/>
        <v>12173217.974248635</v>
      </c>
      <c r="CD86" s="189">
        <f t="shared" si="272"/>
        <v>12873221.59513402</v>
      </c>
      <c r="CE86" s="189">
        <f t="shared" si="272"/>
        <v>13573225.216019405</v>
      </c>
      <c r="CF86" s="189">
        <f t="shared" si="272"/>
        <v>14273228.836904787</v>
      </c>
      <c r="CG86" s="189">
        <f t="shared" si="272"/>
        <v>14973232.457790172</v>
      </c>
    </row>
    <row r="87" spans="3:85" outlineLevel="1">
      <c r="C87" s="48"/>
      <c r="E87" s="44"/>
      <c r="F87" s="29"/>
      <c r="G87" s="24"/>
      <c r="H87" s="92"/>
      <c r="I87" s="94"/>
      <c r="J87" s="94"/>
      <c r="K87" s="94"/>
      <c r="L87" s="94"/>
      <c r="M87" s="93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  <c r="AI87" s="118"/>
      <c r="AJ87" s="118"/>
      <c r="AK87" s="118"/>
    </row>
    <row r="88" spans="3:85" outlineLevel="1">
      <c r="C88" s="48"/>
      <c r="E88" s="45" t="str">
        <f>E61</f>
        <v>Ads</v>
      </c>
      <c r="F88" s="29"/>
      <c r="G88" s="24"/>
      <c r="H88" s="92"/>
      <c r="I88" s="94"/>
      <c r="J88" s="94"/>
      <c r="K88" s="94"/>
      <c r="L88" s="94"/>
      <c r="M88" s="93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</row>
    <row r="89" spans="3:85" outlineLevel="1">
      <c r="C89" s="48"/>
      <c r="E89" s="44" t="str">
        <f>E69</f>
        <v>Total Ad impressions</v>
      </c>
      <c r="F89" s="29" t="s">
        <v>124</v>
      </c>
      <c r="H89" s="94"/>
      <c r="I89" s="94"/>
      <c r="J89" s="94"/>
      <c r="K89" s="94"/>
      <c r="L89" s="94"/>
      <c r="M89" s="93"/>
      <c r="N89" s="93">
        <f t="shared" ref="N89:AK89" si="273">N69</f>
        <v>0</v>
      </c>
      <c r="O89" s="93">
        <f t="shared" si="273"/>
        <v>0</v>
      </c>
      <c r="P89" s="93">
        <f t="shared" si="273"/>
        <v>0</v>
      </c>
      <c r="Q89" s="93">
        <f t="shared" si="273"/>
        <v>0</v>
      </c>
      <c r="R89" s="93">
        <f t="shared" si="273"/>
        <v>0</v>
      </c>
      <c r="S89" s="93">
        <f t="shared" si="273"/>
        <v>4725</v>
      </c>
      <c r="T89" s="93">
        <f t="shared" si="273"/>
        <v>9450</v>
      </c>
      <c r="U89" s="93">
        <f t="shared" si="273"/>
        <v>14175</v>
      </c>
      <c r="V89" s="93">
        <f t="shared" si="273"/>
        <v>18900</v>
      </c>
      <c r="W89" s="93">
        <f t="shared" si="273"/>
        <v>23625</v>
      </c>
      <c r="X89" s="93">
        <f t="shared" si="273"/>
        <v>28350</v>
      </c>
      <c r="Y89" s="93">
        <f t="shared" si="273"/>
        <v>33075</v>
      </c>
      <c r="Z89" s="93">
        <f t="shared" si="273"/>
        <v>44100</v>
      </c>
      <c r="AA89" s="93">
        <f t="shared" si="273"/>
        <v>55125</v>
      </c>
      <c r="AB89" s="93">
        <f t="shared" si="273"/>
        <v>66150</v>
      </c>
      <c r="AC89" s="93">
        <f t="shared" si="273"/>
        <v>77175</v>
      </c>
      <c r="AD89" s="93">
        <f t="shared" si="273"/>
        <v>88200</v>
      </c>
      <c r="AE89" s="93">
        <f t="shared" si="273"/>
        <v>99225</v>
      </c>
      <c r="AF89" s="93">
        <f t="shared" si="273"/>
        <v>110250</v>
      </c>
      <c r="AG89" s="93">
        <f t="shared" si="273"/>
        <v>121275</v>
      </c>
      <c r="AH89" s="93">
        <f t="shared" si="273"/>
        <v>132300</v>
      </c>
      <c r="AI89" s="93">
        <f t="shared" si="273"/>
        <v>143325</v>
      </c>
      <c r="AJ89" s="93">
        <f t="shared" si="273"/>
        <v>154350</v>
      </c>
      <c r="AK89" s="93">
        <f t="shared" si="273"/>
        <v>165375</v>
      </c>
      <c r="AL89" s="93">
        <f t="shared" ref="AL89:CG89" si="274">AL69</f>
        <v>196875</v>
      </c>
      <c r="AM89" s="93">
        <f t="shared" si="274"/>
        <v>228375</v>
      </c>
      <c r="AN89" s="93">
        <f t="shared" si="274"/>
        <v>259875</v>
      </c>
      <c r="AO89" s="93">
        <f t="shared" si="274"/>
        <v>291375</v>
      </c>
      <c r="AP89" s="93">
        <f t="shared" si="274"/>
        <v>322875</v>
      </c>
      <c r="AQ89" s="93">
        <f t="shared" si="274"/>
        <v>354375</v>
      </c>
      <c r="AR89" s="93">
        <f t="shared" si="274"/>
        <v>385875</v>
      </c>
      <c r="AS89" s="93">
        <f t="shared" si="274"/>
        <v>417375</v>
      </c>
      <c r="AT89" s="93">
        <f t="shared" si="274"/>
        <v>448875</v>
      </c>
      <c r="AU89" s="93">
        <f t="shared" si="274"/>
        <v>480375</v>
      </c>
      <c r="AV89" s="93">
        <f t="shared" si="274"/>
        <v>511875</v>
      </c>
      <c r="AW89" s="93">
        <f t="shared" si="274"/>
        <v>543375</v>
      </c>
      <c r="AX89" s="93">
        <f t="shared" si="274"/>
        <v>615375</v>
      </c>
      <c r="AY89" s="93">
        <f t="shared" si="274"/>
        <v>687375</v>
      </c>
      <c r="AZ89" s="93">
        <f t="shared" si="274"/>
        <v>759375</v>
      </c>
      <c r="BA89" s="93">
        <f t="shared" si="274"/>
        <v>831375</v>
      </c>
      <c r="BB89" s="93">
        <f t="shared" si="274"/>
        <v>903375</v>
      </c>
      <c r="BC89" s="93">
        <f t="shared" si="274"/>
        <v>975375</v>
      </c>
      <c r="BD89" s="93">
        <f t="shared" si="274"/>
        <v>1047375</v>
      </c>
      <c r="BE89" s="93">
        <f t="shared" si="274"/>
        <v>1119375</v>
      </c>
      <c r="BF89" s="93">
        <f t="shared" si="274"/>
        <v>1191375</v>
      </c>
      <c r="BG89" s="93">
        <f t="shared" si="274"/>
        <v>1263375</v>
      </c>
      <c r="BH89" s="93">
        <f t="shared" si="274"/>
        <v>1335375</v>
      </c>
      <c r="BI89" s="93">
        <f t="shared" si="274"/>
        <v>1407375</v>
      </c>
      <c r="BJ89" s="93">
        <f t="shared" si="274"/>
        <v>1556100</v>
      </c>
      <c r="BK89" s="93">
        <f t="shared" si="274"/>
        <v>1704825</v>
      </c>
      <c r="BL89" s="93">
        <f t="shared" si="274"/>
        <v>1853550</v>
      </c>
      <c r="BM89" s="93">
        <f t="shared" si="274"/>
        <v>2002275</v>
      </c>
      <c r="BN89" s="93">
        <f t="shared" si="274"/>
        <v>2151000</v>
      </c>
      <c r="BO89" s="93">
        <f t="shared" si="274"/>
        <v>2299725</v>
      </c>
      <c r="BP89" s="93">
        <f t="shared" si="274"/>
        <v>2448450</v>
      </c>
      <c r="BQ89" s="93">
        <f t="shared" si="274"/>
        <v>2597175</v>
      </c>
      <c r="BR89" s="93">
        <f t="shared" si="274"/>
        <v>2745900</v>
      </c>
      <c r="BS89" s="93">
        <f t="shared" si="274"/>
        <v>2894625</v>
      </c>
      <c r="BT89" s="93">
        <f t="shared" si="274"/>
        <v>3043350</v>
      </c>
      <c r="BU89" s="93">
        <f t="shared" si="274"/>
        <v>3192075</v>
      </c>
      <c r="BV89" s="93">
        <f t="shared" si="274"/>
        <v>3496725</v>
      </c>
      <c r="BW89" s="93">
        <f t="shared" si="274"/>
        <v>3801375</v>
      </c>
      <c r="BX89" s="93">
        <f t="shared" si="274"/>
        <v>4106025</v>
      </c>
      <c r="BY89" s="93">
        <f t="shared" si="274"/>
        <v>4410675</v>
      </c>
      <c r="BZ89" s="93">
        <f t="shared" si="274"/>
        <v>4715325</v>
      </c>
      <c r="CA89" s="93">
        <f t="shared" si="274"/>
        <v>5019975</v>
      </c>
      <c r="CB89" s="93">
        <f t="shared" si="274"/>
        <v>5324625</v>
      </c>
      <c r="CC89" s="93">
        <f t="shared" si="274"/>
        <v>5629275</v>
      </c>
      <c r="CD89" s="93">
        <f t="shared" si="274"/>
        <v>5933925</v>
      </c>
      <c r="CE89" s="93">
        <f t="shared" si="274"/>
        <v>6238575</v>
      </c>
      <c r="CF89" s="93">
        <f t="shared" si="274"/>
        <v>6543225</v>
      </c>
      <c r="CG89" s="93">
        <f t="shared" si="274"/>
        <v>6847875</v>
      </c>
    </row>
    <row r="90" spans="3:85" ht="17.399999999999999" customHeight="1" outlineLevel="1">
      <c r="C90" s="48"/>
      <c r="E90" s="44" t="str">
        <f>E65</f>
        <v>Clicks</v>
      </c>
      <c r="F90" s="29" t="str">
        <f>F65</f>
        <v>% users who click on ad</v>
      </c>
      <c r="H90" s="113"/>
      <c r="I90" s="94"/>
      <c r="J90" s="94"/>
      <c r="K90" s="94"/>
      <c r="L90" s="94"/>
      <c r="M90" s="93"/>
      <c r="N90" s="93">
        <f t="shared" ref="N90:AK90" si="275">N65</f>
        <v>0</v>
      </c>
      <c r="O90" s="93">
        <f t="shared" si="275"/>
        <v>0</v>
      </c>
      <c r="P90" s="93">
        <f t="shared" si="275"/>
        <v>0</v>
      </c>
      <c r="Q90" s="93">
        <f t="shared" si="275"/>
        <v>0</v>
      </c>
      <c r="R90" s="93">
        <f t="shared" si="275"/>
        <v>0</v>
      </c>
      <c r="S90" s="93">
        <f t="shared" si="275"/>
        <v>1.05</v>
      </c>
      <c r="T90" s="93">
        <f t="shared" si="275"/>
        <v>2.1</v>
      </c>
      <c r="U90" s="93">
        <f t="shared" si="275"/>
        <v>3.1500000000000004</v>
      </c>
      <c r="V90" s="93">
        <f t="shared" si="275"/>
        <v>4.2</v>
      </c>
      <c r="W90" s="93">
        <f t="shared" si="275"/>
        <v>5.25</v>
      </c>
      <c r="X90" s="93">
        <f t="shared" si="275"/>
        <v>6.3000000000000007</v>
      </c>
      <c r="Y90" s="93">
        <f t="shared" si="275"/>
        <v>7.3500000000000005</v>
      </c>
      <c r="Z90" s="93">
        <f t="shared" si="275"/>
        <v>9.8000000000000007</v>
      </c>
      <c r="AA90" s="93">
        <f t="shared" si="275"/>
        <v>12.25</v>
      </c>
      <c r="AB90" s="93">
        <f t="shared" si="275"/>
        <v>14.700000000000001</v>
      </c>
      <c r="AC90" s="93">
        <f t="shared" si="275"/>
        <v>17.150000000000002</v>
      </c>
      <c r="AD90" s="93">
        <f t="shared" si="275"/>
        <v>19.600000000000001</v>
      </c>
      <c r="AE90" s="93">
        <f t="shared" si="275"/>
        <v>22.05</v>
      </c>
      <c r="AF90" s="93">
        <f t="shared" si="275"/>
        <v>24.5</v>
      </c>
      <c r="AG90" s="93">
        <f t="shared" si="275"/>
        <v>26.950000000000003</v>
      </c>
      <c r="AH90" s="93">
        <f t="shared" si="275"/>
        <v>29.400000000000002</v>
      </c>
      <c r="AI90" s="93">
        <f t="shared" si="275"/>
        <v>31.85</v>
      </c>
      <c r="AJ90" s="93">
        <f t="shared" si="275"/>
        <v>34.300000000000004</v>
      </c>
      <c r="AK90" s="93">
        <f t="shared" si="275"/>
        <v>36.75</v>
      </c>
      <c r="AL90" s="93">
        <f t="shared" ref="AL90:CG90" si="276">AL65</f>
        <v>43.75</v>
      </c>
      <c r="AM90" s="93">
        <f t="shared" si="276"/>
        <v>50.75</v>
      </c>
      <c r="AN90" s="93">
        <f t="shared" si="276"/>
        <v>57.75</v>
      </c>
      <c r="AO90" s="93">
        <f t="shared" si="276"/>
        <v>64.75</v>
      </c>
      <c r="AP90" s="93">
        <f t="shared" si="276"/>
        <v>71.75</v>
      </c>
      <c r="AQ90" s="93">
        <f t="shared" si="276"/>
        <v>78.75</v>
      </c>
      <c r="AR90" s="93">
        <f t="shared" si="276"/>
        <v>85.75</v>
      </c>
      <c r="AS90" s="93">
        <f t="shared" si="276"/>
        <v>92.75</v>
      </c>
      <c r="AT90" s="93">
        <f t="shared" si="276"/>
        <v>99.75</v>
      </c>
      <c r="AU90" s="93">
        <f t="shared" si="276"/>
        <v>106.75</v>
      </c>
      <c r="AV90" s="93">
        <f t="shared" si="276"/>
        <v>113.75</v>
      </c>
      <c r="AW90" s="93">
        <f t="shared" si="276"/>
        <v>120.75</v>
      </c>
      <c r="AX90" s="93">
        <f t="shared" si="276"/>
        <v>136.75</v>
      </c>
      <c r="AY90" s="93">
        <f t="shared" si="276"/>
        <v>152.75</v>
      </c>
      <c r="AZ90" s="93">
        <f t="shared" si="276"/>
        <v>168.75</v>
      </c>
      <c r="BA90" s="93">
        <f t="shared" si="276"/>
        <v>184.75</v>
      </c>
      <c r="BB90" s="93">
        <f t="shared" si="276"/>
        <v>200.75</v>
      </c>
      <c r="BC90" s="93">
        <f t="shared" si="276"/>
        <v>216.75</v>
      </c>
      <c r="BD90" s="93">
        <f t="shared" si="276"/>
        <v>232.75</v>
      </c>
      <c r="BE90" s="93">
        <f t="shared" si="276"/>
        <v>248.75</v>
      </c>
      <c r="BF90" s="93">
        <f t="shared" si="276"/>
        <v>264.75</v>
      </c>
      <c r="BG90" s="93">
        <f t="shared" si="276"/>
        <v>280.75</v>
      </c>
      <c r="BH90" s="93">
        <f t="shared" si="276"/>
        <v>296.75</v>
      </c>
      <c r="BI90" s="93">
        <f t="shared" si="276"/>
        <v>312.75</v>
      </c>
      <c r="BJ90" s="93">
        <f t="shared" si="276"/>
        <v>345.8</v>
      </c>
      <c r="BK90" s="93">
        <f t="shared" si="276"/>
        <v>378.85</v>
      </c>
      <c r="BL90" s="93">
        <f t="shared" si="276"/>
        <v>411.90000000000003</v>
      </c>
      <c r="BM90" s="93">
        <f t="shared" si="276"/>
        <v>444.95000000000005</v>
      </c>
      <c r="BN90" s="93">
        <f t="shared" si="276"/>
        <v>478</v>
      </c>
      <c r="BO90" s="93">
        <f t="shared" si="276"/>
        <v>511.05</v>
      </c>
      <c r="BP90" s="93">
        <f t="shared" si="276"/>
        <v>544.1</v>
      </c>
      <c r="BQ90" s="93">
        <f t="shared" si="276"/>
        <v>577.15</v>
      </c>
      <c r="BR90" s="93">
        <f t="shared" si="276"/>
        <v>610.20000000000005</v>
      </c>
      <c r="BS90" s="93">
        <f t="shared" si="276"/>
        <v>643.25</v>
      </c>
      <c r="BT90" s="93">
        <f t="shared" si="276"/>
        <v>676.30000000000007</v>
      </c>
      <c r="BU90" s="93">
        <f t="shared" si="276"/>
        <v>709.35</v>
      </c>
      <c r="BV90" s="93">
        <f t="shared" si="276"/>
        <v>777.05000000000007</v>
      </c>
      <c r="BW90" s="93">
        <f t="shared" si="276"/>
        <v>844.75</v>
      </c>
      <c r="BX90" s="93">
        <f t="shared" si="276"/>
        <v>912.45</v>
      </c>
      <c r="BY90" s="93">
        <f t="shared" si="276"/>
        <v>980.15000000000009</v>
      </c>
      <c r="BZ90" s="93">
        <f t="shared" si="276"/>
        <v>1047.8500000000001</v>
      </c>
      <c r="CA90" s="93">
        <f t="shared" si="276"/>
        <v>1115.55</v>
      </c>
      <c r="CB90" s="93">
        <f t="shared" si="276"/>
        <v>1183.25</v>
      </c>
      <c r="CC90" s="93">
        <f t="shared" si="276"/>
        <v>1250.95</v>
      </c>
      <c r="CD90" s="93">
        <f t="shared" si="276"/>
        <v>1318.65</v>
      </c>
      <c r="CE90" s="93">
        <f t="shared" si="276"/>
        <v>1386.3500000000001</v>
      </c>
      <c r="CF90" s="93">
        <f t="shared" si="276"/>
        <v>1454.0500000000002</v>
      </c>
      <c r="CG90" s="93">
        <f t="shared" si="276"/>
        <v>1521.75</v>
      </c>
    </row>
    <row r="91" spans="3:85" ht="21" outlineLevel="1">
      <c r="C91" s="48"/>
      <c r="E91" s="44" t="str">
        <f>IF(switch=1, CPM, IF(switch=2, CPC, IF(switch=3, BOTH, "")))</f>
        <v>CPM</v>
      </c>
      <c r="F91" s="35" t="s">
        <v>127</v>
      </c>
      <c r="G91" s="113">
        <f>'Revenue Assumptions'!G48</f>
        <v>0.25</v>
      </c>
      <c r="I91" s="94"/>
      <c r="J91" s="94"/>
      <c r="K91" s="94"/>
      <c r="L91" s="94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</row>
    <row r="92" spans="3:85" ht="21" outlineLevel="1">
      <c r="C92" s="48"/>
      <c r="E92" s="44"/>
      <c r="F92" s="29"/>
      <c r="H92" s="113"/>
      <c r="I92" s="94"/>
      <c r="J92" s="94"/>
      <c r="K92" s="94"/>
      <c r="L92" s="94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</row>
    <row r="93" spans="3:85" outlineLevel="1">
      <c r="C93" s="48"/>
      <c r="E93" s="44" t="s">
        <v>46</v>
      </c>
      <c r="F93" s="29" t="s">
        <v>128</v>
      </c>
      <c r="G93" s="112">
        <v>2</v>
      </c>
      <c r="H93" s="112">
        <v>3</v>
      </c>
      <c r="I93" s="112">
        <v>4</v>
      </c>
      <c r="J93" s="112">
        <v>5</v>
      </c>
      <c r="K93" s="112">
        <v>6</v>
      </c>
      <c r="L93" s="112">
        <v>6</v>
      </c>
      <c r="M93" s="93"/>
      <c r="N93" s="118">
        <f>IF($E$91=$E$93:$E$95,(N$89*(INDEX($G93:$L93,,N$11)/1000)),0)</f>
        <v>0</v>
      </c>
      <c r="O93" s="118">
        <f t="shared" ref="O93:AS93" si="277">IF($E$91=$E$93:$E$95,(O$89*(INDEX($G93:$L93,,O$11)/1000)),0)</f>
        <v>0</v>
      </c>
      <c r="P93" s="118">
        <f t="shared" si="277"/>
        <v>0</v>
      </c>
      <c r="Q93" s="118">
        <f t="shared" si="277"/>
        <v>0</v>
      </c>
      <c r="R93" s="118">
        <f t="shared" si="277"/>
        <v>0</v>
      </c>
      <c r="S93" s="118">
        <f>IF($E$91=$E$93:$E$95,(S$89*(INDEX($G93:$L93,,S$11)/1000)),0)</f>
        <v>9.4500000000000011</v>
      </c>
      <c r="T93" s="118">
        <f t="shared" si="277"/>
        <v>18.900000000000002</v>
      </c>
      <c r="U93" s="118">
        <f t="shared" si="277"/>
        <v>28.35</v>
      </c>
      <c r="V93" s="118">
        <f t="shared" si="277"/>
        <v>37.800000000000004</v>
      </c>
      <c r="W93" s="118">
        <f t="shared" si="277"/>
        <v>47.25</v>
      </c>
      <c r="X93" s="118">
        <f t="shared" si="277"/>
        <v>56.7</v>
      </c>
      <c r="Y93" s="118">
        <f t="shared" si="277"/>
        <v>66.150000000000006</v>
      </c>
      <c r="Z93" s="118">
        <f t="shared" si="277"/>
        <v>132.30000000000001</v>
      </c>
      <c r="AA93" s="118">
        <f t="shared" si="277"/>
        <v>165.375</v>
      </c>
      <c r="AB93" s="118">
        <f t="shared" si="277"/>
        <v>198.45000000000002</v>
      </c>
      <c r="AC93" s="118">
        <f t="shared" si="277"/>
        <v>231.52500000000001</v>
      </c>
      <c r="AD93" s="118">
        <f t="shared" si="277"/>
        <v>264.60000000000002</v>
      </c>
      <c r="AE93" s="118">
        <f t="shared" si="277"/>
        <v>297.67500000000001</v>
      </c>
      <c r="AF93" s="118">
        <f t="shared" si="277"/>
        <v>330.75</v>
      </c>
      <c r="AG93" s="118">
        <f t="shared" si="277"/>
        <v>363.82499999999999</v>
      </c>
      <c r="AH93" s="118">
        <f t="shared" si="277"/>
        <v>396.90000000000003</v>
      </c>
      <c r="AI93" s="118">
        <f t="shared" si="277"/>
        <v>429.97500000000002</v>
      </c>
      <c r="AJ93" s="118">
        <f t="shared" si="277"/>
        <v>463.05</v>
      </c>
      <c r="AK93" s="118">
        <f t="shared" si="277"/>
        <v>496.125</v>
      </c>
      <c r="AL93" s="118">
        <f t="shared" si="277"/>
        <v>787.5</v>
      </c>
      <c r="AM93" s="118">
        <f t="shared" si="277"/>
        <v>913.5</v>
      </c>
      <c r="AN93" s="118">
        <f t="shared" si="277"/>
        <v>1039.5</v>
      </c>
      <c r="AO93" s="118">
        <f t="shared" si="277"/>
        <v>1165.5</v>
      </c>
      <c r="AP93" s="118">
        <f t="shared" si="277"/>
        <v>1291.5</v>
      </c>
      <c r="AQ93" s="118">
        <f t="shared" si="277"/>
        <v>1417.5</v>
      </c>
      <c r="AR93" s="118">
        <f t="shared" si="277"/>
        <v>1543.5</v>
      </c>
      <c r="AS93" s="118">
        <f t="shared" si="277"/>
        <v>1669.5</v>
      </c>
      <c r="AT93" s="118">
        <f t="shared" ref="AT93:BY93" si="278">IF($E$91=$E$93:$E$95,(AT$89*(INDEX($G93:$L93,,AT$11)/1000)),0)</f>
        <v>1795.5</v>
      </c>
      <c r="AU93" s="118">
        <f t="shared" si="278"/>
        <v>1921.5</v>
      </c>
      <c r="AV93" s="118">
        <f t="shared" si="278"/>
        <v>2047.5</v>
      </c>
      <c r="AW93" s="118">
        <f t="shared" si="278"/>
        <v>2173.5</v>
      </c>
      <c r="AX93" s="118">
        <f t="shared" si="278"/>
        <v>3076.875</v>
      </c>
      <c r="AY93" s="118">
        <f t="shared" si="278"/>
        <v>3436.875</v>
      </c>
      <c r="AZ93" s="118">
        <f t="shared" si="278"/>
        <v>3796.875</v>
      </c>
      <c r="BA93" s="118">
        <f t="shared" si="278"/>
        <v>4156.875</v>
      </c>
      <c r="BB93" s="118">
        <f t="shared" si="278"/>
        <v>4516.875</v>
      </c>
      <c r="BC93" s="118">
        <f t="shared" si="278"/>
        <v>4876.875</v>
      </c>
      <c r="BD93" s="118">
        <f t="shared" si="278"/>
        <v>5236.875</v>
      </c>
      <c r="BE93" s="118">
        <f t="shared" si="278"/>
        <v>5596.875</v>
      </c>
      <c r="BF93" s="118">
        <f t="shared" si="278"/>
        <v>5956.875</v>
      </c>
      <c r="BG93" s="118">
        <f t="shared" si="278"/>
        <v>6316.875</v>
      </c>
      <c r="BH93" s="118">
        <f t="shared" si="278"/>
        <v>6676.875</v>
      </c>
      <c r="BI93" s="118">
        <f t="shared" si="278"/>
        <v>7036.875</v>
      </c>
      <c r="BJ93" s="118">
        <f t="shared" si="278"/>
        <v>9336.6</v>
      </c>
      <c r="BK93" s="118">
        <f t="shared" si="278"/>
        <v>10228.950000000001</v>
      </c>
      <c r="BL93" s="118">
        <f t="shared" si="278"/>
        <v>11121.300000000001</v>
      </c>
      <c r="BM93" s="118">
        <f t="shared" si="278"/>
        <v>12013.65</v>
      </c>
      <c r="BN93" s="118">
        <f t="shared" si="278"/>
        <v>12906</v>
      </c>
      <c r="BO93" s="118">
        <f t="shared" si="278"/>
        <v>13798.35</v>
      </c>
      <c r="BP93" s="118">
        <f t="shared" si="278"/>
        <v>14690.7</v>
      </c>
      <c r="BQ93" s="118">
        <f t="shared" si="278"/>
        <v>15583.050000000001</v>
      </c>
      <c r="BR93" s="118">
        <f t="shared" si="278"/>
        <v>16475.400000000001</v>
      </c>
      <c r="BS93" s="118">
        <f t="shared" si="278"/>
        <v>17367.75</v>
      </c>
      <c r="BT93" s="118">
        <f t="shared" si="278"/>
        <v>18260.100000000002</v>
      </c>
      <c r="BU93" s="118">
        <f t="shared" si="278"/>
        <v>19152.45</v>
      </c>
      <c r="BV93" s="118">
        <f t="shared" si="278"/>
        <v>20980.350000000002</v>
      </c>
      <c r="BW93" s="118">
        <f t="shared" si="278"/>
        <v>22808.25</v>
      </c>
      <c r="BX93" s="118">
        <f t="shared" si="278"/>
        <v>24636.15</v>
      </c>
      <c r="BY93" s="118">
        <f t="shared" si="278"/>
        <v>26464.05</v>
      </c>
      <c r="BZ93" s="118">
        <f t="shared" ref="BZ93:CG93" si="279">IF($E$91=$E$93:$E$95,(BZ$89*(INDEX($G93:$L93,,BZ$11)/1000)),0)</f>
        <v>28291.95</v>
      </c>
      <c r="CA93" s="118">
        <f t="shared" si="279"/>
        <v>30119.850000000002</v>
      </c>
      <c r="CB93" s="118">
        <f t="shared" si="279"/>
        <v>31947.75</v>
      </c>
      <c r="CC93" s="118">
        <f t="shared" si="279"/>
        <v>33775.65</v>
      </c>
      <c r="CD93" s="118">
        <f t="shared" si="279"/>
        <v>35603.550000000003</v>
      </c>
      <c r="CE93" s="118">
        <f t="shared" si="279"/>
        <v>37431.450000000004</v>
      </c>
      <c r="CF93" s="118">
        <f t="shared" si="279"/>
        <v>39259.35</v>
      </c>
      <c r="CG93" s="118">
        <f t="shared" si="279"/>
        <v>41087.25</v>
      </c>
    </row>
    <row r="94" spans="3:85" outlineLevel="1">
      <c r="C94" s="48"/>
      <c r="E94" s="44" t="s">
        <v>48</v>
      </c>
      <c r="F94" s="29" t="s">
        <v>128</v>
      </c>
      <c r="G94" s="115">
        <v>0.5</v>
      </c>
      <c r="H94" s="115">
        <v>1</v>
      </c>
      <c r="I94" s="115">
        <v>2</v>
      </c>
      <c r="J94" s="115">
        <v>3</v>
      </c>
      <c r="K94" s="115">
        <v>3</v>
      </c>
      <c r="L94" s="115">
        <v>3</v>
      </c>
      <c r="M94" s="93"/>
      <c r="N94" s="118">
        <f t="shared" ref="N94:AS94" si="280">IF($E$91=$E$93:$E$95,(N90*INDEX($G94:$L94,,N$11)*$G$91),0)</f>
        <v>0</v>
      </c>
      <c r="O94" s="118">
        <f t="shared" si="280"/>
        <v>0</v>
      </c>
      <c r="P94" s="118">
        <f t="shared" si="280"/>
        <v>0</v>
      </c>
      <c r="Q94" s="118">
        <f t="shared" si="280"/>
        <v>0</v>
      </c>
      <c r="R94" s="118">
        <f t="shared" si="280"/>
        <v>0</v>
      </c>
      <c r="S94" s="118">
        <f t="shared" si="280"/>
        <v>0</v>
      </c>
      <c r="T94" s="118">
        <f t="shared" si="280"/>
        <v>0</v>
      </c>
      <c r="U94" s="118">
        <f t="shared" si="280"/>
        <v>0</v>
      </c>
      <c r="V94" s="118">
        <f t="shared" si="280"/>
        <v>0</v>
      </c>
      <c r="W94" s="118">
        <f t="shared" si="280"/>
        <v>0</v>
      </c>
      <c r="X94" s="118">
        <f t="shared" si="280"/>
        <v>0</v>
      </c>
      <c r="Y94" s="118">
        <f t="shared" si="280"/>
        <v>0</v>
      </c>
      <c r="Z94" s="118">
        <f t="shared" si="280"/>
        <v>0</v>
      </c>
      <c r="AA94" s="118">
        <f t="shared" si="280"/>
        <v>0</v>
      </c>
      <c r="AB94" s="118">
        <f t="shared" si="280"/>
        <v>0</v>
      </c>
      <c r="AC94" s="118">
        <f t="shared" si="280"/>
        <v>0</v>
      </c>
      <c r="AD94" s="118">
        <f t="shared" si="280"/>
        <v>0</v>
      </c>
      <c r="AE94" s="118">
        <f t="shared" si="280"/>
        <v>0</v>
      </c>
      <c r="AF94" s="118">
        <f t="shared" si="280"/>
        <v>0</v>
      </c>
      <c r="AG94" s="118">
        <f t="shared" si="280"/>
        <v>0</v>
      </c>
      <c r="AH94" s="118">
        <f t="shared" si="280"/>
        <v>0</v>
      </c>
      <c r="AI94" s="118">
        <f t="shared" si="280"/>
        <v>0</v>
      </c>
      <c r="AJ94" s="118">
        <f t="shared" si="280"/>
        <v>0</v>
      </c>
      <c r="AK94" s="118">
        <f t="shared" si="280"/>
        <v>0</v>
      </c>
      <c r="AL94" s="118">
        <f t="shared" si="280"/>
        <v>0</v>
      </c>
      <c r="AM94" s="118">
        <f t="shared" si="280"/>
        <v>0</v>
      </c>
      <c r="AN94" s="118">
        <f t="shared" si="280"/>
        <v>0</v>
      </c>
      <c r="AO94" s="118">
        <f t="shared" si="280"/>
        <v>0</v>
      </c>
      <c r="AP94" s="118">
        <f t="shared" si="280"/>
        <v>0</v>
      </c>
      <c r="AQ94" s="118">
        <f t="shared" si="280"/>
        <v>0</v>
      </c>
      <c r="AR94" s="118">
        <f t="shared" si="280"/>
        <v>0</v>
      </c>
      <c r="AS94" s="118">
        <f t="shared" si="280"/>
        <v>0</v>
      </c>
      <c r="AT94" s="118">
        <f t="shared" ref="AT94:BY94" si="281">IF($E$91=$E$93:$E$95,(AT90*INDEX($G94:$L94,,AT$11)*$G$91),0)</f>
        <v>0</v>
      </c>
      <c r="AU94" s="118">
        <f t="shared" si="281"/>
        <v>0</v>
      </c>
      <c r="AV94" s="118">
        <f t="shared" si="281"/>
        <v>0</v>
      </c>
      <c r="AW94" s="118">
        <f t="shared" si="281"/>
        <v>0</v>
      </c>
      <c r="AX94" s="118">
        <f t="shared" si="281"/>
        <v>0</v>
      </c>
      <c r="AY94" s="118">
        <f t="shared" si="281"/>
        <v>0</v>
      </c>
      <c r="AZ94" s="118">
        <f t="shared" si="281"/>
        <v>0</v>
      </c>
      <c r="BA94" s="118">
        <f t="shared" si="281"/>
        <v>0</v>
      </c>
      <c r="BB94" s="118">
        <f t="shared" si="281"/>
        <v>0</v>
      </c>
      <c r="BC94" s="118">
        <f t="shared" si="281"/>
        <v>0</v>
      </c>
      <c r="BD94" s="118">
        <f t="shared" si="281"/>
        <v>0</v>
      </c>
      <c r="BE94" s="118">
        <f t="shared" si="281"/>
        <v>0</v>
      </c>
      <c r="BF94" s="118">
        <f t="shared" si="281"/>
        <v>0</v>
      </c>
      <c r="BG94" s="118">
        <f t="shared" si="281"/>
        <v>0</v>
      </c>
      <c r="BH94" s="118">
        <f t="shared" si="281"/>
        <v>0</v>
      </c>
      <c r="BI94" s="118">
        <f t="shared" si="281"/>
        <v>0</v>
      </c>
      <c r="BJ94" s="118">
        <f t="shared" si="281"/>
        <v>0</v>
      </c>
      <c r="BK94" s="118">
        <f t="shared" si="281"/>
        <v>0</v>
      </c>
      <c r="BL94" s="118">
        <f t="shared" si="281"/>
        <v>0</v>
      </c>
      <c r="BM94" s="118">
        <f t="shared" si="281"/>
        <v>0</v>
      </c>
      <c r="BN94" s="118">
        <f t="shared" si="281"/>
        <v>0</v>
      </c>
      <c r="BO94" s="118">
        <f t="shared" si="281"/>
        <v>0</v>
      </c>
      <c r="BP94" s="118">
        <f t="shared" si="281"/>
        <v>0</v>
      </c>
      <c r="BQ94" s="118">
        <f t="shared" si="281"/>
        <v>0</v>
      </c>
      <c r="BR94" s="118">
        <f t="shared" si="281"/>
        <v>0</v>
      </c>
      <c r="BS94" s="118">
        <f t="shared" si="281"/>
        <v>0</v>
      </c>
      <c r="BT94" s="118">
        <f t="shared" si="281"/>
        <v>0</v>
      </c>
      <c r="BU94" s="118">
        <f t="shared" si="281"/>
        <v>0</v>
      </c>
      <c r="BV94" s="118">
        <f t="shared" si="281"/>
        <v>0</v>
      </c>
      <c r="BW94" s="118">
        <f t="shared" si="281"/>
        <v>0</v>
      </c>
      <c r="BX94" s="118">
        <f t="shared" si="281"/>
        <v>0</v>
      </c>
      <c r="BY94" s="118">
        <f t="shared" si="281"/>
        <v>0</v>
      </c>
      <c r="BZ94" s="118">
        <f t="shared" ref="BZ94:CG94" si="282">IF($E$91=$E$93:$E$95,(BZ90*INDEX($G94:$L94,,BZ$11)*$G$91),0)</f>
        <v>0</v>
      </c>
      <c r="CA94" s="118">
        <f t="shared" si="282"/>
        <v>0</v>
      </c>
      <c r="CB94" s="118">
        <f t="shared" si="282"/>
        <v>0</v>
      </c>
      <c r="CC94" s="118">
        <f t="shared" si="282"/>
        <v>0</v>
      </c>
      <c r="CD94" s="118">
        <f t="shared" si="282"/>
        <v>0</v>
      </c>
      <c r="CE94" s="118">
        <f t="shared" si="282"/>
        <v>0</v>
      </c>
      <c r="CF94" s="118">
        <f t="shared" si="282"/>
        <v>0</v>
      </c>
      <c r="CG94" s="118">
        <f t="shared" si="282"/>
        <v>0</v>
      </c>
    </row>
    <row r="95" spans="3:85" outlineLevel="1">
      <c r="C95" s="48"/>
      <c r="E95" s="44" t="s">
        <v>99</v>
      </c>
      <c r="F95" s="29" t="s">
        <v>128</v>
      </c>
      <c r="H95" s="114"/>
      <c r="I95" s="94"/>
      <c r="J95" s="94"/>
      <c r="K95" s="94"/>
      <c r="L95" s="94"/>
      <c r="M95" s="93"/>
      <c r="N95" s="118">
        <f t="shared" ref="N95:AS95" si="283">IF($E$91=$E$93:$E$95,(((N90*INDEX($G94:$L94,,N$11))+($G$93/1000))*$G$91),0)</f>
        <v>0</v>
      </c>
      <c r="O95" s="118">
        <f t="shared" si="283"/>
        <v>0</v>
      </c>
      <c r="P95" s="118">
        <f t="shared" si="283"/>
        <v>0</v>
      </c>
      <c r="Q95" s="118">
        <f t="shared" si="283"/>
        <v>0</v>
      </c>
      <c r="R95" s="118">
        <f t="shared" si="283"/>
        <v>0</v>
      </c>
      <c r="S95" s="118">
        <f t="shared" si="283"/>
        <v>0</v>
      </c>
      <c r="T95" s="118">
        <f t="shared" si="283"/>
        <v>0</v>
      </c>
      <c r="U95" s="118">
        <f t="shared" si="283"/>
        <v>0</v>
      </c>
      <c r="V95" s="118">
        <f t="shared" si="283"/>
        <v>0</v>
      </c>
      <c r="W95" s="118">
        <f t="shared" si="283"/>
        <v>0</v>
      </c>
      <c r="X95" s="118">
        <f t="shared" si="283"/>
        <v>0</v>
      </c>
      <c r="Y95" s="118">
        <f t="shared" si="283"/>
        <v>0</v>
      </c>
      <c r="Z95" s="118">
        <f t="shared" si="283"/>
        <v>0</v>
      </c>
      <c r="AA95" s="118">
        <f t="shared" si="283"/>
        <v>0</v>
      </c>
      <c r="AB95" s="118">
        <f t="shared" si="283"/>
        <v>0</v>
      </c>
      <c r="AC95" s="118">
        <f t="shared" si="283"/>
        <v>0</v>
      </c>
      <c r="AD95" s="118">
        <f t="shared" si="283"/>
        <v>0</v>
      </c>
      <c r="AE95" s="118">
        <f t="shared" si="283"/>
        <v>0</v>
      </c>
      <c r="AF95" s="118">
        <f t="shared" si="283"/>
        <v>0</v>
      </c>
      <c r="AG95" s="118">
        <f t="shared" si="283"/>
        <v>0</v>
      </c>
      <c r="AH95" s="118">
        <f t="shared" si="283"/>
        <v>0</v>
      </c>
      <c r="AI95" s="118">
        <f t="shared" si="283"/>
        <v>0</v>
      </c>
      <c r="AJ95" s="118">
        <f t="shared" si="283"/>
        <v>0</v>
      </c>
      <c r="AK95" s="118">
        <f t="shared" si="283"/>
        <v>0</v>
      </c>
      <c r="AL95" s="118">
        <f t="shared" si="283"/>
        <v>0</v>
      </c>
      <c r="AM95" s="118">
        <f t="shared" si="283"/>
        <v>0</v>
      </c>
      <c r="AN95" s="118">
        <f t="shared" si="283"/>
        <v>0</v>
      </c>
      <c r="AO95" s="118">
        <f t="shared" si="283"/>
        <v>0</v>
      </c>
      <c r="AP95" s="118">
        <f t="shared" si="283"/>
        <v>0</v>
      </c>
      <c r="AQ95" s="118">
        <f t="shared" si="283"/>
        <v>0</v>
      </c>
      <c r="AR95" s="118">
        <f t="shared" si="283"/>
        <v>0</v>
      </c>
      <c r="AS95" s="118">
        <f t="shared" si="283"/>
        <v>0</v>
      </c>
      <c r="AT95" s="118">
        <f t="shared" ref="AT95:BY95" si="284">IF($E$91=$E$93:$E$95,(((AT90*INDEX($G94:$L94,,AT$11))+($G$93/1000))*$G$91),0)</f>
        <v>0</v>
      </c>
      <c r="AU95" s="118">
        <f t="shared" si="284"/>
        <v>0</v>
      </c>
      <c r="AV95" s="118">
        <f t="shared" si="284"/>
        <v>0</v>
      </c>
      <c r="AW95" s="118">
        <f t="shared" si="284"/>
        <v>0</v>
      </c>
      <c r="AX95" s="118">
        <f t="shared" si="284"/>
        <v>0</v>
      </c>
      <c r="AY95" s="118">
        <f t="shared" si="284"/>
        <v>0</v>
      </c>
      <c r="AZ95" s="118">
        <f t="shared" si="284"/>
        <v>0</v>
      </c>
      <c r="BA95" s="118">
        <f t="shared" si="284"/>
        <v>0</v>
      </c>
      <c r="BB95" s="118">
        <f t="shared" si="284"/>
        <v>0</v>
      </c>
      <c r="BC95" s="118">
        <f t="shared" si="284"/>
        <v>0</v>
      </c>
      <c r="BD95" s="118">
        <f t="shared" si="284"/>
        <v>0</v>
      </c>
      <c r="BE95" s="118">
        <f t="shared" si="284"/>
        <v>0</v>
      </c>
      <c r="BF95" s="118">
        <f t="shared" si="284"/>
        <v>0</v>
      </c>
      <c r="BG95" s="118">
        <f t="shared" si="284"/>
        <v>0</v>
      </c>
      <c r="BH95" s="118">
        <f t="shared" si="284"/>
        <v>0</v>
      </c>
      <c r="BI95" s="118">
        <f t="shared" si="284"/>
        <v>0</v>
      </c>
      <c r="BJ95" s="118">
        <f t="shared" si="284"/>
        <v>0</v>
      </c>
      <c r="BK95" s="118">
        <f t="shared" si="284"/>
        <v>0</v>
      </c>
      <c r="BL95" s="118">
        <f t="shared" si="284"/>
        <v>0</v>
      </c>
      <c r="BM95" s="118">
        <f t="shared" si="284"/>
        <v>0</v>
      </c>
      <c r="BN95" s="118">
        <f t="shared" si="284"/>
        <v>0</v>
      </c>
      <c r="BO95" s="118">
        <f t="shared" si="284"/>
        <v>0</v>
      </c>
      <c r="BP95" s="118">
        <f t="shared" si="284"/>
        <v>0</v>
      </c>
      <c r="BQ95" s="118">
        <f t="shared" si="284"/>
        <v>0</v>
      </c>
      <c r="BR95" s="118">
        <f t="shared" si="284"/>
        <v>0</v>
      </c>
      <c r="BS95" s="118">
        <f t="shared" si="284"/>
        <v>0</v>
      </c>
      <c r="BT95" s="118">
        <f t="shared" si="284"/>
        <v>0</v>
      </c>
      <c r="BU95" s="118">
        <f t="shared" si="284"/>
        <v>0</v>
      </c>
      <c r="BV95" s="118">
        <f t="shared" si="284"/>
        <v>0</v>
      </c>
      <c r="BW95" s="118">
        <f t="shared" si="284"/>
        <v>0</v>
      </c>
      <c r="BX95" s="118">
        <f t="shared" si="284"/>
        <v>0</v>
      </c>
      <c r="BY95" s="118">
        <f t="shared" si="284"/>
        <v>0</v>
      </c>
      <c r="BZ95" s="118">
        <f t="shared" ref="BZ95:CG95" si="285">IF($E$91=$E$93:$E$95,(((BZ90*INDEX($G94:$L94,,BZ$11))+($G$93/1000))*$G$91),0)</f>
        <v>0</v>
      </c>
      <c r="CA95" s="118">
        <f t="shared" si="285"/>
        <v>0</v>
      </c>
      <c r="CB95" s="118">
        <f t="shared" si="285"/>
        <v>0</v>
      </c>
      <c r="CC95" s="118">
        <f t="shared" si="285"/>
        <v>0</v>
      </c>
      <c r="CD95" s="118">
        <f t="shared" si="285"/>
        <v>0</v>
      </c>
      <c r="CE95" s="118">
        <f t="shared" si="285"/>
        <v>0</v>
      </c>
      <c r="CF95" s="118">
        <f t="shared" si="285"/>
        <v>0</v>
      </c>
      <c r="CG95" s="118">
        <f t="shared" si="285"/>
        <v>0</v>
      </c>
    </row>
    <row r="96" spans="3:85" outlineLevel="1">
      <c r="C96" s="48"/>
      <c r="E96" s="44" t="s">
        <v>126</v>
      </c>
      <c r="F96" s="29"/>
      <c r="H96" s="94"/>
      <c r="I96" s="94"/>
      <c r="J96" s="94"/>
      <c r="K96" s="94"/>
      <c r="L96" s="94"/>
      <c r="M96" s="93"/>
      <c r="N96" s="189">
        <f t="shared" ref="N96:AK96" si="286">N93+N94+N95</f>
        <v>0</v>
      </c>
      <c r="O96" s="189">
        <f t="shared" si="286"/>
        <v>0</v>
      </c>
      <c r="P96" s="189">
        <f t="shared" si="286"/>
        <v>0</v>
      </c>
      <c r="Q96" s="189">
        <f t="shared" si="286"/>
        <v>0</v>
      </c>
      <c r="R96" s="189">
        <f t="shared" si="286"/>
        <v>0</v>
      </c>
      <c r="S96" s="189">
        <f t="shared" si="286"/>
        <v>9.4500000000000011</v>
      </c>
      <c r="T96" s="189">
        <f t="shared" si="286"/>
        <v>18.900000000000002</v>
      </c>
      <c r="U96" s="189">
        <f t="shared" si="286"/>
        <v>28.35</v>
      </c>
      <c r="V96" s="189">
        <f t="shared" si="286"/>
        <v>37.800000000000004</v>
      </c>
      <c r="W96" s="189">
        <f t="shared" si="286"/>
        <v>47.25</v>
      </c>
      <c r="X96" s="189">
        <f t="shared" si="286"/>
        <v>56.7</v>
      </c>
      <c r="Y96" s="189">
        <f t="shared" si="286"/>
        <v>66.150000000000006</v>
      </c>
      <c r="Z96" s="189">
        <f t="shared" si="286"/>
        <v>132.30000000000001</v>
      </c>
      <c r="AA96" s="189">
        <f t="shared" si="286"/>
        <v>165.375</v>
      </c>
      <c r="AB96" s="189">
        <f t="shared" si="286"/>
        <v>198.45000000000002</v>
      </c>
      <c r="AC96" s="189">
        <f t="shared" si="286"/>
        <v>231.52500000000001</v>
      </c>
      <c r="AD96" s="189">
        <f t="shared" si="286"/>
        <v>264.60000000000002</v>
      </c>
      <c r="AE96" s="189">
        <f t="shared" si="286"/>
        <v>297.67500000000001</v>
      </c>
      <c r="AF96" s="189">
        <f t="shared" si="286"/>
        <v>330.75</v>
      </c>
      <c r="AG96" s="189">
        <f t="shared" si="286"/>
        <v>363.82499999999999</v>
      </c>
      <c r="AH96" s="189">
        <f t="shared" si="286"/>
        <v>396.90000000000003</v>
      </c>
      <c r="AI96" s="189">
        <f t="shared" si="286"/>
        <v>429.97500000000002</v>
      </c>
      <c r="AJ96" s="189">
        <f t="shared" si="286"/>
        <v>463.05</v>
      </c>
      <c r="AK96" s="189">
        <f t="shared" si="286"/>
        <v>496.125</v>
      </c>
      <c r="AL96" s="189">
        <f t="shared" ref="AL96" si="287">AL93+AL94+AL95</f>
        <v>787.5</v>
      </c>
      <c r="AM96" s="189">
        <f t="shared" ref="AM96" si="288">AM93+AM94+AM95</f>
        <v>913.5</v>
      </c>
      <c r="AN96" s="189">
        <f t="shared" ref="AN96" si="289">AN93+AN94+AN95</f>
        <v>1039.5</v>
      </c>
      <c r="AO96" s="189">
        <f t="shared" ref="AO96" si="290">AO93+AO94+AO95</f>
        <v>1165.5</v>
      </c>
      <c r="AP96" s="189">
        <f t="shared" ref="AP96" si="291">AP93+AP94+AP95</f>
        <v>1291.5</v>
      </c>
      <c r="AQ96" s="189">
        <f t="shared" ref="AQ96" si="292">AQ93+AQ94+AQ95</f>
        <v>1417.5</v>
      </c>
      <c r="AR96" s="189">
        <f t="shared" ref="AR96" si="293">AR93+AR94+AR95</f>
        <v>1543.5</v>
      </c>
      <c r="AS96" s="189">
        <f t="shared" ref="AS96" si="294">AS93+AS94+AS95</f>
        <v>1669.5</v>
      </c>
      <c r="AT96" s="189">
        <f t="shared" ref="AT96" si="295">AT93+AT94+AT95</f>
        <v>1795.5</v>
      </c>
      <c r="AU96" s="189">
        <f t="shared" ref="AU96" si="296">AU93+AU94+AU95</f>
        <v>1921.5</v>
      </c>
      <c r="AV96" s="189">
        <f t="shared" ref="AV96" si="297">AV93+AV94+AV95</f>
        <v>2047.5</v>
      </c>
      <c r="AW96" s="189">
        <f t="shared" ref="AW96" si="298">AW93+AW94+AW95</f>
        <v>2173.5</v>
      </c>
      <c r="AX96" s="189">
        <f t="shared" ref="AX96" si="299">AX93+AX94+AX95</f>
        <v>3076.875</v>
      </c>
      <c r="AY96" s="189">
        <f t="shared" ref="AY96" si="300">AY93+AY94+AY95</f>
        <v>3436.875</v>
      </c>
      <c r="AZ96" s="189">
        <f t="shared" ref="AZ96" si="301">AZ93+AZ94+AZ95</f>
        <v>3796.875</v>
      </c>
      <c r="BA96" s="189">
        <f t="shared" ref="BA96" si="302">BA93+BA94+BA95</f>
        <v>4156.875</v>
      </c>
      <c r="BB96" s="189">
        <f t="shared" ref="BB96" si="303">BB93+BB94+BB95</f>
        <v>4516.875</v>
      </c>
      <c r="BC96" s="189">
        <f t="shared" ref="BC96" si="304">BC93+BC94+BC95</f>
        <v>4876.875</v>
      </c>
      <c r="BD96" s="189">
        <f t="shared" ref="BD96" si="305">BD93+BD94+BD95</f>
        <v>5236.875</v>
      </c>
      <c r="BE96" s="189">
        <f t="shared" ref="BE96" si="306">BE93+BE94+BE95</f>
        <v>5596.875</v>
      </c>
      <c r="BF96" s="189">
        <f t="shared" ref="BF96" si="307">BF93+BF94+BF95</f>
        <v>5956.875</v>
      </c>
      <c r="BG96" s="189">
        <f t="shared" ref="BG96" si="308">BG93+BG94+BG95</f>
        <v>6316.875</v>
      </c>
      <c r="BH96" s="189">
        <f t="shared" ref="BH96" si="309">BH93+BH94+BH95</f>
        <v>6676.875</v>
      </c>
      <c r="BI96" s="189">
        <f t="shared" ref="BI96" si="310">BI93+BI94+BI95</f>
        <v>7036.875</v>
      </c>
      <c r="BJ96" s="189">
        <f t="shared" ref="BJ96" si="311">BJ93+BJ94+BJ95</f>
        <v>9336.6</v>
      </c>
      <c r="BK96" s="189">
        <f t="shared" ref="BK96" si="312">BK93+BK94+BK95</f>
        <v>10228.950000000001</v>
      </c>
      <c r="BL96" s="189">
        <f t="shared" ref="BL96" si="313">BL93+BL94+BL95</f>
        <v>11121.300000000001</v>
      </c>
      <c r="BM96" s="189">
        <f t="shared" ref="BM96" si="314">BM93+BM94+BM95</f>
        <v>12013.65</v>
      </c>
      <c r="BN96" s="189">
        <f t="shared" ref="BN96" si="315">BN93+BN94+BN95</f>
        <v>12906</v>
      </c>
      <c r="BO96" s="189">
        <f t="shared" ref="BO96" si="316">BO93+BO94+BO95</f>
        <v>13798.35</v>
      </c>
      <c r="BP96" s="189">
        <f t="shared" ref="BP96" si="317">BP93+BP94+BP95</f>
        <v>14690.7</v>
      </c>
      <c r="BQ96" s="189">
        <f t="shared" ref="BQ96" si="318">BQ93+BQ94+BQ95</f>
        <v>15583.050000000001</v>
      </c>
      <c r="BR96" s="189">
        <f t="shared" ref="BR96" si="319">BR93+BR94+BR95</f>
        <v>16475.400000000001</v>
      </c>
      <c r="BS96" s="189">
        <f t="shared" ref="BS96" si="320">BS93+BS94+BS95</f>
        <v>17367.75</v>
      </c>
      <c r="BT96" s="189">
        <f t="shared" ref="BT96" si="321">BT93+BT94+BT95</f>
        <v>18260.100000000002</v>
      </c>
      <c r="BU96" s="189">
        <f t="shared" ref="BU96" si="322">BU93+BU94+BU95</f>
        <v>19152.45</v>
      </c>
      <c r="BV96" s="189">
        <f t="shared" ref="BV96" si="323">BV93+BV94+BV95</f>
        <v>20980.350000000002</v>
      </c>
      <c r="BW96" s="189">
        <f t="shared" ref="BW96" si="324">BW93+BW94+BW95</f>
        <v>22808.25</v>
      </c>
      <c r="BX96" s="189">
        <f t="shared" ref="BX96" si="325">BX93+BX94+BX95</f>
        <v>24636.15</v>
      </c>
      <c r="BY96" s="189">
        <f t="shared" ref="BY96" si="326">BY93+BY94+BY95</f>
        <v>26464.05</v>
      </c>
      <c r="BZ96" s="189">
        <f t="shared" ref="BZ96" si="327">BZ93+BZ94+BZ95</f>
        <v>28291.95</v>
      </c>
      <c r="CA96" s="189">
        <f t="shared" ref="CA96" si="328">CA93+CA94+CA95</f>
        <v>30119.850000000002</v>
      </c>
      <c r="CB96" s="189">
        <f t="shared" ref="CB96" si="329">CB93+CB94+CB95</f>
        <v>31947.75</v>
      </c>
      <c r="CC96" s="189">
        <f t="shared" ref="CC96" si="330">CC93+CC94+CC95</f>
        <v>33775.65</v>
      </c>
      <c r="CD96" s="189">
        <f t="shared" ref="CD96" si="331">CD93+CD94+CD95</f>
        <v>35603.550000000003</v>
      </c>
      <c r="CE96" s="189">
        <f t="shared" ref="CE96" si="332">CE93+CE94+CE95</f>
        <v>37431.450000000004</v>
      </c>
      <c r="CF96" s="189">
        <f t="shared" ref="CF96" si="333">CF93+CF94+CF95</f>
        <v>39259.35</v>
      </c>
      <c r="CG96" s="189">
        <f t="shared" ref="CG96" si="334">CG93+CG94+CG95</f>
        <v>41087.25</v>
      </c>
    </row>
    <row r="97" spans="3:85" outlineLevel="1">
      <c r="C97" s="48"/>
      <c r="E97" s="44"/>
      <c r="F97" s="29"/>
      <c r="H97" s="94"/>
      <c r="I97" s="94"/>
      <c r="J97" s="94"/>
      <c r="K97" s="94"/>
      <c r="L97" s="94"/>
      <c r="M97" s="93"/>
      <c r="N97" s="177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77"/>
      <c r="AF97" s="177"/>
      <c r="AG97" s="177"/>
      <c r="AH97" s="177"/>
      <c r="AI97" s="177"/>
      <c r="AJ97" s="177"/>
      <c r="AK97" s="177"/>
    </row>
    <row r="98" spans="3:85" outlineLevel="1">
      <c r="C98" s="48"/>
      <c r="E98" s="45" t="str">
        <f>E71</f>
        <v>Ordering &amp; Delivery</v>
      </c>
      <c r="F98" s="29"/>
      <c r="G98" s="24"/>
      <c r="H98" s="92"/>
      <c r="I98" s="94"/>
      <c r="J98" s="94"/>
      <c r="K98" s="94"/>
      <c r="L98" s="94"/>
      <c r="M98" s="93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</row>
    <row r="99" spans="3:85" outlineLevel="1">
      <c r="C99" s="48"/>
      <c r="E99" s="44" t="str">
        <f>E74</f>
        <v>Active Ordering Users</v>
      </c>
      <c r="F99" s="29" t="s">
        <v>124</v>
      </c>
      <c r="H99" s="94"/>
      <c r="I99" s="94"/>
      <c r="J99" s="94"/>
      <c r="K99" s="94"/>
      <c r="L99" s="94"/>
      <c r="M99" s="93"/>
      <c r="N99" s="454">
        <f t="shared" ref="N99:AK99" si="335">N74</f>
        <v>0</v>
      </c>
      <c r="O99" s="454">
        <f t="shared" si="335"/>
        <v>0</v>
      </c>
      <c r="P99" s="454">
        <f t="shared" si="335"/>
        <v>0</v>
      </c>
      <c r="Q99" s="454">
        <f t="shared" si="335"/>
        <v>0</v>
      </c>
      <c r="R99" s="454">
        <f t="shared" si="335"/>
        <v>0</v>
      </c>
      <c r="S99" s="454">
        <f t="shared" si="335"/>
        <v>0</v>
      </c>
      <c r="T99" s="454">
        <f t="shared" si="335"/>
        <v>0</v>
      </c>
      <c r="U99" s="454">
        <f t="shared" si="335"/>
        <v>0</v>
      </c>
      <c r="V99" s="454">
        <f t="shared" si="335"/>
        <v>0</v>
      </c>
      <c r="W99" s="454">
        <f t="shared" si="335"/>
        <v>0</v>
      </c>
      <c r="X99" s="454">
        <f t="shared" si="335"/>
        <v>0</v>
      </c>
      <c r="Y99" s="454">
        <f t="shared" si="335"/>
        <v>0</v>
      </c>
      <c r="Z99" s="454">
        <f t="shared" si="335"/>
        <v>0</v>
      </c>
      <c r="AA99" s="454">
        <f t="shared" si="335"/>
        <v>0</v>
      </c>
      <c r="AB99" s="454">
        <f t="shared" si="335"/>
        <v>0</v>
      </c>
      <c r="AC99" s="454">
        <f t="shared" si="335"/>
        <v>0</v>
      </c>
      <c r="AD99" s="454">
        <f t="shared" si="335"/>
        <v>0</v>
      </c>
      <c r="AE99" s="454">
        <f t="shared" si="335"/>
        <v>88.2</v>
      </c>
      <c r="AF99" s="454">
        <f t="shared" si="335"/>
        <v>98</v>
      </c>
      <c r="AG99" s="454">
        <f t="shared" si="335"/>
        <v>107.80000000000001</v>
      </c>
      <c r="AH99" s="454">
        <f t="shared" si="335"/>
        <v>117.60000000000001</v>
      </c>
      <c r="AI99" s="454">
        <f t="shared" si="335"/>
        <v>127.4</v>
      </c>
      <c r="AJ99" s="454">
        <f t="shared" si="335"/>
        <v>137.20000000000002</v>
      </c>
      <c r="AK99" s="454">
        <f t="shared" si="335"/>
        <v>147</v>
      </c>
      <c r="AL99" s="454">
        <f t="shared" ref="AL99:CG99" si="336">AL74</f>
        <v>175</v>
      </c>
      <c r="AM99" s="454">
        <f t="shared" si="336"/>
        <v>203</v>
      </c>
      <c r="AN99" s="454">
        <f t="shared" si="336"/>
        <v>231</v>
      </c>
      <c r="AO99" s="454">
        <f t="shared" si="336"/>
        <v>259</v>
      </c>
      <c r="AP99" s="454">
        <f t="shared" si="336"/>
        <v>287</v>
      </c>
      <c r="AQ99" s="454">
        <f t="shared" si="336"/>
        <v>315</v>
      </c>
      <c r="AR99" s="454">
        <f t="shared" si="336"/>
        <v>343</v>
      </c>
      <c r="AS99" s="454">
        <f t="shared" si="336"/>
        <v>371</v>
      </c>
      <c r="AT99" s="454">
        <f t="shared" si="336"/>
        <v>399</v>
      </c>
      <c r="AU99" s="454">
        <f t="shared" si="336"/>
        <v>427</v>
      </c>
      <c r="AV99" s="454">
        <f t="shared" si="336"/>
        <v>455</v>
      </c>
      <c r="AW99" s="454">
        <f t="shared" si="336"/>
        <v>483</v>
      </c>
      <c r="AX99" s="454">
        <f t="shared" si="336"/>
        <v>547</v>
      </c>
      <c r="AY99" s="454">
        <f t="shared" si="336"/>
        <v>611</v>
      </c>
      <c r="AZ99" s="454">
        <f t="shared" si="336"/>
        <v>675</v>
      </c>
      <c r="BA99" s="454">
        <f t="shared" si="336"/>
        <v>739</v>
      </c>
      <c r="BB99" s="454">
        <f t="shared" si="336"/>
        <v>803</v>
      </c>
      <c r="BC99" s="454">
        <f t="shared" si="336"/>
        <v>867</v>
      </c>
      <c r="BD99" s="454">
        <f t="shared" si="336"/>
        <v>931</v>
      </c>
      <c r="BE99" s="454">
        <f t="shared" si="336"/>
        <v>995</v>
      </c>
      <c r="BF99" s="454">
        <f t="shared" si="336"/>
        <v>1059</v>
      </c>
      <c r="BG99" s="454">
        <f t="shared" si="336"/>
        <v>1123</v>
      </c>
      <c r="BH99" s="454">
        <f t="shared" si="336"/>
        <v>1187</v>
      </c>
      <c r="BI99" s="454">
        <f t="shared" si="336"/>
        <v>1251</v>
      </c>
      <c r="BJ99" s="454">
        <f t="shared" si="336"/>
        <v>1383.2</v>
      </c>
      <c r="BK99" s="454">
        <f t="shared" si="336"/>
        <v>1515.4</v>
      </c>
      <c r="BL99" s="454">
        <f t="shared" si="336"/>
        <v>1647.6000000000001</v>
      </c>
      <c r="BM99" s="454">
        <f t="shared" si="336"/>
        <v>1779.8000000000002</v>
      </c>
      <c r="BN99" s="454">
        <f t="shared" si="336"/>
        <v>1912</v>
      </c>
      <c r="BO99" s="454">
        <f t="shared" si="336"/>
        <v>2044.2</v>
      </c>
      <c r="BP99" s="454">
        <f t="shared" si="336"/>
        <v>2176.4</v>
      </c>
      <c r="BQ99" s="454">
        <f t="shared" si="336"/>
        <v>2308.6</v>
      </c>
      <c r="BR99" s="454">
        <f t="shared" si="336"/>
        <v>2440.8000000000002</v>
      </c>
      <c r="BS99" s="454">
        <f t="shared" si="336"/>
        <v>2573</v>
      </c>
      <c r="BT99" s="454">
        <f t="shared" si="336"/>
        <v>2705.2000000000003</v>
      </c>
      <c r="BU99" s="454">
        <f t="shared" si="336"/>
        <v>2837.4</v>
      </c>
      <c r="BV99" s="454">
        <f t="shared" si="336"/>
        <v>3108.2000000000003</v>
      </c>
      <c r="BW99" s="454">
        <f t="shared" si="336"/>
        <v>3379</v>
      </c>
      <c r="BX99" s="454">
        <f t="shared" si="336"/>
        <v>3649.8</v>
      </c>
      <c r="BY99" s="454">
        <f t="shared" si="336"/>
        <v>3920.6000000000004</v>
      </c>
      <c r="BZ99" s="454">
        <f t="shared" si="336"/>
        <v>4191.4000000000005</v>
      </c>
      <c r="CA99" s="454">
        <f t="shared" si="336"/>
        <v>4462.2</v>
      </c>
      <c r="CB99" s="454">
        <f t="shared" si="336"/>
        <v>4733</v>
      </c>
      <c r="CC99" s="454">
        <f t="shared" si="336"/>
        <v>5003.8</v>
      </c>
      <c r="CD99" s="454">
        <f t="shared" si="336"/>
        <v>5274.6</v>
      </c>
      <c r="CE99" s="454">
        <f t="shared" si="336"/>
        <v>5545.4000000000005</v>
      </c>
      <c r="CF99" s="454">
        <f t="shared" si="336"/>
        <v>5816.2000000000007</v>
      </c>
      <c r="CG99" s="454">
        <f t="shared" si="336"/>
        <v>6087</v>
      </c>
    </row>
    <row r="100" spans="3:85" outlineLevel="1">
      <c r="C100" s="48"/>
      <c r="E100" s="44" t="s">
        <v>255</v>
      </c>
      <c r="F100" s="29" t="s">
        <v>129</v>
      </c>
      <c r="G100" s="47">
        <v>3</v>
      </c>
      <c r="H100" s="47">
        <v>3</v>
      </c>
      <c r="I100" s="47">
        <v>3</v>
      </c>
      <c r="J100" s="47">
        <v>3</v>
      </c>
      <c r="K100" s="47">
        <v>3</v>
      </c>
      <c r="L100" s="47">
        <v>3</v>
      </c>
      <c r="M100" s="93"/>
      <c r="N100" s="111" cm="1">
        <f t="array" ref="N100">INDEX($G100:$L100,,N$11)*N99</f>
        <v>0</v>
      </c>
      <c r="O100" s="111" cm="1">
        <f t="array" ref="O100">INDEX($G100:$L100,,O$11)*O99</f>
        <v>0</v>
      </c>
      <c r="P100" s="111" cm="1">
        <f t="array" ref="P100">INDEX($G100:$L100,,P$11)*P99</f>
        <v>0</v>
      </c>
      <c r="Q100" s="111" cm="1">
        <f t="array" ref="Q100">INDEX($G100:$L100,,Q$11)*Q99</f>
        <v>0</v>
      </c>
      <c r="R100" s="111" cm="1">
        <f t="array" ref="R100">INDEX($G100:$L100,,R$11)*R99</f>
        <v>0</v>
      </c>
      <c r="S100" s="111" cm="1">
        <f t="array" ref="S100">INDEX($G100:$L100,,S$11)*S99</f>
        <v>0</v>
      </c>
      <c r="T100" s="111" cm="1">
        <f t="array" ref="T100">INDEX($G100:$L100,,T$11)*T99</f>
        <v>0</v>
      </c>
      <c r="U100" s="111" cm="1">
        <f t="array" ref="U100">INDEX($G100:$L100,,U$11)*U99</f>
        <v>0</v>
      </c>
      <c r="V100" s="111" cm="1">
        <f t="array" ref="V100">INDEX($G100:$L100,,V$11)*V99</f>
        <v>0</v>
      </c>
      <c r="W100" s="111" cm="1">
        <f t="array" ref="W100">INDEX($G100:$L100,,W$11)*W99</f>
        <v>0</v>
      </c>
      <c r="X100" s="111" cm="1">
        <f t="array" ref="X100">INDEX($G100:$L100,,X$11)*X99</f>
        <v>0</v>
      </c>
      <c r="Y100" s="111" cm="1">
        <f t="array" ref="Y100">INDEX($G100:$L100,,Y$11)*Y99</f>
        <v>0</v>
      </c>
      <c r="Z100" s="111" cm="1">
        <f t="array" ref="Z100">INDEX($G100:$L100,,Z$11)*Z99</f>
        <v>0</v>
      </c>
      <c r="AA100" s="111" cm="1">
        <f t="array" ref="AA100">INDEX($G100:$L100,,AA$11)*AA99</f>
        <v>0</v>
      </c>
      <c r="AB100" s="111" cm="1">
        <f t="array" ref="AB100">INDEX($G100:$L100,,AB$11)*AB99</f>
        <v>0</v>
      </c>
      <c r="AC100" s="111" cm="1">
        <f t="array" ref="AC100">INDEX($G100:$L100,,AC$11)*AC99</f>
        <v>0</v>
      </c>
      <c r="AD100" s="111" cm="1">
        <f t="array" ref="AD100">INDEX($G100:$L100,,AD$11)*AD99</f>
        <v>0</v>
      </c>
      <c r="AE100" s="111" cm="1">
        <f t="array" ref="AE100">INDEX($G100:$L100,,AE$11)*AE99</f>
        <v>264.60000000000002</v>
      </c>
      <c r="AF100" s="111" cm="1">
        <f t="array" ref="AF100">INDEX($G100:$L100,,AF$11)*AF99</f>
        <v>294</v>
      </c>
      <c r="AG100" s="111" cm="1">
        <f t="array" ref="AG100">INDEX($G100:$L100,,AG$11)*AG99</f>
        <v>323.40000000000003</v>
      </c>
      <c r="AH100" s="111" cm="1">
        <f t="array" ref="AH100">INDEX($G100:$L100,,AH$11)*AH99</f>
        <v>352.8</v>
      </c>
      <c r="AI100" s="111" cm="1">
        <f t="array" ref="AI100">INDEX($G100:$L100,,AI$11)*AI99</f>
        <v>382.20000000000005</v>
      </c>
      <c r="AJ100" s="111" cm="1">
        <f t="array" ref="AJ100">INDEX($G100:$L100,,AJ$11)*AJ99</f>
        <v>411.6</v>
      </c>
      <c r="AK100" s="111" cm="1">
        <f t="array" ref="AK100">INDEX($G100:$L100,,AK$11)*AK99</f>
        <v>441</v>
      </c>
      <c r="AL100" s="111" cm="1">
        <f t="array" ref="AL100">INDEX($G100:$L100,,AL$11)*AL99</f>
        <v>525</v>
      </c>
      <c r="AM100" s="111" cm="1">
        <f t="array" ref="AM100">INDEX($G100:$L100,,AM$11)*AM99</f>
        <v>609</v>
      </c>
      <c r="AN100" s="111" cm="1">
        <f t="array" ref="AN100">INDEX($G100:$L100,,AN$11)*AN99</f>
        <v>693</v>
      </c>
      <c r="AO100" s="111" cm="1">
        <f t="array" ref="AO100">INDEX($G100:$L100,,AO$11)*AO99</f>
        <v>777</v>
      </c>
      <c r="AP100" s="111" cm="1">
        <f t="array" ref="AP100">INDEX($G100:$L100,,AP$11)*AP99</f>
        <v>861</v>
      </c>
      <c r="AQ100" s="111" cm="1">
        <f t="array" ref="AQ100">INDEX($G100:$L100,,AQ$11)*AQ99</f>
        <v>945</v>
      </c>
      <c r="AR100" s="111" cm="1">
        <f t="array" ref="AR100">INDEX($G100:$L100,,AR$11)*AR99</f>
        <v>1029</v>
      </c>
      <c r="AS100" s="111" cm="1">
        <f t="array" ref="AS100">INDEX($G100:$L100,,AS$11)*AS99</f>
        <v>1113</v>
      </c>
      <c r="AT100" s="111" cm="1">
        <f t="array" ref="AT100">INDEX($G100:$L100,,AT$11)*AT99</f>
        <v>1197</v>
      </c>
      <c r="AU100" s="111" cm="1">
        <f t="array" ref="AU100">INDEX($G100:$L100,,AU$11)*AU99</f>
        <v>1281</v>
      </c>
      <c r="AV100" s="111" cm="1">
        <f t="array" ref="AV100">INDEX($G100:$L100,,AV$11)*AV99</f>
        <v>1365</v>
      </c>
      <c r="AW100" s="111" cm="1">
        <f t="array" ref="AW100">INDEX($G100:$L100,,AW$11)*AW99</f>
        <v>1449</v>
      </c>
      <c r="AX100" s="111" cm="1">
        <f t="array" ref="AX100">INDEX($G100:$L100,,AX$11)*AX99</f>
        <v>1641</v>
      </c>
      <c r="AY100" s="111" cm="1">
        <f t="array" ref="AY100">INDEX($G100:$L100,,AY$11)*AY99</f>
        <v>1833</v>
      </c>
      <c r="AZ100" s="111" cm="1">
        <f t="array" ref="AZ100">INDEX($G100:$L100,,AZ$11)*AZ99</f>
        <v>2025</v>
      </c>
      <c r="BA100" s="111" cm="1">
        <f t="array" ref="BA100">INDEX($G100:$L100,,BA$11)*BA99</f>
        <v>2217</v>
      </c>
      <c r="BB100" s="111" cm="1">
        <f t="array" ref="BB100">INDEX($G100:$L100,,BB$11)*BB99</f>
        <v>2409</v>
      </c>
      <c r="BC100" s="111" cm="1">
        <f t="array" ref="BC100">INDEX($G100:$L100,,BC$11)*BC99</f>
        <v>2601</v>
      </c>
      <c r="BD100" s="111" cm="1">
        <f t="array" ref="BD100">INDEX($G100:$L100,,BD$11)*BD99</f>
        <v>2793</v>
      </c>
      <c r="BE100" s="111" cm="1">
        <f t="array" ref="BE100">INDEX($G100:$L100,,BE$11)*BE99</f>
        <v>2985</v>
      </c>
      <c r="BF100" s="111" cm="1">
        <f t="array" ref="BF100">INDEX($G100:$L100,,BF$11)*BF99</f>
        <v>3177</v>
      </c>
      <c r="BG100" s="111" cm="1">
        <f t="array" ref="BG100">INDEX($G100:$L100,,BG$11)*BG99</f>
        <v>3369</v>
      </c>
      <c r="BH100" s="111" cm="1">
        <f t="array" ref="BH100">INDEX($G100:$L100,,BH$11)*BH99</f>
        <v>3561</v>
      </c>
      <c r="BI100" s="111" cm="1">
        <f t="array" ref="BI100">INDEX($G100:$L100,,BI$11)*BI99</f>
        <v>3753</v>
      </c>
      <c r="BJ100" s="111" cm="1">
        <f t="array" ref="BJ100">INDEX($G100:$L100,,BJ$11)*BJ99</f>
        <v>4149.6000000000004</v>
      </c>
      <c r="BK100" s="111" cm="1">
        <f t="array" ref="BK100">INDEX($G100:$L100,,BK$11)*BK99</f>
        <v>4546.2000000000007</v>
      </c>
      <c r="BL100" s="111" cm="1">
        <f t="array" ref="BL100">INDEX($G100:$L100,,BL$11)*BL99</f>
        <v>4942.8</v>
      </c>
      <c r="BM100" s="111" cm="1">
        <f t="array" ref="BM100">INDEX($G100:$L100,,BM$11)*BM99</f>
        <v>5339.4000000000005</v>
      </c>
      <c r="BN100" s="111" cm="1">
        <f t="array" ref="BN100">INDEX($G100:$L100,,BN$11)*BN99</f>
        <v>5736</v>
      </c>
      <c r="BO100" s="111" cm="1">
        <f t="array" ref="BO100">INDEX($G100:$L100,,BO$11)*BO99</f>
        <v>6132.6</v>
      </c>
      <c r="BP100" s="111" cm="1">
        <f t="array" ref="BP100">INDEX($G100:$L100,,BP$11)*BP99</f>
        <v>6529.2000000000007</v>
      </c>
      <c r="BQ100" s="111" cm="1">
        <f t="array" ref="BQ100">INDEX($G100:$L100,,BQ$11)*BQ99</f>
        <v>6925.7999999999993</v>
      </c>
      <c r="BR100" s="111" cm="1">
        <f t="array" ref="BR100">INDEX($G100:$L100,,BR$11)*BR99</f>
        <v>7322.4000000000005</v>
      </c>
      <c r="BS100" s="111" cm="1">
        <f t="array" ref="BS100">INDEX($G100:$L100,,BS$11)*BS99</f>
        <v>7719</v>
      </c>
      <c r="BT100" s="111" cm="1">
        <f t="array" ref="BT100">INDEX($G100:$L100,,BT$11)*BT99</f>
        <v>8115.6</v>
      </c>
      <c r="BU100" s="111" cm="1">
        <f t="array" ref="BU100">INDEX($G100:$L100,,BU$11)*BU99</f>
        <v>8512.2000000000007</v>
      </c>
      <c r="BV100" s="111" cm="1">
        <f t="array" ref="BV100">INDEX($G100:$L100,,BV$11)*BV99</f>
        <v>9324.6</v>
      </c>
      <c r="BW100" s="111" cm="1">
        <f t="array" ref="BW100">INDEX($G100:$L100,,BW$11)*BW99</f>
        <v>10137</v>
      </c>
      <c r="BX100" s="111" cm="1">
        <f t="array" ref="BX100">INDEX($G100:$L100,,BX$11)*BX99</f>
        <v>10949.400000000001</v>
      </c>
      <c r="BY100" s="111" cm="1">
        <f t="array" ref="BY100">INDEX($G100:$L100,,BY$11)*BY99</f>
        <v>11761.800000000001</v>
      </c>
      <c r="BZ100" s="111" cm="1">
        <f t="array" ref="BZ100">INDEX($G100:$L100,,BZ$11)*BZ99</f>
        <v>12574.2</v>
      </c>
      <c r="CA100" s="111" cm="1">
        <f t="array" ref="CA100">INDEX($G100:$L100,,CA$11)*CA99</f>
        <v>13386.599999999999</v>
      </c>
      <c r="CB100" s="111" cm="1">
        <f t="array" ref="CB100">INDEX($G100:$L100,,CB$11)*CB99</f>
        <v>14199</v>
      </c>
      <c r="CC100" s="111" cm="1">
        <f t="array" ref="CC100">INDEX($G100:$L100,,CC$11)*CC99</f>
        <v>15011.400000000001</v>
      </c>
      <c r="CD100" s="111" cm="1">
        <f t="array" ref="CD100">INDEX($G100:$L100,,CD$11)*CD99</f>
        <v>15823.800000000001</v>
      </c>
      <c r="CE100" s="111" cm="1">
        <f t="array" ref="CE100">INDEX($G100:$L100,,CE$11)*CE99</f>
        <v>16636.2</v>
      </c>
      <c r="CF100" s="111" cm="1">
        <f t="array" ref="CF100">INDEX($G100:$L100,,CF$11)*CF99</f>
        <v>17448.600000000002</v>
      </c>
      <c r="CG100" s="111" cm="1">
        <f t="array" ref="CG100">INDEX($G100:$L100,,CG$11)*CG99</f>
        <v>18261</v>
      </c>
    </row>
    <row r="101" spans="3:85" outlineLevel="1">
      <c r="C101" s="48"/>
      <c r="E101" s="44" t="s">
        <v>130</v>
      </c>
      <c r="F101" s="29" t="s">
        <v>131</v>
      </c>
      <c r="G101" s="115">
        <v>20</v>
      </c>
      <c r="H101" s="115">
        <v>25</v>
      </c>
      <c r="I101" s="115">
        <v>30</v>
      </c>
      <c r="J101" s="115">
        <v>35</v>
      </c>
      <c r="K101" s="115">
        <v>35</v>
      </c>
      <c r="L101" s="115">
        <v>35</v>
      </c>
      <c r="M101" s="93"/>
      <c r="N101" s="19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/>
      <c r="BO101" s="116"/>
      <c r="BP101" s="116"/>
      <c r="BQ101" s="116"/>
      <c r="BR101" s="116"/>
      <c r="BS101" s="116"/>
      <c r="BT101" s="116"/>
      <c r="BU101" s="116"/>
      <c r="BV101" s="116"/>
      <c r="BW101" s="116"/>
      <c r="BX101" s="116"/>
      <c r="BY101" s="116"/>
      <c r="BZ101" s="116"/>
      <c r="CA101" s="116"/>
      <c r="CB101" s="116"/>
      <c r="CC101" s="116"/>
      <c r="CD101" s="116"/>
      <c r="CE101" s="116"/>
      <c r="CF101" s="116"/>
      <c r="CG101" s="116"/>
    </row>
    <row r="102" spans="3:85" outlineLevel="1">
      <c r="C102" s="48"/>
      <c r="E102" s="44" t="s">
        <v>52</v>
      </c>
      <c r="F102" s="29" t="s">
        <v>53</v>
      </c>
      <c r="H102" s="108"/>
      <c r="I102" s="94"/>
      <c r="J102" s="94"/>
      <c r="K102" s="94"/>
      <c r="L102" s="94"/>
      <c r="M102" s="93"/>
      <c r="N102" s="92" cm="1">
        <f t="array" ref="N102">INDEX($G101:$L101,,N$11)*N100</f>
        <v>0</v>
      </c>
      <c r="O102" s="92" cm="1">
        <f t="array" ref="O102">INDEX($G101:$L101,,O$11)*O100</f>
        <v>0</v>
      </c>
      <c r="P102" s="92" cm="1">
        <f t="array" ref="P102">INDEX($G101:$L101,,P$11)*P100</f>
        <v>0</v>
      </c>
      <c r="Q102" s="92" cm="1">
        <f t="array" ref="Q102">INDEX($G101:$L101,,Q$11)*Q100</f>
        <v>0</v>
      </c>
      <c r="R102" s="92" cm="1">
        <f t="array" ref="R102">INDEX($G101:$L101,,R$11)*R100</f>
        <v>0</v>
      </c>
      <c r="S102" s="92" cm="1">
        <f t="array" ref="S102">INDEX($G101:$L101,,S$11)*S100</f>
        <v>0</v>
      </c>
      <c r="T102" s="92" cm="1">
        <f t="array" ref="T102">INDEX($G101:$L101,,T$11)*T100</f>
        <v>0</v>
      </c>
      <c r="U102" s="92" cm="1">
        <f t="array" ref="U102">INDEX($G101:$L101,,U$11)*U100</f>
        <v>0</v>
      </c>
      <c r="V102" s="92" cm="1">
        <f t="array" ref="V102">INDEX($G101:$L101,,V$11)*V100</f>
        <v>0</v>
      </c>
      <c r="W102" s="92" cm="1">
        <f t="array" ref="W102">INDEX($G101:$L101,,W$11)*W100</f>
        <v>0</v>
      </c>
      <c r="X102" s="92" cm="1">
        <f t="array" ref="X102">INDEX($G101:$L101,,X$11)*X100</f>
        <v>0</v>
      </c>
      <c r="Y102" s="92" cm="1">
        <f t="array" ref="Y102">INDEX($G101:$L101,,Y$11)*Y100</f>
        <v>0</v>
      </c>
      <c r="Z102" s="92" cm="1">
        <f t="array" ref="Z102">INDEX($G101:$L101,,Z$11)*Z100</f>
        <v>0</v>
      </c>
      <c r="AA102" s="92" cm="1">
        <f t="array" ref="AA102">INDEX($G101:$L101,,AA$11)*AA100</f>
        <v>0</v>
      </c>
      <c r="AB102" s="92" cm="1">
        <f t="array" ref="AB102">INDEX($G101:$L101,,AB$11)*AB100</f>
        <v>0</v>
      </c>
      <c r="AC102" s="92" cm="1">
        <f t="array" ref="AC102">INDEX($G101:$L101,,AC$11)*AC100</f>
        <v>0</v>
      </c>
      <c r="AD102" s="92" cm="1">
        <f t="array" ref="AD102">INDEX($G101:$L101,,AD$11)*AD100</f>
        <v>0</v>
      </c>
      <c r="AE102" s="92" cm="1">
        <f t="array" ref="AE102">INDEX($G101:$L101,,AE$11)*AE100</f>
        <v>6615.0000000000009</v>
      </c>
      <c r="AF102" s="92" cm="1">
        <f t="array" ref="AF102">INDEX($G101:$L101,,AF$11)*AF100</f>
        <v>7350</v>
      </c>
      <c r="AG102" s="92" cm="1">
        <f t="array" ref="AG102">INDEX($G101:$L101,,AG$11)*AG100</f>
        <v>8085.0000000000009</v>
      </c>
      <c r="AH102" s="92" cm="1">
        <f t="array" ref="AH102">INDEX($G101:$L101,,AH$11)*AH100</f>
        <v>8820</v>
      </c>
      <c r="AI102" s="92" cm="1">
        <f t="array" ref="AI102">INDEX($G101:$L101,,AI$11)*AI100</f>
        <v>9555.0000000000018</v>
      </c>
      <c r="AJ102" s="92" cm="1">
        <f t="array" ref="AJ102">INDEX($G101:$L101,,AJ$11)*AJ100</f>
        <v>10290</v>
      </c>
      <c r="AK102" s="92" cm="1">
        <f t="array" ref="AK102">INDEX($G101:$L101,,AK$11)*AK100</f>
        <v>11025</v>
      </c>
      <c r="AL102" s="92" cm="1">
        <f t="array" ref="AL102">INDEX($G101:$L101,,AL$11)*AL100</f>
        <v>15750</v>
      </c>
      <c r="AM102" s="92" cm="1">
        <f t="array" ref="AM102">INDEX($G101:$L101,,AM$11)*AM100</f>
        <v>18270</v>
      </c>
      <c r="AN102" s="92" cm="1">
        <f t="array" ref="AN102">INDEX($G101:$L101,,AN$11)*AN100</f>
        <v>20790</v>
      </c>
      <c r="AO102" s="92" cm="1">
        <f t="array" ref="AO102">INDEX($G101:$L101,,AO$11)*AO100</f>
        <v>23310</v>
      </c>
      <c r="AP102" s="92" cm="1">
        <f t="array" ref="AP102">INDEX($G101:$L101,,AP$11)*AP100</f>
        <v>25830</v>
      </c>
      <c r="AQ102" s="92" cm="1">
        <f t="array" ref="AQ102">INDEX($G101:$L101,,AQ$11)*AQ100</f>
        <v>28350</v>
      </c>
      <c r="AR102" s="92" cm="1">
        <f t="array" ref="AR102">INDEX($G101:$L101,,AR$11)*AR100</f>
        <v>30870</v>
      </c>
      <c r="AS102" s="92" cm="1">
        <f t="array" ref="AS102">INDEX($G101:$L101,,AS$11)*AS100</f>
        <v>33390</v>
      </c>
      <c r="AT102" s="92" cm="1">
        <f t="array" ref="AT102">INDEX($G101:$L101,,AT$11)*AT100</f>
        <v>35910</v>
      </c>
      <c r="AU102" s="92" cm="1">
        <f t="array" ref="AU102">INDEX($G101:$L101,,AU$11)*AU100</f>
        <v>38430</v>
      </c>
      <c r="AV102" s="92" cm="1">
        <f t="array" ref="AV102">INDEX($G101:$L101,,AV$11)*AV100</f>
        <v>40950</v>
      </c>
      <c r="AW102" s="92" cm="1">
        <f t="array" ref="AW102">INDEX($G101:$L101,,AW$11)*AW100</f>
        <v>43470</v>
      </c>
      <c r="AX102" s="92" cm="1">
        <f t="array" ref="AX102">INDEX($G101:$L101,,AX$11)*AX100</f>
        <v>57435</v>
      </c>
      <c r="AY102" s="92" cm="1">
        <f t="array" ref="AY102">INDEX($G101:$L101,,AY$11)*AY100</f>
        <v>64155</v>
      </c>
      <c r="AZ102" s="92" cm="1">
        <f t="array" ref="AZ102">INDEX($G101:$L101,,AZ$11)*AZ100</f>
        <v>70875</v>
      </c>
      <c r="BA102" s="92" cm="1">
        <f t="array" ref="BA102">INDEX($G101:$L101,,BA$11)*BA100</f>
        <v>77595</v>
      </c>
      <c r="BB102" s="92" cm="1">
        <f t="array" ref="BB102">INDEX($G101:$L101,,BB$11)*BB100</f>
        <v>84315</v>
      </c>
      <c r="BC102" s="92" cm="1">
        <f t="array" ref="BC102">INDEX($G101:$L101,,BC$11)*BC100</f>
        <v>91035</v>
      </c>
      <c r="BD102" s="92" cm="1">
        <f t="array" ref="BD102">INDEX($G101:$L101,,BD$11)*BD100</f>
        <v>97755</v>
      </c>
      <c r="BE102" s="92" cm="1">
        <f t="array" ref="BE102">INDEX($G101:$L101,,BE$11)*BE100</f>
        <v>104475</v>
      </c>
      <c r="BF102" s="92" cm="1">
        <f t="array" ref="BF102">INDEX($G101:$L101,,BF$11)*BF100</f>
        <v>111195</v>
      </c>
      <c r="BG102" s="92" cm="1">
        <f t="array" ref="BG102">INDEX($G101:$L101,,BG$11)*BG100</f>
        <v>117915</v>
      </c>
      <c r="BH102" s="92" cm="1">
        <f t="array" ref="BH102">INDEX($G101:$L101,,BH$11)*BH100</f>
        <v>124635</v>
      </c>
      <c r="BI102" s="92" cm="1">
        <f t="array" ref="BI102">INDEX($G101:$L101,,BI$11)*BI100</f>
        <v>131355</v>
      </c>
      <c r="BJ102" s="92" cm="1">
        <f t="array" ref="BJ102">INDEX($G101:$L101,,BJ$11)*BJ100</f>
        <v>145236</v>
      </c>
      <c r="BK102" s="92" cm="1">
        <f t="array" ref="BK102">INDEX($G101:$L101,,BK$11)*BK100</f>
        <v>159117.00000000003</v>
      </c>
      <c r="BL102" s="92" cm="1">
        <f t="array" ref="BL102">INDEX($G101:$L101,,BL$11)*BL100</f>
        <v>172998</v>
      </c>
      <c r="BM102" s="92" cm="1">
        <f t="array" ref="BM102">INDEX($G101:$L101,,BM$11)*BM100</f>
        <v>186879.00000000003</v>
      </c>
      <c r="BN102" s="92" cm="1">
        <f t="array" ref="BN102">INDEX($G101:$L101,,BN$11)*BN100</f>
        <v>200760</v>
      </c>
      <c r="BO102" s="92" cm="1">
        <f t="array" ref="BO102">INDEX($G101:$L101,,BO$11)*BO100</f>
        <v>214641</v>
      </c>
      <c r="BP102" s="92" cm="1">
        <f t="array" ref="BP102">INDEX($G101:$L101,,BP$11)*BP100</f>
        <v>228522.00000000003</v>
      </c>
      <c r="BQ102" s="92" cm="1">
        <f t="array" ref="BQ102">INDEX($G101:$L101,,BQ$11)*BQ100</f>
        <v>242402.99999999997</v>
      </c>
      <c r="BR102" s="92" cm="1">
        <f t="array" ref="BR102">INDEX($G101:$L101,,BR$11)*BR100</f>
        <v>256284.00000000003</v>
      </c>
      <c r="BS102" s="92" cm="1">
        <f t="array" ref="BS102">INDEX($G101:$L101,,BS$11)*BS100</f>
        <v>270165</v>
      </c>
      <c r="BT102" s="92" cm="1">
        <f t="array" ref="BT102">INDEX($G101:$L101,,BT$11)*BT100</f>
        <v>284046</v>
      </c>
      <c r="BU102" s="92" cm="1">
        <f t="array" ref="BU102">INDEX($G101:$L101,,BU$11)*BU100</f>
        <v>297927</v>
      </c>
      <c r="BV102" s="92" cm="1">
        <f t="array" ref="BV102">INDEX($G101:$L101,,BV$11)*BV100</f>
        <v>326361</v>
      </c>
      <c r="BW102" s="92" cm="1">
        <f t="array" ref="BW102">INDEX($G101:$L101,,BW$11)*BW100</f>
        <v>354795</v>
      </c>
      <c r="BX102" s="92" cm="1">
        <f t="array" ref="BX102">INDEX($G101:$L101,,BX$11)*BX100</f>
        <v>383229.00000000006</v>
      </c>
      <c r="BY102" s="92" cm="1">
        <f t="array" ref="BY102">INDEX($G101:$L101,,BY$11)*BY100</f>
        <v>411663.00000000006</v>
      </c>
      <c r="BZ102" s="92" cm="1">
        <f t="array" ref="BZ102">INDEX($G101:$L101,,BZ$11)*BZ100</f>
        <v>440097</v>
      </c>
      <c r="CA102" s="92" cm="1">
        <f t="array" ref="CA102">INDEX($G101:$L101,,CA$11)*CA100</f>
        <v>468530.99999999994</v>
      </c>
      <c r="CB102" s="92" cm="1">
        <f t="array" ref="CB102">INDEX($G101:$L101,,CB$11)*CB100</f>
        <v>496965</v>
      </c>
      <c r="CC102" s="92" cm="1">
        <f t="array" ref="CC102">INDEX($G101:$L101,,CC$11)*CC100</f>
        <v>525399</v>
      </c>
      <c r="CD102" s="92" cm="1">
        <f t="array" ref="CD102">INDEX($G101:$L101,,CD$11)*CD100</f>
        <v>553833</v>
      </c>
      <c r="CE102" s="92" cm="1">
        <f t="array" ref="CE102">INDEX($G101:$L101,,CE$11)*CE100</f>
        <v>582267</v>
      </c>
      <c r="CF102" s="92" cm="1">
        <f t="array" ref="CF102">INDEX($G101:$L101,,CF$11)*CF100</f>
        <v>610701.00000000012</v>
      </c>
      <c r="CG102" s="92" cm="1">
        <f t="array" ref="CG102">INDEX($G101:$L101,,CG$11)*CG100</f>
        <v>639135</v>
      </c>
    </row>
    <row r="103" spans="3:85" outlineLevel="1">
      <c r="C103" s="48"/>
      <c r="E103" s="44" t="s">
        <v>132</v>
      </c>
      <c r="F103" s="29" t="s">
        <v>133</v>
      </c>
      <c r="G103" s="107">
        <v>0.2</v>
      </c>
      <c r="H103" s="19"/>
      <c r="I103" s="94"/>
      <c r="J103" s="94"/>
      <c r="K103" s="94"/>
      <c r="L103" s="94"/>
      <c r="M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</row>
    <row r="104" spans="3:85" outlineLevel="1">
      <c r="C104" s="48"/>
      <c r="E104" s="44" t="s">
        <v>126</v>
      </c>
      <c r="H104" s="94"/>
      <c r="I104" s="94"/>
      <c r="J104" s="94"/>
      <c r="K104" s="94"/>
      <c r="L104" s="94"/>
      <c r="M104" s="93"/>
      <c r="N104" s="189">
        <f t="shared" ref="N104:AK104" si="337">$G$103*N102</f>
        <v>0</v>
      </c>
      <c r="O104" s="189">
        <f t="shared" si="337"/>
        <v>0</v>
      </c>
      <c r="P104" s="189">
        <f t="shared" si="337"/>
        <v>0</v>
      </c>
      <c r="Q104" s="189">
        <f t="shared" si="337"/>
        <v>0</v>
      </c>
      <c r="R104" s="189">
        <f t="shared" si="337"/>
        <v>0</v>
      </c>
      <c r="S104" s="189">
        <f t="shared" si="337"/>
        <v>0</v>
      </c>
      <c r="T104" s="189">
        <f t="shared" si="337"/>
        <v>0</v>
      </c>
      <c r="U104" s="189">
        <f t="shared" si="337"/>
        <v>0</v>
      </c>
      <c r="V104" s="189">
        <f t="shared" si="337"/>
        <v>0</v>
      </c>
      <c r="W104" s="189">
        <f t="shared" si="337"/>
        <v>0</v>
      </c>
      <c r="X104" s="189">
        <f t="shared" si="337"/>
        <v>0</v>
      </c>
      <c r="Y104" s="189">
        <f t="shared" si="337"/>
        <v>0</v>
      </c>
      <c r="Z104" s="189">
        <f t="shared" si="337"/>
        <v>0</v>
      </c>
      <c r="AA104" s="189">
        <f t="shared" si="337"/>
        <v>0</v>
      </c>
      <c r="AB104" s="189">
        <f t="shared" si="337"/>
        <v>0</v>
      </c>
      <c r="AC104" s="189">
        <f t="shared" si="337"/>
        <v>0</v>
      </c>
      <c r="AD104" s="189">
        <f t="shared" si="337"/>
        <v>0</v>
      </c>
      <c r="AE104" s="189">
        <f t="shared" si="337"/>
        <v>1323.0000000000002</v>
      </c>
      <c r="AF104" s="189">
        <f t="shared" si="337"/>
        <v>1470</v>
      </c>
      <c r="AG104" s="189">
        <f t="shared" si="337"/>
        <v>1617.0000000000002</v>
      </c>
      <c r="AH104" s="189">
        <f t="shared" si="337"/>
        <v>1764</v>
      </c>
      <c r="AI104" s="189">
        <f t="shared" si="337"/>
        <v>1911.0000000000005</v>
      </c>
      <c r="AJ104" s="189">
        <f t="shared" si="337"/>
        <v>2058</v>
      </c>
      <c r="AK104" s="189">
        <f t="shared" si="337"/>
        <v>2205</v>
      </c>
      <c r="AL104" s="189">
        <f t="shared" ref="AL104:CG104" si="338">$G$103*AL102</f>
        <v>3150</v>
      </c>
      <c r="AM104" s="189">
        <f t="shared" si="338"/>
        <v>3654</v>
      </c>
      <c r="AN104" s="189">
        <f t="shared" si="338"/>
        <v>4158</v>
      </c>
      <c r="AO104" s="189">
        <f t="shared" si="338"/>
        <v>4662</v>
      </c>
      <c r="AP104" s="189">
        <f t="shared" si="338"/>
        <v>5166</v>
      </c>
      <c r="AQ104" s="189">
        <f t="shared" si="338"/>
        <v>5670</v>
      </c>
      <c r="AR104" s="189">
        <f t="shared" si="338"/>
        <v>6174</v>
      </c>
      <c r="AS104" s="189">
        <f t="shared" si="338"/>
        <v>6678</v>
      </c>
      <c r="AT104" s="189">
        <f t="shared" si="338"/>
        <v>7182</v>
      </c>
      <c r="AU104" s="189">
        <f t="shared" si="338"/>
        <v>7686</v>
      </c>
      <c r="AV104" s="189">
        <f t="shared" si="338"/>
        <v>8190</v>
      </c>
      <c r="AW104" s="189">
        <f t="shared" si="338"/>
        <v>8694</v>
      </c>
      <c r="AX104" s="189">
        <f t="shared" si="338"/>
        <v>11487</v>
      </c>
      <c r="AY104" s="189">
        <f t="shared" si="338"/>
        <v>12831</v>
      </c>
      <c r="AZ104" s="189">
        <f t="shared" si="338"/>
        <v>14175</v>
      </c>
      <c r="BA104" s="189">
        <f t="shared" si="338"/>
        <v>15519</v>
      </c>
      <c r="BB104" s="189">
        <f t="shared" si="338"/>
        <v>16863</v>
      </c>
      <c r="BC104" s="189">
        <f t="shared" si="338"/>
        <v>18207</v>
      </c>
      <c r="BD104" s="189">
        <f t="shared" si="338"/>
        <v>19551</v>
      </c>
      <c r="BE104" s="189">
        <f t="shared" si="338"/>
        <v>20895</v>
      </c>
      <c r="BF104" s="189">
        <f t="shared" si="338"/>
        <v>22239</v>
      </c>
      <c r="BG104" s="189">
        <f t="shared" si="338"/>
        <v>23583</v>
      </c>
      <c r="BH104" s="189">
        <f t="shared" si="338"/>
        <v>24927</v>
      </c>
      <c r="BI104" s="189">
        <f t="shared" si="338"/>
        <v>26271</v>
      </c>
      <c r="BJ104" s="189">
        <f t="shared" si="338"/>
        <v>29047.200000000001</v>
      </c>
      <c r="BK104" s="189">
        <f t="shared" si="338"/>
        <v>31823.400000000009</v>
      </c>
      <c r="BL104" s="189">
        <f t="shared" si="338"/>
        <v>34599.599999999999</v>
      </c>
      <c r="BM104" s="189">
        <f t="shared" si="338"/>
        <v>37375.80000000001</v>
      </c>
      <c r="BN104" s="189">
        <f t="shared" si="338"/>
        <v>40152</v>
      </c>
      <c r="BO104" s="189">
        <f t="shared" si="338"/>
        <v>42928.200000000004</v>
      </c>
      <c r="BP104" s="189">
        <f t="shared" si="338"/>
        <v>45704.400000000009</v>
      </c>
      <c r="BQ104" s="189">
        <f t="shared" si="338"/>
        <v>48480.6</v>
      </c>
      <c r="BR104" s="189">
        <f t="shared" si="338"/>
        <v>51256.80000000001</v>
      </c>
      <c r="BS104" s="189">
        <f t="shared" si="338"/>
        <v>54033</v>
      </c>
      <c r="BT104" s="189">
        <f t="shared" si="338"/>
        <v>56809.200000000004</v>
      </c>
      <c r="BU104" s="189">
        <f t="shared" si="338"/>
        <v>59585.4</v>
      </c>
      <c r="BV104" s="189">
        <f t="shared" si="338"/>
        <v>65272.200000000004</v>
      </c>
      <c r="BW104" s="189">
        <f t="shared" si="338"/>
        <v>70959</v>
      </c>
      <c r="BX104" s="189">
        <f t="shared" si="338"/>
        <v>76645.800000000017</v>
      </c>
      <c r="BY104" s="189">
        <f t="shared" si="338"/>
        <v>82332.60000000002</v>
      </c>
      <c r="BZ104" s="189">
        <f t="shared" si="338"/>
        <v>88019.400000000009</v>
      </c>
      <c r="CA104" s="189">
        <f t="shared" si="338"/>
        <v>93706.2</v>
      </c>
      <c r="CB104" s="189">
        <f t="shared" si="338"/>
        <v>99393</v>
      </c>
      <c r="CC104" s="189">
        <f t="shared" si="338"/>
        <v>105079.8</v>
      </c>
      <c r="CD104" s="189">
        <f t="shared" si="338"/>
        <v>110766.6</v>
      </c>
      <c r="CE104" s="189">
        <f t="shared" si="338"/>
        <v>116453.40000000001</v>
      </c>
      <c r="CF104" s="189">
        <f t="shared" si="338"/>
        <v>122140.20000000003</v>
      </c>
      <c r="CG104" s="189">
        <f t="shared" si="338"/>
        <v>127827</v>
      </c>
    </row>
    <row r="105" spans="3:85" outlineLevel="1">
      <c r="C105" s="48"/>
      <c r="E105" s="44"/>
      <c r="H105" s="94"/>
      <c r="I105" s="94"/>
      <c r="J105" s="94"/>
      <c r="K105" s="94"/>
      <c r="L105" s="94"/>
      <c r="M105" s="93"/>
      <c r="N105" s="453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7"/>
      <c r="AZ105" s="177"/>
      <c r="BA105" s="177"/>
      <c r="BB105" s="177"/>
      <c r="BC105" s="177"/>
      <c r="BD105" s="177"/>
      <c r="BE105" s="177"/>
      <c r="BF105" s="177"/>
      <c r="BG105" s="177"/>
      <c r="BH105" s="177"/>
      <c r="BI105" s="177"/>
      <c r="BJ105" s="177"/>
      <c r="BK105" s="177"/>
      <c r="BL105" s="177"/>
      <c r="BM105" s="177"/>
      <c r="BN105" s="177"/>
      <c r="BO105" s="177"/>
      <c r="BP105" s="177"/>
      <c r="BQ105" s="177"/>
      <c r="BR105" s="177"/>
      <c r="BS105" s="177"/>
      <c r="BT105" s="177"/>
      <c r="BU105" s="177"/>
      <c r="BV105" s="177"/>
      <c r="BW105" s="177"/>
      <c r="BX105" s="177"/>
      <c r="BY105" s="177"/>
      <c r="BZ105" s="177"/>
      <c r="CA105" s="177"/>
      <c r="CB105" s="177"/>
      <c r="CC105" s="177"/>
      <c r="CD105" s="177"/>
      <c r="CE105" s="177"/>
      <c r="CF105" s="177"/>
      <c r="CG105" s="177"/>
    </row>
    <row r="106" spans="3:85" outlineLevel="1">
      <c r="C106" s="48"/>
      <c r="E106" s="44" t="s">
        <v>470</v>
      </c>
      <c r="G106" s="115">
        <v>4.99</v>
      </c>
      <c r="H106" s="451">
        <f>G106*(1+$G$108)</f>
        <v>5.2395000000000005</v>
      </c>
      <c r="I106" s="451">
        <f t="shared" ref="I106:L107" si="339">H106*(1+$G$108)</f>
        <v>5.501475000000001</v>
      </c>
      <c r="J106" s="451">
        <f t="shared" si="339"/>
        <v>5.7765487500000017</v>
      </c>
      <c r="K106" s="451">
        <f t="shared" si="339"/>
        <v>6.0653761875000018</v>
      </c>
      <c r="L106" s="451">
        <f t="shared" si="339"/>
        <v>6.3686449968750019</v>
      </c>
      <c r="M106" s="93"/>
      <c r="N106" s="92" cm="1">
        <f t="array" ref="N106">INDEX($G106:$L106,,N$11)*N$100</f>
        <v>0</v>
      </c>
      <c r="O106" s="92" cm="1">
        <f t="array" ref="O106">INDEX($G106:$L106,,O$11)*O100</f>
        <v>0</v>
      </c>
      <c r="P106" s="92" cm="1">
        <f t="array" ref="P106">INDEX($G106:$L106,,P$11)*P100</f>
        <v>0</v>
      </c>
      <c r="Q106" s="92" cm="1">
        <f t="array" ref="Q106">INDEX($G106:$L106,,Q$11)*Q100</f>
        <v>0</v>
      </c>
      <c r="R106" s="92" cm="1">
        <f t="array" ref="R106">INDEX($G106:$L106,,R$11)*R100</f>
        <v>0</v>
      </c>
      <c r="S106" s="92" cm="1">
        <f t="array" ref="S106">INDEX($G106:$L106,,S$11)*S100</f>
        <v>0</v>
      </c>
      <c r="T106" s="92" cm="1">
        <f t="array" ref="T106">INDEX($G106:$L106,,T$11)*T100</f>
        <v>0</v>
      </c>
      <c r="U106" s="92" cm="1">
        <f t="array" ref="U106">INDEX($G106:$L106,,U$11)*U100</f>
        <v>0</v>
      </c>
      <c r="V106" s="92" cm="1">
        <f t="array" ref="V106">INDEX($G106:$L106,,V$11)*V100</f>
        <v>0</v>
      </c>
      <c r="W106" s="92" cm="1">
        <f t="array" ref="W106">INDEX($G106:$L106,,W$11)*W100</f>
        <v>0</v>
      </c>
      <c r="X106" s="92" cm="1">
        <f t="array" ref="X106">INDEX($G106:$L106,,X$11)*X100</f>
        <v>0</v>
      </c>
      <c r="Y106" s="92" cm="1">
        <f t="array" ref="Y106">INDEX($G106:$L106,,Y$11)*Y100</f>
        <v>0</v>
      </c>
      <c r="Z106" s="92" cm="1">
        <f t="array" ref="Z106">INDEX($G106:$L106,,Z$11)*Z100</f>
        <v>0</v>
      </c>
      <c r="AA106" s="92" cm="1">
        <f t="array" ref="AA106">INDEX($G106:$L106,,AA$11)*AA100</f>
        <v>0</v>
      </c>
      <c r="AB106" s="92" cm="1">
        <f t="array" ref="AB106">INDEX($G106:$L106,,AB$11)*AB100</f>
        <v>0</v>
      </c>
      <c r="AC106" s="92" cm="1">
        <f t="array" ref="AC106">INDEX($G106:$L106,,AC$11)*AC100</f>
        <v>0</v>
      </c>
      <c r="AD106" s="92" cm="1">
        <f t="array" ref="AD106">INDEX($G106:$L106,,AD$11)*AD100</f>
        <v>0</v>
      </c>
      <c r="AE106" s="92" cm="1">
        <f t="array" ref="AE106">INDEX($G106:$L106,,AE$11)*AE100</f>
        <v>1386.3717000000001</v>
      </c>
      <c r="AF106" s="92" cm="1">
        <f t="array" ref="AF106">INDEX($G106:$L106,,AF$11)*AF100</f>
        <v>1540.4130000000002</v>
      </c>
      <c r="AG106" s="92" cm="1">
        <f t="array" ref="AG106">INDEX($G106:$L106,,AG$11)*AG100</f>
        <v>1694.4543000000003</v>
      </c>
      <c r="AH106" s="92" cm="1">
        <f t="array" ref="AH106">INDEX($G106:$L106,,AH$11)*AH100</f>
        <v>1848.4956000000002</v>
      </c>
      <c r="AI106" s="92" cm="1">
        <f t="array" ref="AI106">INDEX($G106:$L106,,AI$11)*AI100</f>
        <v>2002.5369000000005</v>
      </c>
      <c r="AJ106" s="92" cm="1">
        <f t="array" ref="AJ106">INDEX($G106:$L106,,AJ$11)*AJ100</f>
        <v>2156.5782000000004</v>
      </c>
      <c r="AK106" s="92" cm="1">
        <f t="array" ref="AK106">INDEX($G106:$L106,,AK$11)*AK100</f>
        <v>2310.6195000000002</v>
      </c>
      <c r="AL106" s="92" cm="1">
        <f t="array" ref="AL106">INDEX($G106:$L106,,AL$11)*AL100</f>
        <v>2888.2743750000004</v>
      </c>
      <c r="AM106" s="92" cm="1">
        <f t="array" ref="AM106">INDEX($G106:$L106,,AM$11)*AM100</f>
        <v>3350.3982750000005</v>
      </c>
      <c r="AN106" s="92" cm="1">
        <f t="array" ref="AN106">INDEX($G106:$L106,,AN$11)*AN100</f>
        <v>3812.5221750000005</v>
      </c>
      <c r="AO106" s="92" cm="1">
        <f t="array" ref="AO106">INDEX($G106:$L106,,AO$11)*AO100</f>
        <v>4274.6460750000006</v>
      </c>
      <c r="AP106" s="92" cm="1">
        <f t="array" ref="AP106">INDEX($G106:$L106,,AP$11)*AP100</f>
        <v>4736.7699750000011</v>
      </c>
      <c r="AQ106" s="92" cm="1">
        <f t="array" ref="AQ106">INDEX($G106:$L106,,AQ$11)*AQ100</f>
        <v>5198.8938750000007</v>
      </c>
      <c r="AR106" s="92" cm="1">
        <f t="array" ref="AR106">INDEX($G106:$L106,,AR$11)*AR100</f>
        <v>5661.0177750000012</v>
      </c>
      <c r="AS106" s="92" cm="1">
        <f t="array" ref="AS106">INDEX($G106:$L106,,AS$11)*AS100</f>
        <v>6123.1416750000008</v>
      </c>
      <c r="AT106" s="92" cm="1">
        <f t="array" ref="AT106">INDEX($G106:$L106,,AT$11)*AT100</f>
        <v>6585.2655750000013</v>
      </c>
      <c r="AU106" s="92" cm="1">
        <f t="array" ref="AU106">INDEX($G106:$L106,,AU$11)*AU100</f>
        <v>7047.3894750000009</v>
      </c>
      <c r="AV106" s="92" cm="1">
        <f t="array" ref="AV106">INDEX($G106:$L106,,AV$11)*AV100</f>
        <v>7509.5133750000014</v>
      </c>
      <c r="AW106" s="92" cm="1">
        <f t="array" ref="AW106">INDEX($G106:$L106,,AW$11)*AW100</f>
        <v>7971.6372750000019</v>
      </c>
      <c r="AX106" s="92" cm="1">
        <f t="array" ref="AX106">INDEX($G106:$L106,,AX$11)*AX100</f>
        <v>9479.3164987500022</v>
      </c>
      <c r="AY106" s="92" cm="1">
        <f t="array" ref="AY106">INDEX($G106:$L106,,AY$11)*AY100</f>
        <v>10588.413858750004</v>
      </c>
      <c r="AZ106" s="92" cm="1">
        <f t="array" ref="AZ106">INDEX($G106:$L106,,AZ$11)*AZ100</f>
        <v>11697.511218750004</v>
      </c>
      <c r="BA106" s="92" cm="1">
        <f t="array" ref="BA106">INDEX($G106:$L106,,BA$11)*BA100</f>
        <v>12806.608578750003</v>
      </c>
      <c r="BB106" s="92" cm="1">
        <f t="array" ref="BB106">INDEX($G106:$L106,,BB$11)*BB100</f>
        <v>13915.705938750005</v>
      </c>
      <c r="BC106" s="92" cm="1">
        <f t="array" ref="BC106">INDEX($G106:$L106,,BC$11)*BC100</f>
        <v>15024.803298750005</v>
      </c>
      <c r="BD106" s="92" cm="1">
        <f t="array" ref="BD106">INDEX($G106:$L106,,BD$11)*BD100</f>
        <v>16133.900658750004</v>
      </c>
      <c r="BE106" s="92" cm="1">
        <f t="array" ref="BE106">INDEX($G106:$L106,,BE$11)*BE100</f>
        <v>17242.998018750004</v>
      </c>
      <c r="BF106" s="92" cm="1">
        <f t="array" ref="BF106">INDEX($G106:$L106,,BF$11)*BF100</f>
        <v>18352.095378750004</v>
      </c>
      <c r="BG106" s="92" cm="1">
        <f t="array" ref="BG106">INDEX($G106:$L106,,BG$11)*BG100</f>
        <v>19461.192738750007</v>
      </c>
      <c r="BH106" s="92" cm="1">
        <f t="array" ref="BH106">INDEX($G106:$L106,,BH$11)*BH100</f>
        <v>20570.290098750007</v>
      </c>
      <c r="BI106" s="92" cm="1">
        <f t="array" ref="BI106">INDEX($G106:$L106,,BI$11)*BI100</f>
        <v>21679.387458750007</v>
      </c>
      <c r="BJ106" s="92" cm="1">
        <f t="array" ref="BJ106">INDEX($G106:$L106,,BJ$11)*BJ100</f>
        <v>25168.885027650009</v>
      </c>
      <c r="BK106" s="92" cm="1">
        <f t="array" ref="BK106">INDEX($G106:$L106,,BK$11)*BK100</f>
        <v>27574.413223612512</v>
      </c>
      <c r="BL106" s="92" cm="1">
        <f t="array" ref="BL106">INDEX($G106:$L106,,BL$11)*BL100</f>
        <v>29979.941419575011</v>
      </c>
      <c r="BM106" s="92" cm="1">
        <f t="array" ref="BM106">INDEX($G106:$L106,,BM$11)*BM100</f>
        <v>32385.469615537513</v>
      </c>
      <c r="BN106" s="92" cm="1">
        <f t="array" ref="BN106">INDEX($G106:$L106,,BN$11)*BN100</f>
        <v>34790.997811500012</v>
      </c>
      <c r="BO106" s="92" cm="1">
        <f t="array" ref="BO106">INDEX($G106:$L106,,BO$11)*BO100</f>
        <v>37196.526007462511</v>
      </c>
      <c r="BP106" s="92" cm="1">
        <f t="array" ref="BP106">INDEX($G106:$L106,,BP$11)*BP100</f>
        <v>39602.054203425017</v>
      </c>
      <c r="BQ106" s="92" cm="1">
        <f t="array" ref="BQ106">INDEX($G106:$L106,,BQ$11)*BQ100</f>
        <v>42007.582399387509</v>
      </c>
      <c r="BR106" s="92" cm="1">
        <f t="array" ref="BR106">INDEX($G106:$L106,,BR$11)*BR100</f>
        <v>44413.110595350016</v>
      </c>
      <c r="BS106" s="92" cm="1">
        <f t="array" ref="BS106">INDEX($G106:$L106,,BS$11)*BS100</f>
        <v>46818.638791312515</v>
      </c>
      <c r="BT106" s="92" cm="1">
        <f t="array" ref="BT106">INDEX($G106:$L106,,BT$11)*BT100</f>
        <v>49224.166987275021</v>
      </c>
      <c r="BU106" s="92" cm="1">
        <f t="array" ref="BU106">INDEX($G106:$L106,,BU$11)*BU100</f>
        <v>51629.69518323752</v>
      </c>
      <c r="BV106" s="92" cm="1">
        <f t="array" ref="BV106">INDEX($G106:$L106,,BV$11)*BV100</f>
        <v>59385.067137860642</v>
      </c>
      <c r="BW106" s="92" cm="1">
        <f t="array" ref="BW106">INDEX($G106:$L106,,BW$11)*BW100</f>
        <v>64558.954333321897</v>
      </c>
      <c r="BX106" s="92" cm="1">
        <f t="array" ref="BX106">INDEX($G106:$L106,,BX$11)*BX100</f>
        <v>69732.841528783159</v>
      </c>
      <c r="BY106" s="92" cm="1">
        <f t="array" ref="BY106">INDEX($G106:$L106,,BY$11)*BY100</f>
        <v>74906.7287242444</v>
      </c>
      <c r="BZ106" s="92" cm="1">
        <f t="array" ref="BZ106">INDEX($G106:$L106,,BZ$11)*BZ100</f>
        <v>80080.615919705655</v>
      </c>
      <c r="CA106" s="92" cm="1">
        <f t="array" ref="CA106">INDEX($G106:$L106,,CA$11)*CA100</f>
        <v>85254.503115166895</v>
      </c>
      <c r="CB106" s="92" cm="1">
        <f t="array" ref="CB106">INDEX($G106:$L106,,CB$11)*CB100</f>
        <v>90428.39031062815</v>
      </c>
      <c r="CC106" s="92" cm="1">
        <f t="array" ref="CC106">INDEX($G106:$L106,,CC$11)*CC100</f>
        <v>95602.277506089406</v>
      </c>
      <c r="CD106" s="92" cm="1">
        <f t="array" ref="CD106">INDEX($G106:$L106,,CD$11)*CD100</f>
        <v>100776.16470155066</v>
      </c>
      <c r="CE106" s="92" cm="1">
        <f t="array" ref="CE106">INDEX($G106:$L106,,CE$11)*CE100</f>
        <v>105950.05189701192</v>
      </c>
      <c r="CF106" s="92" cm="1">
        <f t="array" ref="CF106">INDEX($G106:$L106,,CF$11)*CF100</f>
        <v>111123.93909247317</v>
      </c>
      <c r="CG106" s="92" cm="1">
        <f t="array" ref="CG106">INDEX($G106:$L106,,CG$11)*CG100</f>
        <v>116297.82628793441</v>
      </c>
    </row>
    <row r="107" spans="3:85" outlineLevel="1">
      <c r="C107" s="48"/>
      <c r="E107" s="44" t="s">
        <v>472</v>
      </c>
      <c r="G107" s="115">
        <v>7.99</v>
      </c>
      <c r="H107" s="451">
        <f>G107*(1+$G$108)</f>
        <v>8.3895</v>
      </c>
      <c r="I107" s="451">
        <f t="shared" si="339"/>
        <v>8.8089750000000002</v>
      </c>
      <c r="J107" s="451">
        <f t="shared" si="339"/>
        <v>9.2494237500000001</v>
      </c>
      <c r="K107" s="451">
        <f t="shared" si="339"/>
        <v>9.7118949375000003</v>
      </c>
      <c r="L107" s="451">
        <f t="shared" si="339"/>
        <v>10.197489684375</v>
      </c>
      <c r="M107" s="93"/>
      <c r="N107" s="92" cm="1">
        <f t="array" ref="N107">INDEX($G107:$L107,,N$11)*N$100</f>
        <v>0</v>
      </c>
      <c r="O107" s="92" cm="1">
        <f t="array" ref="O107">INDEX($G107:$L107,,O$11)*O$100</f>
        <v>0</v>
      </c>
      <c r="P107" s="92" cm="1">
        <f t="array" ref="P107">INDEX($G107:$L107,,P$11)*P$100</f>
        <v>0</v>
      </c>
      <c r="Q107" s="92" cm="1">
        <f t="array" ref="Q107">INDEX($G107:$L107,,Q$11)*Q$100</f>
        <v>0</v>
      </c>
      <c r="R107" s="92" cm="1">
        <f t="array" ref="R107">INDEX($G107:$L107,,R$11)*R$100</f>
        <v>0</v>
      </c>
      <c r="S107" s="92" cm="1">
        <f t="array" ref="S107">INDEX($G107:$L107,,S$11)*S$100</f>
        <v>0</v>
      </c>
      <c r="T107" s="92" cm="1">
        <f t="array" ref="T107">INDEX($G107:$L107,,T$11)*T$100</f>
        <v>0</v>
      </c>
      <c r="U107" s="92" cm="1">
        <f t="array" ref="U107">INDEX($G107:$L107,,U$11)*U$100</f>
        <v>0</v>
      </c>
      <c r="V107" s="92" cm="1">
        <f t="array" ref="V107">INDEX($G107:$L107,,V$11)*V$100</f>
        <v>0</v>
      </c>
      <c r="W107" s="92" cm="1">
        <f t="array" ref="W107">INDEX($G107:$L107,,W$11)*W$100</f>
        <v>0</v>
      </c>
      <c r="X107" s="92" cm="1">
        <f t="array" ref="X107">INDEX($G107:$L107,,X$11)*X$100</f>
        <v>0</v>
      </c>
      <c r="Y107" s="92" cm="1">
        <f t="array" ref="Y107">INDEX($G107:$L107,,Y$11)*Y$100</f>
        <v>0</v>
      </c>
      <c r="Z107" s="92" cm="1">
        <f t="array" ref="Z107">INDEX($G107:$L107,,Z$11)*Z$100</f>
        <v>0</v>
      </c>
      <c r="AA107" s="92" cm="1">
        <f t="array" ref="AA107">INDEX($G107:$L107,,AA$11)*AA$100</f>
        <v>0</v>
      </c>
      <c r="AB107" s="92" cm="1">
        <f t="array" ref="AB107">INDEX($G107:$L107,,AB$11)*AB$100</f>
        <v>0</v>
      </c>
      <c r="AC107" s="92" cm="1">
        <f t="array" ref="AC107">INDEX($G107:$L107,,AC$11)*AC$100</f>
        <v>0</v>
      </c>
      <c r="AD107" s="92" cm="1">
        <f t="array" ref="AD107">INDEX($G107:$L107,,AD$11)*AD$100</f>
        <v>0</v>
      </c>
      <c r="AE107" s="92" cm="1">
        <f t="array" ref="AE107">INDEX($G107:$L107,,AE$11)*AE$100</f>
        <v>2219.8617000000004</v>
      </c>
      <c r="AF107" s="92" cm="1">
        <f t="array" ref="AF107">INDEX($G107:$L107,,AF$11)*AF$100</f>
        <v>2466.5129999999999</v>
      </c>
      <c r="AG107" s="92" cm="1">
        <f t="array" ref="AG107">INDEX($G107:$L107,,AG$11)*AG$100</f>
        <v>2713.1643000000004</v>
      </c>
      <c r="AH107" s="92" cm="1">
        <f t="array" ref="AH107">INDEX($G107:$L107,,AH$11)*AH$100</f>
        <v>2959.8155999999999</v>
      </c>
      <c r="AI107" s="92" cm="1">
        <f t="array" ref="AI107">INDEX($G107:$L107,,AI$11)*AI$100</f>
        <v>3206.4669000000004</v>
      </c>
      <c r="AJ107" s="92" cm="1">
        <f t="array" ref="AJ107">INDEX($G107:$L107,,AJ$11)*AJ$100</f>
        <v>3453.1182000000003</v>
      </c>
      <c r="AK107" s="92" cm="1">
        <f t="array" ref="AK107">INDEX($G107:$L107,,AK$11)*AK$100</f>
        <v>3699.7694999999999</v>
      </c>
      <c r="AL107" s="92" cm="1">
        <f t="array" ref="AL107">INDEX($G107:$L107,,AL$11)*AL$100</f>
        <v>4624.711875</v>
      </c>
      <c r="AM107" s="92" cm="1">
        <f t="array" ref="AM107">INDEX($G107:$L107,,AM$11)*AM$100</f>
        <v>5364.6657750000004</v>
      </c>
      <c r="AN107" s="92" cm="1">
        <f t="array" ref="AN107">INDEX($G107:$L107,,AN$11)*AN$100</f>
        <v>6104.6196749999999</v>
      </c>
      <c r="AO107" s="92" cm="1">
        <f t="array" ref="AO107">INDEX($G107:$L107,,AO$11)*AO$100</f>
        <v>6844.5735750000003</v>
      </c>
      <c r="AP107" s="92" cm="1">
        <f t="array" ref="AP107">INDEX($G107:$L107,,AP$11)*AP$100</f>
        <v>7584.5274749999999</v>
      </c>
      <c r="AQ107" s="92" cm="1">
        <f t="array" ref="AQ107">INDEX($G107:$L107,,AQ$11)*AQ$100</f>
        <v>8324.4813749999994</v>
      </c>
      <c r="AR107" s="92" cm="1">
        <f t="array" ref="AR107">INDEX($G107:$L107,,AR$11)*AR$100</f>
        <v>9064.4352749999998</v>
      </c>
      <c r="AS107" s="92" cm="1">
        <f t="array" ref="AS107">INDEX($G107:$L107,,AS$11)*AS$100</f>
        <v>9804.3891750000003</v>
      </c>
      <c r="AT107" s="92" cm="1">
        <f t="array" ref="AT107">INDEX($G107:$L107,,AT$11)*AT$100</f>
        <v>10544.343075000001</v>
      </c>
      <c r="AU107" s="92" cm="1">
        <f t="array" ref="AU107">INDEX($G107:$L107,,AU$11)*AU$100</f>
        <v>11284.296975000001</v>
      </c>
      <c r="AV107" s="92" cm="1">
        <f t="array" ref="AV107">INDEX($G107:$L107,,AV$11)*AV$100</f>
        <v>12024.250875</v>
      </c>
      <c r="AW107" s="92" cm="1">
        <f t="array" ref="AW107">INDEX($G107:$L107,,AW$11)*AW$100</f>
        <v>12764.204775</v>
      </c>
      <c r="AX107" s="92" cm="1">
        <f t="array" ref="AX107">INDEX($G107:$L107,,AX$11)*AX$100</f>
        <v>15178.304373749999</v>
      </c>
      <c r="AY107" s="92" cm="1">
        <f t="array" ref="AY107">INDEX($G107:$L107,,AY$11)*AY$100</f>
        <v>16954.193733749999</v>
      </c>
      <c r="AZ107" s="92" cm="1">
        <f t="array" ref="AZ107">INDEX($G107:$L107,,AZ$11)*AZ$100</f>
        <v>18730.08309375</v>
      </c>
      <c r="BA107" s="92" cm="1">
        <f t="array" ref="BA107">INDEX($G107:$L107,,BA$11)*BA$100</f>
        <v>20505.972453750001</v>
      </c>
      <c r="BB107" s="92" cm="1">
        <f t="array" ref="BB107">INDEX($G107:$L107,,BB$11)*BB$100</f>
        <v>22281.861813750002</v>
      </c>
      <c r="BC107" s="92" cm="1">
        <f t="array" ref="BC107">INDEX($G107:$L107,,BC$11)*BC$100</f>
        <v>24057.751173749999</v>
      </c>
      <c r="BD107" s="92" cm="1">
        <f t="array" ref="BD107">INDEX($G107:$L107,,BD$11)*BD$100</f>
        <v>25833.64053375</v>
      </c>
      <c r="BE107" s="92" cm="1">
        <f t="array" ref="BE107">INDEX($G107:$L107,,BE$11)*BE$100</f>
        <v>27609.529893750001</v>
      </c>
      <c r="BF107" s="92" cm="1">
        <f t="array" ref="BF107">INDEX($G107:$L107,,BF$11)*BF$100</f>
        <v>29385.419253749998</v>
      </c>
      <c r="BG107" s="92" cm="1">
        <f t="array" ref="BG107">INDEX($G107:$L107,,BG$11)*BG$100</f>
        <v>31161.308613749999</v>
      </c>
      <c r="BH107" s="92" cm="1">
        <f t="array" ref="BH107">INDEX($G107:$L107,,BH$11)*BH$100</f>
        <v>32937.197973750001</v>
      </c>
      <c r="BI107" s="92" cm="1">
        <f t="array" ref="BI107">INDEX($G107:$L107,,BI$11)*BI$100</f>
        <v>34713.087333750002</v>
      </c>
      <c r="BJ107" s="92" cm="1">
        <f t="array" ref="BJ107">INDEX($G107:$L107,,BJ$11)*BJ$100</f>
        <v>40300.479232650003</v>
      </c>
      <c r="BK107" s="92" cm="1">
        <f t="array" ref="BK107">INDEX($G107:$L107,,BK$11)*BK$100</f>
        <v>44152.216764862511</v>
      </c>
      <c r="BL107" s="92" cm="1">
        <f t="array" ref="BL107">INDEX($G107:$L107,,BL$11)*BL$100</f>
        <v>48003.954297075004</v>
      </c>
      <c r="BM107" s="92" cm="1">
        <f t="array" ref="BM107">INDEX($G107:$L107,,BM$11)*BM$100</f>
        <v>51855.691829287505</v>
      </c>
      <c r="BN107" s="92" cm="1">
        <f t="array" ref="BN107">INDEX($G107:$L107,,BN$11)*BN$100</f>
        <v>55707.429361499999</v>
      </c>
      <c r="BO107" s="92" cm="1">
        <f t="array" ref="BO107">INDEX($G107:$L107,,BO$11)*BO$100</f>
        <v>59559.166893712507</v>
      </c>
      <c r="BP107" s="92" cm="1">
        <f t="array" ref="BP107">INDEX($G107:$L107,,BP$11)*BP$100</f>
        <v>63410.904425925008</v>
      </c>
      <c r="BQ107" s="92" cm="1">
        <f t="array" ref="BQ107">INDEX($G107:$L107,,BQ$11)*BQ$100</f>
        <v>67262.641958137494</v>
      </c>
      <c r="BR107" s="92" cm="1">
        <f t="array" ref="BR107">INDEX($G107:$L107,,BR$11)*BR$100</f>
        <v>71114.379490350009</v>
      </c>
      <c r="BS107" s="92" cm="1">
        <f t="array" ref="BS107">INDEX($G107:$L107,,BS$11)*BS$100</f>
        <v>74966.117022562496</v>
      </c>
      <c r="BT107" s="92" cm="1">
        <f t="array" ref="BT107">INDEX($G107:$L107,,BT$11)*BT$100</f>
        <v>78817.854554775011</v>
      </c>
      <c r="BU107" s="92" cm="1">
        <f t="array" ref="BU107">INDEX($G107:$L107,,BU$11)*BU$100</f>
        <v>82669.592086987512</v>
      </c>
      <c r="BV107" s="92" cm="1">
        <f t="array" ref="BV107">INDEX($G107:$L107,,BV$11)*BV$100</f>
        <v>95087.512310923135</v>
      </c>
      <c r="BW107" s="92" cm="1">
        <f t="array" ref="BW107">INDEX($G107:$L107,,BW$11)*BW$100</f>
        <v>103371.95293050937</v>
      </c>
      <c r="BX107" s="92" cm="1">
        <f t="array" ref="BX107">INDEX($G107:$L107,,BX$11)*BX$100</f>
        <v>111656.39355009564</v>
      </c>
      <c r="BY107" s="92" cm="1">
        <f t="array" ref="BY107">INDEX($G107:$L107,,BY$11)*BY$100</f>
        <v>119940.83416968188</v>
      </c>
      <c r="BZ107" s="92" cm="1">
        <f t="array" ref="BZ107">INDEX($G107:$L107,,BZ$11)*BZ$100</f>
        <v>128225.27478926814</v>
      </c>
      <c r="CA107" s="92" cm="1">
        <f t="array" ref="CA107">INDEX($G107:$L107,,CA$11)*CA$100</f>
        <v>136509.71540885436</v>
      </c>
      <c r="CB107" s="92" cm="1">
        <f t="array" ref="CB107">INDEX($G107:$L107,,CB$11)*CB$100</f>
        <v>144794.15602844063</v>
      </c>
      <c r="CC107" s="92" cm="1">
        <f t="array" ref="CC107">INDEX($G107:$L107,,CC$11)*CC$100</f>
        <v>153078.5966480269</v>
      </c>
      <c r="CD107" s="92" cm="1">
        <f t="array" ref="CD107">INDEX($G107:$L107,,CD$11)*CD$100</f>
        <v>161363.03726761314</v>
      </c>
      <c r="CE107" s="92" cm="1">
        <f t="array" ref="CE107">INDEX($G107:$L107,,CE$11)*CE$100</f>
        <v>169647.47788719938</v>
      </c>
      <c r="CF107" s="92" cm="1">
        <f t="array" ref="CF107">INDEX($G107:$L107,,CF$11)*CF$100</f>
        <v>177931.91850678565</v>
      </c>
      <c r="CG107" s="92" cm="1">
        <f t="array" ref="CG107">INDEX($G107:$L107,,CG$11)*CG$100</f>
        <v>186216.35912637188</v>
      </c>
    </row>
    <row r="108" spans="3:85" outlineLevel="1">
      <c r="C108" s="48"/>
      <c r="E108" s="44" t="s">
        <v>471</v>
      </c>
      <c r="G108" s="452">
        <v>0.05</v>
      </c>
      <c r="H108" s="94"/>
      <c r="I108" s="94"/>
      <c r="J108" s="94"/>
      <c r="K108" s="94"/>
      <c r="L108" s="94"/>
      <c r="M108" s="93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7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7"/>
      <c r="CC108" s="177"/>
      <c r="CD108" s="177"/>
      <c r="CE108" s="177"/>
      <c r="CF108" s="177"/>
      <c r="CG108" s="177"/>
    </row>
    <row r="109" spans="3:85" outlineLevel="1">
      <c r="C109" s="48"/>
      <c r="E109" s="44"/>
      <c r="H109" s="94"/>
      <c r="I109" s="94"/>
      <c r="J109" s="94"/>
      <c r="K109" s="94"/>
      <c r="L109" s="94"/>
      <c r="M109" s="93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77"/>
      <c r="AX109" s="177"/>
      <c r="AY109" s="177"/>
      <c r="AZ109" s="177"/>
      <c r="BA109" s="177"/>
      <c r="BB109" s="177"/>
      <c r="BC109" s="177"/>
      <c r="BD109" s="177"/>
      <c r="BE109" s="177"/>
      <c r="BF109" s="177"/>
      <c r="BG109" s="177"/>
      <c r="BH109" s="177"/>
      <c r="BI109" s="177"/>
      <c r="BJ109" s="177"/>
      <c r="BK109" s="177"/>
      <c r="BL109" s="177"/>
      <c r="BM109" s="177"/>
      <c r="BN109" s="177"/>
      <c r="BO109" s="177"/>
      <c r="BP109" s="177"/>
      <c r="BQ109" s="177"/>
      <c r="BR109" s="177"/>
      <c r="BS109" s="177"/>
      <c r="BT109" s="177"/>
      <c r="BU109" s="177"/>
      <c r="BV109" s="177"/>
      <c r="BW109" s="177"/>
      <c r="BX109" s="177"/>
      <c r="BY109" s="177"/>
      <c r="BZ109" s="177"/>
      <c r="CA109" s="177"/>
      <c r="CB109" s="177"/>
      <c r="CC109" s="177"/>
      <c r="CD109" s="177"/>
      <c r="CE109" s="177"/>
      <c r="CF109" s="177"/>
      <c r="CG109" s="177"/>
    </row>
    <row r="110" spans="3:85" outlineLevel="1">
      <c r="C110" s="48"/>
      <c r="E110" s="103" t="s">
        <v>134</v>
      </c>
      <c r="H110" s="19"/>
      <c r="I110" s="19"/>
      <c r="J110" s="19"/>
      <c r="K110" s="19"/>
      <c r="L110" s="19"/>
      <c r="N110" s="188">
        <f t="shared" ref="N110:AS110" si="340">N104+N96+N86</f>
        <v>0</v>
      </c>
      <c r="O110" s="188">
        <f t="shared" si="340"/>
        <v>0</v>
      </c>
      <c r="P110" s="188">
        <f t="shared" si="340"/>
        <v>0</v>
      </c>
      <c r="Q110" s="188">
        <f t="shared" si="340"/>
        <v>0</v>
      </c>
      <c r="R110" s="188">
        <f t="shared" si="340"/>
        <v>0</v>
      </c>
      <c r="S110" s="188">
        <f t="shared" si="340"/>
        <v>173.48936670945656</v>
      </c>
      <c r="T110" s="188">
        <f t="shared" si="340"/>
        <v>346.97873341891312</v>
      </c>
      <c r="U110" s="188">
        <f t="shared" si="340"/>
        <v>520.46810012836977</v>
      </c>
      <c r="V110" s="188">
        <f t="shared" si="340"/>
        <v>693.95746683782625</v>
      </c>
      <c r="W110" s="188">
        <f t="shared" si="340"/>
        <v>867.44683354728295</v>
      </c>
      <c r="X110" s="188">
        <f t="shared" si="340"/>
        <v>1040.9362002567395</v>
      </c>
      <c r="Y110" s="188">
        <f t="shared" si="340"/>
        <v>1214.4255669661961</v>
      </c>
      <c r="Z110" s="188">
        <f t="shared" si="340"/>
        <v>7998.9410416284618</v>
      </c>
      <c r="AA110" s="188">
        <f t="shared" si="340"/>
        <v>10689.665042178618</v>
      </c>
      <c r="AB110" s="188">
        <f t="shared" si="340"/>
        <v>13380.389042728773</v>
      </c>
      <c r="AC110" s="188">
        <f t="shared" si="340"/>
        <v>16071.113043278927</v>
      </c>
      <c r="AD110" s="188">
        <f t="shared" si="340"/>
        <v>18761.83704382908</v>
      </c>
      <c r="AE110" s="188">
        <f t="shared" si="340"/>
        <v>22775.561044379239</v>
      </c>
      <c r="AF110" s="188">
        <f t="shared" si="340"/>
        <v>25613.285044929398</v>
      </c>
      <c r="AG110" s="188">
        <f t="shared" si="340"/>
        <v>28451.009045479554</v>
      </c>
      <c r="AH110" s="188">
        <f t="shared" si="340"/>
        <v>31288.733046029713</v>
      </c>
      <c r="AI110" s="188">
        <f t="shared" si="340"/>
        <v>34126.457046579868</v>
      </c>
      <c r="AJ110" s="188">
        <f t="shared" si="340"/>
        <v>36964.181047130027</v>
      </c>
      <c r="AK110" s="188">
        <f t="shared" si="340"/>
        <v>39801.905047680179</v>
      </c>
      <c r="AL110" s="188">
        <f t="shared" si="340"/>
        <v>119608.26900613907</v>
      </c>
      <c r="AM110" s="188">
        <f t="shared" si="340"/>
        <v>145036.37577130986</v>
      </c>
      <c r="AN110" s="188">
        <f t="shared" si="340"/>
        <v>170464.48253648062</v>
      </c>
      <c r="AO110" s="188">
        <f t="shared" si="340"/>
        <v>195892.5893016514</v>
      </c>
      <c r="AP110" s="188">
        <f t="shared" si="340"/>
        <v>221320.69606682216</v>
      </c>
      <c r="AQ110" s="188">
        <f t="shared" si="340"/>
        <v>246748.80283199294</v>
      </c>
      <c r="AR110" s="188">
        <f t="shared" si="340"/>
        <v>272176.90959716367</v>
      </c>
      <c r="AS110" s="188">
        <f t="shared" si="340"/>
        <v>297605.01636233449</v>
      </c>
      <c r="AT110" s="188">
        <f t="shared" ref="AT110:BY110" si="341">AT104+AT96+AT86</f>
        <v>323033.12312750524</v>
      </c>
      <c r="AU110" s="188">
        <f t="shared" si="341"/>
        <v>348461.22989267606</v>
      </c>
      <c r="AV110" s="188">
        <f t="shared" si="341"/>
        <v>373889.33665784681</v>
      </c>
      <c r="AW110" s="188">
        <f t="shared" si="341"/>
        <v>399317.44342301763</v>
      </c>
      <c r="AX110" s="188">
        <f t="shared" si="341"/>
        <v>627068.24617981631</v>
      </c>
      <c r="AY110" s="188">
        <f t="shared" si="341"/>
        <v>723256.97966609546</v>
      </c>
      <c r="AZ110" s="188">
        <f t="shared" si="341"/>
        <v>819445.71315237461</v>
      </c>
      <c r="BA110" s="188">
        <f t="shared" si="341"/>
        <v>915634.44663865387</v>
      </c>
      <c r="BB110" s="188">
        <f t="shared" si="341"/>
        <v>1011823.180124933</v>
      </c>
      <c r="BC110" s="188">
        <f t="shared" si="341"/>
        <v>1108011.9136112123</v>
      </c>
      <c r="BD110" s="188">
        <f t="shared" si="341"/>
        <v>1204200.6470974914</v>
      </c>
      <c r="BE110" s="188">
        <f t="shared" si="341"/>
        <v>1300389.3805837703</v>
      </c>
      <c r="BF110" s="188">
        <f t="shared" si="341"/>
        <v>1396578.1140700497</v>
      </c>
      <c r="BG110" s="188">
        <f t="shared" si="341"/>
        <v>1492766.8475563289</v>
      </c>
      <c r="BH110" s="188">
        <f t="shared" si="341"/>
        <v>1588955.5810426085</v>
      </c>
      <c r="BI110" s="188">
        <f t="shared" si="341"/>
        <v>1685144.3145288876</v>
      </c>
      <c r="BJ110" s="188">
        <f t="shared" si="341"/>
        <v>2387743.4384891773</v>
      </c>
      <c r="BK110" s="188">
        <f t="shared" si="341"/>
        <v>2675769.4947208818</v>
      </c>
      <c r="BL110" s="188">
        <f t="shared" si="341"/>
        <v>2963795.5509525859</v>
      </c>
      <c r="BM110" s="188">
        <f t="shared" si="341"/>
        <v>3251821.6071842904</v>
      </c>
      <c r="BN110" s="188">
        <f t="shared" si="341"/>
        <v>3539847.6634159945</v>
      </c>
      <c r="BO110" s="188">
        <f t="shared" si="341"/>
        <v>3827873.7196476986</v>
      </c>
      <c r="BP110" s="188">
        <f t="shared" si="341"/>
        <v>4115899.7758794031</v>
      </c>
      <c r="BQ110" s="188">
        <f t="shared" si="341"/>
        <v>4403925.8321111081</v>
      </c>
      <c r="BR110" s="188">
        <f t="shared" si="341"/>
        <v>4691951.8883428117</v>
      </c>
      <c r="BS110" s="188">
        <f t="shared" si="341"/>
        <v>4979977.9445745163</v>
      </c>
      <c r="BT110" s="188">
        <f t="shared" si="341"/>
        <v>5268004.0008062189</v>
      </c>
      <c r="BU110" s="188">
        <f t="shared" si="341"/>
        <v>5556030.0570379235</v>
      </c>
      <c r="BV110" s="188">
        <f t="shared" si="341"/>
        <v>7359445.1780509437</v>
      </c>
      <c r="BW110" s="188">
        <f t="shared" si="341"/>
        <v>8066963.498936329</v>
      </c>
      <c r="BX110" s="188">
        <f t="shared" si="341"/>
        <v>8774481.8198217116</v>
      </c>
      <c r="BY110" s="188">
        <f t="shared" si="341"/>
        <v>9482000.1407070979</v>
      </c>
      <c r="BZ110" s="188">
        <f t="shared" ref="BZ110:CG110" si="342">BZ104+BZ96+BZ86</f>
        <v>10189518.461592482</v>
      </c>
      <c r="CA110" s="188">
        <f t="shared" si="342"/>
        <v>10897036.782477867</v>
      </c>
      <c r="CB110" s="188">
        <f t="shared" si="342"/>
        <v>11604555.103363249</v>
      </c>
      <c r="CC110" s="188">
        <f t="shared" si="342"/>
        <v>12312073.424248634</v>
      </c>
      <c r="CD110" s="188">
        <f t="shared" si="342"/>
        <v>13019591.74513402</v>
      </c>
      <c r="CE110" s="188">
        <f t="shared" si="342"/>
        <v>13727110.066019405</v>
      </c>
      <c r="CF110" s="188">
        <f t="shared" si="342"/>
        <v>14434628.386904787</v>
      </c>
      <c r="CG110" s="188">
        <f t="shared" si="342"/>
        <v>15142146.707790172</v>
      </c>
    </row>
    <row r="111" spans="3:85">
      <c r="C111" s="48"/>
      <c r="E111" s="103"/>
      <c r="H111" s="19"/>
      <c r="I111" s="19"/>
      <c r="J111" s="19"/>
      <c r="K111" s="19"/>
      <c r="L111" s="19"/>
      <c r="N111" s="178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</row>
    <row r="112" spans="3:85" ht="16.2" thickBot="1">
      <c r="D112" s="25" t="s">
        <v>135</v>
      </c>
      <c r="E112" s="25"/>
      <c r="F112" s="140"/>
      <c r="G112" s="25"/>
      <c r="H112" s="127"/>
      <c r="I112" s="123"/>
      <c r="J112" s="123"/>
      <c r="K112" s="124"/>
      <c r="L112" s="124"/>
      <c r="M112" s="125"/>
      <c r="N112" s="126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</row>
    <row r="113" spans="3:85" ht="16.2" outlineLevel="1" thickTop="1">
      <c r="F113" s="139"/>
      <c r="H113" s="19"/>
      <c r="I113" s="19"/>
      <c r="J113" s="19"/>
      <c r="K113" s="24"/>
      <c r="L113" s="24"/>
    </row>
    <row r="114" spans="3:85" outlineLevel="1">
      <c r="C114" s="48"/>
      <c r="E114" s="191" t="s">
        <v>136</v>
      </c>
      <c r="F114" s="143" t="s">
        <v>137</v>
      </c>
      <c r="G114" s="63">
        <v>0.03</v>
      </c>
      <c r="I114" s="52"/>
      <c r="J114" s="24"/>
      <c r="K114" s="24"/>
      <c r="L114" s="24"/>
      <c r="N114" s="121">
        <f t="shared" ref="N114:AK114" si="343">N110*$G$114</f>
        <v>0</v>
      </c>
      <c r="O114" s="121">
        <f t="shared" si="343"/>
        <v>0</v>
      </c>
      <c r="P114" s="121">
        <f t="shared" si="343"/>
        <v>0</v>
      </c>
      <c r="Q114" s="121">
        <f t="shared" si="343"/>
        <v>0</v>
      </c>
      <c r="R114" s="121">
        <f t="shared" si="343"/>
        <v>0</v>
      </c>
      <c r="S114" s="121">
        <f t="shared" si="343"/>
        <v>5.2046810012836966</v>
      </c>
      <c r="T114" s="121">
        <f t="shared" si="343"/>
        <v>10.409362002567393</v>
      </c>
      <c r="U114" s="121">
        <f t="shared" si="343"/>
        <v>15.614043003851092</v>
      </c>
      <c r="V114" s="121">
        <f t="shared" si="343"/>
        <v>20.818724005134786</v>
      </c>
      <c r="W114" s="121">
        <f t="shared" si="343"/>
        <v>26.023405006418489</v>
      </c>
      <c r="X114" s="121">
        <f t="shared" si="343"/>
        <v>31.228086007702185</v>
      </c>
      <c r="Y114" s="121">
        <f t="shared" si="343"/>
        <v>36.432767008985884</v>
      </c>
      <c r="Z114" s="121">
        <f t="shared" si="343"/>
        <v>239.96823124885384</v>
      </c>
      <c r="AA114" s="121">
        <f t="shared" si="343"/>
        <v>320.6899512653585</v>
      </c>
      <c r="AB114" s="121">
        <f t="shared" si="343"/>
        <v>401.41167128186316</v>
      </c>
      <c r="AC114" s="121">
        <f t="shared" si="343"/>
        <v>482.13339129836777</v>
      </c>
      <c r="AD114" s="121">
        <f t="shared" si="343"/>
        <v>562.85511131487237</v>
      </c>
      <c r="AE114" s="121">
        <f t="shared" si="343"/>
        <v>683.26683133137715</v>
      </c>
      <c r="AF114" s="121">
        <f t="shared" si="343"/>
        <v>768.39855134788195</v>
      </c>
      <c r="AG114" s="121">
        <f t="shared" si="343"/>
        <v>853.53027136438652</v>
      </c>
      <c r="AH114" s="121">
        <f t="shared" si="343"/>
        <v>938.66199138089132</v>
      </c>
      <c r="AI114" s="121">
        <f t="shared" si="343"/>
        <v>1023.793711397396</v>
      </c>
      <c r="AJ114" s="121">
        <f t="shared" si="343"/>
        <v>1108.9254314139007</v>
      </c>
      <c r="AK114" s="121">
        <f t="shared" si="343"/>
        <v>1194.0571514304054</v>
      </c>
      <c r="AL114" s="121">
        <f t="shared" ref="AL114:CG114" si="344">AL110*$G$114</f>
        <v>3588.2480701841723</v>
      </c>
      <c r="AM114" s="121">
        <f t="shared" si="344"/>
        <v>4351.0912731392955</v>
      </c>
      <c r="AN114" s="121">
        <f t="shared" si="344"/>
        <v>5113.9344760944186</v>
      </c>
      <c r="AO114" s="121">
        <f t="shared" si="344"/>
        <v>5876.7776790495418</v>
      </c>
      <c r="AP114" s="121">
        <f t="shared" si="344"/>
        <v>6639.6208820046641</v>
      </c>
      <c r="AQ114" s="121">
        <f t="shared" si="344"/>
        <v>7402.4640849597881</v>
      </c>
      <c r="AR114" s="121">
        <f t="shared" si="344"/>
        <v>8165.3072879149095</v>
      </c>
      <c r="AS114" s="121">
        <f t="shared" si="344"/>
        <v>8928.1504908700335</v>
      </c>
      <c r="AT114" s="121">
        <f t="shared" si="344"/>
        <v>9690.9936938251576</v>
      </c>
      <c r="AU114" s="121">
        <f t="shared" si="344"/>
        <v>10453.836896780282</v>
      </c>
      <c r="AV114" s="121">
        <f t="shared" si="344"/>
        <v>11216.680099735404</v>
      </c>
      <c r="AW114" s="121">
        <f t="shared" si="344"/>
        <v>11979.523302690528</v>
      </c>
      <c r="AX114" s="121">
        <f t="shared" si="344"/>
        <v>18812.04738539449</v>
      </c>
      <c r="AY114" s="121">
        <f t="shared" si="344"/>
        <v>21697.709389982861</v>
      </c>
      <c r="AZ114" s="121">
        <f t="shared" si="344"/>
        <v>24583.371394571237</v>
      </c>
      <c r="BA114" s="121">
        <f t="shared" si="344"/>
        <v>27469.033399159616</v>
      </c>
      <c r="BB114" s="121">
        <f t="shared" si="344"/>
        <v>30354.695403747988</v>
      </c>
      <c r="BC114" s="121">
        <f t="shared" si="344"/>
        <v>33240.357408336364</v>
      </c>
      <c r="BD114" s="121">
        <f t="shared" si="344"/>
        <v>36126.019412924739</v>
      </c>
      <c r="BE114" s="121">
        <f t="shared" si="344"/>
        <v>39011.681417513108</v>
      </c>
      <c r="BF114" s="121">
        <f t="shared" si="344"/>
        <v>41897.34342210149</v>
      </c>
      <c r="BG114" s="121">
        <f t="shared" si="344"/>
        <v>44783.005426689866</v>
      </c>
      <c r="BH114" s="121">
        <f t="shared" si="344"/>
        <v>47668.667431278256</v>
      </c>
      <c r="BI114" s="121">
        <f t="shared" si="344"/>
        <v>50554.329435866624</v>
      </c>
      <c r="BJ114" s="121">
        <f t="shared" si="344"/>
        <v>71632.303154675319</v>
      </c>
      <c r="BK114" s="121">
        <f t="shared" si="344"/>
        <v>80273.084841626449</v>
      </c>
      <c r="BL114" s="121">
        <f t="shared" si="344"/>
        <v>88913.866528577579</v>
      </c>
      <c r="BM114" s="121">
        <f t="shared" si="344"/>
        <v>97554.648215528709</v>
      </c>
      <c r="BN114" s="121">
        <f t="shared" si="344"/>
        <v>106195.42990247982</v>
      </c>
      <c r="BO114" s="121">
        <f t="shared" si="344"/>
        <v>114836.21158943095</v>
      </c>
      <c r="BP114" s="121">
        <f t="shared" si="344"/>
        <v>123476.99327638208</v>
      </c>
      <c r="BQ114" s="121">
        <f t="shared" si="344"/>
        <v>132117.77496333324</v>
      </c>
      <c r="BR114" s="121">
        <f t="shared" si="344"/>
        <v>140758.55665028436</v>
      </c>
      <c r="BS114" s="121">
        <f t="shared" si="344"/>
        <v>149399.33833723547</v>
      </c>
      <c r="BT114" s="121">
        <f t="shared" si="344"/>
        <v>158040.12002418656</v>
      </c>
      <c r="BU114" s="121">
        <f t="shared" si="344"/>
        <v>166680.9017111377</v>
      </c>
      <c r="BV114" s="121">
        <f t="shared" si="344"/>
        <v>220783.35534152831</v>
      </c>
      <c r="BW114" s="121">
        <f t="shared" si="344"/>
        <v>242008.90496808986</v>
      </c>
      <c r="BX114" s="121">
        <f t="shared" si="344"/>
        <v>263234.45459465135</v>
      </c>
      <c r="BY114" s="121">
        <f t="shared" si="344"/>
        <v>284460.00422121293</v>
      </c>
      <c r="BZ114" s="121">
        <f t="shared" si="344"/>
        <v>305685.55384777446</v>
      </c>
      <c r="CA114" s="121">
        <f t="shared" si="344"/>
        <v>326911.10347433598</v>
      </c>
      <c r="CB114" s="121">
        <f t="shared" si="344"/>
        <v>348136.65310089744</v>
      </c>
      <c r="CC114" s="121">
        <f t="shared" si="344"/>
        <v>369362.20272745902</v>
      </c>
      <c r="CD114" s="121">
        <f t="shared" si="344"/>
        <v>390587.7523540206</v>
      </c>
      <c r="CE114" s="121">
        <f t="shared" si="344"/>
        <v>411813.30198058212</v>
      </c>
      <c r="CF114" s="121">
        <f t="shared" si="344"/>
        <v>433038.85160714359</v>
      </c>
      <c r="CG114" s="121">
        <f t="shared" si="344"/>
        <v>454264.40123370511</v>
      </c>
    </row>
    <row r="115" spans="3:85" outlineLevel="1">
      <c r="C115" s="48"/>
      <c r="E115" s="191" t="s">
        <v>257</v>
      </c>
      <c r="F115" s="143" t="s">
        <v>137</v>
      </c>
      <c r="G115" s="63">
        <v>0.03</v>
      </c>
      <c r="I115" s="52"/>
      <c r="J115" s="24"/>
      <c r="K115" s="24"/>
      <c r="L115" s="24"/>
      <c r="N115" s="121">
        <f t="shared" ref="N115:AS115" si="345">$G$115*N96</f>
        <v>0</v>
      </c>
      <c r="O115" s="121">
        <f t="shared" si="345"/>
        <v>0</v>
      </c>
      <c r="P115" s="121">
        <f t="shared" si="345"/>
        <v>0</v>
      </c>
      <c r="Q115" s="121">
        <f t="shared" si="345"/>
        <v>0</v>
      </c>
      <c r="R115" s="121">
        <f t="shared" si="345"/>
        <v>0</v>
      </c>
      <c r="S115" s="121">
        <f t="shared" si="345"/>
        <v>0.28350000000000003</v>
      </c>
      <c r="T115" s="121">
        <f t="shared" si="345"/>
        <v>0.56700000000000006</v>
      </c>
      <c r="U115" s="121">
        <f t="shared" si="345"/>
        <v>0.85050000000000003</v>
      </c>
      <c r="V115" s="121">
        <f t="shared" si="345"/>
        <v>1.1340000000000001</v>
      </c>
      <c r="W115" s="121">
        <f t="shared" si="345"/>
        <v>1.4175</v>
      </c>
      <c r="X115" s="121">
        <f t="shared" si="345"/>
        <v>1.7010000000000001</v>
      </c>
      <c r="Y115" s="121">
        <f t="shared" si="345"/>
        <v>1.9845000000000002</v>
      </c>
      <c r="Z115" s="121">
        <f t="shared" si="345"/>
        <v>3.9690000000000003</v>
      </c>
      <c r="AA115" s="121">
        <f t="shared" si="345"/>
        <v>4.9612499999999997</v>
      </c>
      <c r="AB115" s="121">
        <f t="shared" si="345"/>
        <v>5.9535</v>
      </c>
      <c r="AC115" s="121">
        <f t="shared" si="345"/>
        <v>6.9457500000000003</v>
      </c>
      <c r="AD115" s="121">
        <f t="shared" si="345"/>
        <v>7.9380000000000006</v>
      </c>
      <c r="AE115" s="121">
        <f t="shared" si="345"/>
        <v>8.9302499999999991</v>
      </c>
      <c r="AF115" s="121">
        <f t="shared" si="345"/>
        <v>9.9224999999999994</v>
      </c>
      <c r="AG115" s="121">
        <f t="shared" si="345"/>
        <v>10.91475</v>
      </c>
      <c r="AH115" s="121">
        <f t="shared" si="345"/>
        <v>11.907</v>
      </c>
      <c r="AI115" s="121">
        <f t="shared" si="345"/>
        <v>12.89925</v>
      </c>
      <c r="AJ115" s="121">
        <f t="shared" si="345"/>
        <v>13.891500000000001</v>
      </c>
      <c r="AK115" s="121">
        <f t="shared" si="345"/>
        <v>14.883749999999999</v>
      </c>
      <c r="AL115" s="121">
        <f t="shared" si="345"/>
        <v>23.625</v>
      </c>
      <c r="AM115" s="121">
        <f t="shared" si="345"/>
        <v>27.404999999999998</v>
      </c>
      <c r="AN115" s="121">
        <f t="shared" si="345"/>
        <v>31.184999999999999</v>
      </c>
      <c r="AO115" s="121">
        <f t="shared" si="345"/>
        <v>34.964999999999996</v>
      </c>
      <c r="AP115" s="121">
        <f t="shared" si="345"/>
        <v>38.744999999999997</v>
      </c>
      <c r="AQ115" s="121">
        <f t="shared" si="345"/>
        <v>42.524999999999999</v>
      </c>
      <c r="AR115" s="121">
        <f t="shared" si="345"/>
        <v>46.305</v>
      </c>
      <c r="AS115" s="121">
        <f t="shared" si="345"/>
        <v>50.085000000000001</v>
      </c>
      <c r="AT115" s="121">
        <f t="shared" ref="AT115:BY115" si="346">$G$115*AT96</f>
        <v>53.864999999999995</v>
      </c>
      <c r="AU115" s="121">
        <f t="shared" si="346"/>
        <v>57.644999999999996</v>
      </c>
      <c r="AV115" s="121">
        <f t="shared" si="346"/>
        <v>61.424999999999997</v>
      </c>
      <c r="AW115" s="121">
        <f t="shared" si="346"/>
        <v>65.204999999999998</v>
      </c>
      <c r="AX115" s="121">
        <f t="shared" si="346"/>
        <v>92.306249999999991</v>
      </c>
      <c r="AY115" s="121">
        <f t="shared" si="346"/>
        <v>103.10625</v>
      </c>
      <c r="AZ115" s="121">
        <f t="shared" si="346"/>
        <v>113.90625</v>
      </c>
      <c r="BA115" s="121">
        <f t="shared" si="346"/>
        <v>124.70625</v>
      </c>
      <c r="BB115" s="121">
        <f t="shared" si="346"/>
        <v>135.50624999999999</v>
      </c>
      <c r="BC115" s="121">
        <f t="shared" si="346"/>
        <v>146.30625000000001</v>
      </c>
      <c r="BD115" s="121">
        <f t="shared" si="346"/>
        <v>157.10624999999999</v>
      </c>
      <c r="BE115" s="121">
        <f t="shared" si="346"/>
        <v>167.90625</v>
      </c>
      <c r="BF115" s="121">
        <f t="shared" si="346"/>
        <v>178.70624999999998</v>
      </c>
      <c r="BG115" s="121">
        <f t="shared" si="346"/>
        <v>189.50624999999999</v>
      </c>
      <c r="BH115" s="121">
        <f t="shared" si="346"/>
        <v>200.30625000000001</v>
      </c>
      <c r="BI115" s="121">
        <f t="shared" si="346"/>
        <v>211.10624999999999</v>
      </c>
      <c r="BJ115" s="121">
        <f t="shared" si="346"/>
        <v>280.09800000000001</v>
      </c>
      <c r="BK115" s="121">
        <f t="shared" si="346"/>
        <v>306.86849999999998</v>
      </c>
      <c r="BL115" s="121">
        <f t="shared" si="346"/>
        <v>333.63900000000001</v>
      </c>
      <c r="BM115" s="121">
        <f t="shared" si="346"/>
        <v>360.40949999999998</v>
      </c>
      <c r="BN115" s="121">
        <f t="shared" si="346"/>
        <v>387.18</v>
      </c>
      <c r="BO115" s="121">
        <f t="shared" si="346"/>
        <v>413.95049999999998</v>
      </c>
      <c r="BP115" s="121">
        <f t="shared" si="346"/>
        <v>440.721</v>
      </c>
      <c r="BQ115" s="121">
        <f t="shared" si="346"/>
        <v>467.49150000000003</v>
      </c>
      <c r="BR115" s="121">
        <f t="shared" si="346"/>
        <v>494.262</v>
      </c>
      <c r="BS115" s="121">
        <f t="shared" si="346"/>
        <v>521.03250000000003</v>
      </c>
      <c r="BT115" s="121">
        <f t="shared" si="346"/>
        <v>547.803</v>
      </c>
      <c r="BU115" s="121">
        <f t="shared" si="346"/>
        <v>574.57349999999997</v>
      </c>
      <c r="BV115" s="121">
        <f t="shared" si="346"/>
        <v>629.41050000000007</v>
      </c>
      <c r="BW115" s="121">
        <f t="shared" si="346"/>
        <v>684.24749999999995</v>
      </c>
      <c r="BX115" s="121">
        <f t="shared" si="346"/>
        <v>739.08450000000005</v>
      </c>
      <c r="BY115" s="121">
        <f t="shared" si="346"/>
        <v>793.92149999999992</v>
      </c>
      <c r="BZ115" s="121">
        <f t="shared" ref="BZ115:CG115" si="347">$G$115*BZ96</f>
        <v>848.75850000000003</v>
      </c>
      <c r="CA115" s="121">
        <f t="shared" si="347"/>
        <v>903.59550000000002</v>
      </c>
      <c r="CB115" s="121">
        <f t="shared" si="347"/>
        <v>958.4325</v>
      </c>
      <c r="CC115" s="121">
        <f t="shared" si="347"/>
        <v>1013.2695</v>
      </c>
      <c r="CD115" s="121">
        <f t="shared" si="347"/>
        <v>1068.1065000000001</v>
      </c>
      <c r="CE115" s="121">
        <f t="shared" si="347"/>
        <v>1122.9435000000001</v>
      </c>
      <c r="CF115" s="121">
        <f t="shared" si="347"/>
        <v>1177.7804999999998</v>
      </c>
      <c r="CG115" s="121">
        <f t="shared" si="347"/>
        <v>1232.6175000000001</v>
      </c>
    </row>
    <row r="116" spans="3:85" outlineLevel="1">
      <c r="C116" s="48"/>
      <c r="E116" s="191" t="s">
        <v>139</v>
      </c>
      <c r="F116" s="143" t="s">
        <v>137</v>
      </c>
      <c r="G116" s="63">
        <v>0.03</v>
      </c>
      <c r="I116" s="52"/>
      <c r="J116" s="24"/>
      <c r="K116" s="24"/>
      <c r="L116" s="24"/>
      <c r="N116" s="120">
        <f t="shared" ref="N116:AK116" si="348">$G$116*N110</f>
        <v>0</v>
      </c>
      <c r="O116" s="120">
        <f t="shared" si="348"/>
        <v>0</v>
      </c>
      <c r="P116" s="120">
        <f t="shared" si="348"/>
        <v>0</v>
      </c>
      <c r="Q116" s="120">
        <f t="shared" si="348"/>
        <v>0</v>
      </c>
      <c r="R116" s="120">
        <f t="shared" si="348"/>
        <v>0</v>
      </c>
      <c r="S116" s="120">
        <f t="shared" si="348"/>
        <v>5.2046810012836966</v>
      </c>
      <c r="T116" s="120">
        <f t="shared" si="348"/>
        <v>10.409362002567393</v>
      </c>
      <c r="U116" s="120">
        <f t="shared" si="348"/>
        <v>15.614043003851092</v>
      </c>
      <c r="V116" s="120">
        <f t="shared" si="348"/>
        <v>20.818724005134786</v>
      </c>
      <c r="W116" s="120">
        <f t="shared" si="348"/>
        <v>26.023405006418489</v>
      </c>
      <c r="X116" s="120">
        <f t="shared" si="348"/>
        <v>31.228086007702185</v>
      </c>
      <c r="Y116" s="120">
        <f t="shared" si="348"/>
        <v>36.432767008985884</v>
      </c>
      <c r="Z116" s="120">
        <f t="shared" si="348"/>
        <v>239.96823124885384</v>
      </c>
      <c r="AA116" s="120">
        <f t="shared" si="348"/>
        <v>320.6899512653585</v>
      </c>
      <c r="AB116" s="120">
        <f t="shared" si="348"/>
        <v>401.41167128186316</v>
      </c>
      <c r="AC116" s="120">
        <f t="shared" si="348"/>
        <v>482.13339129836777</v>
      </c>
      <c r="AD116" s="120">
        <f t="shared" si="348"/>
        <v>562.85511131487237</v>
      </c>
      <c r="AE116" s="120">
        <f t="shared" si="348"/>
        <v>683.26683133137715</v>
      </c>
      <c r="AF116" s="120">
        <f t="shared" si="348"/>
        <v>768.39855134788195</v>
      </c>
      <c r="AG116" s="120">
        <f t="shared" si="348"/>
        <v>853.53027136438652</v>
      </c>
      <c r="AH116" s="120">
        <f t="shared" si="348"/>
        <v>938.66199138089132</v>
      </c>
      <c r="AI116" s="120">
        <f t="shared" si="348"/>
        <v>1023.793711397396</v>
      </c>
      <c r="AJ116" s="120">
        <f t="shared" si="348"/>
        <v>1108.9254314139007</v>
      </c>
      <c r="AK116" s="120">
        <f t="shared" si="348"/>
        <v>1194.0571514304054</v>
      </c>
      <c r="AL116" s="120">
        <f t="shared" ref="AL116:CG116" si="349">$G$116*AL110</f>
        <v>3588.2480701841723</v>
      </c>
      <c r="AM116" s="120">
        <f t="shared" si="349"/>
        <v>4351.0912731392955</v>
      </c>
      <c r="AN116" s="120">
        <f t="shared" si="349"/>
        <v>5113.9344760944186</v>
      </c>
      <c r="AO116" s="120">
        <f t="shared" si="349"/>
        <v>5876.7776790495418</v>
      </c>
      <c r="AP116" s="120">
        <f t="shared" si="349"/>
        <v>6639.6208820046641</v>
      </c>
      <c r="AQ116" s="120">
        <f t="shared" si="349"/>
        <v>7402.4640849597881</v>
      </c>
      <c r="AR116" s="120">
        <f t="shared" si="349"/>
        <v>8165.3072879149095</v>
      </c>
      <c r="AS116" s="120">
        <f t="shared" si="349"/>
        <v>8928.1504908700335</v>
      </c>
      <c r="AT116" s="120">
        <f t="shared" si="349"/>
        <v>9690.9936938251576</v>
      </c>
      <c r="AU116" s="120">
        <f t="shared" si="349"/>
        <v>10453.836896780282</v>
      </c>
      <c r="AV116" s="120">
        <f t="shared" si="349"/>
        <v>11216.680099735404</v>
      </c>
      <c r="AW116" s="120">
        <f t="shared" si="349"/>
        <v>11979.523302690528</v>
      </c>
      <c r="AX116" s="120">
        <f t="shared" si="349"/>
        <v>18812.04738539449</v>
      </c>
      <c r="AY116" s="120">
        <f t="shared" si="349"/>
        <v>21697.709389982861</v>
      </c>
      <c r="AZ116" s="120">
        <f t="shared" si="349"/>
        <v>24583.371394571237</v>
      </c>
      <c r="BA116" s="120">
        <f t="shared" si="349"/>
        <v>27469.033399159616</v>
      </c>
      <c r="BB116" s="120">
        <f t="shared" si="349"/>
        <v>30354.695403747988</v>
      </c>
      <c r="BC116" s="120">
        <f t="shared" si="349"/>
        <v>33240.357408336364</v>
      </c>
      <c r="BD116" s="120">
        <f t="shared" si="349"/>
        <v>36126.019412924739</v>
      </c>
      <c r="BE116" s="120">
        <f t="shared" si="349"/>
        <v>39011.681417513108</v>
      </c>
      <c r="BF116" s="120">
        <f t="shared" si="349"/>
        <v>41897.34342210149</v>
      </c>
      <c r="BG116" s="120">
        <f t="shared" si="349"/>
        <v>44783.005426689866</v>
      </c>
      <c r="BH116" s="120">
        <f t="shared" si="349"/>
        <v>47668.667431278256</v>
      </c>
      <c r="BI116" s="120">
        <f t="shared" si="349"/>
        <v>50554.329435866624</v>
      </c>
      <c r="BJ116" s="120">
        <f t="shared" si="349"/>
        <v>71632.303154675319</v>
      </c>
      <c r="BK116" s="120">
        <f t="shared" si="349"/>
        <v>80273.084841626449</v>
      </c>
      <c r="BL116" s="120">
        <f t="shared" si="349"/>
        <v>88913.866528577579</v>
      </c>
      <c r="BM116" s="120">
        <f t="shared" si="349"/>
        <v>97554.648215528709</v>
      </c>
      <c r="BN116" s="120">
        <f t="shared" si="349"/>
        <v>106195.42990247982</v>
      </c>
      <c r="BO116" s="120">
        <f t="shared" si="349"/>
        <v>114836.21158943095</v>
      </c>
      <c r="BP116" s="120">
        <f t="shared" si="349"/>
        <v>123476.99327638208</v>
      </c>
      <c r="BQ116" s="120">
        <f t="shared" si="349"/>
        <v>132117.77496333324</v>
      </c>
      <c r="BR116" s="120">
        <f t="shared" si="349"/>
        <v>140758.55665028436</v>
      </c>
      <c r="BS116" s="120">
        <f t="shared" si="349"/>
        <v>149399.33833723547</v>
      </c>
      <c r="BT116" s="120">
        <f t="shared" si="349"/>
        <v>158040.12002418656</v>
      </c>
      <c r="BU116" s="120">
        <f t="shared" si="349"/>
        <v>166680.9017111377</v>
      </c>
      <c r="BV116" s="120">
        <f t="shared" si="349"/>
        <v>220783.35534152831</v>
      </c>
      <c r="BW116" s="120">
        <f t="shared" si="349"/>
        <v>242008.90496808986</v>
      </c>
      <c r="BX116" s="120">
        <f t="shared" si="349"/>
        <v>263234.45459465135</v>
      </c>
      <c r="BY116" s="120">
        <f t="shared" si="349"/>
        <v>284460.00422121293</v>
      </c>
      <c r="BZ116" s="120">
        <f t="shared" si="349"/>
        <v>305685.55384777446</v>
      </c>
      <c r="CA116" s="120">
        <f t="shared" si="349"/>
        <v>326911.10347433598</v>
      </c>
      <c r="CB116" s="120">
        <f t="shared" si="349"/>
        <v>348136.65310089744</v>
      </c>
      <c r="CC116" s="120">
        <f t="shared" si="349"/>
        <v>369362.20272745902</v>
      </c>
      <c r="CD116" s="120">
        <f t="shared" si="349"/>
        <v>390587.7523540206</v>
      </c>
      <c r="CE116" s="120">
        <f t="shared" si="349"/>
        <v>411813.30198058212</v>
      </c>
      <c r="CF116" s="120">
        <f t="shared" si="349"/>
        <v>433038.85160714359</v>
      </c>
      <c r="CG116" s="120">
        <f t="shared" si="349"/>
        <v>454264.40123370511</v>
      </c>
    </row>
    <row r="117" spans="3:85" outlineLevel="1">
      <c r="C117" s="48"/>
      <c r="E117" s="191" t="s">
        <v>54</v>
      </c>
      <c r="F117" s="143" t="s">
        <v>137</v>
      </c>
      <c r="G117" s="63">
        <v>0.02</v>
      </c>
      <c r="I117" s="52"/>
      <c r="J117" s="24"/>
      <c r="K117" s="24"/>
      <c r="L117" s="24"/>
      <c r="N117" s="121">
        <f t="shared" ref="N117:AS117" si="350">(N86+N96)*$G$117</f>
        <v>0</v>
      </c>
      <c r="O117" s="121">
        <f t="shared" si="350"/>
        <v>0</v>
      </c>
      <c r="P117" s="121">
        <f t="shared" si="350"/>
        <v>0</v>
      </c>
      <c r="Q117" s="121">
        <f t="shared" si="350"/>
        <v>0</v>
      </c>
      <c r="R117" s="121">
        <f t="shared" si="350"/>
        <v>0</v>
      </c>
      <c r="S117" s="121">
        <f t="shared" si="350"/>
        <v>3.4697873341891312</v>
      </c>
      <c r="T117" s="121">
        <f t="shared" si="350"/>
        <v>6.9395746683782624</v>
      </c>
      <c r="U117" s="121">
        <f t="shared" si="350"/>
        <v>10.409362002567395</v>
      </c>
      <c r="V117" s="121">
        <f t="shared" si="350"/>
        <v>13.879149336756525</v>
      </c>
      <c r="W117" s="121">
        <f t="shared" si="350"/>
        <v>17.348936670945658</v>
      </c>
      <c r="X117" s="121">
        <f t="shared" si="350"/>
        <v>20.81872400513479</v>
      </c>
      <c r="Y117" s="121">
        <f t="shared" si="350"/>
        <v>24.288511339323922</v>
      </c>
      <c r="Z117" s="121">
        <f t="shared" si="350"/>
        <v>159.97882083256923</v>
      </c>
      <c r="AA117" s="121">
        <f t="shared" si="350"/>
        <v>213.79330084357235</v>
      </c>
      <c r="AB117" s="121">
        <f t="shared" si="350"/>
        <v>267.60778085457548</v>
      </c>
      <c r="AC117" s="121">
        <f t="shared" si="350"/>
        <v>321.42226086557855</v>
      </c>
      <c r="AD117" s="121">
        <f t="shared" si="350"/>
        <v>375.23674087658162</v>
      </c>
      <c r="AE117" s="121">
        <f t="shared" si="350"/>
        <v>429.0512208875848</v>
      </c>
      <c r="AF117" s="121">
        <f t="shared" si="350"/>
        <v>482.86570089858799</v>
      </c>
      <c r="AG117" s="121">
        <f t="shared" si="350"/>
        <v>536.68018090959106</v>
      </c>
      <c r="AH117" s="121">
        <f t="shared" si="350"/>
        <v>590.49466092059424</v>
      </c>
      <c r="AI117" s="121">
        <f t="shared" si="350"/>
        <v>644.30914093159731</v>
      </c>
      <c r="AJ117" s="121">
        <f t="shared" si="350"/>
        <v>698.1236209426005</v>
      </c>
      <c r="AK117" s="121">
        <f t="shared" si="350"/>
        <v>751.93810095360357</v>
      </c>
      <c r="AL117" s="121">
        <f t="shared" si="350"/>
        <v>2329.1653801227817</v>
      </c>
      <c r="AM117" s="121">
        <f t="shared" si="350"/>
        <v>2827.6475154261971</v>
      </c>
      <c r="AN117" s="121">
        <f t="shared" si="350"/>
        <v>3326.1296507296124</v>
      </c>
      <c r="AO117" s="121">
        <f t="shared" si="350"/>
        <v>3824.6117860330282</v>
      </c>
      <c r="AP117" s="121">
        <f t="shared" si="350"/>
        <v>4323.0939213364436</v>
      </c>
      <c r="AQ117" s="121">
        <f t="shared" si="350"/>
        <v>4821.5760566398594</v>
      </c>
      <c r="AR117" s="121">
        <f t="shared" si="350"/>
        <v>5320.0581919432734</v>
      </c>
      <c r="AS117" s="121">
        <f t="shared" si="350"/>
        <v>5818.5403272466901</v>
      </c>
      <c r="AT117" s="121">
        <f t="shared" ref="AT117:BY117" si="351">(AT86+AT96)*$G$117</f>
        <v>6317.022462550105</v>
      </c>
      <c r="AU117" s="121">
        <f t="shared" si="351"/>
        <v>6815.5045978535209</v>
      </c>
      <c r="AV117" s="121">
        <f t="shared" si="351"/>
        <v>7313.9867331569367</v>
      </c>
      <c r="AW117" s="121">
        <f t="shared" si="351"/>
        <v>7812.4688684603525</v>
      </c>
      <c r="AX117" s="121">
        <f t="shared" si="351"/>
        <v>12311.624923596326</v>
      </c>
      <c r="AY117" s="121">
        <f t="shared" si="351"/>
        <v>14208.519593321909</v>
      </c>
      <c r="AZ117" s="121">
        <f t="shared" si="351"/>
        <v>16105.414263047493</v>
      </c>
      <c r="BA117" s="121">
        <f t="shared" si="351"/>
        <v>18002.308932773078</v>
      </c>
      <c r="BB117" s="121">
        <f t="shared" si="351"/>
        <v>19899.203602498659</v>
      </c>
      <c r="BC117" s="121">
        <f t="shared" si="351"/>
        <v>21796.098272224244</v>
      </c>
      <c r="BD117" s="121">
        <f t="shared" si="351"/>
        <v>23692.992941949829</v>
      </c>
      <c r="BE117" s="121">
        <f t="shared" si="351"/>
        <v>25589.887611675407</v>
      </c>
      <c r="BF117" s="121">
        <f t="shared" si="351"/>
        <v>27486.782281400996</v>
      </c>
      <c r="BG117" s="121">
        <f t="shared" si="351"/>
        <v>29383.676951126577</v>
      </c>
      <c r="BH117" s="121">
        <f t="shared" si="351"/>
        <v>31280.57162085217</v>
      </c>
      <c r="BI117" s="121">
        <f t="shared" si="351"/>
        <v>33177.466290577751</v>
      </c>
      <c r="BJ117" s="121">
        <f t="shared" si="351"/>
        <v>47173.924769783553</v>
      </c>
      <c r="BK117" s="121">
        <f t="shared" si="351"/>
        <v>52878.921894417639</v>
      </c>
      <c r="BL117" s="121">
        <f t="shared" si="351"/>
        <v>58583.919019051718</v>
      </c>
      <c r="BM117" s="121">
        <f t="shared" si="351"/>
        <v>64288.916143685805</v>
      </c>
      <c r="BN117" s="121">
        <f t="shared" si="351"/>
        <v>69993.913268319884</v>
      </c>
      <c r="BO117" s="121">
        <f t="shared" si="351"/>
        <v>75698.910392953985</v>
      </c>
      <c r="BP117" s="121">
        <f t="shared" si="351"/>
        <v>81403.907517588072</v>
      </c>
      <c r="BQ117" s="121">
        <f t="shared" si="351"/>
        <v>87108.904642222158</v>
      </c>
      <c r="BR117" s="121">
        <f t="shared" si="351"/>
        <v>92813.901766856245</v>
      </c>
      <c r="BS117" s="121">
        <f t="shared" si="351"/>
        <v>98518.898891490331</v>
      </c>
      <c r="BT117" s="121">
        <f t="shared" si="351"/>
        <v>104223.89601612437</v>
      </c>
      <c r="BU117" s="121">
        <f t="shared" si="351"/>
        <v>109928.89314075849</v>
      </c>
      <c r="BV117" s="121">
        <f t="shared" si="351"/>
        <v>145883.45956101888</v>
      </c>
      <c r="BW117" s="121">
        <f t="shared" si="351"/>
        <v>159920.08997872658</v>
      </c>
      <c r="BX117" s="121">
        <f t="shared" si="351"/>
        <v>173956.72039643425</v>
      </c>
      <c r="BY117" s="121">
        <f t="shared" si="351"/>
        <v>187993.35081414197</v>
      </c>
      <c r="BZ117" s="121">
        <f t="shared" ref="BZ117:CG117" si="352">(BZ86+BZ96)*$G$117</f>
        <v>202029.98123184964</v>
      </c>
      <c r="CA117" s="121">
        <f t="shared" si="352"/>
        <v>216066.61164955731</v>
      </c>
      <c r="CB117" s="121">
        <f t="shared" si="352"/>
        <v>230103.242067265</v>
      </c>
      <c r="CC117" s="121">
        <f t="shared" si="352"/>
        <v>244139.8724849727</v>
      </c>
      <c r="CD117" s="121">
        <f t="shared" si="352"/>
        <v>258176.50290268043</v>
      </c>
      <c r="CE117" s="121">
        <f t="shared" si="352"/>
        <v>272213.13332038809</v>
      </c>
      <c r="CF117" s="121">
        <f t="shared" si="352"/>
        <v>286249.7637380957</v>
      </c>
      <c r="CG117" s="121">
        <f t="shared" si="352"/>
        <v>300286.39415580343</v>
      </c>
    </row>
    <row r="118" spans="3:85">
      <c r="C118" s="48"/>
      <c r="H118" s="54"/>
      <c r="I118" s="52"/>
      <c r="J118" s="24"/>
      <c r="K118" s="24"/>
      <c r="L118" s="24"/>
    </row>
    <row r="119" spans="3:85"/>
    <row r="227" spans="4:37" hidden="1">
      <c r="F227" s="13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4:37" ht="16.2" hidden="1" thickBot="1">
      <c r="D228" s="25" t="s">
        <v>163</v>
      </c>
      <c r="E228" s="25"/>
      <c r="F228" s="145"/>
      <c r="G228" s="25"/>
      <c r="H228" s="27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 spans="4:37" hidden="1">
      <c r="E229" s="19" t="s">
        <v>164</v>
      </c>
      <c r="G229" s="22"/>
      <c r="H229" s="180">
        <v>12000000</v>
      </c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 spans="4:37" hidden="1">
      <c r="E230" s="19" t="s">
        <v>165</v>
      </c>
      <c r="G230" s="22"/>
      <c r="H230" s="180">
        <v>3480000</v>
      </c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 spans="4:37" hidden="1">
      <c r="E231" s="19" t="s">
        <v>166</v>
      </c>
      <c r="H231" s="58">
        <v>12</v>
      </c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 spans="4:37" hidden="1">
      <c r="E232" s="19" t="s">
        <v>167</v>
      </c>
      <c r="H232" s="181">
        <f>H230/H231</f>
        <v>290000</v>
      </c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4:37" hidden="1">
      <c r="E233" s="19" t="s">
        <v>168</v>
      </c>
      <c r="H233" s="181">
        <v>300000</v>
      </c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 spans="4:37" hidden="1">
      <c r="E234" s="19" t="s">
        <v>169</v>
      </c>
      <c r="G234" s="19" t="s">
        <v>170</v>
      </c>
      <c r="H234" s="182">
        <f>H233/8</f>
        <v>37500</v>
      </c>
      <c r="I234" s="139" t="s">
        <v>171</v>
      </c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 spans="4:37" hidden="1">
      <c r="E235" s="19" t="s">
        <v>172</v>
      </c>
      <c r="H235" s="181">
        <v>200000</v>
      </c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 spans="4:37" hidden="1">
      <c r="E236" s="19" t="s">
        <v>173</v>
      </c>
      <c r="G236" s="19" t="s">
        <v>174</v>
      </c>
      <c r="H236" s="181">
        <f>H235/10</f>
        <v>20000</v>
      </c>
      <c r="I236" s="139" t="s">
        <v>171</v>
      </c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 spans="4:37" hidden="1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 spans="4:37" hidden="1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</row>
    <row r="239" spans="4:37" hidden="1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</row>
    <row r="240" spans="4:37" hidden="1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</row>
    <row r="241" spans="9:37" hidden="1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</row>
    <row r="242" spans="9:37" hidden="1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</row>
    <row r="243" spans="9:37" hidden="1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9:37" hidden="1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</row>
    <row r="245" spans="9:37" hidden="1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9:37" hidden="1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</row>
    <row r="247" spans="9:37" hidden="1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</row>
    <row r="248" spans="9:37" hidden="1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</row>
    <row r="249" spans="9:37" hidden="1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</row>
    <row r="250" spans="9:37" hidden="1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</row>
    <row r="251" spans="9:37" hidden="1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</row>
    <row r="252" spans="9:37" hidden="1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</row>
    <row r="253" spans="9:37" hidden="1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</row>
    <row r="254" spans="9:37" hidden="1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</row>
    <row r="255" spans="9:37" hidden="1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</row>
    <row r="256" spans="9:37" hidden="1">
      <c r="I256" s="24"/>
      <c r="J256" s="24"/>
      <c r="K256" s="24"/>
      <c r="L256" s="24"/>
    </row>
    <row r="257" spans="9:12" hidden="1">
      <c r="I257" s="24"/>
      <c r="J257" s="24"/>
      <c r="K257" s="24"/>
      <c r="L257" s="24"/>
    </row>
    <row r="258" spans="9:12" hidden="1">
      <c r="I258" s="24"/>
      <c r="J258" s="24"/>
      <c r="K258" s="24"/>
      <c r="L258" s="24"/>
    </row>
    <row r="259" spans="9:12" hidden="1">
      <c r="I259" s="24"/>
      <c r="J259" s="24"/>
      <c r="K259" s="24"/>
      <c r="L259" s="24"/>
    </row>
    <row r="260" spans="9:12" hidden="1">
      <c r="I260" s="24"/>
      <c r="J260" s="24"/>
      <c r="K260" s="24"/>
      <c r="L260" s="24"/>
    </row>
    <row r="261" spans="9:12" hidden="1">
      <c r="I261" s="24"/>
      <c r="J261" s="24"/>
      <c r="K261" s="24"/>
      <c r="L261" s="24"/>
    </row>
    <row r="262" spans="9:12" hidden="1">
      <c r="I262" s="24"/>
      <c r="J262" s="24"/>
      <c r="K262" s="24"/>
      <c r="L262" s="24"/>
    </row>
    <row r="263" spans="9:12" hidden="1">
      <c r="I263" s="24"/>
      <c r="J263" s="24"/>
      <c r="K263" s="24"/>
      <c r="L263" s="24"/>
    </row>
    <row r="264" spans="9:12" hidden="1">
      <c r="I264" s="24"/>
      <c r="J264" s="24"/>
      <c r="K264" s="24"/>
      <c r="L264" s="24"/>
    </row>
    <row r="265" spans="9:12" hidden="1">
      <c r="I265" s="24"/>
      <c r="J265" s="24"/>
      <c r="K265" s="24"/>
      <c r="L265" s="24"/>
    </row>
    <row r="266" spans="9:12" hidden="1">
      <c r="I266" s="24"/>
      <c r="J266" s="24"/>
      <c r="K266" s="24"/>
      <c r="L266" s="24"/>
    </row>
    <row r="267" spans="9:12" hidden="1">
      <c r="I267" s="24"/>
      <c r="J267" s="24"/>
      <c r="K267" s="24"/>
      <c r="L267" s="24"/>
    </row>
    <row r="268" spans="9:12" hidden="1">
      <c r="I268" s="24"/>
      <c r="J268" s="24"/>
      <c r="K268" s="24"/>
      <c r="L268" s="24"/>
    </row>
    <row r="269" spans="9:12" hidden="1">
      <c r="I269" s="24"/>
      <c r="J269" s="24"/>
      <c r="K269" s="24"/>
      <c r="L269" s="24"/>
    </row>
    <row r="270" spans="9:12" hidden="1">
      <c r="I270" s="24"/>
      <c r="J270" s="24"/>
      <c r="K270" s="24"/>
      <c r="L270" s="24"/>
    </row>
    <row r="271" spans="9:12" hidden="1">
      <c r="I271" s="24"/>
      <c r="J271" s="24"/>
      <c r="K271" s="24"/>
      <c r="L271" s="24"/>
    </row>
    <row r="272" spans="9:12" hidden="1">
      <c r="I272" s="24"/>
      <c r="J272" s="24"/>
      <c r="K272" s="24"/>
      <c r="L272" s="24"/>
    </row>
    <row r="273" spans="9:12" hidden="1">
      <c r="I273" s="24"/>
      <c r="J273" s="24"/>
      <c r="K273" s="24"/>
      <c r="L273" s="24"/>
    </row>
    <row r="274" spans="9:12" hidden="1">
      <c r="I274" s="24"/>
      <c r="J274" s="24"/>
      <c r="K274" s="24"/>
      <c r="L274" s="24"/>
    </row>
    <row r="275" spans="9:12" hidden="1">
      <c r="I275" s="24"/>
      <c r="J275" s="24"/>
      <c r="K275" s="24"/>
      <c r="L275" s="24"/>
    </row>
    <row r="276" spans="9:12" hidden="1">
      <c r="I276" s="24"/>
      <c r="J276" s="24"/>
      <c r="K276" s="24"/>
      <c r="L276" s="24"/>
    </row>
    <row r="277" spans="9:12" hidden="1">
      <c r="I277" s="24"/>
      <c r="J277" s="24"/>
      <c r="K277" s="24"/>
      <c r="L277" s="24"/>
    </row>
    <row r="278" spans="9:12" hidden="1">
      <c r="I278" s="24"/>
      <c r="J278" s="24"/>
      <c r="K278" s="24"/>
      <c r="L278" s="24"/>
    </row>
    <row r="279" spans="9:12" hidden="1">
      <c r="I279" s="24"/>
      <c r="J279" s="24"/>
      <c r="K279" s="24"/>
      <c r="L279" s="24"/>
    </row>
    <row r="280" spans="9:12" hidden="1">
      <c r="I280" s="24"/>
      <c r="J280" s="24"/>
      <c r="K280" s="24"/>
      <c r="L280" s="24"/>
    </row>
    <row r="281" spans="9:12" hidden="1">
      <c r="I281" s="24"/>
      <c r="J281" s="24"/>
      <c r="K281" s="24"/>
      <c r="L281" s="24"/>
    </row>
    <row r="282" spans="9:12" hidden="1">
      <c r="I282" s="24"/>
      <c r="J282" s="24"/>
      <c r="K282" s="24"/>
      <c r="L282" s="24"/>
    </row>
    <row r="283" spans="9:12" hidden="1">
      <c r="I283" s="24"/>
      <c r="J283" s="24"/>
      <c r="K283" s="24"/>
      <c r="L283" s="24"/>
    </row>
    <row r="284" spans="9:12" hidden="1">
      <c r="I284" s="24"/>
      <c r="J284" s="24"/>
      <c r="K284" s="24"/>
      <c r="L284" s="24"/>
    </row>
    <row r="285" spans="9:12" hidden="1">
      <c r="I285" s="24"/>
      <c r="J285" s="24"/>
      <c r="K285" s="24"/>
      <c r="L285" s="24"/>
    </row>
    <row r="286" spans="9:12" hidden="1">
      <c r="I286" s="24"/>
      <c r="J286" s="24"/>
      <c r="K286" s="24"/>
      <c r="L286" s="24"/>
    </row>
    <row r="287" spans="9:12" hidden="1">
      <c r="I287" s="24"/>
      <c r="J287" s="24"/>
      <c r="K287" s="24"/>
      <c r="L287" s="24"/>
    </row>
    <row r="288" spans="9:12" hidden="1">
      <c r="I288" s="24"/>
      <c r="J288" s="24"/>
      <c r="K288" s="24"/>
      <c r="L288" s="24"/>
    </row>
    <row r="289" spans="9:12" hidden="1">
      <c r="I289" s="24"/>
      <c r="J289" s="24"/>
      <c r="K289" s="24"/>
      <c r="L289" s="24"/>
    </row>
    <row r="290" spans="9:12" hidden="1">
      <c r="I290" s="24"/>
      <c r="J290" s="24"/>
      <c r="K290" s="24"/>
      <c r="L290" s="24"/>
    </row>
    <row r="291" spans="9:12" hidden="1">
      <c r="I291" s="24"/>
      <c r="J291" s="24"/>
      <c r="K291" s="24"/>
      <c r="L291" s="24"/>
    </row>
    <row r="292" spans="9:12" hidden="1">
      <c r="I292" s="24"/>
      <c r="J292" s="24"/>
      <c r="K292" s="24"/>
      <c r="L292" s="24"/>
    </row>
    <row r="293" spans="9:12" hidden="1">
      <c r="I293" s="24"/>
      <c r="J293" s="24"/>
      <c r="K293" s="24"/>
      <c r="L293" s="24"/>
    </row>
    <row r="294" spans="9:12" hidden="1">
      <c r="I294" s="24"/>
      <c r="J294" s="24"/>
      <c r="K294" s="24"/>
      <c r="L294" s="24"/>
    </row>
    <row r="295" spans="9:12" hidden="1">
      <c r="I295" s="24"/>
      <c r="J295" s="24"/>
      <c r="K295" s="24"/>
      <c r="L295" s="24"/>
    </row>
    <row r="296" spans="9:12" hidden="1">
      <c r="I296" s="24"/>
      <c r="J296" s="24"/>
      <c r="K296" s="24"/>
      <c r="L296" s="24"/>
    </row>
    <row r="297" spans="9:12" hidden="1">
      <c r="I297" s="24"/>
      <c r="J297" s="24"/>
      <c r="K297" s="24"/>
      <c r="L297" s="24"/>
    </row>
    <row r="298" spans="9:12" hidden="1">
      <c r="I298" s="24"/>
      <c r="J298" s="24"/>
      <c r="K298" s="24"/>
      <c r="L298" s="24"/>
    </row>
    <row r="299" spans="9:12" hidden="1">
      <c r="I299" s="24"/>
      <c r="J299" s="24"/>
      <c r="K299" s="24"/>
      <c r="L299" s="24"/>
    </row>
    <row r="300" spans="9:12" hidden="1">
      <c r="I300" s="24"/>
      <c r="J300" s="24"/>
      <c r="K300" s="24"/>
      <c r="L300" s="24"/>
    </row>
    <row r="301" spans="9:12" hidden="1">
      <c r="I301" s="24"/>
      <c r="J301" s="24"/>
      <c r="K301" s="24"/>
      <c r="L301" s="24"/>
    </row>
    <row r="302" spans="9:12" hidden="1">
      <c r="I302" s="24"/>
      <c r="J302" s="24"/>
      <c r="K302" s="24"/>
      <c r="L302" s="24"/>
    </row>
    <row r="303" spans="9:12" hidden="1">
      <c r="I303" s="24"/>
      <c r="J303" s="24"/>
      <c r="K303" s="24"/>
      <c r="L303" s="24"/>
    </row>
    <row r="304" spans="9:12" hidden="1">
      <c r="I304" s="24"/>
      <c r="J304" s="24"/>
      <c r="K304" s="24"/>
      <c r="L304" s="24"/>
    </row>
    <row r="305" spans="9:12" hidden="1">
      <c r="I305" s="24"/>
      <c r="J305" s="24"/>
      <c r="K305" s="24"/>
      <c r="L305" s="24"/>
    </row>
    <row r="306" spans="9:12" hidden="1">
      <c r="I306" s="24"/>
      <c r="J306" s="24"/>
      <c r="K306" s="24"/>
      <c r="L306" s="24"/>
    </row>
    <row r="307" spans="9:12" hidden="1">
      <c r="I307" s="24"/>
      <c r="J307" s="24"/>
      <c r="K307" s="24"/>
      <c r="L307" s="24"/>
    </row>
    <row r="308" spans="9:12" hidden="1">
      <c r="I308" s="24"/>
      <c r="J308" s="24"/>
      <c r="K308" s="24"/>
      <c r="L308" s="24"/>
    </row>
    <row r="309" spans="9:12" hidden="1">
      <c r="I309" s="24"/>
      <c r="J309" s="24"/>
      <c r="K309" s="24"/>
      <c r="L309" s="24"/>
    </row>
    <row r="310" spans="9:12" hidden="1">
      <c r="I310" s="24"/>
      <c r="J310" s="24"/>
      <c r="K310" s="24"/>
      <c r="L310" s="24"/>
    </row>
    <row r="311" spans="9:12" hidden="1">
      <c r="I311" s="24"/>
      <c r="J311" s="24"/>
      <c r="K311" s="24"/>
      <c r="L311" s="24"/>
    </row>
    <row r="312" spans="9:12" hidden="1">
      <c r="I312" s="24"/>
      <c r="J312" s="24"/>
      <c r="K312" s="24"/>
      <c r="L312" s="24"/>
    </row>
    <row r="313" spans="9:12" hidden="1">
      <c r="I313" s="24"/>
      <c r="J313" s="24"/>
      <c r="K313" s="24"/>
      <c r="L313" s="24"/>
    </row>
    <row r="314" spans="9:12" hidden="1">
      <c r="I314" s="24"/>
      <c r="J314" s="24"/>
      <c r="K314" s="24"/>
      <c r="L314" s="24"/>
    </row>
    <row r="315" spans="9:12" hidden="1">
      <c r="I315" s="24"/>
      <c r="J315" s="24"/>
      <c r="K315" s="24"/>
      <c r="L315" s="24"/>
    </row>
    <row r="316" spans="9:12" hidden="1">
      <c r="I316" s="24"/>
      <c r="J316" s="24"/>
      <c r="K316" s="24"/>
      <c r="L316" s="24"/>
    </row>
  </sheetData>
  <conditionalFormatting sqref="N15:CG17 N15:N18">
    <cfRule type="containsText" dxfId="12" priority="13" operator="containsText" text="false">
      <formula>NOT(ISERROR(SEARCH("false",N15)))</formula>
    </cfRule>
    <cfRule type="cellIs" dxfId="11" priority="14" operator="equal">
      <formula>TRUE</formula>
    </cfRule>
  </conditionalFormatting>
  <conditionalFormatting sqref="O16:CG17">
    <cfRule type="containsText" dxfId="10" priority="3" operator="containsText" text="false">
      <formula>NOT(ISERROR(SEARCH("false",O16)))</formula>
    </cfRule>
    <cfRule type="cellIs" dxfId="9" priority="4" operator="equal">
      <formula>TRUE</formula>
    </cfRule>
  </conditionalFormatting>
  <hyperlinks>
    <hyperlink ref="I94" r:id="rId1" display="Source: Business of Apps" xr:uid="{4B4F9852-2B2D-4245-BADD-AB7A8190AA73}"/>
    <hyperlink ref="I93" r:id="rId2" display="Source: Froggy Ads" xr:uid="{42CEB026-0549-4647-A896-B7A1D42577C9}"/>
  </hyperlinks>
  <pageMargins left="0.70866141732283472" right="0.70866141732283472" top="0.74803149606299213" bottom="0.74803149606299213" header="0.31496062992125984" footer="0.31496062992125984"/>
  <pageSetup scale="13" orientation="portrait" verticalDpi="12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6" name="Drop Down 2">
              <controlPr defaultSize="0" autoLine="0" autoPict="0">
                <anchor moveWithCells="1">
                  <from>
                    <xdr:col>4</xdr:col>
                    <xdr:colOff>1386840</xdr:colOff>
                    <xdr:row>1</xdr:row>
                    <xdr:rowOff>22860</xdr:rowOff>
                  </from>
                  <to>
                    <xdr:col>4</xdr:col>
                    <xdr:colOff>2712720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B73B-716A-406B-B2C4-D490DF813B68}">
  <sheetPr>
    <tabColor theme="5" tint="0.39997558519241921"/>
  </sheetPr>
  <dimension ref="A1:CU80"/>
  <sheetViews>
    <sheetView showGridLines="0" zoomScale="70" zoomScaleNormal="96" workbookViewId="0">
      <pane xSplit="9" ySplit="12" topLeftCell="J59" activePane="bottomRight" state="frozen"/>
      <selection pane="topRight" activeCell="F172" sqref="F172"/>
      <selection pane="bottomLeft" activeCell="F172" sqref="F172"/>
      <selection pane="bottomRight" activeCell="M8" sqref="M8"/>
    </sheetView>
  </sheetViews>
  <sheetFormatPr defaultColWidth="0" defaultRowHeight="13.2" zeroHeight="1" outlineLevelRow="1"/>
  <cols>
    <col min="1" max="1" width="3.33203125" style="64" customWidth="1"/>
    <col min="2" max="2" width="2.33203125" style="64" customWidth="1"/>
    <col min="3" max="3" width="2.44140625" style="64" customWidth="1"/>
    <col min="4" max="4" width="3.44140625" style="64" customWidth="1"/>
    <col min="5" max="6" width="3.5546875" style="64" customWidth="1"/>
    <col min="7" max="7" width="9.33203125" style="64" customWidth="1"/>
    <col min="8" max="8" width="12.6640625" style="64" bestFit="1" customWidth="1"/>
    <col min="9" max="11" width="9.33203125" style="64" customWidth="1"/>
    <col min="12" max="12" width="1.6640625" style="66" customWidth="1"/>
    <col min="13" max="36" width="15.44140625" style="66" customWidth="1"/>
    <col min="37" max="84" width="15.44140625" style="64" customWidth="1"/>
    <col min="85" max="85" width="9.33203125" style="64" customWidth="1"/>
    <col min="86" max="99" width="0" style="64" hidden="1" customWidth="1"/>
    <col min="100" max="16384" width="9.33203125" style="64" hidden="1"/>
  </cols>
  <sheetData>
    <row r="1" spans="4:84"/>
    <row r="2" spans="4:84" s="19" customFormat="1" ht="13.5" customHeight="1">
      <c r="D2" s="416" t="str">
        <f>Cover!$D$3</f>
        <v>Canoja Technologies</v>
      </c>
      <c r="E2" s="416"/>
      <c r="F2" s="416"/>
      <c r="G2" s="416"/>
      <c r="H2" s="416"/>
      <c r="I2" s="416"/>
      <c r="J2" s="416"/>
      <c r="K2" s="416"/>
      <c r="L2" s="441"/>
      <c r="M2" s="441"/>
      <c r="N2" s="441"/>
      <c r="O2" s="441"/>
      <c r="P2" s="441"/>
      <c r="Q2" s="441"/>
      <c r="R2" s="441"/>
      <c r="S2" s="441"/>
      <c r="T2" s="441"/>
      <c r="U2" s="441"/>
      <c r="V2" s="441"/>
      <c r="W2" s="441"/>
      <c r="X2" s="441"/>
      <c r="Y2" s="441"/>
      <c r="Z2" s="441"/>
      <c r="AA2" s="441"/>
      <c r="AB2" s="441"/>
      <c r="AC2" s="441"/>
      <c r="AD2" s="441"/>
      <c r="AE2" s="441"/>
      <c r="AF2" s="441"/>
      <c r="AG2" s="441"/>
      <c r="AH2" s="441"/>
      <c r="AI2" s="441"/>
      <c r="AJ2" s="441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1"/>
      <c r="AV2" s="441"/>
      <c r="AW2" s="441"/>
      <c r="AX2" s="441"/>
      <c r="AY2" s="441"/>
      <c r="AZ2" s="441"/>
      <c r="BA2" s="441"/>
      <c r="BB2" s="441"/>
      <c r="BC2" s="441"/>
      <c r="BD2" s="441"/>
      <c r="BE2" s="441"/>
      <c r="BF2" s="441"/>
      <c r="BG2" s="441"/>
      <c r="BH2" s="441"/>
      <c r="BI2" s="441"/>
      <c r="BJ2" s="441"/>
      <c r="BK2" s="441"/>
      <c r="BL2" s="441"/>
      <c r="BM2" s="441"/>
      <c r="BN2" s="441"/>
      <c r="BO2" s="441"/>
      <c r="BP2" s="441"/>
      <c r="BQ2" s="441"/>
      <c r="BR2" s="441"/>
      <c r="BS2" s="441"/>
      <c r="BT2" s="441"/>
      <c r="BU2" s="441"/>
      <c r="BV2" s="441"/>
      <c r="BW2" s="441"/>
      <c r="BX2" s="441"/>
      <c r="BY2" s="441"/>
      <c r="BZ2" s="441"/>
      <c r="CA2" s="441"/>
      <c r="CB2" s="441"/>
      <c r="CC2" s="441"/>
      <c r="CD2" s="441"/>
      <c r="CE2" s="441"/>
      <c r="CF2" s="441"/>
    </row>
    <row r="3" spans="4:84" s="19" customFormat="1" ht="15.6">
      <c r="D3" s="419" t="s">
        <v>422</v>
      </c>
      <c r="E3" s="416"/>
      <c r="F3" s="416"/>
      <c r="G3" s="416"/>
      <c r="H3" s="416"/>
      <c r="I3" s="416"/>
      <c r="J3" s="416"/>
      <c r="K3" s="416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441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1"/>
      <c r="AK3" s="441"/>
      <c r="AL3" s="441"/>
      <c r="AM3" s="441"/>
      <c r="AN3" s="441"/>
      <c r="AO3" s="441"/>
      <c r="AP3" s="441"/>
      <c r="AQ3" s="441"/>
      <c r="AR3" s="441"/>
      <c r="AS3" s="441"/>
      <c r="AT3" s="441"/>
      <c r="AU3" s="441"/>
      <c r="AV3" s="441"/>
      <c r="AW3" s="441"/>
      <c r="AX3" s="441"/>
      <c r="AY3" s="441"/>
      <c r="AZ3" s="441"/>
      <c r="BA3" s="441"/>
      <c r="BB3" s="441"/>
      <c r="BC3" s="441"/>
      <c r="BD3" s="441"/>
      <c r="BE3" s="441"/>
      <c r="BF3" s="441"/>
      <c r="BG3" s="441"/>
      <c r="BH3" s="441"/>
      <c r="BI3" s="441"/>
      <c r="BJ3" s="441"/>
      <c r="BK3" s="441"/>
      <c r="BL3" s="441"/>
      <c r="BM3" s="441"/>
      <c r="BN3" s="441"/>
      <c r="BO3" s="441"/>
      <c r="BP3" s="441"/>
      <c r="BQ3" s="441"/>
      <c r="BR3" s="441"/>
      <c r="BS3" s="441"/>
      <c r="BT3" s="441"/>
      <c r="BU3" s="441"/>
      <c r="BV3" s="441"/>
      <c r="BW3" s="441"/>
      <c r="BX3" s="441"/>
      <c r="BY3" s="441"/>
      <c r="BZ3" s="441"/>
      <c r="CA3" s="441"/>
      <c r="CB3" s="441"/>
      <c r="CC3" s="441"/>
      <c r="CD3" s="441"/>
      <c r="CE3" s="441"/>
      <c r="CF3" s="441"/>
    </row>
    <row r="4" spans="4:84" s="19" customFormat="1" ht="15.6" hidden="1">
      <c r="D4" s="419"/>
      <c r="E4" s="416"/>
      <c r="F4" s="416"/>
      <c r="G4" s="416"/>
      <c r="H4" s="416"/>
      <c r="I4" s="416"/>
      <c r="J4" s="416"/>
      <c r="K4" s="416"/>
      <c r="L4" s="441"/>
      <c r="M4" s="441"/>
      <c r="N4" s="441"/>
      <c r="O4" s="441"/>
      <c r="P4" s="441"/>
      <c r="Q4" s="441"/>
      <c r="R4" s="441"/>
      <c r="S4" s="441"/>
      <c r="T4" s="441"/>
      <c r="U4" s="441"/>
      <c r="V4" s="441"/>
      <c r="W4" s="441"/>
      <c r="X4" s="441"/>
      <c r="Y4" s="441"/>
      <c r="Z4" s="441"/>
      <c r="AA4" s="441"/>
      <c r="AB4" s="441"/>
      <c r="AC4" s="441"/>
      <c r="AD4" s="441"/>
      <c r="AE4" s="441"/>
      <c r="AF4" s="441"/>
      <c r="AG4" s="441"/>
      <c r="AH4" s="441"/>
      <c r="AI4" s="441"/>
      <c r="AJ4" s="441"/>
      <c r="AK4" s="441"/>
      <c r="AL4" s="441"/>
      <c r="AM4" s="441"/>
      <c r="AN4" s="441"/>
      <c r="AO4" s="441"/>
      <c r="AP4" s="441"/>
      <c r="AQ4" s="441"/>
      <c r="AR4" s="441"/>
      <c r="AS4" s="441"/>
      <c r="AT4" s="441"/>
      <c r="AU4" s="441"/>
      <c r="AV4" s="441"/>
      <c r="AW4" s="441"/>
      <c r="AX4" s="441"/>
      <c r="AY4" s="441"/>
      <c r="AZ4" s="441"/>
      <c r="BA4" s="441"/>
      <c r="BB4" s="441"/>
      <c r="BC4" s="441"/>
      <c r="BD4" s="441"/>
      <c r="BE4" s="441"/>
      <c r="BF4" s="441"/>
      <c r="BG4" s="441"/>
      <c r="BH4" s="441"/>
      <c r="BI4" s="441"/>
      <c r="BJ4" s="441"/>
      <c r="BK4" s="441"/>
      <c r="BL4" s="441"/>
      <c r="BM4" s="441"/>
      <c r="BN4" s="441"/>
      <c r="BO4" s="441"/>
      <c r="BP4" s="441"/>
      <c r="BQ4" s="441"/>
      <c r="BR4" s="441"/>
      <c r="BS4" s="441"/>
      <c r="BT4" s="441"/>
      <c r="BU4" s="441"/>
      <c r="BV4" s="441"/>
      <c r="BW4" s="441"/>
      <c r="BX4" s="441"/>
      <c r="BY4" s="441"/>
      <c r="BZ4" s="441"/>
      <c r="CA4" s="441"/>
      <c r="CB4" s="441"/>
      <c r="CC4" s="441"/>
      <c r="CD4" s="441"/>
      <c r="CE4" s="441"/>
      <c r="CF4" s="441"/>
    </row>
    <row r="5" spans="4:84" s="19" customFormat="1" ht="15.6" hidden="1">
      <c r="D5" s="419"/>
      <c r="E5" s="416"/>
      <c r="F5" s="441"/>
      <c r="G5" s="441"/>
      <c r="H5" s="441"/>
      <c r="I5" s="441"/>
      <c r="J5" s="441"/>
      <c r="K5" s="441"/>
      <c r="L5" s="441"/>
      <c r="M5" s="441"/>
      <c r="N5" s="441"/>
      <c r="O5" s="441"/>
      <c r="P5" s="441"/>
      <c r="Q5" s="441"/>
      <c r="R5" s="441"/>
      <c r="S5" s="441"/>
      <c r="T5" s="441"/>
      <c r="U5" s="441"/>
      <c r="V5" s="441"/>
      <c r="W5" s="441"/>
      <c r="X5" s="441"/>
      <c r="Y5" s="441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1"/>
      <c r="AK5" s="441"/>
      <c r="AL5" s="441"/>
      <c r="AM5" s="441"/>
      <c r="AN5" s="441"/>
      <c r="AO5" s="441"/>
      <c r="AP5" s="441"/>
      <c r="AQ5" s="441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/>
      <c r="BE5" s="441"/>
      <c r="BF5" s="441"/>
      <c r="BG5" s="441"/>
      <c r="BH5" s="441"/>
      <c r="BI5" s="441"/>
      <c r="BJ5" s="441"/>
      <c r="BK5" s="441"/>
      <c r="BL5" s="441"/>
      <c r="BM5" s="441"/>
      <c r="BN5" s="441"/>
      <c r="BO5" s="441"/>
      <c r="BP5" s="441"/>
      <c r="BQ5" s="441"/>
      <c r="BR5" s="441"/>
      <c r="BS5" s="441"/>
      <c r="BT5" s="441"/>
      <c r="BU5" s="441"/>
      <c r="BV5" s="441"/>
      <c r="BW5" s="441"/>
      <c r="BX5" s="441"/>
      <c r="BY5" s="441"/>
      <c r="BZ5" s="441"/>
      <c r="CA5" s="441"/>
      <c r="CB5" s="441"/>
      <c r="CC5" s="441"/>
      <c r="CD5" s="441"/>
      <c r="CE5" s="441"/>
      <c r="CF5" s="441"/>
    </row>
    <row r="6" spans="4:84" s="19" customFormat="1" ht="15.6">
      <c r="D6" s="419"/>
      <c r="E6" s="416"/>
      <c r="F6" s="441"/>
      <c r="G6" s="441"/>
      <c r="H6" s="441"/>
      <c r="I6" s="441"/>
      <c r="J6" s="441"/>
      <c r="K6" s="441"/>
      <c r="L6" s="441"/>
      <c r="M6" s="429">
        <f>'Revenue Assumptions'!N6</f>
        <v>1</v>
      </c>
      <c r="N6" s="429">
        <f>'Revenue Assumptions'!O6</f>
        <v>2</v>
      </c>
      <c r="O6" s="429">
        <f>'Revenue Assumptions'!P6</f>
        <v>3</v>
      </c>
      <c r="P6" s="429">
        <f>'Revenue Assumptions'!Q6</f>
        <v>4</v>
      </c>
      <c r="Q6" s="429">
        <f>'Revenue Assumptions'!R6</f>
        <v>5</v>
      </c>
      <c r="R6" s="429">
        <f>'Revenue Assumptions'!S6</f>
        <v>6</v>
      </c>
      <c r="S6" s="429">
        <f>'Revenue Assumptions'!T6</f>
        <v>7</v>
      </c>
      <c r="T6" s="429">
        <f>'Revenue Assumptions'!U6</f>
        <v>8</v>
      </c>
      <c r="U6" s="429">
        <f>'Revenue Assumptions'!V6</f>
        <v>9</v>
      </c>
      <c r="V6" s="429">
        <f>'Revenue Assumptions'!W6</f>
        <v>10</v>
      </c>
      <c r="W6" s="429">
        <f>'Revenue Assumptions'!X6</f>
        <v>11</v>
      </c>
      <c r="X6" s="429">
        <f>'Revenue Assumptions'!Y6</f>
        <v>12</v>
      </c>
      <c r="Y6" s="429">
        <f>'Revenue Assumptions'!Z6</f>
        <v>13</v>
      </c>
      <c r="Z6" s="429">
        <f>'Revenue Assumptions'!AA6</f>
        <v>14</v>
      </c>
      <c r="AA6" s="429">
        <f>'Revenue Assumptions'!AB6</f>
        <v>15</v>
      </c>
      <c r="AB6" s="429">
        <f>'Revenue Assumptions'!AC6</f>
        <v>16</v>
      </c>
      <c r="AC6" s="429">
        <f>'Revenue Assumptions'!AD6</f>
        <v>17</v>
      </c>
      <c r="AD6" s="429">
        <f>'Revenue Assumptions'!AE6</f>
        <v>18</v>
      </c>
      <c r="AE6" s="429">
        <f>'Revenue Assumptions'!AF6</f>
        <v>19</v>
      </c>
      <c r="AF6" s="429">
        <f>'Revenue Assumptions'!AG6</f>
        <v>20</v>
      </c>
      <c r="AG6" s="429">
        <f>'Revenue Assumptions'!AH6</f>
        <v>21</v>
      </c>
      <c r="AH6" s="429">
        <f>'Revenue Assumptions'!AI6</f>
        <v>22</v>
      </c>
      <c r="AI6" s="429">
        <f>'Revenue Assumptions'!AJ6</f>
        <v>23</v>
      </c>
      <c r="AJ6" s="429">
        <f>'Revenue Assumptions'!AK6</f>
        <v>24</v>
      </c>
      <c r="AK6" s="429">
        <f>'Revenue Assumptions'!AL6</f>
        <v>25</v>
      </c>
      <c r="AL6" s="429">
        <f>'Revenue Assumptions'!AM6</f>
        <v>26</v>
      </c>
      <c r="AM6" s="429">
        <f>'Revenue Assumptions'!AN6</f>
        <v>27</v>
      </c>
      <c r="AN6" s="429">
        <f>'Revenue Assumptions'!AO6</f>
        <v>28</v>
      </c>
      <c r="AO6" s="429">
        <f>'Revenue Assumptions'!AP6</f>
        <v>29</v>
      </c>
      <c r="AP6" s="429">
        <f>'Revenue Assumptions'!AQ6</f>
        <v>30</v>
      </c>
      <c r="AQ6" s="429">
        <f>'Revenue Assumptions'!AR6</f>
        <v>31</v>
      </c>
      <c r="AR6" s="429">
        <f>'Revenue Assumptions'!AS6</f>
        <v>32</v>
      </c>
      <c r="AS6" s="429">
        <f>'Revenue Assumptions'!AT6</f>
        <v>33</v>
      </c>
      <c r="AT6" s="429">
        <f>'Revenue Assumptions'!AU6</f>
        <v>34</v>
      </c>
      <c r="AU6" s="429">
        <f>'Revenue Assumptions'!AV6</f>
        <v>35</v>
      </c>
      <c r="AV6" s="429">
        <f>'Revenue Assumptions'!AW6</f>
        <v>36</v>
      </c>
      <c r="AW6" s="429">
        <f>'Revenue Assumptions'!AX6</f>
        <v>37</v>
      </c>
      <c r="AX6" s="429">
        <f>'Revenue Assumptions'!AY6</f>
        <v>38</v>
      </c>
      <c r="AY6" s="429">
        <f>'Revenue Assumptions'!AZ6</f>
        <v>39</v>
      </c>
      <c r="AZ6" s="429">
        <f>'Revenue Assumptions'!BA6</f>
        <v>40</v>
      </c>
      <c r="BA6" s="429">
        <f>'Revenue Assumptions'!BB6</f>
        <v>41</v>
      </c>
      <c r="BB6" s="429">
        <f>'Revenue Assumptions'!BC6</f>
        <v>42</v>
      </c>
      <c r="BC6" s="429">
        <f>'Revenue Assumptions'!BD6</f>
        <v>43</v>
      </c>
      <c r="BD6" s="429">
        <f>'Revenue Assumptions'!BE6</f>
        <v>44</v>
      </c>
      <c r="BE6" s="429">
        <f>'Revenue Assumptions'!BF6</f>
        <v>45</v>
      </c>
      <c r="BF6" s="429">
        <f>'Revenue Assumptions'!BG6</f>
        <v>46</v>
      </c>
      <c r="BG6" s="429">
        <f>'Revenue Assumptions'!BH6</f>
        <v>47</v>
      </c>
      <c r="BH6" s="429">
        <f>'Revenue Assumptions'!BI6</f>
        <v>48</v>
      </c>
      <c r="BI6" s="429">
        <f>'Revenue Assumptions'!BJ6</f>
        <v>49</v>
      </c>
      <c r="BJ6" s="429">
        <f>'Revenue Assumptions'!BK6</f>
        <v>50</v>
      </c>
      <c r="BK6" s="429">
        <f>'Revenue Assumptions'!BL6</f>
        <v>51</v>
      </c>
      <c r="BL6" s="429">
        <f>'Revenue Assumptions'!BM6</f>
        <v>52</v>
      </c>
      <c r="BM6" s="429">
        <f>'Revenue Assumptions'!BN6</f>
        <v>53</v>
      </c>
      <c r="BN6" s="429">
        <f>'Revenue Assumptions'!BO6</f>
        <v>54</v>
      </c>
      <c r="BO6" s="429">
        <f>'Revenue Assumptions'!BP6</f>
        <v>55</v>
      </c>
      <c r="BP6" s="429">
        <f>'Revenue Assumptions'!BQ6</f>
        <v>56</v>
      </c>
      <c r="BQ6" s="429">
        <f>'Revenue Assumptions'!BR6</f>
        <v>57</v>
      </c>
      <c r="BR6" s="429">
        <f>'Revenue Assumptions'!BS6</f>
        <v>58</v>
      </c>
      <c r="BS6" s="429">
        <f>'Revenue Assumptions'!BT6</f>
        <v>59</v>
      </c>
      <c r="BT6" s="429">
        <f>'Revenue Assumptions'!BU6</f>
        <v>60</v>
      </c>
      <c r="BU6" s="429">
        <f>'Revenue Assumptions'!BV6</f>
        <v>61</v>
      </c>
      <c r="BV6" s="429">
        <f>'Revenue Assumptions'!BW6</f>
        <v>62</v>
      </c>
      <c r="BW6" s="429">
        <f>'Revenue Assumptions'!BX6</f>
        <v>63</v>
      </c>
      <c r="BX6" s="429">
        <f>'Revenue Assumptions'!BY6</f>
        <v>64</v>
      </c>
      <c r="BY6" s="429">
        <f>'Revenue Assumptions'!BZ6</f>
        <v>65</v>
      </c>
      <c r="BZ6" s="429">
        <f>'Revenue Assumptions'!CA6</f>
        <v>66</v>
      </c>
      <c r="CA6" s="429">
        <f>'Revenue Assumptions'!CB6</f>
        <v>67</v>
      </c>
      <c r="CB6" s="429">
        <f>'Revenue Assumptions'!CC6</f>
        <v>68</v>
      </c>
      <c r="CC6" s="429">
        <f>'Revenue Assumptions'!CD6</f>
        <v>69</v>
      </c>
      <c r="CD6" s="429">
        <f>'Revenue Assumptions'!CE6</f>
        <v>70</v>
      </c>
      <c r="CE6" s="429">
        <f>'Revenue Assumptions'!CF6</f>
        <v>71</v>
      </c>
      <c r="CF6" s="429">
        <f>'Revenue Assumptions'!CG6</f>
        <v>72</v>
      </c>
    </row>
    <row r="7" spans="4:84" s="19" customFormat="1" ht="15">
      <c r="D7" s="417"/>
      <c r="E7" s="417" t="s">
        <v>58</v>
      </c>
      <c r="F7" s="417"/>
      <c r="G7" s="417"/>
      <c r="H7" s="417"/>
      <c r="I7" s="417"/>
      <c r="J7" s="417"/>
      <c r="K7" s="417"/>
      <c r="L7" s="418"/>
      <c r="M7" s="420">
        <f>'Revenue Assumptions'!N7</f>
        <v>45658</v>
      </c>
      <c r="N7" s="420">
        <f>'Revenue Assumptions'!O7</f>
        <v>45689</v>
      </c>
      <c r="O7" s="420">
        <f>'Revenue Assumptions'!P7</f>
        <v>45717</v>
      </c>
      <c r="P7" s="420">
        <f>'Revenue Assumptions'!Q7</f>
        <v>45748</v>
      </c>
      <c r="Q7" s="420">
        <f>'Revenue Assumptions'!R7</f>
        <v>45778</v>
      </c>
      <c r="R7" s="420">
        <f>'Revenue Assumptions'!S7</f>
        <v>45809</v>
      </c>
      <c r="S7" s="420">
        <f>'Revenue Assumptions'!T7</f>
        <v>45839</v>
      </c>
      <c r="T7" s="420">
        <f>'Revenue Assumptions'!U7</f>
        <v>45870</v>
      </c>
      <c r="U7" s="420">
        <f>'Revenue Assumptions'!V7</f>
        <v>45901</v>
      </c>
      <c r="V7" s="420">
        <f>'Revenue Assumptions'!W7</f>
        <v>45931</v>
      </c>
      <c r="W7" s="420">
        <f>'Revenue Assumptions'!X7</f>
        <v>45962</v>
      </c>
      <c r="X7" s="420">
        <f>'Revenue Assumptions'!Y7</f>
        <v>45992</v>
      </c>
      <c r="Y7" s="420">
        <f>'Revenue Assumptions'!Z7</f>
        <v>46023</v>
      </c>
      <c r="Z7" s="420">
        <f>'Revenue Assumptions'!AA7</f>
        <v>46054</v>
      </c>
      <c r="AA7" s="420">
        <f>'Revenue Assumptions'!AB7</f>
        <v>46082</v>
      </c>
      <c r="AB7" s="420">
        <f>'Revenue Assumptions'!AC7</f>
        <v>46113</v>
      </c>
      <c r="AC7" s="420">
        <f>'Revenue Assumptions'!AD7</f>
        <v>46143</v>
      </c>
      <c r="AD7" s="420">
        <f>'Revenue Assumptions'!AE7</f>
        <v>46174</v>
      </c>
      <c r="AE7" s="420">
        <f>'Revenue Assumptions'!AF7</f>
        <v>46204</v>
      </c>
      <c r="AF7" s="420">
        <f>'Revenue Assumptions'!AG7</f>
        <v>46235</v>
      </c>
      <c r="AG7" s="420">
        <f>'Revenue Assumptions'!AH7</f>
        <v>46266</v>
      </c>
      <c r="AH7" s="420">
        <f>'Revenue Assumptions'!AI7</f>
        <v>46296</v>
      </c>
      <c r="AI7" s="420">
        <f>'Revenue Assumptions'!AJ7</f>
        <v>46327</v>
      </c>
      <c r="AJ7" s="420">
        <f>'Revenue Assumptions'!AK7</f>
        <v>46357</v>
      </c>
      <c r="AK7" s="420">
        <f>'Revenue Assumptions'!AL7</f>
        <v>46388</v>
      </c>
      <c r="AL7" s="420">
        <f>'Revenue Assumptions'!AM7</f>
        <v>46419</v>
      </c>
      <c r="AM7" s="420">
        <f>'Revenue Assumptions'!AN7</f>
        <v>46447</v>
      </c>
      <c r="AN7" s="420">
        <f>'Revenue Assumptions'!AO7</f>
        <v>46478</v>
      </c>
      <c r="AO7" s="420">
        <f>'Revenue Assumptions'!AP7</f>
        <v>46508</v>
      </c>
      <c r="AP7" s="420">
        <f>'Revenue Assumptions'!AQ7</f>
        <v>46539</v>
      </c>
      <c r="AQ7" s="420">
        <f>'Revenue Assumptions'!AR7</f>
        <v>46569</v>
      </c>
      <c r="AR7" s="420">
        <f>'Revenue Assumptions'!AS7</f>
        <v>46600</v>
      </c>
      <c r="AS7" s="420">
        <f>'Revenue Assumptions'!AT7</f>
        <v>46631</v>
      </c>
      <c r="AT7" s="420">
        <f>'Revenue Assumptions'!AU7</f>
        <v>46661</v>
      </c>
      <c r="AU7" s="420">
        <f>'Revenue Assumptions'!AV7</f>
        <v>46692</v>
      </c>
      <c r="AV7" s="420">
        <f>'Revenue Assumptions'!AW7</f>
        <v>46722</v>
      </c>
      <c r="AW7" s="420">
        <f>'Revenue Assumptions'!AX7</f>
        <v>46753</v>
      </c>
      <c r="AX7" s="420">
        <f>'Revenue Assumptions'!AY7</f>
        <v>46784</v>
      </c>
      <c r="AY7" s="420">
        <f>'Revenue Assumptions'!AZ7</f>
        <v>46813</v>
      </c>
      <c r="AZ7" s="420">
        <f>'Revenue Assumptions'!BA7</f>
        <v>46844</v>
      </c>
      <c r="BA7" s="420">
        <f>'Revenue Assumptions'!BB7</f>
        <v>46874</v>
      </c>
      <c r="BB7" s="420">
        <f>'Revenue Assumptions'!BC7</f>
        <v>46905</v>
      </c>
      <c r="BC7" s="420">
        <f>'Revenue Assumptions'!BD7</f>
        <v>46935</v>
      </c>
      <c r="BD7" s="420">
        <f>'Revenue Assumptions'!BE7</f>
        <v>46966</v>
      </c>
      <c r="BE7" s="420">
        <f>'Revenue Assumptions'!BF7</f>
        <v>46997</v>
      </c>
      <c r="BF7" s="420">
        <f>'Revenue Assumptions'!BG7</f>
        <v>47027</v>
      </c>
      <c r="BG7" s="420">
        <f>'Revenue Assumptions'!BH7</f>
        <v>47058</v>
      </c>
      <c r="BH7" s="420">
        <f>'Revenue Assumptions'!BI7</f>
        <v>47088</v>
      </c>
      <c r="BI7" s="420">
        <f>'Revenue Assumptions'!BJ7</f>
        <v>47119</v>
      </c>
      <c r="BJ7" s="420">
        <f>'Revenue Assumptions'!BK7</f>
        <v>47150</v>
      </c>
      <c r="BK7" s="420">
        <f>'Revenue Assumptions'!BL7</f>
        <v>47178</v>
      </c>
      <c r="BL7" s="420">
        <f>'Revenue Assumptions'!BM7</f>
        <v>47209</v>
      </c>
      <c r="BM7" s="420">
        <f>'Revenue Assumptions'!BN7</f>
        <v>47239</v>
      </c>
      <c r="BN7" s="420">
        <f>'Revenue Assumptions'!BO7</f>
        <v>47270</v>
      </c>
      <c r="BO7" s="420">
        <f>'Revenue Assumptions'!BP7</f>
        <v>47300</v>
      </c>
      <c r="BP7" s="420">
        <f>'Revenue Assumptions'!BQ7</f>
        <v>47331</v>
      </c>
      <c r="BQ7" s="420">
        <f>'Revenue Assumptions'!BR7</f>
        <v>47362</v>
      </c>
      <c r="BR7" s="420">
        <f>'Revenue Assumptions'!BS7</f>
        <v>47392</v>
      </c>
      <c r="BS7" s="420">
        <f>'Revenue Assumptions'!BT7</f>
        <v>47423</v>
      </c>
      <c r="BT7" s="420">
        <f>'Revenue Assumptions'!BU7</f>
        <v>47453</v>
      </c>
      <c r="BU7" s="420">
        <f>'Revenue Assumptions'!BV7</f>
        <v>47484</v>
      </c>
      <c r="BV7" s="420">
        <f>'Revenue Assumptions'!BW7</f>
        <v>47515</v>
      </c>
      <c r="BW7" s="420">
        <f>'Revenue Assumptions'!BX7</f>
        <v>47543</v>
      </c>
      <c r="BX7" s="420">
        <f>'Revenue Assumptions'!BY7</f>
        <v>47574</v>
      </c>
      <c r="BY7" s="420">
        <f>'Revenue Assumptions'!BZ7</f>
        <v>47604</v>
      </c>
      <c r="BZ7" s="420">
        <f>'Revenue Assumptions'!CA7</f>
        <v>47635</v>
      </c>
      <c r="CA7" s="420">
        <f>'Revenue Assumptions'!CB7</f>
        <v>47665</v>
      </c>
      <c r="CB7" s="420">
        <f>'Revenue Assumptions'!CC7</f>
        <v>47696</v>
      </c>
      <c r="CC7" s="420">
        <f>'Revenue Assumptions'!CD7</f>
        <v>47727</v>
      </c>
      <c r="CD7" s="420">
        <f>'Revenue Assumptions'!CE7</f>
        <v>47757</v>
      </c>
      <c r="CE7" s="420">
        <f>'Revenue Assumptions'!CF7</f>
        <v>47788</v>
      </c>
      <c r="CF7" s="420">
        <f>'Revenue Assumptions'!CG7</f>
        <v>47818</v>
      </c>
    </row>
    <row r="8" spans="4:84" s="19" customFormat="1" ht="15">
      <c r="D8" s="417"/>
      <c r="E8" s="417" t="s">
        <v>59</v>
      </c>
      <c r="F8" s="417"/>
      <c r="G8" s="417"/>
      <c r="H8" s="417"/>
      <c r="I8" s="417"/>
      <c r="J8" s="417"/>
      <c r="K8" s="417"/>
      <c r="L8" s="418"/>
      <c r="M8" s="420">
        <f>'Revenue Assumptions'!N8</f>
        <v>45688</v>
      </c>
      <c r="N8" s="420">
        <f>'Revenue Assumptions'!O8</f>
        <v>45716</v>
      </c>
      <c r="O8" s="420">
        <f>'Revenue Assumptions'!P8</f>
        <v>45747</v>
      </c>
      <c r="P8" s="420">
        <f>'Revenue Assumptions'!Q8</f>
        <v>45777</v>
      </c>
      <c r="Q8" s="420">
        <f>'Revenue Assumptions'!R8</f>
        <v>45808</v>
      </c>
      <c r="R8" s="420">
        <f>'Revenue Assumptions'!S8</f>
        <v>45838</v>
      </c>
      <c r="S8" s="420">
        <f>'Revenue Assumptions'!T8</f>
        <v>45869</v>
      </c>
      <c r="T8" s="420">
        <f>'Revenue Assumptions'!U8</f>
        <v>45900</v>
      </c>
      <c r="U8" s="420">
        <f>'Revenue Assumptions'!V8</f>
        <v>45930</v>
      </c>
      <c r="V8" s="420">
        <f>'Revenue Assumptions'!W8</f>
        <v>45961</v>
      </c>
      <c r="W8" s="420">
        <f>'Revenue Assumptions'!X8</f>
        <v>45991</v>
      </c>
      <c r="X8" s="420">
        <f>'Revenue Assumptions'!Y8</f>
        <v>46022</v>
      </c>
      <c r="Y8" s="420">
        <f>'Revenue Assumptions'!Z8</f>
        <v>46053</v>
      </c>
      <c r="Z8" s="420">
        <f>'Revenue Assumptions'!AA8</f>
        <v>46081</v>
      </c>
      <c r="AA8" s="420">
        <f>'Revenue Assumptions'!AB8</f>
        <v>46112</v>
      </c>
      <c r="AB8" s="420">
        <f>'Revenue Assumptions'!AC8</f>
        <v>46142</v>
      </c>
      <c r="AC8" s="420">
        <f>'Revenue Assumptions'!AD8</f>
        <v>46173</v>
      </c>
      <c r="AD8" s="420">
        <f>'Revenue Assumptions'!AE8</f>
        <v>46203</v>
      </c>
      <c r="AE8" s="420">
        <f>'Revenue Assumptions'!AF8</f>
        <v>46234</v>
      </c>
      <c r="AF8" s="420">
        <f>'Revenue Assumptions'!AG8</f>
        <v>46265</v>
      </c>
      <c r="AG8" s="420">
        <f>'Revenue Assumptions'!AH8</f>
        <v>46295</v>
      </c>
      <c r="AH8" s="420">
        <f>'Revenue Assumptions'!AI8</f>
        <v>46326</v>
      </c>
      <c r="AI8" s="420">
        <f>'Revenue Assumptions'!AJ8</f>
        <v>46356</v>
      </c>
      <c r="AJ8" s="420">
        <f>'Revenue Assumptions'!AK8</f>
        <v>46387</v>
      </c>
      <c r="AK8" s="420">
        <f>'Revenue Assumptions'!AL8</f>
        <v>46418</v>
      </c>
      <c r="AL8" s="420">
        <f>'Revenue Assumptions'!AM8</f>
        <v>46446</v>
      </c>
      <c r="AM8" s="420">
        <f>'Revenue Assumptions'!AN8</f>
        <v>46477</v>
      </c>
      <c r="AN8" s="420">
        <f>'Revenue Assumptions'!AO8</f>
        <v>46507</v>
      </c>
      <c r="AO8" s="420">
        <f>'Revenue Assumptions'!AP8</f>
        <v>46538</v>
      </c>
      <c r="AP8" s="420">
        <f>'Revenue Assumptions'!AQ8</f>
        <v>46568</v>
      </c>
      <c r="AQ8" s="420">
        <f>'Revenue Assumptions'!AR8</f>
        <v>46599</v>
      </c>
      <c r="AR8" s="420">
        <f>'Revenue Assumptions'!AS8</f>
        <v>46630</v>
      </c>
      <c r="AS8" s="420">
        <f>'Revenue Assumptions'!AT8</f>
        <v>46660</v>
      </c>
      <c r="AT8" s="420">
        <f>'Revenue Assumptions'!AU8</f>
        <v>46691</v>
      </c>
      <c r="AU8" s="420">
        <f>'Revenue Assumptions'!AV8</f>
        <v>46721</v>
      </c>
      <c r="AV8" s="420">
        <f>'Revenue Assumptions'!AW8</f>
        <v>46752</v>
      </c>
      <c r="AW8" s="420">
        <f>'Revenue Assumptions'!AX8</f>
        <v>46783</v>
      </c>
      <c r="AX8" s="420">
        <f>'Revenue Assumptions'!AY8</f>
        <v>46812</v>
      </c>
      <c r="AY8" s="420">
        <f>'Revenue Assumptions'!AZ8</f>
        <v>46843</v>
      </c>
      <c r="AZ8" s="420">
        <f>'Revenue Assumptions'!BA8</f>
        <v>46873</v>
      </c>
      <c r="BA8" s="420">
        <f>'Revenue Assumptions'!BB8</f>
        <v>46904</v>
      </c>
      <c r="BB8" s="420">
        <f>'Revenue Assumptions'!BC8</f>
        <v>46934</v>
      </c>
      <c r="BC8" s="420">
        <f>'Revenue Assumptions'!BD8</f>
        <v>46965</v>
      </c>
      <c r="BD8" s="420">
        <f>'Revenue Assumptions'!BE8</f>
        <v>46996</v>
      </c>
      <c r="BE8" s="420">
        <f>'Revenue Assumptions'!BF8</f>
        <v>47026</v>
      </c>
      <c r="BF8" s="420">
        <f>'Revenue Assumptions'!BG8</f>
        <v>47057</v>
      </c>
      <c r="BG8" s="420">
        <f>'Revenue Assumptions'!BH8</f>
        <v>47087</v>
      </c>
      <c r="BH8" s="420">
        <f>'Revenue Assumptions'!BI8</f>
        <v>47118</v>
      </c>
      <c r="BI8" s="420">
        <f>'Revenue Assumptions'!BJ8</f>
        <v>47149</v>
      </c>
      <c r="BJ8" s="420">
        <f>'Revenue Assumptions'!BK8</f>
        <v>47177</v>
      </c>
      <c r="BK8" s="420">
        <f>'Revenue Assumptions'!BL8</f>
        <v>47208</v>
      </c>
      <c r="BL8" s="420">
        <f>'Revenue Assumptions'!BM8</f>
        <v>47238</v>
      </c>
      <c r="BM8" s="420">
        <f>'Revenue Assumptions'!BN8</f>
        <v>47269</v>
      </c>
      <c r="BN8" s="420">
        <f>'Revenue Assumptions'!BO8</f>
        <v>47299</v>
      </c>
      <c r="BO8" s="420">
        <f>'Revenue Assumptions'!BP8</f>
        <v>47330</v>
      </c>
      <c r="BP8" s="420">
        <f>'Revenue Assumptions'!BQ8</f>
        <v>47361</v>
      </c>
      <c r="BQ8" s="420">
        <f>'Revenue Assumptions'!BR8</f>
        <v>47391</v>
      </c>
      <c r="BR8" s="420">
        <f>'Revenue Assumptions'!BS8</f>
        <v>47422</v>
      </c>
      <c r="BS8" s="420">
        <f>'Revenue Assumptions'!BT8</f>
        <v>47452</v>
      </c>
      <c r="BT8" s="420">
        <f>'Revenue Assumptions'!BU8</f>
        <v>47483</v>
      </c>
      <c r="BU8" s="420">
        <f>'Revenue Assumptions'!BV8</f>
        <v>47514</v>
      </c>
      <c r="BV8" s="420">
        <f>'Revenue Assumptions'!BW8</f>
        <v>47542</v>
      </c>
      <c r="BW8" s="420">
        <f>'Revenue Assumptions'!BX8</f>
        <v>47573</v>
      </c>
      <c r="BX8" s="420">
        <f>'Revenue Assumptions'!BY8</f>
        <v>47603</v>
      </c>
      <c r="BY8" s="420">
        <f>'Revenue Assumptions'!BZ8</f>
        <v>47634</v>
      </c>
      <c r="BZ8" s="420">
        <f>'Revenue Assumptions'!CA8</f>
        <v>47664</v>
      </c>
      <c r="CA8" s="420">
        <f>'Revenue Assumptions'!CB8</f>
        <v>47695</v>
      </c>
      <c r="CB8" s="420">
        <f>'Revenue Assumptions'!CC8</f>
        <v>47726</v>
      </c>
      <c r="CC8" s="420">
        <f>'Revenue Assumptions'!CD8</f>
        <v>47756</v>
      </c>
      <c r="CD8" s="420">
        <f>'Revenue Assumptions'!CE8</f>
        <v>47787</v>
      </c>
      <c r="CE8" s="420">
        <f>'Revenue Assumptions'!CF8</f>
        <v>47817</v>
      </c>
      <c r="CF8" s="420">
        <f>'Revenue Assumptions'!CG8</f>
        <v>47848</v>
      </c>
    </row>
    <row r="9" spans="4:84" s="19" customFormat="1" ht="15">
      <c r="D9" s="417"/>
      <c r="E9" s="417" t="s">
        <v>238</v>
      </c>
      <c r="F9" s="417"/>
      <c r="G9" s="417"/>
      <c r="H9" s="417"/>
      <c r="I9" s="417"/>
      <c r="J9" s="417"/>
      <c r="K9" s="417"/>
      <c r="L9" s="418"/>
      <c r="M9" s="442">
        <f>'Revenue Assumptions'!N9</f>
        <v>1</v>
      </c>
      <c r="N9" s="442">
        <f>'Revenue Assumptions'!O9</f>
        <v>2</v>
      </c>
      <c r="O9" s="442">
        <f>'Revenue Assumptions'!P9</f>
        <v>3</v>
      </c>
      <c r="P9" s="442">
        <f>'Revenue Assumptions'!Q9</f>
        <v>4</v>
      </c>
      <c r="Q9" s="442">
        <f>'Revenue Assumptions'!R9</f>
        <v>1</v>
      </c>
      <c r="R9" s="442">
        <f>'Revenue Assumptions'!S9</f>
        <v>2</v>
      </c>
      <c r="S9" s="442">
        <f>'Revenue Assumptions'!T9</f>
        <v>3</v>
      </c>
      <c r="T9" s="442">
        <f>'Revenue Assumptions'!U9</f>
        <v>4</v>
      </c>
      <c r="U9" s="442">
        <f>'Revenue Assumptions'!V9</f>
        <v>1</v>
      </c>
      <c r="V9" s="442">
        <f>'Revenue Assumptions'!W9</f>
        <v>2</v>
      </c>
      <c r="W9" s="442">
        <f>'Revenue Assumptions'!X9</f>
        <v>3</v>
      </c>
      <c r="X9" s="442">
        <f>'Revenue Assumptions'!Y9</f>
        <v>4</v>
      </c>
      <c r="Y9" s="442">
        <f>'Revenue Assumptions'!Z9</f>
        <v>1</v>
      </c>
      <c r="Z9" s="442">
        <f>'Revenue Assumptions'!AA9</f>
        <v>2</v>
      </c>
      <c r="AA9" s="442">
        <f>'Revenue Assumptions'!AB9</f>
        <v>3</v>
      </c>
      <c r="AB9" s="442">
        <f>'Revenue Assumptions'!AC9</f>
        <v>4</v>
      </c>
      <c r="AC9" s="442">
        <f>'Revenue Assumptions'!AD9</f>
        <v>1</v>
      </c>
      <c r="AD9" s="442">
        <f>'Revenue Assumptions'!AE9</f>
        <v>2</v>
      </c>
      <c r="AE9" s="442">
        <f>'Revenue Assumptions'!AF9</f>
        <v>3</v>
      </c>
      <c r="AF9" s="442">
        <f>'Revenue Assumptions'!AG9</f>
        <v>4</v>
      </c>
      <c r="AG9" s="442">
        <f>'Revenue Assumptions'!AH9</f>
        <v>1</v>
      </c>
      <c r="AH9" s="442">
        <f>'Revenue Assumptions'!AI9</f>
        <v>2</v>
      </c>
      <c r="AI9" s="442">
        <f>'Revenue Assumptions'!AJ9</f>
        <v>3</v>
      </c>
      <c r="AJ9" s="442">
        <f>'Revenue Assumptions'!AK9</f>
        <v>4</v>
      </c>
      <c r="AK9" s="442">
        <f>'Revenue Assumptions'!AL9</f>
        <v>1</v>
      </c>
      <c r="AL9" s="442">
        <f>'Revenue Assumptions'!AM9</f>
        <v>2</v>
      </c>
      <c r="AM9" s="442">
        <f>'Revenue Assumptions'!AN9</f>
        <v>3</v>
      </c>
      <c r="AN9" s="442">
        <f>'Revenue Assumptions'!AO9</f>
        <v>4</v>
      </c>
      <c r="AO9" s="442">
        <f>'Revenue Assumptions'!AP9</f>
        <v>1</v>
      </c>
      <c r="AP9" s="442">
        <f>'Revenue Assumptions'!AQ9</f>
        <v>2</v>
      </c>
      <c r="AQ9" s="442">
        <f>'Revenue Assumptions'!AR9</f>
        <v>3</v>
      </c>
      <c r="AR9" s="442">
        <f>'Revenue Assumptions'!AS9</f>
        <v>4</v>
      </c>
      <c r="AS9" s="442">
        <f>'Revenue Assumptions'!AT9</f>
        <v>1</v>
      </c>
      <c r="AT9" s="442">
        <f>'Revenue Assumptions'!AU9</f>
        <v>2</v>
      </c>
      <c r="AU9" s="442">
        <f>'Revenue Assumptions'!AV9</f>
        <v>3</v>
      </c>
      <c r="AV9" s="442">
        <f>'Revenue Assumptions'!AW9</f>
        <v>4</v>
      </c>
      <c r="AW9" s="442">
        <f>'Revenue Assumptions'!AX9</f>
        <v>1</v>
      </c>
      <c r="AX9" s="442">
        <f>'Revenue Assumptions'!AY9</f>
        <v>2</v>
      </c>
      <c r="AY9" s="442">
        <f>'Revenue Assumptions'!AZ9</f>
        <v>3</v>
      </c>
      <c r="AZ9" s="442">
        <f>'Revenue Assumptions'!BA9</f>
        <v>4</v>
      </c>
      <c r="BA9" s="442">
        <f>'Revenue Assumptions'!BB9</f>
        <v>1</v>
      </c>
      <c r="BB9" s="442">
        <f>'Revenue Assumptions'!BC9</f>
        <v>2</v>
      </c>
      <c r="BC9" s="442">
        <f>'Revenue Assumptions'!BD9</f>
        <v>3</v>
      </c>
      <c r="BD9" s="442">
        <f>'Revenue Assumptions'!BE9</f>
        <v>4</v>
      </c>
      <c r="BE9" s="442">
        <f>'Revenue Assumptions'!BF9</f>
        <v>1</v>
      </c>
      <c r="BF9" s="442">
        <f>'Revenue Assumptions'!BG9</f>
        <v>2</v>
      </c>
      <c r="BG9" s="442">
        <f>'Revenue Assumptions'!BH9</f>
        <v>3</v>
      </c>
      <c r="BH9" s="442">
        <f>'Revenue Assumptions'!BI9</f>
        <v>4</v>
      </c>
      <c r="BI9" s="442">
        <f>'Revenue Assumptions'!BJ9</f>
        <v>1</v>
      </c>
      <c r="BJ9" s="442">
        <f>'Revenue Assumptions'!BK9</f>
        <v>2</v>
      </c>
      <c r="BK9" s="442">
        <f>'Revenue Assumptions'!BL9</f>
        <v>3</v>
      </c>
      <c r="BL9" s="442">
        <f>'Revenue Assumptions'!BM9</f>
        <v>4</v>
      </c>
      <c r="BM9" s="442">
        <f>'Revenue Assumptions'!BN9</f>
        <v>1</v>
      </c>
      <c r="BN9" s="442">
        <f>'Revenue Assumptions'!BO9</f>
        <v>2</v>
      </c>
      <c r="BO9" s="442">
        <f>'Revenue Assumptions'!BP9</f>
        <v>3</v>
      </c>
      <c r="BP9" s="442">
        <f>'Revenue Assumptions'!BQ9</f>
        <v>4</v>
      </c>
      <c r="BQ9" s="442">
        <f>'Revenue Assumptions'!BR9</f>
        <v>1</v>
      </c>
      <c r="BR9" s="442">
        <f>'Revenue Assumptions'!BS9</f>
        <v>2</v>
      </c>
      <c r="BS9" s="442">
        <f>'Revenue Assumptions'!BT9</f>
        <v>3</v>
      </c>
      <c r="BT9" s="442">
        <f>'Revenue Assumptions'!BU9</f>
        <v>4</v>
      </c>
      <c r="BU9" s="442">
        <f>'Revenue Assumptions'!BV9</f>
        <v>1</v>
      </c>
      <c r="BV9" s="442">
        <f>'Revenue Assumptions'!BW9</f>
        <v>2</v>
      </c>
      <c r="BW9" s="442">
        <f>'Revenue Assumptions'!BX9</f>
        <v>3</v>
      </c>
      <c r="BX9" s="442">
        <f>'Revenue Assumptions'!BY9</f>
        <v>4</v>
      </c>
      <c r="BY9" s="442">
        <f>'Revenue Assumptions'!BZ9</f>
        <v>1</v>
      </c>
      <c r="BZ9" s="442">
        <f>'Revenue Assumptions'!CA9</f>
        <v>2</v>
      </c>
      <c r="CA9" s="442">
        <f>'Revenue Assumptions'!CB9</f>
        <v>3</v>
      </c>
      <c r="CB9" s="442">
        <f>'Revenue Assumptions'!CC9</f>
        <v>4</v>
      </c>
      <c r="CC9" s="442">
        <f>'Revenue Assumptions'!CD9</f>
        <v>1</v>
      </c>
      <c r="CD9" s="442">
        <f>'Revenue Assumptions'!CE9</f>
        <v>2</v>
      </c>
      <c r="CE9" s="442">
        <f>'Revenue Assumptions'!CF9</f>
        <v>3</v>
      </c>
      <c r="CF9" s="442">
        <f>'Revenue Assumptions'!CG9</f>
        <v>4</v>
      </c>
    </row>
    <row r="10" spans="4:84" s="19" customFormat="1" ht="15">
      <c r="D10" s="417"/>
      <c r="E10" s="417" t="s">
        <v>60</v>
      </c>
      <c r="F10" s="417"/>
      <c r="G10" s="417"/>
      <c r="H10" s="417"/>
      <c r="I10" s="417"/>
      <c r="J10" s="417"/>
      <c r="K10" s="417"/>
      <c r="L10" s="418"/>
      <c r="M10" s="443" t="str">
        <f>'Revenue Assumptions'!N10</f>
        <v>Q1</v>
      </c>
      <c r="N10" s="443" t="str">
        <f>'Revenue Assumptions'!O10</f>
        <v>Q2</v>
      </c>
      <c r="O10" s="443" t="str">
        <f>'Revenue Assumptions'!P10</f>
        <v>Q3</v>
      </c>
      <c r="P10" s="443" t="str">
        <f>'Revenue Assumptions'!Q10</f>
        <v>Q4</v>
      </c>
      <c r="Q10" s="443" t="str">
        <f>'Revenue Assumptions'!R10</f>
        <v>Q1</v>
      </c>
      <c r="R10" s="443" t="str">
        <f>'Revenue Assumptions'!S10</f>
        <v>Q2</v>
      </c>
      <c r="S10" s="443" t="str">
        <f>'Revenue Assumptions'!T10</f>
        <v>Q3</v>
      </c>
      <c r="T10" s="443" t="str">
        <f>'Revenue Assumptions'!U10</f>
        <v>Q4</v>
      </c>
      <c r="U10" s="443" t="str">
        <f>'Revenue Assumptions'!V10</f>
        <v>Q1</v>
      </c>
      <c r="V10" s="443" t="str">
        <f>'Revenue Assumptions'!W10</f>
        <v>Q2</v>
      </c>
      <c r="W10" s="443" t="str">
        <f>'Revenue Assumptions'!X10</f>
        <v>Q3</v>
      </c>
      <c r="X10" s="443" t="str">
        <f>'Revenue Assumptions'!Y10</f>
        <v>Q4</v>
      </c>
      <c r="Y10" s="443" t="str">
        <f>'Revenue Assumptions'!Z10</f>
        <v>Q1</v>
      </c>
      <c r="Z10" s="443" t="str">
        <f>'Revenue Assumptions'!AA10</f>
        <v>Q2</v>
      </c>
      <c r="AA10" s="443" t="str">
        <f>'Revenue Assumptions'!AB10</f>
        <v>Q3</v>
      </c>
      <c r="AB10" s="443" t="str">
        <f>'Revenue Assumptions'!AC10</f>
        <v>Q4</v>
      </c>
      <c r="AC10" s="443" t="str">
        <f>'Revenue Assumptions'!AD10</f>
        <v>Q1</v>
      </c>
      <c r="AD10" s="443" t="str">
        <f>'Revenue Assumptions'!AE10</f>
        <v>Q2</v>
      </c>
      <c r="AE10" s="443" t="str">
        <f>'Revenue Assumptions'!AF10</f>
        <v>Q3</v>
      </c>
      <c r="AF10" s="443" t="str">
        <f>'Revenue Assumptions'!AG10</f>
        <v>Q4</v>
      </c>
      <c r="AG10" s="443" t="str">
        <f>'Revenue Assumptions'!AH10</f>
        <v>Q1</v>
      </c>
      <c r="AH10" s="443" t="str">
        <f>'Revenue Assumptions'!AI10</f>
        <v>Q2</v>
      </c>
      <c r="AI10" s="443" t="str">
        <f>'Revenue Assumptions'!AJ10</f>
        <v>Q3</v>
      </c>
      <c r="AJ10" s="443" t="str">
        <f>'Revenue Assumptions'!AK10</f>
        <v>Q4</v>
      </c>
      <c r="AK10" s="443" t="str">
        <f>'Revenue Assumptions'!AL10</f>
        <v>Q1</v>
      </c>
      <c r="AL10" s="443" t="str">
        <f>'Revenue Assumptions'!AM10</f>
        <v>Q2</v>
      </c>
      <c r="AM10" s="443" t="str">
        <f>'Revenue Assumptions'!AN10</f>
        <v>Q3</v>
      </c>
      <c r="AN10" s="443" t="str">
        <f>'Revenue Assumptions'!AO10</f>
        <v>Q4</v>
      </c>
      <c r="AO10" s="443" t="str">
        <f>'Revenue Assumptions'!AP10</f>
        <v>Q1</v>
      </c>
      <c r="AP10" s="443" t="str">
        <f>'Revenue Assumptions'!AQ10</f>
        <v>Q2</v>
      </c>
      <c r="AQ10" s="443" t="str">
        <f>'Revenue Assumptions'!AR10</f>
        <v>Q3</v>
      </c>
      <c r="AR10" s="443" t="str">
        <f>'Revenue Assumptions'!AS10</f>
        <v>Q4</v>
      </c>
      <c r="AS10" s="443" t="str">
        <f>'Revenue Assumptions'!AT10</f>
        <v>Q1</v>
      </c>
      <c r="AT10" s="443" t="str">
        <f>'Revenue Assumptions'!AU10</f>
        <v>Q2</v>
      </c>
      <c r="AU10" s="443" t="str">
        <f>'Revenue Assumptions'!AV10</f>
        <v>Q3</v>
      </c>
      <c r="AV10" s="443" t="str">
        <f>'Revenue Assumptions'!AW10</f>
        <v>Q4</v>
      </c>
      <c r="AW10" s="443" t="str">
        <f>'Revenue Assumptions'!AX10</f>
        <v>Q1</v>
      </c>
      <c r="AX10" s="443" t="str">
        <f>'Revenue Assumptions'!AY10</f>
        <v>Q2</v>
      </c>
      <c r="AY10" s="443" t="str">
        <f>'Revenue Assumptions'!AZ10</f>
        <v>Q3</v>
      </c>
      <c r="AZ10" s="443" t="str">
        <f>'Revenue Assumptions'!BA10</f>
        <v>Q4</v>
      </c>
      <c r="BA10" s="443" t="str">
        <f>'Revenue Assumptions'!BB10</f>
        <v>Q1</v>
      </c>
      <c r="BB10" s="443" t="str">
        <f>'Revenue Assumptions'!BC10</f>
        <v>Q2</v>
      </c>
      <c r="BC10" s="443" t="str">
        <f>'Revenue Assumptions'!BD10</f>
        <v>Q3</v>
      </c>
      <c r="BD10" s="443" t="str">
        <f>'Revenue Assumptions'!BE10</f>
        <v>Q4</v>
      </c>
      <c r="BE10" s="443" t="str">
        <f>'Revenue Assumptions'!BF10</f>
        <v>Q1</v>
      </c>
      <c r="BF10" s="443" t="str">
        <f>'Revenue Assumptions'!BG10</f>
        <v>Q2</v>
      </c>
      <c r="BG10" s="443" t="str">
        <f>'Revenue Assumptions'!BH10</f>
        <v>Q3</v>
      </c>
      <c r="BH10" s="443" t="str">
        <f>'Revenue Assumptions'!BI10</f>
        <v>Q4</v>
      </c>
      <c r="BI10" s="443" t="str">
        <f>'Revenue Assumptions'!BJ10</f>
        <v>Q1</v>
      </c>
      <c r="BJ10" s="443" t="str">
        <f>'Revenue Assumptions'!BK10</f>
        <v>Q2</v>
      </c>
      <c r="BK10" s="443" t="str">
        <f>'Revenue Assumptions'!BL10</f>
        <v>Q3</v>
      </c>
      <c r="BL10" s="443" t="str">
        <f>'Revenue Assumptions'!BM10</f>
        <v>Q4</v>
      </c>
      <c r="BM10" s="443" t="str">
        <f>'Revenue Assumptions'!BN10</f>
        <v>Q1</v>
      </c>
      <c r="BN10" s="443" t="str">
        <f>'Revenue Assumptions'!BO10</f>
        <v>Q2</v>
      </c>
      <c r="BO10" s="443" t="str">
        <f>'Revenue Assumptions'!BP10</f>
        <v>Q3</v>
      </c>
      <c r="BP10" s="443" t="str">
        <f>'Revenue Assumptions'!BQ10</f>
        <v>Q4</v>
      </c>
      <c r="BQ10" s="443" t="str">
        <f>'Revenue Assumptions'!BR10</f>
        <v>Q1</v>
      </c>
      <c r="BR10" s="443" t="str">
        <f>'Revenue Assumptions'!BS10</f>
        <v>Q2</v>
      </c>
      <c r="BS10" s="443" t="str">
        <f>'Revenue Assumptions'!BT10</f>
        <v>Q3</v>
      </c>
      <c r="BT10" s="443" t="str">
        <f>'Revenue Assumptions'!BU10</f>
        <v>Q4</v>
      </c>
      <c r="BU10" s="443" t="str">
        <f>'Revenue Assumptions'!BV10</f>
        <v>Q1</v>
      </c>
      <c r="BV10" s="443" t="str">
        <f>'Revenue Assumptions'!BW10</f>
        <v>Q2</v>
      </c>
      <c r="BW10" s="443" t="str">
        <f>'Revenue Assumptions'!BX10</f>
        <v>Q3</v>
      </c>
      <c r="BX10" s="443" t="str">
        <f>'Revenue Assumptions'!BY10</f>
        <v>Q4</v>
      </c>
      <c r="BY10" s="443" t="str">
        <f>'Revenue Assumptions'!BZ10</f>
        <v>Q1</v>
      </c>
      <c r="BZ10" s="443" t="str">
        <f>'Revenue Assumptions'!CA10</f>
        <v>Q2</v>
      </c>
      <c r="CA10" s="443" t="str">
        <f>'Revenue Assumptions'!CB10</f>
        <v>Q3</v>
      </c>
      <c r="CB10" s="443" t="str">
        <f>'Revenue Assumptions'!CC10</f>
        <v>Q4</v>
      </c>
      <c r="CC10" s="443" t="str">
        <f>'Revenue Assumptions'!CD10</f>
        <v>Q1</v>
      </c>
      <c r="CD10" s="443" t="str">
        <f>'Revenue Assumptions'!CE10</f>
        <v>Q2</v>
      </c>
      <c r="CE10" s="443" t="str">
        <f>'Revenue Assumptions'!CF10</f>
        <v>Q3</v>
      </c>
      <c r="CF10" s="443" t="str">
        <f>'Revenue Assumptions'!CG10</f>
        <v>Q4</v>
      </c>
    </row>
    <row r="11" spans="4:84" s="19" customFormat="1" ht="15">
      <c r="D11" s="417"/>
      <c r="E11" s="417" t="s">
        <v>102</v>
      </c>
      <c r="F11" s="417"/>
      <c r="G11" s="417"/>
      <c r="H11" s="417"/>
      <c r="I11" s="417"/>
      <c r="J11" s="417"/>
      <c r="K11" s="417"/>
      <c r="L11" s="418"/>
      <c r="M11" s="443">
        <f>'Revenue Assumptions'!N11</f>
        <v>1</v>
      </c>
      <c r="N11" s="443">
        <f>'Revenue Assumptions'!O11</f>
        <v>1</v>
      </c>
      <c r="O11" s="443">
        <f>'Revenue Assumptions'!P11</f>
        <v>1</v>
      </c>
      <c r="P11" s="443">
        <f>'Revenue Assumptions'!Q11</f>
        <v>1</v>
      </c>
      <c r="Q11" s="443">
        <f>'Revenue Assumptions'!R11</f>
        <v>1</v>
      </c>
      <c r="R11" s="443">
        <f>'Revenue Assumptions'!S11</f>
        <v>1</v>
      </c>
      <c r="S11" s="443">
        <f>'Revenue Assumptions'!T11</f>
        <v>1</v>
      </c>
      <c r="T11" s="443">
        <f>'Revenue Assumptions'!U11</f>
        <v>1</v>
      </c>
      <c r="U11" s="443">
        <f>'Revenue Assumptions'!V11</f>
        <v>1</v>
      </c>
      <c r="V11" s="443">
        <f>'Revenue Assumptions'!W11</f>
        <v>1</v>
      </c>
      <c r="W11" s="443">
        <f>'Revenue Assumptions'!X11</f>
        <v>1</v>
      </c>
      <c r="X11" s="443">
        <f>'Revenue Assumptions'!Y11</f>
        <v>1</v>
      </c>
      <c r="Y11" s="443">
        <f>'Revenue Assumptions'!Z11</f>
        <v>2</v>
      </c>
      <c r="Z11" s="443">
        <f>'Revenue Assumptions'!AA11</f>
        <v>2</v>
      </c>
      <c r="AA11" s="443">
        <f>'Revenue Assumptions'!AB11</f>
        <v>2</v>
      </c>
      <c r="AB11" s="443">
        <f>'Revenue Assumptions'!AC11</f>
        <v>2</v>
      </c>
      <c r="AC11" s="443">
        <f>'Revenue Assumptions'!AD11</f>
        <v>2</v>
      </c>
      <c r="AD11" s="443">
        <f>'Revenue Assumptions'!AE11</f>
        <v>2</v>
      </c>
      <c r="AE11" s="443">
        <f>'Revenue Assumptions'!AF11</f>
        <v>2</v>
      </c>
      <c r="AF11" s="443">
        <f>'Revenue Assumptions'!AG11</f>
        <v>2</v>
      </c>
      <c r="AG11" s="443">
        <f>'Revenue Assumptions'!AH11</f>
        <v>2</v>
      </c>
      <c r="AH11" s="443">
        <f>'Revenue Assumptions'!AI11</f>
        <v>2</v>
      </c>
      <c r="AI11" s="443">
        <f>'Revenue Assumptions'!AJ11</f>
        <v>2</v>
      </c>
      <c r="AJ11" s="443">
        <f>'Revenue Assumptions'!AK11</f>
        <v>2</v>
      </c>
      <c r="AK11" s="443">
        <f>'Revenue Assumptions'!AL11</f>
        <v>3</v>
      </c>
      <c r="AL11" s="443">
        <f>'Revenue Assumptions'!AM11</f>
        <v>3</v>
      </c>
      <c r="AM11" s="443">
        <f>'Revenue Assumptions'!AN11</f>
        <v>3</v>
      </c>
      <c r="AN11" s="443">
        <f>'Revenue Assumptions'!AO11</f>
        <v>3</v>
      </c>
      <c r="AO11" s="443">
        <f>'Revenue Assumptions'!AP11</f>
        <v>3</v>
      </c>
      <c r="AP11" s="443">
        <f>'Revenue Assumptions'!AQ11</f>
        <v>3</v>
      </c>
      <c r="AQ11" s="443">
        <f>'Revenue Assumptions'!AR11</f>
        <v>3</v>
      </c>
      <c r="AR11" s="443">
        <f>'Revenue Assumptions'!AS11</f>
        <v>3</v>
      </c>
      <c r="AS11" s="443">
        <f>'Revenue Assumptions'!AT11</f>
        <v>3</v>
      </c>
      <c r="AT11" s="443">
        <f>'Revenue Assumptions'!AU11</f>
        <v>3</v>
      </c>
      <c r="AU11" s="443">
        <f>'Revenue Assumptions'!AV11</f>
        <v>3</v>
      </c>
      <c r="AV11" s="443">
        <f>'Revenue Assumptions'!AW11</f>
        <v>3</v>
      </c>
      <c r="AW11" s="443">
        <f>'Revenue Assumptions'!AX11</f>
        <v>4</v>
      </c>
      <c r="AX11" s="443">
        <f>'Revenue Assumptions'!AY11</f>
        <v>4</v>
      </c>
      <c r="AY11" s="443">
        <f>'Revenue Assumptions'!AZ11</f>
        <v>4</v>
      </c>
      <c r="AZ11" s="443">
        <f>'Revenue Assumptions'!BA11</f>
        <v>4</v>
      </c>
      <c r="BA11" s="443">
        <f>'Revenue Assumptions'!BB11</f>
        <v>4</v>
      </c>
      <c r="BB11" s="443">
        <f>'Revenue Assumptions'!BC11</f>
        <v>4</v>
      </c>
      <c r="BC11" s="443">
        <f>'Revenue Assumptions'!BD11</f>
        <v>4</v>
      </c>
      <c r="BD11" s="443">
        <f>'Revenue Assumptions'!BE11</f>
        <v>4</v>
      </c>
      <c r="BE11" s="443">
        <f>'Revenue Assumptions'!BF11</f>
        <v>4</v>
      </c>
      <c r="BF11" s="443">
        <f>'Revenue Assumptions'!BG11</f>
        <v>4</v>
      </c>
      <c r="BG11" s="443">
        <f>'Revenue Assumptions'!BH11</f>
        <v>4</v>
      </c>
      <c r="BH11" s="443">
        <f>'Revenue Assumptions'!BI11</f>
        <v>4</v>
      </c>
      <c r="BI11" s="443">
        <f>'Revenue Assumptions'!BJ11</f>
        <v>5</v>
      </c>
      <c r="BJ11" s="443">
        <f>'Revenue Assumptions'!BK11</f>
        <v>5</v>
      </c>
      <c r="BK11" s="443">
        <f>'Revenue Assumptions'!BL11</f>
        <v>5</v>
      </c>
      <c r="BL11" s="443">
        <f>'Revenue Assumptions'!BM11</f>
        <v>5</v>
      </c>
      <c r="BM11" s="443">
        <f>'Revenue Assumptions'!BN11</f>
        <v>5</v>
      </c>
      <c r="BN11" s="443">
        <f>'Revenue Assumptions'!BO11</f>
        <v>5</v>
      </c>
      <c r="BO11" s="443">
        <f>'Revenue Assumptions'!BP11</f>
        <v>5</v>
      </c>
      <c r="BP11" s="443">
        <f>'Revenue Assumptions'!BQ11</f>
        <v>5</v>
      </c>
      <c r="BQ11" s="443">
        <f>'Revenue Assumptions'!BR11</f>
        <v>5</v>
      </c>
      <c r="BR11" s="443">
        <f>'Revenue Assumptions'!BS11</f>
        <v>5</v>
      </c>
      <c r="BS11" s="443">
        <f>'Revenue Assumptions'!BT11</f>
        <v>5</v>
      </c>
      <c r="BT11" s="443">
        <f>'Revenue Assumptions'!BU11</f>
        <v>5</v>
      </c>
      <c r="BU11" s="443">
        <f>'Revenue Assumptions'!BV11</f>
        <v>6</v>
      </c>
      <c r="BV11" s="443">
        <f>'Revenue Assumptions'!BW11</f>
        <v>6</v>
      </c>
      <c r="BW11" s="443">
        <f>'Revenue Assumptions'!BX11</f>
        <v>6</v>
      </c>
      <c r="BX11" s="443">
        <f>'Revenue Assumptions'!BY11</f>
        <v>6</v>
      </c>
      <c r="BY11" s="443">
        <f>'Revenue Assumptions'!BZ11</f>
        <v>6</v>
      </c>
      <c r="BZ11" s="443">
        <f>'Revenue Assumptions'!CA11</f>
        <v>6</v>
      </c>
      <c r="CA11" s="443">
        <f>'Revenue Assumptions'!CB11</f>
        <v>6</v>
      </c>
      <c r="CB11" s="443">
        <f>'Revenue Assumptions'!CC11</f>
        <v>6</v>
      </c>
      <c r="CC11" s="443">
        <f>'Revenue Assumptions'!CD11</f>
        <v>6</v>
      </c>
      <c r="CD11" s="443">
        <f>'Revenue Assumptions'!CE11</f>
        <v>6</v>
      </c>
      <c r="CE11" s="443">
        <f>'Revenue Assumptions'!CF11</f>
        <v>6</v>
      </c>
      <c r="CF11" s="443">
        <f>'Revenue Assumptions'!CG11</f>
        <v>6</v>
      </c>
    </row>
    <row r="12" spans="4:84" s="19" customFormat="1" ht="15">
      <c r="D12" s="417"/>
      <c r="E12" s="417" t="s">
        <v>61</v>
      </c>
      <c r="F12" s="417"/>
      <c r="G12" s="417"/>
      <c r="H12" s="417"/>
      <c r="I12" s="417"/>
      <c r="J12" s="417"/>
      <c r="K12" s="417"/>
      <c r="L12" s="418"/>
      <c r="M12" s="439">
        <f>M7</f>
        <v>45658</v>
      </c>
      <c r="N12" s="439">
        <f t="shared" ref="N12:AJ12" si="0">N7</f>
        <v>45689</v>
      </c>
      <c r="O12" s="439">
        <f t="shared" si="0"/>
        <v>45717</v>
      </c>
      <c r="P12" s="439">
        <f t="shared" si="0"/>
        <v>45748</v>
      </c>
      <c r="Q12" s="439">
        <f t="shared" si="0"/>
        <v>45778</v>
      </c>
      <c r="R12" s="439">
        <f t="shared" si="0"/>
        <v>45809</v>
      </c>
      <c r="S12" s="439">
        <f t="shared" si="0"/>
        <v>45839</v>
      </c>
      <c r="T12" s="439">
        <f t="shared" si="0"/>
        <v>45870</v>
      </c>
      <c r="U12" s="439">
        <f t="shared" si="0"/>
        <v>45901</v>
      </c>
      <c r="V12" s="439">
        <f t="shared" si="0"/>
        <v>45931</v>
      </c>
      <c r="W12" s="439">
        <f t="shared" si="0"/>
        <v>45962</v>
      </c>
      <c r="X12" s="439">
        <f t="shared" si="0"/>
        <v>45992</v>
      </c>
      <c r="Y12" s="439">
        <f t="shared" si="0"/>
        <v>46023</v>
      </c>
      <c r="Z12" s="439">
        <f t="shared" si="0"/>
        <v>46054</v>
      </c>
      <c r="AA12" s="439">
        <f t="shared" si="0"/>
        <v>46082</v>
      </c>
      <c r="AB12" s="439">
        <f t="shared" si="0"/>
        <v>46113</v>
      </c>
      <c r="AC12" s="439">
        <f t="shared" si="0"/>
        <v>46143</v>
      </c>
      <c r="AD12" s="439">
        <f t="shared" si="0"/>
        <v>46174</v>
      </c>
      <c r="AE12" s="439">
        <f t="shared" si="0"/>
        <v>46204</v>
      </c>
      <c r="AF12" s="439">
        <f t="shared" si="0"/>
        <v>46235</v>
      </c>
      <c r="AG12" s="439">
        <f t="shared" si="0"/>
        <v>46266</v>
      </c>
      <c r="AH12" s="439">
        <f t="shared" si="0"/>
        <v>46296</v>
      </c>
      <c r="AI12" s="439">
        <f t="shared" si="0"/>
        <v>46327</v>
      </c>
      <c r="AJ12" s="439">
        <f t="shared" si="0"/>
        <v>46357</v>
      </c>
      <c r="AK12" s="439">
        <f t="shared" ref="AK12:BT12" si="1">AK7</f>
        <v>46388</v>
      </c>
      <c r="AL12" s="439">
        <f t="shared" si="1"/>
        <v>46419</v>
      </c>
      <c r="AM12" s="439">
        <f t="shared" si="1"/>
        <v>46447</v>
      </c>
      <c r="AN12" s="439">
        <f t="shared" si="1"/>
        <v>46478</v>
      </c>
      <c r="AO12" s="439">
        <f t="shared" si="1"/>
        <v>46508</v>
      </c>
      <c r="AP12" s="439">
        <f t="shared" si="1"/>
        <v>46539</v>
      </c>
      <c r="AQ12" s="439">
        <f t="shared" si="1"/>
        <v>46569</v>
      </c>
      <c r="AR12" s="439">
        <f t="shared" si="1"/>
        <v>46600</v>
      </c>
      <c r="AS12" s="439">
        <f t="shared" si="1"/>
        <v>46631</v>
      </c>
      <c r="AT12" s="439">
        <f t="shared" si="1"/>
        <v>46661</v>
      </c>
      <c r="AU12" s="439">
        <f t="shared" si="1"/>
        <v>46692</v>
      </c>
      <c r="AV12" s="439">
        <f t="shared" si="1"/>
        <v>46722</v>
      </c>
      <c r="AW12" s="439">
        <f t="shared" si="1"/>
        <v>46753</v>
      </c>
      <c r="AX12" s="439">
        <f t="shared" si="1"/>
        <v>46784</v>
      </c>
      <c r="AY12" s="439">
        <f t="shared" si="1"/>
        <v>46813</v>
      </c>
      <c r="AZ12" s="439">
        <f t="shared" si="1"/>
        <v>46844</v>
      </c>
      <c r="BA12" s="439">
        <f t="shared" si="1"/>
        <v>46874</v>
      </c>
      <c r="BB12" s="439">
        <f t="shared" si="1"/>
        <v>46905</v>
      </c>
      <c r="BC12" s="439">
        <f t="shared" si="1"/>
        <v>46935</v>
      </c>
      <c r="BD12" s="439">
        <f t="shared" si="1"/>
        <v>46966</v>
      </c>
      <c r="BE12" s="439">
        <f t="shared" si="1"/>
        <v>46997</v>
      </c>
      <c r="BF12" s="439">
        <f t="shared" si="1"/>
        <v>47027</v>
      </c>
      <c r="BG12" s="439">
        <f t="shared" si="1"/>
        <v>47058</v>
      </c>
      <c r="BH12" s="439">
        <f t="shared" si="1"/>
        <v>47088</v>
      </c>
      <c r="BI12" s="439">
        <f t="shared" si="1"/>
        <v>47119</v>
      </c>
      <c r="BJ12" s="439">
        <f t="shared" si="1"/>
        <v>47150</v>
      </c>
      <c r="BK12" s="439">
        <f t="shared" si="1"/>
        <v>47178</v>
      </c>
      <c r="BL12" s="439">
        <f t="shared" si="1"/>
        <v>47209</v>
      </c>
      <c r="BM12" s="439">
        <f t="shared" si="1"/>
        <v>47239</v>
      </c>
      <c r="BN12" s="439">
        <f t="shared" si="1"/>
        <v>47270</v>
      </c>
      <c r="BO12" s="439">
        <f t="shared" si="1"/>
        <v>47300</v>
      </c>
      <c r="BP12" s="439">
        <f t="shared" si="1"/>
        <v>47331</v>
      </c>
      <c r="BQ12" s="439">
        <f t="shared" si="1"/>
        <v>47362</v>
      </c>
      <c r="BR12" s="439">
        <f t="shared" si="1"/>
        <v>47392</v>
      </c>
      <c r="BS12" s="439">
        <f t="shared" si="1"/>
        <v>47423</v>
      </c>
      <c r="BT12" s="439">
        <f t="shared" si="1"/>
        <v>47453</v>
      </c>
      <c r="BU12" s="439">
        <f t="shared" ref="BU12:CF12" si="2">BU7</f>
        <v>47484</v>
      </c>
      <c r="BV12" s="439">
        <f t="shared" si="2"/>
        <v>47515</v>
      </c>
      <c r="BW12" s="439">
        <f t="shared" si="2"/>
        <v>47543</v>
      </c>
      <c r="BX12" s="439">
        <f t="shared" si="2"/>
        <v>47574</v>
      </c>
      <c r="BY12" s="439">
        <f t="shared" si="2"/>
        <v>47604</v>
      </c>
      <c r="BZ12" s="439">
        <f t="shared" si="2"/>
        <v>47635</v>
      </c>
      <c r="CA12" s="439">
        <f t="shared" si="2"/>
        <v>47665</v>
      </c>
      <c r="CB12" s="439">
        <f t="shared" si="2"/>
        <v>47696</v>
      </c>
      <c r="CC12" s="439">
        <f t="shared" si="2"/>
        <v>47727</v>
      </c>
      <c r="CD12" s="439">
        <f t="shared" si="2"/>
        <v>47757</v>
      </c>
      <c r="CE12" s="439">
        <f t="shared" si="2"/>
        <v>47788</v>
      </c>
      <c r="CF12" s="439">
        <f t="shared" si="2"/>
        <v>47818</v>
      </c>
    </row>
    <row r="13" spans="4:84"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</row>
    <row r="14" spans="4:84" ht="16.2" thickBot="1">
      <c r="D14" s="25" t="s">
        <v>103</v>
      </c>
      <c r="E14" s="25"/>
      <c r="F14" s="140"/>
      <c r="G14" s="25"/>
      <c r="H14" s="41"/>
      <c r="I14" s="41"/>
      <c r="J14" s="41"/>
      <c r="K14" s="293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</row>
    <row r="15" spans="4:84" ht="16.2" thickTop="1">
      <c r="D15" s="19"/>
      <c r="E15" s="19" t="s">
        <v>408</v>
      </c>
      <c r="F15" s="139"/>
      <c r="G15" s="19"/>
      <c r="H15" s="19"/>
      <c r="I15" s="19"/>
      <c r="J15" s="19"/>
      <c r="K15" s="19"/>
      <c r="M15" s="161" t="b">
        <f>'Revenue Assumptions'!N15</f>
        <v>0</v>
      </c>
      <c r="N15" s="161" t="b">
        <f>'Revenue Assumptions'!O15</f>
        <v>0</v>
      </c>
      <c r="O15" s="161" t="b">
        <f>'Revenue Assumptions'!P15</f>
        <v>0</v>
      </c>
      <c r="P15" s="161" t="b">
        <f>'Revenue Assumptions'!Q15</f>
        <v>0</v>
      </c>
      <c r="Q15" s="161" t="b">
        <f>'Revenue Assumptions'!R15</f>
        <v>0</v>
      </c>
      <c r="R15" s="161" t="b">
        <f>'Revenue Assumptions'!S15</f>
        <v>1</v>
      </c>
      <c r="S15" s="161" t="b">
        <f>'Revenue Assumptions'!T15</f>
        <v>1</v>
      </c>
      <c r="T15" s="161" t="b">
        <f>'Revenue Assumptions'!U15</f>
        <v>1</v>
      </c>
      <c r="U15" s="161" t="b">
        <f>'Revenue Assumptions'!V15</f>
        <v>1</v>
      </c>
      <c r="V15" s="161" t="b">
        <f>'Revenue Assumptions'!W15</f>
        <v>1</v>
      </c>
      <c r="W15" s="161" t="b">
        <f>'Revenue Assumptions'!X15</f>
        <v>1</v>
      </c>
      <c r="X15" s="161" t="b">
        <f>'Revenue Assumptions'!Y15</f>
        <v>1</v>
      </c>
      <c r="Y15" s="161" t="b">
        <f>'Revenue Assumptions'!Z15</f>
        <v>1</v>
      </c>
      <c r="Z15" s="161" t="b">
        <f>'Revenue Assumptions'!AA15</f>
        <v>1</v>
      </c>
      <c r="AA15" s="161" t="b">
        <f>'Revenue Assumptions'!AB15</f>
        <v>1</v>
      </c>
      <c r="AB15" s="161" t="b">
        <f>'Revenue Assumptions'!AC15</f>
        <v>1</v>
      </c>
      <c r="AC15" s="161" t="b">
        <f>'Revenue Assumptions'!AD15</f>
        <v>1</v>
      </c>
      <c r="AD15" s="161" t="b">
        <f>'Revenue Assumptions'!AE15</f>
        <v>1</v>
      </c>
      <c r="AE15" s="161" t="b">
        <f>'Revenue Assumptions'!AF15</f>
        <v>1</v>
      </c>
      <c r="AF15" s="161" t="b">
        <f>'Revenue Assumptions'!AG15</f>
        <v>1</v>
      </c>
      <c r="AG15" s="161" t="b">
        <f>'Revenue Assumptions'!AH15</f>
        <v>1</v>
      </c>
      <c r="AH15" s="161" t="b">
        <f>'Revenue Assumptions'!AI15</f>
        <v>1</v>
      </c>
      <c r="AI15" s="161" t="b">
        <f>'Revenue Assumptions'!AJ15</f>
        <v>1</v>
      </c>
      <c r="AJ15" s="161" t="b">
        <f>'Revenue Assumptions'!AK15</f>
        <v>1</v>
      </c>
      <c r="AK15" s="161" t="b">
        <f>'Revenue Assumptions'!AL15</f>
        <v>1</v>
      </c>
      <c r="AL15" s="161" t="b">
        <f>'Revenue Assumptions'!AM15</f>
        <v>1</v>
      </c>
      <c r="AM15" s="161" t="b">
        <f>'Revenue Assumptions'!AN15</f>
        <v>1</v>
      </c>
      <c r="AN15" s="161" t="b">
        <f>'Revenue Assumptions'!AO15</f>
        <v>1</v>
      </c>
      <c r="AO15" s="161" t="b">
        <f>'Revenue Assumptions'!AP15</f>
        <v>1</v>
      </c>
      <c r="AP15" s="161" t="b">
        <f>'Revenue Assumptions'!AQ15</f>
        <v>1</v>
      </c>
      <c r="AQ15" s="161" t="b">
        <f>'Revenue Assumptions'!AR15</f>
        <v>1</v>
      </c>
      <c r="AR15" s="161" t="b">
        <f>'Revenue Assumptions'!AS15</f>
        <v>1</v>
      </c>
      <c r="AS15" s="161" t="b">
        <f>'Revenue Assumptions'!AT15</f>
        <v>1</v>
      </c>
      <c r="AT15" s="161" t="b">
        <f>'Revenue Assumptions'!AU15</f>
        <v>1</v>
      </c>
      <c r="AU15" s="161" t="b">
        <f>'Revenue Assumptions'!AV15</f>
        <v>1</v>
      </c>
      <c r="AV15" s="161" t="b">
        <f>'Revenue Assumptions'!AW15</f>
        <v>1</v>
      </c>
      <c r="AW15" s="161" t="b">
        <f>'Revenue Assumptions'!AX15</f>
        <v>1</v>
      </c>
      <c r="AX15" s="161" t="b">
        <f>'Revenue Assumptions'!AY15</f>
        <v>1</v>
      </c>
      <c r="AY15" s="161" t="b">
        <f>'Revenue Assumptions'!AZ15</f>
        <v>1</v>
      </c>
      <c r="AZ15" s="161" t="b">
        <f>'Revenue Assumptions'!BA15</f>
        <v>1</v>
      </c>
      <c r="BA15" s="161" t="b">
        <f>'Revenue Assumptions'!BB15</f>
        <v>1</v>
      </c>
      <c r="BB15" s="161" t="b">
        <f>'Revenue Assumptions'!BC15</f>
        <v>1</v>
      </c>
      <c r="BC15" s="161" t="b">
        <f>'Revenue Assumptions'!BD15</f>
        <v>1</v>
      </c>
      <c r="BD15" s="161" t="b">
        <f>'Revenue Assumptions'!BE15</f>
        <v>1</v>
      </c>
      <c r="BE15" s="161" t="b">
        <f>'Revenue Assumptions'!BF15</f>
        <v>1</v>
      </c>
      <c r="BF15" s="161" t="b">
        <f>'Revenue Assumptions'!BG15</f>
        <v>1</v>
      </c>
      <c r="BG15" s="161" t="b">
        <f>'Revenue Assumptions'!BH15</f>
        <v>1</v>
      </c>
      <c r="BH15" s="161" t="b">
        <f>'Revenue Assumptions'!BI15</f>
        <v>1</v>
      </c>
      <c r="BI15" s="161" t="b">
        <f>'Revenue Assumptions'!BJ15</f>
        <v>1</v>
      </c>
      <c r="BJ15" s="161" t="b">
        <f>'Revenue Assumptions'!BK15</f>
        <v>1</v>
      </c>
      <c r="BK15" s="161" t="b">
        <f>'Revenue Assumptions'!BL15</f>
        <v>1</v>
      </c>
      <c r="BL15" s="161" t="b">
        <f>'Revenue Assumptions'!BM15</f>
        <v>1</v>
      </c>
      <c r="BM15" s="161" t="b">
        <f>'Revenue Assumptions'!BN15</f>
        <v>1</v>
      </c>
      <c r="BN15" s="161" t="b">
        <f>'Revenue Assumptions'!BO15</f>
        <v>1</v>
      </c>
      <c r="BO15" s="161" t="b">
        <f>'Revenue Assumptions'!BP15</f>
        <v>1</v>
      </c>
      <c r="BP15" s="161" t="b">
        <f>'Revenue Assumptions'!BQ15</f>
        <v>1</v>
      </c>
      <c r="BQ15" s="161" t="b">
        <f>'Revenue Assumptions'!BR15</f>
        <v>1</v>
      </c>
      <c r="BR15" s="161" t="b">
        <f>'Revenue Assumptions'!BS15</f>
        <v>1</v>
      </c>
      <c r="BS15" s="161" t="b">
        <f>'Revenue Assumptions'!BT15</f>
        <v>1</v>
      </c>
      <c r="BT15" s="161" t="b">
        <f>'Revenue Assumptions'!BU15</f>
        <v>1</v>
      </c>
      <c r="BU15" s="161" t="b">
        <f>'Revenue Assumptions'!BV15</f>
        <v>1</v>
      </c>
      <c r="BV15" s="161" t="b">
        <f>'Revenue Assumptions'!BW15</f>
        <v>1</v>
      </c>
      <c r="BW15" s="161" t="b">
        <f>'Revenue Assumptions'!BX15</f>
        <v>1</v>
      </c>
      <c r="BX15" s="161" t="b">
        <f>'Revenue Assumptions'!BY15</f>
        <v>1</v>
      </c>
      <c r="BY15" s="161" t="b">
        <f>'Revenue Assumptions'!BZ15</f>
        <v>1</v>
      </c>
      <c r="BZ15" s="161" t="b">
        <f>'Revenue Assumptions'!CA15</f>
        <v>1</v>
      </c>
      <c r="CA15" s="161" t="b">
        <f>'Revenue Assumptions'!CB15</f>
        <v>1</v>
      </c>
      <c r="CB15" s="161" t="b">
        <f>'Revenue Assumptions'!CC15</f>
        <v>1</v>
      </c>
      <c r="CC15" s="161" t="b">
        <f>'Revenue Assumptions'!CD15</f>
        <v>1</v>
      </c>
      <c r="CD15" s="161" t="b">
        <f>'Revenue Assumptions'!CE15</f>
        <v>1</v>
      </c>
      <c r="CE15" s="161" t="b">
        <f>'Revenue Assumptions'!CF15</f>
        <v>1</v>
      </c>
      <c r="CF15" s="161" t="b">
        <f>'Revenue Assumptions'!CG15</f>
        <v>1</v>
      </c>
    </row>
    <row r="16" spans="4:84" ht="15.6">
      <c r="D16" s="19"/>
      <c r="E16" s="19" t="s">
        <v>406</v>
      </c>
      <c r="F16" s="139"/>
      <c r="G16" s="19"/>
      <c r="H16" s="19"/>
      <c r="I16" s="19"/>
      <c r="J16" s="19"/>
      <c r="K16" s="19"/>
      <c r="M16" s="161" t="b">
        <f>'Revenue Assumptions'!N16</f>
        <v>0</v>
      </c>
      <c r="N16" s="161" t="b">
        <f>'Revenue Assumptions'!O16</f>
        <v>0</v>
      </c>
      <c r="O16" s="161" t="b">
        <f>'Revenue Assumptions'!P16</f>
        <v>0</v>
      </c>
      <c r="P16" s="161" t="b">
        <f>'Revenue Assumptions'!Q16</f>
        <v>0</v>
      </c>
      <c r="Q16" s="161" t="b">
        <f>'Revenue Assumptions'!R16</f>
        <v>0</v>
      </c>
      <c r="R16" s="161" t="b">
        <f>'Revenue Assumptions'!S16</f>
        <v>1</v>
      </c>
      <c r="S16" s="161" t="b">
        <f>'Revenue Assumptions'!T16</f>
        <v>1</v>
      </c>
      <c r="T16" s="161" t="b">
        <f>'Revenue Assumptions'!U16</f>
        <v>1</v>
      </c>
      <c r="U16" s="161" t="b">
        <f>'Revenue Assumptions'!V16</f>
        <v>1</v>
      </c>
      <c r="V16" s="161" t="b">
        <f>'Revenue Assumptions'!W16</f>
        <v>1</v>
      </c>
      <c r="W16" s="161" t="b">
        <f>'Revenue Assumptions'!X16</f>
        <v>1</v>
      </c>
      <c r="X16" s="161" t="b">
        <f>'Revenue Assumptions'!Y16</f>
        <v>1</v>
      </c>
      <c r="Y16" s="161" t="b">
        <f>'Revenue Assumptions'!Z16</f>
        <v>1</v>
      </c>
      <c r="Z16" s="161" t="b">
        <f>'Revenue Assumptions'!AA16</f>
        <v>1</v>
      </c>
      <c r="AA16" s="161" t="b">
        <f>'Revenue Assumptions'!AB16</f>
        <v>1</v>
      </c>
      <c r="AB16" s="161" t="b">
        <f>'Revenue Assumptions'!AC16</f>
        <v>1</v>
      </c>
      <c r="AC16" s="161" t="b">
        <f>'Revenue Assumptions'!AD16</f>
        <v>1</v>
      </c>
      <c r="AD16" s="161" t="b">
        <f>'Revenue Assumptions'!AE16</f>
        <v>0</v>
      </c>
      <c r="AE16" s="161" t="b">
        <f>'Revenue Assumptions'!AF16</f>
        <v>0</v>
      </c>
      <c r="AF16" s="161" t="b">
        <f>'Revenue Assumptions'!AG16</f>
        <v>0</v>
      </c>
      <c r="AG16" s="161" t="b">
        <f>'Revenue Assumptions'!AH16</f>
        <v>0</v>
      </c>
      <c r="AH16" s="161" t="b">
        <f>'Revenue Assumptions'!AI16</f>
        <v>0</v>
      </c>
      <c r="AI16" s="161" t="b">
        <f>'Revenue Assumptions'!AJ16</f>
        <v>0</v>
      </c>
      <c r="AJ16" s="161" t="b">
        <f>'Revenue Assumptions'!AK16</f>
        <v>0</v>
      </c>
      <c r="AK16" s="161" t="b">
        <f>'Revenue Assumptions'!AL16</f>
        <v>0</v>
      </c>
      <c r="AL16" s="161" t="b">
        <f>'Revenue Assumptions'!AM16</f>
        <v>0</v>
      </c>
      <c r="AM16" s="161" t="b">
        <f>'Revenue Assumptions'!AN16</f>
        <v>0</v>
      </c>
      <c r="AN16" s="161" t="b">
        <f>'Revenue Assumptions'!AO16</f>
        <v>0</v>
      </c>
      <c r="AO16" s="161" t="b">
        <f>'Revenue Assumptions'!AP16</f>
        <v>0</v>
      </c>
      <c r="AP16" s="161" t="b">
        <f>'Revenue Assumptions'!AQ16</f>
        <v>0</v>
      </c>
      <c r="AQ16" s="161" t="b">
        <f>'Revenue Assumptions'!AR16</f>
        <v>0</v>
      </c>
      <c r="AR16" s="161" t="b">
        <f>'Revenue Assumptions'!AS16</f>
        <v>0</v>
      </c>
      <c r="AS16" s="161" t="b">
        <f>'Revenue Assumptions'!AT16</f>
        <v>0</v>
      </c>
      <c r="AT16" s="161" t="b">
        <f>'Revenue Assumptions'!AU16</f>
        <v>0</v>
      </c>
      <c r="AU16" s="161" t="b">
        <f>'Revenue Assumptions'!AV16</f>
        <v>0</v>
      </c>
      <c r="AV16" s="161" t="b">
        <f>'Revenue Assumptions'!AW16</f>
        <v>0</v>
      </c>
      <c r="AW16" s="161" t="b">
        <f>'Revenue Assumptions'!AX16</f>
        <v>0</v>
      </c>
      <c r="AX16" s="161" t="b">
        <f>'Revenue Assumptions'!AY16</f>
        <v>0</v>
      </c>
      <c r="AY16" s="161" t="b">
        <f>'Revenue Assumptions'!AZ16</f>
        <v>0</v>
      </c>
      <c r="AZ16" s="161" t="b">
        <f>'Revenue Assumptions'!BA16</f>
        <v>0</v>
      </c>
      <c r="BA16" s="161" t="b">
        <f>'Revenue Assumptions'!BB16</f>
        <v>0</v>
      </c>
      <c r="BB16" s="161" t="b">
        <f>'Revenue Assumptions'!BC16</f>
        <v>0</v>
      </c>
      <c r="BC16" s="161" t="b">
        <f>'Revenue Assumptions'!BD16</f>
        <v>0</v>
      </c>
      <c r="BD16" s="161" t="b">
        <f>'Revenue Assumptions'!BE16</f>
        <v>0</v>
      </c>
      <c r="BE16" s="161" t="b">
        <f>'Revenue Assumptions'!BF16</f>
        <v>0</v>
      </c>
      <c r="BF16" s="161" t="b">
        <f>'Revenue Assumptions'!BG16</f>
        <v>0</v>
      </c>
      <c r="BG16" s="161" t="b">
        <f>'Revenue Assumptions'!BH16</f>
        <v>0</v>
      </c>
      <c r="BH16" s="161" t="b">
        <f>'Revenue Assumptions'!BI16</f>
        <v>0</v>
      </c>
      <c r="BI16" s="161" t="b">
        <f>'Revenue Assumptions'!BJ16</f>
        <v>0</v>
      </c>
      <c r="BJ16" s="161" t="b">
        <f>'Revenue Assumptions'!BK16</f>
        <v>0</v>
      </c>
      <c r="BK16" s="161" t="b">
        <f>'Revenue Assumptions'!BL16</f>
        <v>0</v>
      </c>
      <c r="BL16" s="161" t="b">
        <f>'Revenue Assumptions'!BM16</f>
        <v>0</v>
      </c>
      <c r="BM16" s="161" t="b">
        <f>'Revenue Assumptions'!BN16</f>
        <v>0</v>
      </c>
      <c r="BN16" s="161" t="b">
        <f>'Revenue Assumptions'!BO16</f>
        <v>0</v>
      </c>
      <c r="BO16" s="161" t="b">
        <f>'Revenue Assumptions'!BP16</f>
        <v>0</v>
      </c>
      <c r="BP16" s="161" t="b">
        <f>'Revenue Assumptions'!BQ16</f>
        <v>0</v>
      </c>
      <c r="BQ16" s="161" t="b">
        <f>'Revenue Assumptions'!BR16</f>
        <v>0</v>
      </c>
      <c r="BR16" s="161" t="b">
        <f>'Revenue Assumptions'!BS16</f>
        <v>0</v>
      </c>
      <c r="BS16" s="161" t="b">
        <f>'Revenue Assumptions'!BT16</f>
        <v>0</v>
      </c>
      <c r="BT16" s="161" t="b">
        <f>'Revenue Assumptions'!BU16</f>
        <v>0</v>
      </c>
      <c r="BU16" s="161" t="b">
        <f>'Revenue Assumptions'!BV16</f>
        <v>0</v>
      </c>
      <c r="BV16" s="161" t="b">
        <f>'Revenue Assumptions'!BW16</f>
        <v>0</v>
      </c>
      <c r="BW16" s="161" t="b">
        <f>'Revenue Assumptions'!BX16</f>
        <v>0</v>
      </c>
      <c r="BX16" s="161" t="b">
        <f>'Revenue Assumptions'!BY16</f>
        <v>0</v>
      </c>
      <c r="BY16" s="161" t="b">
        <f>'Revenue Assumptions'!BZ16</f>
        <v>0</v>
      </c>
      <c r="BZ16" s="161" t="b">
        <f>'Revenue Assumptions'!CA16</f>
        <v>0</v>
      </c>
      <c r="CA16" s="161" t="b">
        <f>'Revenue Assumptions'!CB16</f>
        <v>0</v>
      </c>
      <c r="CB16" s="161" t="b">
        <f>'Revenue Assumptions'!CC16</f>
        <v>0</v>
      </c>
      <c r="CC16" s="161" t="b">
        <f>'Revenue Assumptions'!CD16</f>
        <v>0</v>
      </c>
      <c r="CD16" s="161" t="b">
        <f>'Revenue Assumptions'!CE16</f>
        <v>0</v>
      </c>
      <c r="CE16" s="161" t="b">
        <f>'Revenue Assumptions'!CF16</f>
        <v>0</v>
      </c>
      <c r="CF16" s="161" t="b">
        <f>'Revenue Assumptions'!CG16</f>
        <v>0</v>
      </c>
    </row>
    <row r="17" spans="4:84" ht="15.6">
      <c r="D17" s="19"/>
      <c r="E17" s="19" t="s">
        <v>407</v>
      </c>
      <c r="F17" s="139"/>
      <c r="G17" s="19"/>
      <c r="H17" s="19"/>
      <c r="I17" s="19"/>
      <c r="J17" s="19"/>
      <c r="K17" s="19"/>
      <c r="M17" s="161" t="b">
        <f>'Revenue Assumptions'!N17</f>
        <v>0</v>
      </c>
      <c r="N17" s="161" t="b">
        <f>'Revenue Assumptions'!O17</f>
        <v>0</v>
      </c>
      <c r="O17" s="161" t="b">
        <f>'Revenue Assumptions'!P17</f>
        <v>0</v>
      </c>
      <c r="P17" s="161" t="b">
        <f>'Revenue Assumptions'!Q17</f>
        <v>0</v>
      </c>
      <c r="Q17" s="161" t="b">
        <f>'Revenue Assumptions'!R17</f>
        <v>0</v>
      </c>
      <c r="R17" s="161" t="b">
        <f>'Revenue Assumptions'!S17</f>
        <v>0</v>
      </c>
      <c r="S17" s="161" t="b">
        <f>'Revenue Assumptions'!T17</f>
        <v>0</v>
      </c>
      <c r="T17" s="161" t="b">
        <f>'Revenue Assumptions'!U17</f>
        <v>0</v>
      </c>
      <c r="U17" s="161" t="b">
        <f>'Revenue Assumptions'!V17</f>
        <v>0</v>
      </c>
      <c r="V17" s="161" t="b">
        <f>'Revenue Assumptions'!W17</f>
        <v>0</v>
      </c>
      <c r="W17" s="161" t="b">
        <f>'Revenue Assumptions'!X17</f>
        <v>0</v>
      </c>
      <c r="X17" s="161" t="b">
        <f>'Revenue Assumptions'!Y17</f>
        <v>0</v>
      </c>
      <c r="Y17" s="161" t="b">
        <f>'Revenue Assumptions'!Z17</f>
        <v>0</v>
      </c>
      <c r="Z17" s="161" t="b">
        <f>'Revenue Assumptions'!AA17</f>
        <v>0</v>
      </c>
      <c r="AA17" s="161" t="b">
        <f>'Revenue Assumptions'!AB17</f>
        <v>0</v>
      </c>
      <c r="AB17" s="161" t="b">
        <f>'Revenue Assumptions'!AC17</f>
        <v>0</v>
      </c>
      <c r="AC17" s="161" t="b">
        <f>'Revenue Assumptions'!AD17</f>
        <v>0</v>
      </c>
      <c r="AD17" s="161" t="b">
        <f>'Revenue Assumptions'!AE17</f>
        <v>1</v>
      </c>
      <c r="AE17" s="161" t="b">
        <f>'Revenue Assumptions'!AF17</f>
        <v>1</v>
      </c>
      <c r="AF17" s="161" t="b">
        <f>'Revenue Assumptions'!AG17</f>
        <v>1</v>
      </c>
      <c r="AG17" s="161" t="b">
        <f>'Revenue Assumptions'!AH17</f>
        <v>1</v>
      </c>
      <c r="AH17" s="161" t="b">
        <f>'Revenue Assumptions'!AI17</f>
        <v>1</v>
      </c>
      <c r="AI17" s="161" t="b">
        <f>'Revenue Assumptions'!AJ17</f>
        <v>1</v>
      </c>
      <c r="AJ17" s="161" t="b">
        <f>'Revenue Assumptions'!AK17</f>
        <v>1</v>
      </c>
      <c r="AK17" s="161" t="b">
        <f>'Revenue Assumptions'!AL17</f>
        <v>1</v>
      </c>
      <c r="AL17" s="161" t="b">
        <f>'Revenue Assumptions'!AM17</f>
        <v>1</v>
      </c>
      <c r="AM17" s="161" t="b">
        <f>'Revenue Assumptions'!AN17</f>
        <v>1</v>
      </c>
      <c r="AN17" s="161" t="b">
        <f>'Revenue Assumptions'!AO17</f>
        <v>1</v>
      </c>
      <c r="AO17" s="161" t="b">
        <f>'Revenue Assumptions'!AP17</f>
        <v>1</v>
      </c>
      <c r="AP17" s="161" t="b">
        <f>'Revenue Assumptions'!AQ17</f>
        <v>1</v>
      </c>
      <c r="AQ17" s="161" t="b">
        <f>'Revenue Assumptions'!AR17</f>
        <v>1</v>
      </c>
      <c r="AR17" s="161" t="b">
        <f>'Revenue Assumptions'!AS17</f>
        <v>1</v>
      </c>
      <c r="AS17" s="161" t="b">
        <f>'Revenue Assumptions'!AT17</f>
        <v>1</v>
      </c>
      <c r="AT17" s="161" t="b">
        <f>'Revenue Assumptions'!AU17</f>
        <v>1</v>
      </c>
      <c r="AU17" s="161" t="b">
        <f>'Revenue Assumptions'!AV17</f>
        <v>1</v>
      </c>
      <c r="AV17" s="161" t="b">
        <f>'Revenue Assumptions'!AW17</f>
        <v>1</v>
      </c>
      <c r="AW17" s="161" t="b">
        <f>'Revenue Assumptions'!AX17</f>
        <v>1</v>
      </c>
      <c r="AX17" s="161" t="b">
        <f>'Revenue Assumptions'!AY17</f>
        <v>1</v>
      </c>
      <c r="AY17" s="161" t="b">
        <f>'Revenue Assumptions'!AZ17</f>
        <v>1</v>
      </c>
      <c r="AZ17" s="161" t="b">
        <f>'Revenue Assumptions'!BA17</f>
        <v>1</v>
      </c>
      <c r="BA17" s="161" t="b">
        <f>'Revenue Assumptions'!BB17</f>
        <v>1</v>
      </c>
      <c r="BB17" s="161" t="b">
        <f>'Revenue Assumptions'!BC17</f>
        <v>1</v>
      </c>
      <c r="BC17" s="161" t="b">
        <f>'Revenue Assumptions'!BD17</f>
        <v>1</v>
      </c>
      <c r="BD17" s="161" t="b">
        <f>'Revenue Assumptions'!BE17</f>
        <v>1</v>
      </c>
      <c r="BE17" s="161" t="b">
        <f>'Revenue Assumptions'!BF17</f>
        <v>1</v>
      </c>
      <c r="BF17" s="161" t="b">
        <f>'Revenue Assumptions'!BG17</f>
        <v>1</v>
      </c>
      <c r="BG17" s="161" t="b">
        <f>'Revenue Assumptions'!BH17</f>
        <v>1</v>
      </c>
      <c r="BH17" s="161" t="b">
        <f>'Revenue Assumptions'!BI17</f>
        <v>1</v>
      </c>
      <c r="BI17" s="161" t="b">
        <f>'Revenue Assumptions'!BJ17</f>
        <v>1</v>
      </c>
      <c r="BJ17" s="161" t="b">
        <f>'Revenue Assumptions'!BK17</f>
        <v>1</v>
      </c>
      <c r="BK17" s="161" t="b">
        <f>'Revenue Assumptions'!BL17</f>
        <v>1</v>
      </c>
      <c r="BL17" s="161" t="b">
        <f>'Revenue Assumptions'!BM17</f>
        <v>1</v>
      </c>
      <c r="BM17" s="161" t="b">
        <f>'Revenue Assumptions'!BN17</f>
        <v>1</v>
      </c>
      <c r="BN17" s="161" t="b">
        <f>'Revenue Assumptions'!BO17</f>
        <v>1</v>
      </c>
      <c r="BO17" s="161" t="b">
        <f>'Revenue Assumptions'!BP17</f>
        <v>1</v>
      </c>
      <c r="BP17" s="161" t="b">
        <f>'Revenue Assumptions'!BQ17</f>
        <v>1</v>
      </c>
      <c r="BQ17" s="161" t="b">
        <f>'Revenue Assumptions'!BR17</f>
        <v>1</v>
      </c>
      <c r="BR17" s="161" t="b">
        <f>'Revenue Assumptions'!BS17</f>
        <v>1</v>
      </c>
      <c r="BS17" s="161" t="b">
        <f>'Revenue Assumptions'!BT17</f>
        <v>1</v>
      </c>
      <c r="BT17" s="161" t="b">
        <f>'Revenue Assumptions'!BU17</f>
        <v>1</v>
      </c>
      <c r="BU17" s="161" t="b">
        <f>'Revenue Assumptions'!BV17</f>
        <v>1</v>
      </c>
      <c r="BV17" s="161" t="b">
        <f>'Revenue Assumptions'!BW17</f>
        <v>1</v>
      </c>
      <c r="BW17" s="161" t="b">
        <f>'Revenue Assumptions'!BX17</f>
        <v>1</v>
      </c>
      <c r="BX17" s="161" t="b">
        <f>'Revenue Assumptions'!BY17</f>
        <v>1</v>
      </c>
      <c r="BY17" s="161" t="b">
        <f>'Revenue Assumptions'!BZ17</f>
        <v>1</v>
      </c>
      <c r="BZ17" s="161" t="b">
        <f>'Revenue Assumptions'!CA17</f>
        <v>1</v>
      </c>
      <c r="CA17" s="161" t="b">
        <f>'Revenue Assumptions'!CB17</f>
        <v>1</v>
      </c>
      <c r="CB17" s="161" t="b">
        <f>'Revenue Assumptions'!CC17</f>
        <v>1</v>
      </c>
      <c r="CC17" s="161" t="b">
        <f>'Revenue Assumptions'!CD17</f>
        <v>1</v>
      </c>
      <c r="CD17" s="161" t="b">
        <f>'Revenue Assumptions'!CE17</f>
        <v>1</v>
      </c>
      <c r="CE17" s="161" t="b">
        <f>'Revenue Assumptions'!CF17</f>
        <v>1</v>
      </c>
      <c r="CF17" s="161" t="b">
        <f>'Revenue Assumptions'!CG17</f>
        <v>1</v>
      </c>
    </row>
    <row r="18" spans="4:84"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</row>
    <row r="19" spans="4:84" ht="13.8" thickBot="1">
      <c r="D19" s="65" t="s">
        <v>175</v>
      </c>
      <c r="E19" s="65"/>
      <c r="F19" s="65"/>
      <c r="G19" s="65"/>
      <c r="H19" s="65"/>
      <c r="I19" s="65"/>
      <c r="J19" s="65"/>
      <c r="L19" s="88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</row>
    <row r="20" spans="4:84" ht="13.8" outlineLevel="1" thickTop="1">
      <c r="E20" s="64" t="s">
        <v>262</v>
      </c>
      <c r="L20" s="88"/>
      <c r="M20" s="166">
        <f>'Revenue Assumptions'!N23</f>
        <v>0</v>
      </c>
      <c r="N20" s="166">
        <f>'Revenue Assumptions'!O23</f>
        <v>0</v>
      </c>
      <c r="O20" s="166">
        <f>'Revenue Assumptions'!P23</f>
        <v>0</v>
      </c>
      <c r="P20" s="166">
        <f>'Revenue Assumptions'!Q23</f>
        <v>0</v>
      </c>
      <c r="Q20" s="166">
        <f>'Revenue Assumptions'!R23</f>
        <v>0</v>
      </c>
      <c r="R20" s="166">
        <f>'Revenue Assumptions'!S23</f>
        <v>6000</v>
      </c>
      <c r="S20" s="166">
        <f>'Revenue Assumptions'!T23</f>
        <v>6000</v>
      </c>
      <c r="T20" s="166">
        <f>'Revenue Assumptions'!U23</f>
        <v>6000</v>
      </c>
      <c r="U20" s="166">
        <f>'Revenue Assumptions'!V23</f>
        <v>6000</v>
      </c>
      <c r="V20" s="166">
        <f>'Revenue Assumptions'!W23</f>
        <v>6000</v>
      </c>
      <c r="W20" s="166">
        <f>'Revenue Assumptions'!X23</f>
        <v>6000</v>
      </c>
      <c r="X20" s="166">
        <f>'Revenue Assumptions'!Y23</f>
        <v>6000</v>
      </c>
      <c r="Y20" s="166">
        <f>'Revenue Assumptions'!Z23</f>
        <v>12000</v>
      </c>
      <c r="Z20" s="166">
        <f>'Revenue Assumptions'!AA23</f>
        <v>12000</v>
      </c>
      <c r="AA20" s="166">
        <f>'Revenue Assumptions'!AB23</f>
        <v>12000</v>
      </c>
      <c r="AB20" s="166">
        <f>'Revenue Assumptions'!AC23</f>
        <v>12000</v>
      </c>
      <c r="AC20" s="166">
        <f>'Revenue Assumptions'!AD23</f>
        <v>12000</v>
      </c>
      <c r="AD20" s="166">
        <f>'Revenue Assumptions'!AE23</f>
        <v>12000</v>
      </c>
      <c r="AE20" s="166">
        <f>'Revenue Assumptions'!AF23</f>
        <v>12000</v>
      </c>
      <c r="AF20" s="166">
        <f>'Revenue Assumptions'!AG23</f>
        <v>12000</v>
      </c>
      <c r="AG20" s="166">
        <f>'Revenue Assumptions'!AH23</f>
        <v>12000</v>
      </c>
      <c r="AH20" s="166">
        <f>'Revenue Assumptions'!AI23</f>
        <v>12000</v>
      </c>
      <c r="AI20" s="166">
        <f>'Revenue Assumptions'!AJ23</f>
        <v>12000</v>
      </c>
      <c r="AJ20" s="166">
        <f>'Revenue Assumptions'!AK23</f>
        <v>12000</v>
      </c>
      <c r="AK20" s="166">
        <f>'Revenue Assumptions'!AL23</f>
        <v>24000</v>
      </c>
      <c r="AL20" s="166">
        <f>'Revenue Assumptions'!AM23</f>
        <v>24000</v>
      </c>
      <c r="AM20" s="166">
        <f>'Revenue Assumptions'!AN23</f>
        <v>24000</v>
      </c>
      <c r="AN20" s="166">
        <f>'Revenue Assumptions'!AO23</f>
        <v>24000</v>
      </c>
      <c r="AO20" s="166">
        <f>'Revenue Assumptions'!AP23</f>
        <v>24000</v>
      </c>
      <c r="AP20" s="166">
        <f>'Revenue Assumptions'!AQ23</f>
        <v>24000</v>
      </c>
      <c r="AQ20" s="166">
        <f>'Revenue Assumptions'!AR23</f>
        <v>24000</v>
      </c>
      <c r="AR20" s="166">
        <f>'Revenue Assumptions'!AS23</f>
        <v>24000</v>
      </c>
      <c r="AS20" s="166">
        <f>'Revenue Assumptions'!AT23</f>
        <v>24000</v>
      </c>
      <c r="AT20" s="166">
        <f>'Revenue Assumptions'!AU23</f>
        <v>24000</v>
      </c>
      <c r="AU20" s="166">
        <f>'Revenue Assumptions'!AV23</f>
        <v>24000</v>
      </c>
      <c r="AV20" s="166">
        <f>'Revenue Assumptions'!AW23</f>
        <v>24000</v>
      </c>
      <c r="AW20" s="166">
        <f>'Revenue Assumptions'!AX23</f>
        <v>48000</v>
      </c>
      <c r="AX20" s="166">
        <f>'Revenue Assumptions'!AY23</f>
        <v>48000</v>
      </c>
      <c r="AY20" s="166">
        <f>'Revenue Assumptions'!AZ23</f>
        <v>48000</v>
      </c>
      <c r="AZ20" s="166">
        <f>'Revenue Assumptions'!BA23</f>
        <v>48000</v>
      </c>
      <c r="BA20" s="166">
        <f>'Revenue Assumptions'!BB23</f>
        <v>48000</v>
      </c>
      <c r="BB20" s="166">
        <f>'Revenue Assumptions'!BC23</f>
        <v>48000</v>
      </c>
      <c r="BC20" s="166">
        <f>'Revenue Assumptions'!BD23</f>
        <v>48000</v>
      </c>
      <c r="BD20" s="166">
        <f>'Revenue Assumptions'!BE23</f>
        <v>48000</v>
      </c>
      <c r="BE20" s="166">
        <f>'Revenue Assumptions'!BF23</f>
        <v>48000</v>
      </c>
      <c r="BF20" s="166">
        <f>'Revenue Assumptions'!BG23</f>
        <v>48000</v>
      </c>
      <c r="BG20" s="166">
        <f>'Revenue Assumptions'!BH23</f>
        <v>48000</v>
      </c>
      <c r="BH20" s="166">
        <f>'Revenue Assumptions'!BI23</f>
        <v>48000</v>
      </c>
      <c r="BI20" s="166">
        <f>'Revenue Assumptions'!BJ23</f>
        <v>96000</v>
      </c>
      <c r="BJ20" s="166">
        <f>'Revenue Assumptions'!BK23</f>
        <v>96000</v>
      </c>
      <c r="BK20" s="166">
        <f>'Revenue Assumptions'!BL23</f>
        <v>96000</v>
      </c>
      <c r="BL20" s="166">
        <f>'Revenue Assumptions'!BM23</f>
        <v>96000</v>
      </c>
      <c r="BM20" s="166">
        <f>'Revenue Assumptions'!BN23</f>
        <v>96000</v>
      </c>
      <c r="BN20" s="166">
        <f>'Revenue Assumptions'!BO23</f>
        <v>96000</v>
      </c>
      <c r="BO20" s="166">
        <f>'Revenue Assumptions'!BP23</f>
        <v>96000</v>
      </c>
      <c r="BP20" s="166">
        <f>'Revenue Assumptions'!BQ23</f>
        <v>96000</v>
      </c>
      <c r="BQ20" s="166">
        <f>'Revenue Assumptions'!BR23</f>
        <v>96000</v>
      </c>
      <c r="BR20" s="166">
        <f>'Revenue Assumptions'!BS23</f>
        <v>96000</v>
      </c>
      <c r="BS20" s="166">
        <f>'Revenue Assumptions'!BT23</f>
        <v>96000</v>
      </c>
      <c r="BT20" s="166">
        <f>'Revenue Assumptions'!BU23</f>
        <v>96000</v>
      </c>
      <c r="BU20" s="166">
        <f>'Revenue Assumptions'!BV23</f>
        <v>192000</v>
      </c>
      <c r="BV20" s="166">
        <f>'Revenue Assumptions'!BW23</f>
        <v>192000</v>
      </c>
      <c r="BW20" s="166">
        <f>'Revenue Assumptions'!BX23</f>
        <v>192000</v>
      </c>
      <c r="BX20" s="166">
        <f>'Revenue Assumptions'!BY23</f>
        <v>192000</v>
      </c>
      <c r="BY20" s="166">
        <f>'Revenue Assumptions'!BZ23</f>
        <v>192000</v>
      </c>
      <c r="BZ20" s="166">
        <f>'Revenue Assumptions'!CA23</f>
        <v>192000</v>
      </c>
      <c r="CA20" s="166">
        <f>'Revenue Assumptions'!CB23</f>
        <v>192000</v>
      </c>
      <c r="CB20" s="166">
        <f>'Revenue Assumptions'!CC23</f>
        <v>192000</v>
      </c>
      <c r="CC20" s="166">
        <f>'Revenue Assumptions'!CD23</f>
        <v>192000</v>
      </c>
      <c r="CD20" s="166">
        <f>'Revenue Assumptions'!CE23</f>
        <v>192000</v>
      </c>
      <c r="CE20" s="166">
        <f>'Revenue Assumptions'!CF23</f>
        <v>192000</v>
      </c>
      <c r="CF20" s="166">
        <f>'Revenue Assumptions'!CG23</f>
        <v>192000</v>
      </c>
    </row>
    <row r="21" spans="4:84" outlineLevel="1">
      <c r="E21" s="64" t="s">
        <v>263</v>
      </c>
      <c r="L21" s="88"/>
      <c r="M21" s="166">
        <f>'Revenue Assumptions'!N24</f>
        <v>0</v>
      </c>
      <c r="N21" s="166">
        <f>'Revenue Assumptions'!O24</f>
        <v>0</v>
      </c>
      <c r="O21" s="166">
        <f>'Revenue Assumptions'!P24</f>
        <v>0</v>
      </c>
      <c r="P21" s="166">
        <f>'Revenue Assumptions'!Q24</f>
        <v>0</v>
      </c>
      <c r="Q21" s="166">
        <f>'Revenue Assumptions'!R24</f>
        <v>0</v>
      </c>
      <c r="R21" s="166">
        <f>'Revenue Assumptions'!S24</f>
        <v>9000</v>
      </c>
      <c r="S21" s="166">
        <f>'Revenue Assumptions'!T24</f>
        <v>9000</v>
      </c>
      <c r="T21" s="166">
        <f>'Revenue Assumptions'!U24</f>
        <v>9000</v>
      </c>
      <c r="U21" s="166">
        <f>'Revenue Assumptions'!V24</f>
        <v>9000</v>
      </c>
      <c r="V21" s="166">
        <f>'Revenue Assumptions'!W24</f>
        <v>9000</v>
      </c>
      <c r="W21" s="166">
        <f>'Revenue Assumptions'!X24</f>
        <v>9000</v>
      </c>
      <c r="X21" s="166">
        <f>'Revenue Assumptions'!Y24</f>
        <v>9000</v>
      </c>
      <c r="Y21" s="166">
        <f>'Revenue Assumptions'!Z24</f>
        <v>18000</v>
      </c>
      <c r="Z21" s="166">
        <f>'Revenue Assumptions'!AA24</f>
        <v>18000</v>
      </c>
      <c r="AA21" s="166">
        <f>'Revenue Assumptions'!AB24</f>
        <v>18000</v>
      </c>
      <c r="AB21" s="166">
        <f>'Revenue Assumptions'!AC24</f>
        <v>18000</v>
      </c>
      <c r="AC21" s="166">
        <f>'Revenue Assumptions'!AD24</f>
        <v>18000</v>
      </c>
      <c r="AD21" s="166">
        <f>'Revenue Assumptions'!AE24</f>
        <v>18000</v>
      </c>
      <c r="AE21" s="166">
        <f>'Revenue Assumptions'!AF24</f>
        <v>18000</v>
      </c>
      <c r="AF21" s="166">
        <f>'Revenue Assumptions'!AG24</f>
        <v>18000</v>
      </c>
      <c r="AG21" s="166">
        <f>'Revenue Assumptions'!AH24</f>
        <v>18000</v>
      </c>
      <c r="AH21" s="166">
        <f>'Revenue Assumptions'!AI24</f>
        <v>18000</v>
      </c>
      <c r="AI21" s="166">
        <f>'Revenue Assumptions'!AJ24</f>
        <v>18000</v>
      </c>
      <c r="AJ21" s="166">
        <f>'Revenue Assumptions'!AK24</f>
        <v>18000</v>
      </c>
      <c r="AK21" s="166">
        <f>'Revenue Assumptions'!AL24</f>
        <v>36000</v>
      </c>
      <c r="AL21" s="166">
        <f>'Revenue Assumptions'!AM24</f>
        <v>36000</v>
      </c>
      <c r="AM21" s="166">
        <f>'Revenue Assumptions'!AN24</f>
        <v>36000</v>
      </c>
      <c r="AN21" s="166">
        <f>'Revenue Assumptions'!AO24</f>
        <v>36000</v>
      </c>
      <c r="AO21" s="166">
        <f>'Revenue Assumptions'!AP24</f>
        <v>36000</v>
      </c>
      <c r="AP21" s="166">
        <f>'Revenue Assumptions'!AQ24</f>
        <v>36000</v>
      </c>
      <c r="AQ21" s="166">
        <f>'Revenue Assumptions'!AR24</f>
        <v>36000</v>
      </c>
      <c r="AR21" s="166">
        <f>'Revenue Assumptions'!AS24</f>
        <v>36000</v>
      </c>
      <c r="AS21" s="166">
        <f>'Revenue Assumptions'!AT24</f>
        <v>36000</v>
      </c>
      <c r="AT21" s="166">
        <f>'Revenue Assumptions'!AU24</f>
        <v>36000</v>
      </c>
      <c r="AU21" s="166">
        <f>'Revenue Assumptions'!AV24</f>
        <v>36000</v>
      </c>
      <c r="AV21" s="166">
        <f>'Revenue Assumptions'!AW24</f>
        <v>36000</v>
      </c>
      <c r="AW21" s="166">
        <f>'Revenue Assumptions'!AX24</f>
        <v>72000</v>
      </c>
      <c r="AX21" s="166">
        <f>'Revenue Assumptions'!AY24</f>
        <v>72000</v>
      </c>
      <c r="AY21" s="166">
        <f>'Revenue Assumptions'!AZ24</f>
        <v>72000</v>
      </c>
      <c r="AZ21" s="166">
        <f>'Revenue Assumptions'!BA24</f>
        <v>72000</v>
      </c>
      <c r="BA21" s="166">
        <f>'Revenue Assumptions'!BB24</f>
        <v>72000</v>
      </c>
      <c r="BB21" s="166">
        <f>'Revenue Assumptions'!BC24</f>
        <v>72000</v>
      </c>
      <c r="BC21" s="166">
        <f>'Revenue Assumptions'!BD24</f>
        <v>72000</v>
      </c>
      <c r="BD21" s="166">
        <f>'Revenue Assumptions'!BE24</f>
        <v>72000</v>
      </c>
      <c r="BE21" s="166">
        <f>'Revenue Assumptions'!BF24</f>
        <v>72000</v>
      </c>
      <c r="BF21" s="166">
        <f>'Revenue Assumptions'!BG24</f>
        <v>72000</v>
      </c>
      <c r="BG21" s="166">
        <f>'Revenue Assumptions'!BH24</f>
        <v>72000</v>
      </c>
      <c r="BH21" s="166">
        <f>'Revenue Assumptions'!BI24</f>
        <v>72000</v>
      </c>
      <c r="BI21" s="166">
        <f>'Revenue Assumptions'!BJ24</f>
        <v>144000</v>
      </c>
      <c r="BJ21" s="166">
        <f>'Revenue Assumptions'!BK24</f>
        <v>144000</v>
      </c>
      <c r="BK21" s="166">
        <f>'Revenue Assumptions'!BL24</f>
        <v>144000</v>
      </c>
      <c r="BL21" s="166">
        <f>'Revenue Assumptions'!BM24</f>
        <v>144000</v>
      </c>
      <c r="BM21" s="166">
        <f>'Revenue Assumptions'!BN24</f>
        <v>144000</v>
      </c>
      <c r="BN21" s="166">
        <f>'Revenue Assumptions'!BO24</f>
        <v>144000</v>
      </c>
      <c r="BO21" s="166">
        <f>'Revenue Assumptions'!BP24</f>
        <v>144000</v>
      </c>
      <c r="BP21" s="166">
        <f>'Revenue Assumptions'!BQ24</f>
        <v>144000</v>
      </c>
      <c r="BQ21" s="166">
        <f>'Revenue Assumptions'!BR24</f>
        <v>144000</v>
      </c>
      <c r="BR21" s="166">
        <f>'Revenue Assumptions'!BS24</f>
        <v>144000</v>
      </c>
      <c r="BS21" s="166">
        <f>'Revenue Assumptions'!BT24</f>
        <v>144000</v>
      </c>
      <c r="BT21" s="166">
        <f>'Revenue Assumptions'!BU24</f>
        <v>144000</v>
      </c>
      <c r="BU21" s="166">
        <f>'Revenue Assumptions'!BV24</f>
        <v>288000</v>
      </c>
      <c r="BV21" s="166">
        <f>'Revenue Assumptions'!BW24</f>
        <v>288000</v>
      </c>
      <c r="BW21" s="166">
        <f>'Revenue Assumptions'!BX24</f>
        <v>288000</v>
      </c>
      <c r="BX21" s="166">
        <f>'Revenue Assumptions'!BY24</f>
        <v>288000</v>
      </c>
      <c r="BY21" s="166">
        <f>'Revenue Assumptions'!BZ24</f>
        <v>288000</v>
      </c>
      <c r="BZ21" s="166">
        <f>'Revenue Assumptions'!CA24</f>
        <v>288000</v>
      </c>
      <c r="CA21" s="166">
        <f>'Revenue Assumptions'!CB24</f>
        <v>288000</v>
      </c>
      <c r="CB21" s="166">
        <f>'Revenue Assumptions'!CC24</f>
        <v>288000</v>
      </c>
      <c r="CC21" s="166">
        <f>'Revenue Assumptions'!CD24</f>
        <v>288000</v>
      </c>
      <c r="CD21" s="166">
        <f>'Revenue Assumptions'!CE24</f>
        <v>288000</v>
      </c>
      <c r="CE21" s="166">
        <f>'Revenue Assumptions'!CF24</f>
        <v>288000</v>
      </c>
      <c r="CF21" s="166">
        <f>'Revenue Assumptions'!CG24</f>
        <v>288000</v>
      </c>
    </row>
    <row r="22" spans="4:84" outlineLevel="1">
      <c r="E22" s="64" t="s">
        <v>176</v>
      </c>
      <c r="L22" s="88"/>
      <c r="M22" s="166">
        <f>SUM('Revenue Assumptions'!N117:N117)</f>
        <v>0</v>
      </c>
      <c r="N22" s="166">
        <f>SUM('Revenue Assumptions'!O117:O117)</f>
        <v>0</v>
      </c>
      <c r="O22" s="166">
        <f>SUM('Revenue Assumptions'!P117:P117)</f>
        <v>0</v>
      </c>
      <c r="P22" s="166">
        <f>SUM('Revenue Assumptions'!Q117:Q117)</f>
        <v>0</v>
      </c>
      <c r="Q22" s="166">
        <f>SUM('Revenue Assumptions'!R117:R117)</f>
        <v>0</v>
      </c>
      <c r="R22" s="166">
        <f>SUM('Revenue Assumptions'!S117:S117)</f>
        <v>3.4697873341891312</v>
      </c>
      <c r="S22" s="166">
        <f>SUM('Revenue Assumptions'!T117:T117)</f>
        <v>6.9395746683782624</v>
      </c>
      <c r="T22" s="166">
        <f>SUM('Revenue Assumptions'!U117:U117)</f>
        <v>10.409362002567395</v>
      </c>
      <c r="U22" s="166">
        <f>SUM('Revenue Assumptions'!V117:V117)</f>
        <v>13.879149336756525</v>
      </c>
      <c r="V22" s="166">
        <f>SUM('Revenue Assumptions'!W117:W117)</f>
        <v>17.348936670945658</v>
      </c>
      <c r="W22" s="166">
        <f>SUM('Revenue Assumptions'!X117:X117)</f>
        <v>20.81872400513479</v>
      </c>
      <c r="X22" s="166">
        <f>SUM('Revenue Assumptions'!Y117:Y117)</f>
        <v>24.288511339323922</v>
      </c>
      <c r="Y22" s="166">
        <f>SUM('Revenue Assumptions'!Z117:Z117)</f>
        <v>159.97882083256923</v>
      </c>
      <c r="Z22" s="166">
        <f>SUM('Revenue Assumptions'!AA117:AA117)</f>
        <v>213.79330084357235</v>
      </c>
      <c r="AA22" s="166">
        <f>SUM('Revenue Assumptions'!AB117:AB117)</f>
        <v>267.60778085457548</v>
      </c>
      <c r="AB22" s="166">
        <f>SUM('Revenue Assumptions'!AC117:AC117)</f>
        <v>321.42226086557855</v>
      </c>
      <c r="AC22" s="166">
        <f>SUM('Revenue Assumptions'!AD117:AD117)</f>
        <v>375.23674087658162</v>
      </c>
      <c r="AD22" s="166">
        <f>SUM('Revenue Assumptions'!AE117:AE117)</f>
        <v>429.0512208875848</v>
      </c>
      <c r="AE22" s="166">
        <f>SUM('Revenue Assumptions'!AF117:AF117)</f>
        <v>482.86570089858799</v>
      </c>
      <c r="AF22" s="166">
        <f>SUM('Revenue Assumptions'!AG117:AG117)</f>
        <v>536.68018090959106</v>
      </c>
      <c r="AG22" s="166">
        <f>SUM('Revenue Assumptions'!AH117:AH117)</f>
        <v>590.49466092059424</v>
      </c>
      <c r="AH22" s="166">
        <f>SUM('Revenue Assumptions'!AI117:AI117)</f>
        <v>644.30914093159731</v>
      </c>
      <c r="AI22" s="166">
        <f>SUM('Revenue Assumptions'!AJ117:AJ117)</f>
        <v>698.1236209426005</v>
      </c>
      <c r="AJ22" s="166">
        <f>SUM('Revenue Assumptions'!AK117:AK117)</f>
        <v>751.93810095360357</v>
      </c>
      <c r="AK22" s="166">
        <f>SUM('Revenue Assumptions'!AL117:AL117)</f>
        <v>2329.1653801227817</v>
      </c>
      <c r="AL22" s="166">
        <f>SUM('Revenue Assumptions'!AM117:AM117)</f>
        <v>2827.6475154261971</v>
      </c>
      <c r="AM22" s="166">
        <f>SUM('Revenue Assumptions'!AN117:AN117)</f>
        <v>3326.1296507296124</v>
      </c>
      <c r="AN22" s="166">
        <f>SUM('Revenue Assumptions'!AO117:AO117)</f>
        <v>3824.6117860330282</v>
      </c>
      <c r="AO22" s="166">
        <f>SUM('Revenue Assumptions'!AP117:AP117)</f>
        <v>4323.0939213364436</v>
      </c>
      <c r="AP22" s="166">
        <f>SUM('Revenue Assumptions'!AQ117:AQ117)</f>
        <v>4821.5760566398594</v>
      </c>
      <c r="AQ22" s="166">
        <f>SUM('Revenue Assumptions'!AR117:AR117)</f>
        <v>5320.0581919432734</v>
      </c>
      <c r="AR22" s="166">
        <f>SUM('Revenue Assumptions'!AS117:AS117)</f>
        <v>5818.5403272466901</v>
      </c>
      <c r="AS22" s="166">
        <f>SUM('Revenue Assumptions'!AT117:AT117)</f>
        <v>6317.022462550105</v>
      </c>
      <c r="AT22" s="166">
        <f>SUM('Revenue Assumptions'!AU117:AU117)</f>
        <v>6815.5045978535209</v>
      </c>
      <c r="AU22" s="166">
        <f>SUM('Revenue Assumptions'!AV117:AV117)</f>
        <v>7313.9867331569367</v>
      </c>
      <c r="AV22" s="166">
        <f>SUM('Revenue Assumptions'!AW117:AW117)</f>
        <v>7812.4688684603525</v>
      </c>
      <c r="AW22" s="166">
        <f>SUM('Revenue Assumptions'!AX117:AX117)</f>
        <v>12311.624923596326</v>
      </c>
      <c r="AX22" s="166">
        <f>SUM('Revenue Assumptions'!AY117:AY117)</f>
        <v>14208.519593321909</v>
      </c>
      <c r="AY22" s="166">
        <f>SUM('Revenue Assumptions'!AZ117:AZ117)</f>
        <v>16105.414263047493</v>
      </c>
      <c r="AZ22" s="166">
        <f>SUM('Revenue Assumptions'!BA117:BA117)</f>
        <v>18002.308932773078</v>
      </c>
      <c r="BA22" s="166">
        <f>SUM('Revenue Assumptions'!BB117:BB117)</f>
        <v>19899.203602498659</v>
      </c>
      <c r="BB22" s="166">
        <f>SUM('Revenue Assumptions'!BC117:BC117)</f>
        <v>21796.098272224244</v>
      </c>
      <c r="BC22" s="166">
        <f>SUM('Revenue Assumptions'!BD117:BD117)</f>
        <v>23692.992941949829</v>
      </c>
      <c r="BD22" s="166">
        <f>SUM('Revenue Assumptions'!BE117:BE117)</f>
        <v>25589.887611675407</v>
      </c>
      <c r="BE22" s="166">
        <f>SUM('Revenue Assumptions'!BF117:BF117)</f>
        <v>27486.782281400996</v>
      </c>
      <c r="BF22" s="166">
        <f>SUM('Revenue Assumptions'!BG117:BG117)</f>
        <v>29383.676951126577</v>
      </c>
      <c r="BG22" s="166">
        <f>SUM('Revenue Assumptions'!BH117:BH117)</f>
        <v>31280.57162085217</v>
      </c>
      <c r="BH22" s="166">
        <f>SUM('Revenue Assumptions'!BI117:BI117)</f>
        <v>33177.466290577751</v>
      </c>
      <c r="BI22" s="166">
        <f>SUM('Revenue Assumptions'!BJ117:BJ117)</f>
        <v>47173.924769783553</v>
      </c>
      <c r="BJ22" s="166">
        <f>SUM('Revenue Assumptions'!BK117:BK117)</f>
        <v>52878.921894417639</v>
      </c>
      <c r="BK22" s="166">
        <f>SUM('Revenue Assumptions'!BL117:BL117)</f>
        <v>58583.919019051718</v>
      </c>
      <c r="BL22" s="166">
        <f>SUM('Revenue Assumptions'!BM117:BM117)</f>
        <v>64288.916143685805</v>
      </c>
      <c r="BM22" s="166">
        <f>SUM('Revenue Assumptions'!BN117:BN117)</f>
        <v>69993.913268319884</v>
      </c>
      <c r="BN22" s="166">
        <f>SUM('Revenue Assumptions'!BO117:BO117)</f>
        <v>75698.910392953985</v>
      </c>
      <c r="BO22" s="166">
        <f>SUM('Revenue Assumptions'!BP117:BP117)</f>
        <v>81403.907517588072</v>
      </c>
      <c r="BP22" s="166">
        <f>SUM('Revenue Assumptions'!BQ117:BQ117)</f>
        <v>87108.904642222158</v>
      </c>
      <c r="BQ22" s="166">
        <f>SUM('Revenue Assumptions'!BR117:BR117)</f>
        <v>92813.901766856245</v>
      </c>
      <c r="BR22" s="166">
        <f>SUM('Revenue Assumptions'!BS117:BS117)</f>
        <v>98518.898891490331</v>
      </c>
      <c r="BS22" s="166">
        <f>SUM('Revenue Assumptions'!BT117:BT117)</f>
        <v>104223.89601612437</v>
      </c>
      <c r="BT22" s="166">
        <f>SUM('Revenue Assumptions'!BU117:BU117)</f>
        <v>109928.89314075849</v>
      </c>
      <c r="BU22" s="166">
        <f>SUM('Revenue Assumptions'!BV117:BV117)</f>
        <v>145883.45956101888</v>
      </c>
      <c r="BV22" s="166">
        <f>SUM('Revenue Assumptions'!BW117:BW117)</f>
        <v>159920.08997872658</v>
      </c>
      <c r="BW22" s="166">
        <f>SUM('Revenue Assumptions'!BX117:BX117)</f>
        <v>173956.72039643425</v>
      </c>
      <c r="BX22" s="166">
        <f>SUM('Revenue Assumptions'!BY117:BY117)</f>
        <v>187993.35081414197</v>
      </c>
      <c r="BY22" s="166">
        <f>SUM('Revenue Assumptions'!BZ117:BZ117)</f>
        <v>202029.98123184964</v>
      </c>
      <c r="BZ22" s="166">
        <f>SUM('Revenue Assumptions'!CA117:CA117)</f>
        <v>216066.61164955731</v>
      </c>
      <c r="CA22" s="166">
        <f>SUM('Revenue Assumptions'!CB117:CB117)</f>
        <v>230103.242067265</v>
      </c>
      <c r="CB22" s="166">
        <f>SUM('Revenue Assumptions'!CC117:CC117)</f>
        <v>244139.8724849727</v>
      </c>
      <c r="CC22" s="166">
        <f>SUM('Revenue Assumptions'!CD117:CD117)</f>
        <v>258176.50290268043</v>
      </c>
      <c r="CD22" s="166">
        <f>SUM('Revenue Assumptions'!CE117:CE117)</f>
        <v>272213.13332038809</v>
      </c>
      <c r="CE22" s="166">
        <f>SUM('Revenue Assumptions'!CF117:CF117)</f>
        <v>286249.7637380957</v>
      </c>
      <c r="CF22" s="166">
        <f>SUM('Revenue Assumptions'!CG117:CG117)</f>
        <v>300286.39415580343</v>
      </c>
    </row>
    <row r="23" spans="4:84" outlineLevel="1">
      <c r="M23" s="167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</row>
    <row r="24" spans="4:84" outlineLevel="1">
      <c r="E24" s="64" t="s">
        <v>177</v>
      </c>
      <c r="L24" s="88"/>
      <c r="M24" s="168">
        <f t="shared" ref="M24:AJ24" si="3">SUM(M20:M22)</f>
        <v>0</v>
      </c>
      <c r="N24" s="168">
        <f t="shared" si="3"/>
        <v>0</v>
      </c>
      <c r="O24" s="168">
        <f t="shared" si="3"/>
        <v>0</v>
      </c>
      <c r="P24" s="168">
        <f t="shared" si="3"/>
        <v>0</v>
      </c>
      <c r="Q24" s="168">
        <f t="shared" si="3"/>
        <v>0</v>
      </c>
      <c r="R24" s="168">
        <f t="shared" si="3"/>
        <v>15003.469787334188</v>
      </c>
      <c r="S24" s="168">
        <f t="shared" si="3"/>
        <v>15006.939574668379</v>
      </c>
      <c r="T24" s="168">
        <f t="shared" si="3"/>
        <v>15010.409362002567</v>
      </c>
      <c r="U24" s="168">
        <f t="shared" si="3"/>
        <v>15013.879149336757</v>
      </c>
      <c r="V24" s="168">
        <f t="shared" si="3"/>
        <v>15017.348936670945</v>
      </c>
      <c r="W24" s="168">
        <f t="shared" si="3"/>
        <v>15020.818724005136</v>
      </c>
      <c r="X24" s="168">
        <f t="shared" si="3"/>
        <v>15024.288511339324</v>
      </c>
      <c r="Y24" s="168">
        <f t="shared" si="3"/>
        <v>30159.97882083257</v>
      </c>
      <c r="Z24" s="168">
        <f t="shared" si="3"/>
        <v>30213.793300843572</v>
      </c>
      <c r="AA24" s="168">
        <f t="shared" si="3"/>
        <v>30267.607780854574</v>
      </c>
      <c r="AB24" s="168">
        <f t="shared" si="3"/>
        <v>30321.42226086558</v>
      </c>
      <c r="AC24" s="168">
        <f t="shared" si="3"/>
        <v>30375.236740876582</v>
      </c>
      <c r="AD24" s="168">
        <f t="shared" si="3"/>
        <v>30429.051220887584</v>
      </c>
      <c r="AE24" s="168">
        <f t="shared" si="3"/>
        <v>30482.865700898587</v>
      </c>
      <c r="AF24" s="168">
        <f t="shared" si="3"/>
        <v>30536.680180909592</v>
      </c>
      <c r="AG24" s="168">
        <f t="shared" si="3"/>
        <v>30590.494660920594</v>
      </c>
      <c r="AH24" s="168">
        <f t="shared" si="3"/>
        <v>30644.309140931597</v>
      </c>
      <c r="AI24" s="168">
        <f t="shared" si="3"/>
        <v>30698.123620942599</v>
      </c>
      <c r="AJ24" s="168">
        <f t="shared" si="3"/>
        <v>30751.938100953605</v>
      </c>
      <c r="AK24" s="168">
        <f t="shared" ref="AK24:BT24" si="4">SUM(AK20:AK22)</f>
        <v>62329.16538012278</v>
      </c>
      <c r="AL24" s="168">
        <f t="shared" si="4"/>
        <v>62827.647515426201</v>
      </c>
      <c r="AM24" s="168">
        <f t="shared" si="4"/>
        <v>63326.129650729614</v>
      </c>
      <c r="AN24" s="168">
        <f t="shared" si="4"/>
        <v>63824.611786033027</v>
      </c>
      <c r="AO24" s="168">
        <f t="shared" si="4"/>
        <v>64323.093921336447</v>
      </c>
      <c r="AP24" s="168">
        <f t="shared" si="4"/>
        <v>64821.57605663986</v>
      </c>
      <c r="AQ24" s="168">
        <f t="shared" si="4"/>
        <v>65320.058191943273</v>
      </c>
      <c r="AR24" s="168">
        <f t="shared" si="4"/>
        <v>65818.540327246694</v>
      </c>
      <c r="AS24" s="168">
        <f t="shared" si="4"/>
        <v>66317.0224625501</v>
      </c>
      <c r="AT24" s="168">
        <f t="shared" si="4"/>
        <v>66815.50459785352</v>
      </c>
      <c r="AU24" s="168">
        <f t="shared" si="4"/>
        <v>67313.98673315694</v>
      </c>
      <c r="AV24" s="168">
        <f t="shared" si="4"/>
        <v>67812.468868460346</v>
      </c>
      <c r="AW24" s="168">
        <f t="shared" si="4"/>
        <v>132311.62492359633</v>
      </c>
      <c r="AX24" s="168">
        <f t="shared" si="4"/>
        <v>134208.51959332192</v>
      </c>
      <c r="AY24" s="168">
        <f t="shared" si="4"/>
        <v>136105.41426304748</v>
      </c>
      <c r="AZ24" s="168">
        <f t="shared" si="4"/>
        <v>138002.30893277307</v>
      </c>
      <c r="BA24" s="168">
        <f t="shared" si="4"/>
        <v>139899.20360249866</v>
      </c>
      <c r="BB24" s="168">
        <f t="shared" si="4"/>
        <v>141796.09827222425</v>
      </c>
      <c r="BC24" s="168">
        <f t="shared" si="4"/>
        <v>143692.99294194984</v>
      </c>
      <c r="BD24" s="168">
        <f t="shared" si="4"/>
        <v>145589.8876116754</v>
      </c>
      <c r="BE24" s="168">
        <f t="shared" si="4"/>
        <v>147486.78228140099</v>
      </c>
      <c r="BF24" s="168">
        <f t="shared" si="4"/>
        <v>149383.67695112657</v>
      </c>
      <c r="BG24" s="168">
        <f t="shared" si="4"/>
        <v>151280.57162085216</v>
      </c>
      <c r="BH24" s="168">
        <f t="shared" si="4"/>
        <v>153177.46629057775</v>
      </c>
      <c r="BI24" s="168">
        <f t="shared" si="4"/>
        <v>287173.92476978357</v>
      </c>
      <c r="BJ24" s="168">
        <f t="shared" si="4"/>
        <v>292878.92189441761</v>
      </c>
      <c r="BK24" s="168">
        <f t="shared" si="4"/>
        <v>298583.91901905171</v>
      </c>
      <c r="BL24" s="168">
        <f t="shared" si="4"/>
        <v>304288.91614368581</v>
      </c>
      <c r="BM24" s="168">
        <f t="shared" si="4"/>
        <v>309993.91326831991</v>
      </c>
      <c r="BN24" s="168">
        <f t="shared" si="4"/>
        <v>315698.91039295401</v>
      </c>
      <c r="BO24" s="168">
        <f t="shared" si="4"/>
        <v>321403.90751758806</v>
      </c>
      <c r="BP24" s="168">
        <f t="shared" si="4"/>
        <v>327108.90464222216</v>
      </c>
      <c r="BQ24" s="168">
        <f t="shared" si="4"/>
        <v>332813.90176685626</v>
      </c>
      <c r="BR24" s="168">
        <f t="shared" si="4"/>
        <v>338518.8988914903</v>
      </c>
      <c r="BS24" s="168">
        <f t="shared" si="4"/>
        <v>344223.8960161244</v>
      </c>
      <c r="BT24" s="168">
        <f t="shared" si="4"/>
        <v>349928.8931407585</v>
      </c>
      <c r="BU24" s="168">
        <f t="shared" ref="BU24:CF24" si="5">SUM(BU20:BU22)</f>
        <v>625883.45956101886</v>
      </c>
      <c r="BV24" s="168">
        <f t="shared" si="5"/>
        <v>639920.08997872658</v>
      </c>
      <c r="BW24" s="168">
        <f t="shared" si="5"/>
        <v>653956.72039643419</v>
      </c>
      <c r="BX24" s="168">
        <f t="shared" si="5"/>
        <v>667993.35081414203</v>
      </c>
      <c r="BY24" s="168">
        <f t="shared" si="5"/>
        <v>682029.98123184964</v>
      </c>
      <c r="BZ24" s="168">
        <f t="shared" si="5"/>
        <v>696066.61164955725</v>
      </c>
      <c r="CA24" s="168">
        <f t="shared" si="5"/>
        <v>710103.24206726498</v>
      </c>
      <c r="CB24" s="168">
        <f t="shared" si="5"/>
        <v>724139.8724849727</v>
      </c>
      <c r="CC24" s="168">
        <f t="shared" si="5"/>
        <v>738176.50290268043</v>
      </c>
      <c r="CD24" s="168">
        <f t="shared" si="5"/>
        <v>752213.13332038815</v>
      </c>
      <c r="CE24" s="168">
        <f t="shared" si="5"/>
        <v>766249.76373809576</v>
      </c>
      <c r="CF24" s="168">
        <f t="shared" si="5"/>
        <v>780286.39415580337</v>
      </c>
    </row>
    <row r="25" spans="4:84" outlineLevel="1">
      <c r="E25" s="64" t="s">
        <v>260</v>
      </c>
      <c r="L25" s="88"/>
      <c r="M25" s="156">
        <f>'Revenue Assumptions'!N57</f>
        <v>0</v>
      </c>
      <c r="N25" s="156">
        <f>'Revenue Assumptions'!O57</f>
        <v>0</v>
      </c>
      <c r="O25" s="156">
        <f>'Revenue Assumptions'!P57</f>
        <v>0</v>
      </c>
      <c r="P25" s="156">
        <f>'Revenue Assumptions'!Q57</f>
        <v>0</v>
      </c>
      <c r="Q25" s="156">
        <f>'Revenue Assumptions'!R57</f>
        <v>0</v>
      </c>
      <c r="R25" s="156">
        <f>'Revenue Assumptions'!S57</f>
        <v>0.68463842533162178</v>
      </c>
      <c r="S25" s="156">
        <f>'Revenue Assumptions'!T57</f>
        <v>0.68463842533162178</v>
      </c>
      <c r="T25" s="156">
        <f>'Revenue Assumptions'!U57</f>
        <v>0.68463842533162178</v>
      </c>
      <c r="U25" s="156">
        <f>'Revenue Assumptions'!V57</f>
        <v>0.68463842533162178</v>
      </c>
      <c r="V25" s="156">
        <f>'Revenue Assumptions'!W57</f>
        <v>0.68463842533162178</v>
      </c>
      <c r="W25" s="156">
        <f>'Revenue Assumptions'!X57</f>
        <v>0.68463842533162178</v>
      </c>
      <c r="X25" s="156">
        <f>'Revenue Assumptions'!Y57</f>
        <v>0.68463842533162178</v>
      </c>
      <c r="Y25" s="156">
        <f>'Revenue Assumptions'!Z57</f>
        <v>1.9561097866617763</v>
      </c>
      <c r="Z25" s="156">
        <f>'Revenue Assumptions'!AA57</f>
        <v>1.9561097866617763</v>
      </c>
      <c r="AA25" s="156">
        <f>'Revenue Assumptions'!AB57</f>
        <v>1.9561097866617763</v>
      </c>
      <c r="AB25" s="156">
        <f>'Revenue Assumptions'!AC57</f>
        <v>1.9561097866617763</v>
      </c>
      <c r="AC25" s="156">
        <f>'Revenue Assumptions'!AD57</f>
        <v>1.9561097866617763</v>
      </c>
      <c r="AD25" s="156">
        <f>'Revenue Assumptions'!AE57</f>
        <v>1.9561097866617763</v>
      </c>
      <c r="AE25" s="156">
        <f>'Revenue Assumptions'!AF57</f>
        <v>1.9561097866617763</v>
      </c>
      <c r="AF25" s="156">
        <f>'Revenue Assumptions'!AG57</f>
        <v>1.9561097866617763</v>
      </c>
      <c r="AG25" s="156">
        <f>'Revenue Assumptions'!AH57</f>
        <v>1.9561097866617763</v>
      </c>
      <c r="AH25" s="156">
        <f>'Revenue Assumptions'!AI57</f>
        <v>1.9561097866617763</v>
      </c>
      <c r="AI25" s="156">
        <f>'Revenue Assumptions'!AJ57</f>
        <v>1.9561097866617763</v>
      </c>
      <c r="AJ25" s="156">
        <f>'Revenue Assumptions'!AK57</f>
        <v>1.9561097866617763</v>
      </c>
      <c r="AK25" s="156">
        <f>'Revenue Assumptions'!AL57</f>
        <v>6.2098723386088155</v>
      </c>
      <c r="AL25" s="156">
        <f>'Revenue Assumptions'!AM57</f>
        <v>6.2098723386088155</v>
      </c>
      <c r="AM25" s="156">
        <f>'Revenue Assumptions'!AN57</f>
        <v>6.2098723386088155</v>
      </c>
      <c r="AN25" s="156">
        <f>'Revenue Assumptions'!AO57</f>
        <v>6.2098723386088155</v>
      </c>
      <c r="AO25" s="156">
        <f>'Revenue Assumptions'!AP57</f>
        <v>6.2098723386088155</v>
      </c>
      <c r="AP25" s="156">
        <f>'Revenue Assumptions'!AQ57</f>
        <v>6.2098723386088155</v>
      </c>
      <c r="AQ25" s="156">
        <f>'Revenue Assumptions'!AR57</f>
        <v>6.2098723386088155</v>
      </c>
      <c r="AR25" s="156">
        <f>'Revenue Assumptions'!AS57</f>
        <v>6.2098723386088155</v>
      </c>
      <c r="AS25" s="156">
        <f>'Revenue Assumptions'!AT57</f>
        <v>6.2098723386088155</v>
      </c>
      <c r="AT25" s="156">
        <f>'Revenue Assumptions'!AU57</f>
        <v>6.2098723386088155</v>
      </c>
      <c r="AU25" s="156">
        <f>'Revenue Assumptions'!AV57</f>
        <v>6.2098723386088155</v>
      </c>
      <c r="AV25" s="156">
        <f>'Revenue Assumptions'!AW57</f>
        <v>6.2098723386088155</v>
      </c>
      <c r="AW25" s="156">
        <f>'Revenue Assumptions'!AX57</f>
        <v>17.742492396025185</v>
      </c>
      <c r="AX25" s="156">
        <f>'Revenue Assumptions'!AY57</f>
        <v>17.742492396025185</v>
      </c>
      <c r="AY25" s="156">
        <f>'Revenue Assumptions'!AZ57</f>
        <v>17.742492396025185</v>
      </c>
      <c r="AZ25" s="156">
        <f>'Revenue Assumptions'!BA57</f>
        <v>17.742492396025185</v>
      </c>
      <c r="BA25" s="156">
        <f>'Revenue Assumptions'!BB57</f>
        <v>17.742492396025185</v>
      </c>
      <c r="BB25" s="156">
        <f>'Revenue Assumptions'!BC57</f>
        <v>17.742492396025185</v>
      </c>
      <c r="BC25" s="156">
        <f>'Revenue Assumptions'!BD57</f>
        <v>17.742492396025185</v>
      </c>
      <c r="BD25" s="156">
        <f>'Revenue Assumptions'!BE57</f>
        <v>17.742492396025185</v>
      </c>
      <c r="BE25" s="156">
        <f>'Revenue Assumptions'!BF57</f>
        <v>17.742492396025185</v>
      </c>
      <c r="BF25" s="156">
        <f>'Revenue Assumptions'!BG57</f>
        <v>17.742492396025185</v>
      </c>
      <c r="BG25" s="156">
        <f>'Revenue Assumptions'!BH57</f>
        <v>17.742492396025185</v>
      </c>
      <c r="BH25" s="156">
        <f>'Revenue Assumptions'!BI57</f>
        <v>17.742492396025185</v>
      </c>
      <c r="BI25" s="156">
        <f>'Revenue Assumptions'!BJ57</f>
        <v>36.61149224576625</v>
      </c>
      <c r="BJ25" s="156">
        <f>'Revenue Assumptions'!BK57</f>
        <v>36.61149224576625</v>
      </c>
      <c r="BK25" s="156">
        <f>'Revenue Assumptions'!BL57</f>
        <v>36.61149224576625</v>
      </c>
      <c r="BL25" s="156">
        <f>'Revenue Assumptions'!BM57</f>
        <v>36.61149224576625</v>
      </c>
      <c r="BM25" s="156">
        <f>'Revenue Assumptions'!BN57</f>
        <v>36.61149224576625</v>
      </c>
      <c r="BN25" s="156">
        <f>'Revenue Assumptions'!BO57</f>
        <v>36.61149224576625</v>
      </c>
      <c r="BO25" s="156">
        <f>'Revenue Assumptions'!BP57</f>
        <v>36.61149224576625</v>
      </c>
      <c r="BP25" s="156">
        <f>'Revenue Assumptions'!BQ57</f>
        <v>36.61149224576625</v>
      </c>
      <c r="BQ25" s="156">
        <f>'Revenue Assumptions'!BR57</f>
        <v>36.61149224576625</v>
      </c>
      <c r="BR25" s="156">
        <f>'Revenue Assumptions'!BS57</f>
        <v>36.61149224576625</v>
      </c>
      <c r="BS25" s="156">
        <f>'Revenue Assumptions'!BT57</f>
        <v>36.61149224576625</v>
      </c>
      <c r="BT25" s="156">
        <f>'Revenue Assumptions'!BU57</f>
        <v>36.61149224576625</v>
      </c>
      <c r="BU25" s="156">
        <f>'Revenue Assumptions'!BV57</f>
        <v>75.100496914392323</v>
      </c>
      <c r="BV25" s="156">
        <f>'Revenue Assumptions'!BW57</f>
        <v>75.100496914392323</v>
      </c>
      <c r="BW25" s="156">
        <f>'Revenue Assumptions'!BX57</f>
        <v>75.100496914392323</v>
      </c>
      <c r="BX25" s="156">
        <f>'Revenue Assumptions'!BY57</f>
        <v>75.100496914392323</v>
      </c>
      <c r="BY25" s="156">
        <f>'Revenue Assumptions'!BZ57</f>
        <v>75.100496914392323</v>
      </c>
      <c r="BZ25" s="156">
        <f>'Revenue Assumptions'!CA57</f>
        <v>75.100496914392323</v>
      </c>
      <c r="CA25" s="156">
        <f>'Revenue Assumptions'!CB57</f>
        <v>75.100496914392323</v>
      </c>
      <c r="CB25" s="156">
        <f>'Revenue Assumptions'!CC57</f>
        <v>75.100496914392323</v>
      </c>
      <c r="CC25" s="156">
        <f>'Revenue Assumptions'!CD57</f>
        <v>75.100496914392323</v>
      </c>
      <c r="CD25" s="156">
        <f>'Revenue Assumptions'!CE57</f>
        <v>75.100496914392323</v>
      </c>
      <c r="CE25" s="156">
        <f>'Revenue Assumptions'!CF57</f>
        <v>75.100496914392323</v>
      </c>
      <c r="CF25" s="156">
        <f>'Revenue Assumptions'!CG57</f>
        <v>75.100496914392323</v>
      </c>
    </row>
    <row r="26" spans="4:84" outlineLevel="1">
      <c r="E26" s="64" t="s">
        <v>261</v>
      </c>
      <c r="L26" s="88"/>
      <c r="M26" s="156">
        <f>'Revenue Assumptions'!N72</f>
        <v>0</v>
      </c>
      <c r="N26" s="156">
        <f>'Revenue Assumptions'!O72</f>
        <v>0</v>
      </c>
      <c r="O26" s="156">
        <f>'Revenue Assumptions'!P72</f>
        <v>0</v>
      </c>
      <c r="P26" s="156">
        <f>'Revenue Assumptions'!Q72</f>
        <v>0</v>
      </c>
      <c r="Q26" s="156">
        <f>'Revenue Assumptions'!R72</f>
        <v>0</v>
      </c>
      <c r="R26" s="156">
        <f>'Revenue Assumptions'!S72</f>
        <v>21</v>
      </c>
      <c r="S26" s="156">
        <f>'Revenue Assumptions'!T72</f>
        <v>42</v>
      </c>
      <c r="T26" s="156">
        <f>'Revenue Assumptions'!U72</f>
        <v>63</v>
      </c>
      <c r="U26" s="156">
        <f>'Revenue Assumptions'!V72</f>
        <v>84</v>
      </c>
      <c r="V26" s="156">
        <f>'Revenue Assumptions'!W72</f>
        <v>105</v>
      </c>
      <c r="W26" s="156">
        <f>'Revenue Assumptions'!X72</f>
        <v>126</v>
      </c>
      <c r="X26" s="156">
        <f>'Revenue Assumptions'!Y72</f>
        <v>147</v>
      </c>
      <c r="Y26" s="156">
        <f>'Revenue Assumptions'!Z72</f>
        <v>196</v>
      </c>
      <c r="Z26" s="156">
        <f>'Revenue Assumptions'!AA72</f>
        <v>245</v>
      </c>
      <c r="AA26" s="156">
        <f>'Revenue Assumptions'!AB72</f>
        <v>294</v>
      </c>
      <c r="AB26" s="156">
        <f>'Revenue Assumptions'!AC72</f>
        <v>343</v>
      </c>
      <c r="AC26" s="156">
        <f>'Revenue Assumptions'!AD72</f>
        <v>392</v>
      </c>
      <c r="AD26" s="156">
        <f>'Revenue Assumptions'!AE72</f>
        <v>441</v>
      </c>
      <c r="AE26" s="156">
        <f>'Revenue Assumptions'!AF72</f>
        <v>490</v>
      </c>
      <c r="AF26" s="156">
        <f>'Revenue Assumptions'!AG72</f>
        <v>539</v>
      </c>
      <c r="AG26" s="156">
        <f>'Revenue Assumptions'!AH72</f>
        <v>588</v>
      </c>
      <c r="AH26" s="156">
        <f>'Revenue Assumptions'!AI72</f>
        <v>637</v>
      </c>
      <c r="AI26" s="156">
        <f>'Revenue Assumptions'!AJ72</f>
        <v>686</v>
      </c>
      <c r="AJ26" s="156">
        <f>'Revenue Assumptions'!AK72</f>
        <v>735</v>
      </c>
      <c r="AK26" s="156">
        <f>'Revenue Assumptions'!AL72</f>
        <v>875</v>
      </c>
      <c r="AL26" s="156">
        <f>'Revenue Assumptions'!AM72</f>
        <v>1015</v>
      </c>
      <c r="AM26" s="156">
        <f>'Revenue Assumptions'!AN72</f>
        <v>1155</v>
      </c>
      <c r="AN26" s="156">
        <f>'Revenue Assumptions'!AO72</f>
        <v>1295</v>
      </c>
      <c r="AO26" s="156">
        <f>'Revenue Assumptions'!AP72</f>
        <v>1435</v>
      </c>
      <c r="AP26" s="156">
        <f>'Revenue Assumptions'!AQ72</f>
        <v>1575</v>
      </c>
      <c r="AQ26" s="156">
        <f>'Revenue Assumptions'!AR72</f>
        <v>1715</v>
      </c>
      <c r="AR26" s="156">
        <f>'Revenue Assumptions'!AS72</f>
        <v>1855</v>
      </c>
      <c r="AS26" s="156">
        <f>'Revenue Assumptions'!AT72</f>
        <v>1995</v>
      </c>
      <c r="AT26" s="156">
        <f>'Revenue Assumptions'!AU72</f>
        <v>2135</v>
      </c>
      <c r="AU26" s="156">
        <f>'Revenue Assumptions'!AV72</f>
        <v>2275</v>
      </c>
      <c r="AV26" s="156">
        <f>'Revenue Assumptions'!AW72</f>
        <v>2415</v>
      </c>
      <c r="AW26" s="156">
        <f>'Revenue Assumptions'!AX72</f>
        <v>2735</v>
      </c>
      <c r="AX26" s="156">
        <f>'Revenue Assumptions'!AY72</f>
        <v>3055</v>
      </c>
      <c r="AY26" s="156">
        <f>'Revenue Assumptions'!AZ72</f>
        <v>3375</v>
      </c>
      <c r="AZ26" s="156">
        <f>'Revenue Assumptions'!BA72</f>
        <v>3695</v>
      </c>
      <c r="BA26" s="156">
        <f>'Revenue Assumptions'!BB72</f>
        <v>4015</v>
      </c>
      <c r="BB26" s="156">
        <f>'Revenue Assumptions'!BC72</f>
        <v>4335</v>
      </c>
      <c r="BC26" s="156">
        <f>'Revenue Assumptions'!BD72</f>
        <v>4655</v>
      </c>
      <c r="BD26" s="156">
        <f>'Revenue Assumptions'!BE72</f>
        <v>4975</v>
      </c>
      <c r="BE26" s="156">
        <f>'Revenue Assumptions'!BF72</f>
        <v>5295</v>
      </c>
      <c r="BF26" s="156">
        <f>'Revenue Assumptions'!BG72</f>
        <v>5615</v>
      </c>
      <c r="BG26" s="156">
        <f>'Revenue Assumptions'!BH72</f>
        <v>5935</v>
      </c>
      <c r="BH26" s="156">
        <f>'Revenue Assumptions'!BI72</f>
        <v>6255</v>
      </c>
      <c r="BI26" s="156">
        <f>'Revenue Assumptions'!BJ72</f>
        <v>6916</v>
      </c>
      <c r="BJ26" s="156">
        <f>'Revenue Assumptions'!BK72</f>
        <v>7577</v>
      </c>
      <c r="BK26" s="156">
        <f>'Revenue Assumptions'!BL72</f>
        <v>8238</v>
      </c>
      <c r="BL26" s="156">
        <f>'Revenue Assumptions'!BM72</f>
        <v>8899</v>
      </c>
      <c r="BM26" s="156">
        <f>'Revenue Assumptions'!BN72</f>
        <v>9560</v>
      </c>
      <c r="BN26" s="156">
        <f>'Revenue Assumptions'!BO72</f>
        <v>10221</v>
      </c>
      <c r="BO26" s="156">
        <f>'Revenue Assumptions'!BP72</f>
        <v>10882</v>
      </c>
      <c r="BP26" s="156">
        <f>'Revenue Assumptions'!BQ72</f>
        <v>11543</v>
      </c>
      <c r="BQ26" s="156">
        <f>'Revenue Assumptions'!BR72</f>
        <v>12204</v>
      </c>
      <c r="BR26" s="156">
        <f>'Revenue Assumptions'!BS72</f>
        <v>12865</v>
      </c>
      <c r="BS26" s="156">
        <f>'Revenue Assumptions'!BT72</f>
        <v>13526</v>
      </c>
      <c r="BT26" s="156">
        <f>'Revenue Assumptions'!BU72</f>
        <v>14187</v>
      </c>
      <c r="BU26" s="156">
        <f>'Revenue Assumptions'!BV72</f>
        <v>15541</v>
      </c>
      <c r="BV26" s="156">
        <f>'Revenue Assumptions'!BW72</f>
        <v>16895</v>
      </c>
      <c r="BW26" s="156">
        <f>'Revenue Assumptions'!BX72</f>
        <v>18249</v>
      </c>
      <c r="BX26" s="156">
        <f>'Revenue Assumptions'!BY72</f>
        <v>19603</v>
      </c>
      <c r="BY26" s="156">
        <f>'Revenue Assumptions'!BZ72</f>
        <v>20957</v>
      </c>
      <c r="BZ26" s="156">
        <f>'Revenue Assumptions'!CA72</f>
        <v>22311</v>
      </c>
      <c r="CA26" s="156">
        <f>'Revenue Assumptions'!CB72</f>
        <v>23665</v>
      </c>
      <c r="CB26" s="156">
        <f>'Revenue Assumptions'!CC72</f>
        <v>25019</v>
      </c>
      <c r="CC26" s="156">
        <f>'Revenue Assumptions'!CD72</f>
        <v>26373</v>
      </c>
      <c r="CD26" s="156">
        <f>'Revenue Assumptions'!CE72</f>
        <v>27727</v>
      </c>
      <c r="CE26" s="156">
        <f>'Revenue Assumptions'!CF72</f>
        <v>29081</v>
      </c>
      <c r="CF26" s="156">
        <f>'Revenue Assumptions'!CG72</f>
        <v>30435</v>
      </c>
    </row>
    <row r="27" spans="4:84" outlineLevel="1">
      <c r="L27" s="88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</row>
    <row r="28" spans="4:84" outlineLevel="1">
      <c r="E28" s="154" t="s">
        <v>258</v>
      </c>
      <c r="F28" s="154"/>
      <c r="G28" s="154"/>
      <c r="H28" s="154"/>
      <c r="I28" s="154"/>
      <c r="K28" s="76" t="s">
        <v>178</v>
      </c>
      <c r="L28" s="88"/>
      <c r="M28" s="162">
        <f>IFERROR(M20/M25,0)</f>
        <v>0</v>
      </c>
      <c r="N28" s="162">
        <f t="shared" ref="N28:BY28" si="6">IFERROR(N20/N25,0)</f>
        <v>0</v>
      </c>
      <c r="O28" s="162">
        <f t="shared" si="6"/>
        <v>0</v>
      </c>
      <c r="P28" s="162">
        <f t="shared" si="6"/>
        <v>0</v>
      </c>
      <c r="Q28" s="162">
        <f t="shared" si="6"/>
        <v>0</v>
      </c>
      <c r="R28" s="162">
        <f t="shared" si="6"/>
        <v>8763.75</v>
      </c>
      <c r="S28" s="162">
        <f t="shared" si="6"/>
        <v>8763.75</v>
      </c>
      <c r="T28" s="162">
        <f t="shared" si="6"/>
        <v>8763.75</v>
      </c>
      <c r="U28" s="162">
        <f t="shared" si="6"/>
        <v>8763.75</v>
      </c>
      <c r="V28" s="162">
        <f t="shared" si="6"/>
        <v>8763.75</v>
      </c>
      <c r="W28" s="162">
        <f t="shared" si="6"/>
        <v>8763.75</v>
      </c>
      <c r="X28" s="162">
        <f t="shared" si="6"/>
        <v>8763.75</v>
      </c>
      <c r="Y28" s="162">
        <f t="shared" si="6"/>
        <v>6134.625</v>
      </c>
      <c r="Z28" s="162">
        <f t="shared" si="6"/>
        <v>6134.625</v>
      </c>
      <c r="AA28" s="162">
        <f t="shared" si="6"/>
        <v>6134.625</v>
      </c>
      <c r="AB28" s="162">
        <f t="shared" si="6"/>
        <v>6134.625</v>
      </c>
      <c r="AC28" s="162">
        <f>IFERROR(AC20/AC25,0)</f>
        <v>6134.625</v>
      </c>
      <c r="AD28" s="162">
        <f t="shared" si="6"/>
        <v>6134.625</v>
      </c>
      <c r="AE28" s="162">
        <f t="shared" si="6"/>
        <v>6134.625</v>
      </c>
      <c r="AF28" s="162">
        <f t="shared" si="6"/>
        <v>6134.625</v>
      </c>
      <c r="AG28" s="162">
        <f t="shared" si="6"/>
        <v>6134.625</v>
      </c>
      <c r="AH28" s="162">
        <f t="shared" si="6"/>
        <v>6134.625</v>
      </c>
      <c r="AI28" s="162">
        <f t="shared" si="6"/>
        <v>6134.625</v>
      </c>
      <c r="AJ28" s="162">
        <f t="shared" si="6"/>
        <v>6134.625</v>
      </c>
      <c r="AK28" s="162">
        <f t="shared" si="6"/>
        <v>3864.8137499999989</v>
      </c>
      <c r="AL28" s="162">
        <f t="shared" si="6"/>
        <v>3864.8137499999989</v>
      </c>
      <c r="AM28" s="162">
        <f t="shared" si="6"/>
        <v>3864.8137499999989</v>
      </c>
      <c r="AN28" s="162">
        <f t="shared" si="6"/>
        <v>3864.8137499999989</v>
      </c>
      <c r="AO28" s="162">
        <f t="shared" si="6"/>
        <v>3864.8137499999989</v>
      </c>
      <c r="AP28" s="162">
        <f t="shared" si="6"/>
        <v>3864.8137499999989</v>
      </c>
      <c r="AQ28" s="162">
        <f t="shared" si="6"/>
        <v>3864.8137499999989</v>
      </c>
      <c r="AR28" s="162">
        <f t="shared" si="6"/>
        <v>3864.8137499999989</v>
      </c>
      <c r="AS28" s="162">
        <f t="shared" si="6"/>
        <v>3864.8137499999989</v>
      </c>
      <c r="AT28" s="162">
        <f t="shared" si="6"/>
        <v>3864.8137499999989</v>
      </c>
      <c r="AU28" s="162">
        <f t="shared" si="6"/>
        <v>3864.8137499999989</v>
      </c>
      <c r="AV28" s="162">
        <f t="shared" si="6"/>
        <v>3864.8137499999989</v>
      </c>
      <c r="AW28" s="162">
        <f t="shared" si="6"/>
        <v>2705.3696249999998</v>
      </c>
      <c r="AX28" s="162">
        <f t="shared" si="6"/>
        <v>2705.3696249999998</v>
      </c>
      <c r="AY28" s="162">
        <f t="shared" si="6"/>
        <v>2705.3696249999998</v>
      </c>
      <c r="AZ28" s="162">
        <f t="shared" si="6"/>
        <v>2705.3696249999998</v>
      </c>
      <c r="BA28" s="162">
        <f t="shared" si="6"/>
        <v>2705.3696249999998</v>
      </c>
      <c r="BB28" s="162">
        <f t="shared" si="6"/>
        <v>2705.3696249999998</v>
      </c>
      <c r="BC28" s="162">
        <f t="shared" si="6"/>
        <v>2705.3696249999998</v>
      </c>
      <c r="BD28" s="162">
        <f t="shared" si="6"/>
        <v>2705.3696249999998</v>
      </c>
      <c r="BE28" s="162">
        <f t="shared" si="6"/>
        <v>2705.3696249999998</v>
      </c>
      <c r="BF28" s="162">
        <f t="shared" si="6"/>
        <v>2705.3696249999998</v>
      </c>
      <c r="BG28" s="162">
        <f t="shared" si="6"/>
        <v>2705.3696249999998</v>
      </c>
      <c r="BH28" s="162">
        <f t="shared" si="6"/>
        <v>2705.3696249999998</v>
      </c>
      <c r="BI28" s="162">
        <f t="shared" si="6"/>
        <v>2622.1274826923077</v>
      </c>
      <c r="BJ28" s="162">
        <f t="shared" si="6"/>
        <v>2622.1274826923077</v>
      </c>
      <c r="BK28" s="162">
        <f t="shared" si="6"/>
        <v>2622.1274826923077</v>
      </c>
      <c r="BL28" s="162">
        <f t="shared" si="6"/>
        <v>2622.1274826923077</v>
      </c>
      <c r="BM28" s="162">
        <f t="shared" si="6"/>
        <v>2622.1274826923077</v>
      </c>
      <c r="BN28" s="162">
        <f t="shared" si="6"/>
        <v>2622.1274826923077</v>
      </c>
      <c r="BO28" s="162">
        <f t="shared" si="6"/>
        <v>2622.1274826923077</v>
      </c>
      <c r="BP28" s="162">
        <f t="shared" si="6"/>
        <v>2622.1274826923077</v>
      </c>
      <c r="BQ28" s="162">
        <f t="shared" si="6"/>
        <v>2622.1274826923077</v>
      </c>
      <c r="BR28" s="162">
        <f t="shared" si="6"/>
        <v>2622.1274826923077</v>
      </c>
      <c r="BS28" s="162">
        <f t="shared" si="6"/>
        <v>2622.1274826923077</v>
      </c>
      <c r="BT28" s="162">
        <f t="shared" si="6"/>
        <v>2622.1274826923077</v>
      </c>
      <c r="BU28" s="162">
        <f t="shared" si="6"/>
        <v>2556.5742956249996</v>
      </c>
      <c r="BV28" s="162">
        <f t="shared" si="6"/>
        <v>2556.5742956249996</v>
      </c>
      <c r="BW28" s="162">
        <f t="shared" si="6"/>
        <v>2556.5742956249996</v>
      </c>
      <c r="BX28" s="162">
        <f t="shared" si="6"/>
        <v>2556.5742956249996</v>
      </c>
      <c r="BY28" s="162">
        <f t="shared" si="6"/>
        <v>2556.5742956249996</v>
      </c>
      <c r="BZ28" s="162">
        <f t="shared" ref="BZ28:CF28" si="7">IFERROR(BZ20/BZ25,0)</f>
        <v>2556.5742956249996</v>
      </c>
      <c r="CA28" s="162">
        <f t="shared" si="7"/>
        <v>2556.5742956249996</v>
      </c>
      <c r="CB28" s="162">
        <f t="shared" si="7"/>
        <v>2556.5742956249996</v>
      </c>
      <c r="CC28" s="162">
        <f t="shared" si="7"/>
        <v>2556.5742956249996</v>
      </c>
      <c r="CD28" s="162">
        <f t="shared" si="7"/>
        <v>2556.5742956249996</v>
      </c>
      <c r="CE28" s="162">
        <f t="shared" si="7"/>
        <v>2556.5742956249996</v>
      </c>
      <c r="CF28" s="162">
        <f t="shared" si="7"/>
        <v>2556.5742956249996</v>
      </c>
    </row>
    <row r="29" spans="4:84" outlineLevel="1">
      <c r="E29" s="154" t="s">
        <v>259</v>
      </c>
      <c r="F29" s="154"/>
      <c r="G29" s="154"/>
      <c r="H29" s="154"/>
      <c r="I29" s="154"/>
      <c r="K29" s="76" t="s">
        <v>178</v>
      </c>
      <c r="L29" s="88"/>
      <c r="M29" s="162">
        <f>IFERROR(M21/M26,0)</f>
        <v>0</v>
      </c>
      <c r="N29" s="162">
        <f t="shared" ref="N29:BY29" si="8">IFERROR(N21/N26,0)</f>
        <v>0</v>
      </c>
      <c r="O29" s="162">
        <f t="shared" si="8"/>
        <v>0</v>
      </c>
      <c r="P29" s="162">
        <f t="shared" si="8"/>
        <v>0</v>
      </c>
      <c r="Q29" s="162">
        <f t="shared" si="8"/>
        <v>0</v>
      </c>
      <c r="R29" s="162">
        <f t="shared" si="8"/>
        <v>428.57142857142856</v>
      </c>
      <c r="S29" s="162">
        <f t="shared" si="8"/>
        <v>214.28571428571428</v>
      </c>
      <c r="T29" s="162">
        <f t="shared" si="8"/>
        <v>142.85714285714286</v>
      </c>
      <c r="U29" s="162">
        <f t="shared" si="8"/>
        <v>107.14285714285714</v>
      </c>
      <c r="V29" s="162">
        <f t="shared" si="8"/>
        <v>85.714285714285708</v>
      </c>
      <c r="W29" s="162">
        <f t="shared" si="8"/>
        <v>71.428571428571431</v>
      </c>
      <c r="X29" s="162">
        <f t="shared" si="8"/>
        <v>61.224489795918366</v>
      </c>
      <c r="Y29" s="162">
        <f t="shared" si="8"/>
        <v>91.836734693877546</v>
      </c>
      <c r="Z29" s="162">
        <f t="shared" si="8"/>
        <v>73.469387755102048</v>
      </c>
      <c r="AA29" s="162">
        <f t="shared" si="8"/>
        <v>61.224489795918366</v>
      </c>
      <c r="AB29" s="162">
        <f t="shared" si="8"/>
        <v>52.478134110787174</v>
      </c>
      <c r="AC29" s="162">
        <f t="shared" si="8"/>
        <v>45.918367346938773</v>
      </c>
      <c r="AD29" s="162">
        <f t="shared" si="8"/>
        <v>40.816326530612244</v>
      </c>
      <c r="AE29" s="162">
        <f t="shared" si="8"/>
        <v>36.734693877551024</v>
      </c>
      <c r="AF29" s="162">
        <f t="shared" si="8"/>
        <v>33.395176252319111</v>
      </c>
      <c r="AG29" s="162">
        <f t="shared" si="8"/>
        <v>30.612244897959183</v>
      </c>
      <c r="AH29" s="162">
        <f t="shared" si="8"/>
        <v>28.257456828885399</v>
      </c>
      <c r="AI29" s="162">
        <f t="shared" si="8"/>
        <v>26.239067055393587</v>
      </c>
      <c r="AJ29" s="162">
        <f t="shared" si="8"/>
        <v>24.489795918367346</v>
      </c>
      <c r="AK29" s="162">
        <f t="shared" si="8"/>
        <v>41.142857142857146</v>
      </c>
      <c r="AL29" s="162">
        <f t="shared" si="8"/>
        <v>35.467980295566505</v>
      </c>
      <c r="AM29" s="162">
        <f t="shared" si="8"/>
        <v>31.168831168831169</v>
      </c>
      <c r="AN29" s="162">
        <f t="shared" si="8"/>
        <v>27.799227799227801</v>
      </c>
      <c r="AO29" s="162">
        <f t="shared" si="8"/>
        <v>25.087108013937282</v>
      </c>
      <c r="AP29" s="162">
        <f t="shared" si="8"/>
        <v>22.857142857142858</v>
      </c>
      <c r="AQ29" s="162">
        <f t="shared" si="8"/>
        <v>20.99125364431487</v>
      </c>
      <c r="AR29" s="162">
        <f t="shared" si="8"/>
        <v>19.40700808625337</v>
      </c>
      <c r="AS29" s="162">
        <f t="shared" si="8"/>
        <v>18.045112781954888</v>
      </c>
      <c r="AT29" s="162">
        <f t="shared" si="8"/>
        <v>16.861826697892273</v>
      </c>
      <c r="AU29" s="162">
        <f t="shared" si="8"/>
        <v>15.824175824175825</v>
      </c>
      <c r="AV29" s="162">
        <f t="shared" si="8"/>
        <v>14.906832298136646</v>
      </c>
      <c r="AW29" s="162">
        <f t="shared" si="8"/>
        <v>26.325411334552104</v>
      </c>
      <c r="AX29" s="162">
        <f t="shared" si="8"/>
        <v>23.567921440261866</v>
      </c>
      <c r="AY29" s="162">
        <f t="shared" si="8"/>
        <v>21.333333333333332</v>
      </c>
      <c r="AZ29" s="162">
        <f t="shared" si="8"/>
        <v>19.485791610284167</v>
      </c>
      <c r="BA29" s="162">
        <f t="shared" si="8"/>
        <v>17.932752179327522</v>
      </c>
      <c r="BB29" s="162">
        <f t="shared" si="8"/>
        <v>16.608996539792386</v>
      </c>
      <c r="BC29" s="162">
        <f t="shared" si="8"/>
        <v>15.467239527389903</v>
      </c>
      <c r="BD29" s="162">
        <f t="shared" si="8"/>
        <v>14.472361809045227</v>
      </c>
      <c r="BE29" s="162">
        <f t="shared" si="8"/>
        <v>13.597733711048159</v>
      </c>
      <c r="BF29" s="162">
        <f t="shared" si="8"/>
        <v>12.822796081923419</v>
      </c>
      <c r="BG29" s="162">
        <f t="shared" si="8"/>
        <v>12.131423757371525</v>
      </c>
      <c r="BH29" s="162">
        <f t="shared" si="8"/>
        <v>11.510791366906474</v>
      </c>
      <c r="BI29" s="162">
        <f t="shared" si="8"/>
        <v>20.821283979178716</v>
      </c>
      <c r="BJ29" s="162">
        <f t="shared" si="8"/>
        <v>19.004883199155337</v>
      </c>
      <c r="BK29" s="162">
        <f t="shared" si="8"/>
        <v>17.479970866715224</v>
      </c>
      <c r="BL29" s="162">
        <f t="shared" si="8"/>
        <v>16.181593437464883</v>
      </c>
      <c r="BM29" s="162">
        <f t="shared" si="8"/>
        <v>15.06276150627615</v>
      </c>
      <c r="BN29" s="162">
        <f t="shared" si="8"/>
        <v>14.08864103316701</v>
      </c>
      <c r="BO29" s="162">
        <f t="shared" si="8"/>
        <v>13.232861606322368</v>
      </c>
      <c r="BP29" s="162">
        <f t="shared" si="8"/>
        <v>12.475093130035519</v>
      </c>
      <c r="BQ29" s="162">
        <f t="shared" si="8"/>
        <v>11.799410029498524</v>
      </c>
      <c r="BR29" s="162">
        <f t="shared" si="8"/>
        <v>11.193159735717062</v>
      </c>
      <c r="BS29" s="162">
        <f t="shared" si="8"/>
        <v>10.646162945438414</v>
      </c>
      <c r="BT29" s="162">
        <f t="shared" si="8"/>
        <v>10.150137449777965</v>
      </c>
      <c r="BU29" s="162">
        <f t="shared" si="8"/>
        <v>18.53162602149154</v>
      </c>
      <c r="BV29" s="162">
        <f t="shared" si="8"/>
        <v>17.046463450725067</v>
      </c>
      <c r="BW29" s="162">
        <f t="shared" si="8"/>
        <v>15.781686667762617</v>
      </c>
      <c r="BX29" s="162">
        <f t="shared" si="8"/>
        <v>14.691628832321584</v>
      </c>
      <c r="BY29" s="162">
        <f t="shared" si="8"/>
        <v>13.742424965405354</v>
      </c>
      <c r="BZ29" s="162">
        <f t="shared" ref="BZ29:CF29" si="9">IFERROR(BZ21/BZ26,0)</f>
        <v>12.90843081887858</v>
      </c>
      <c r="CA29" s="162">
        <f t="shared" si="9"/>
        <v>12.169871117684345</v>
      </c>
      <c r="CB29" s="162">
        <f t="shared" si="9"/>
        <v>11.511251448898836</v>
      </c>
      <c r="CC29" s="162">
        <f t="shared" si="9"/>
        <v>10.920259356159709</v>
      </c>
      <c r="CD29" s="162">
        <f t="shared" si="9"/>
        <v>10.386987412990948</v>
      </c>
      <c r="CE29" s="162">
        <f t="shared" si="9"/>
        <v>9.9033733365427601</v>
      </c>
      <c r="CF29" s="162">
        <f t="shared" si="9"/>
        <v>9.462789551503203</v>
      </c>
    </row>
    <row r="30" spans="4:84"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</row>
    <row r="31" spans="4:84" ht="13.8" thickBot="1">
      <c r="D31" s="65" t="s">
        <v>179</v>
      </c>
      <c r="E31" s="65"/>
      <c r="F31" s="65"/>
      <c r="G31" s="65"/>
      <c r="H31" s="65"/>
      <c r="I31" s="65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</row>
    <row r="32" spans="4:84" ht="13.8" outlineLevel="1" thickTop="1"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</row>
    <row r="33" spans="4:84" outlineLevel="1">
      <c r="E33" s="73" t="s">
        <v>180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</row>
    <row r="34" spans="4:84" outlineLevel="1">
      <c r="E34" s="68" t="str">
        <f>'Revenue Assumptions'!E79</f>
        <v>Sponsored Listings</v>
      </c>
      <c r="L34" s="167"/>
      <c r="M34" s="165">
        <f>'Revenue Assumptions'!N86</f>
        <v>0</v>
      </c>
      <c r="N34" s="165">
        <f>'Revenue Assumptions'!O86</f>
        <v>0</v>
      </c>
      <c r="O34" s="165">
        <f>'Revenue Assumptions'!P86</f>
        <v>0</v>
      </c>
      <c r="P34" s="165">
        <f>'Revenue Assumptions'!Q86</f>
        <v>0</v>
      </c>
      <c r="Q34" s="165">
        <f>'Revenue Assumptions'!R86</f>
        <v>0</v>
      </c>
      <c r="R34" s="165">
        <f>'Revenue Assumptions'!S86</f>
        <v>164.03936670945657</v>
      </c>
      <c r="S34" s="165">
        <f>'Revenue Assumptions'!T86</f>
        <v>328.07873341891315</v>
      </c>
      <c r="T34" s="165">
        <f>'Revenue Assumptions'!U86</f>
        <v>492.11810012836975</v>
      </c>
      <c r="U34" s="165">
        <f>'Revenue Assumptions'!V86</f>
        <v>656.15746683782629</v>
      </c>
      <c r="V34" s="165">
        <f>'Revenue Assumptions'!W86</f>
        <v>820.19683354728295</v>
      </c>
      <c r="W34" s="165">
        <f>'Revenue Assumptions'!X86</f>
        <v>984.23620025673949</v>
      </c>
      <c r="X34" s="165">
        <f>'Revenue Assumptions'!Y86</f>
        <v>1148.275566966196</v>
      </c>
      <c r="Y34" s="165">
        <f>'Revenue Assumptions'!Z86</f>
        <v>7866.6410416284616</v>
      </c>
      <c r="Z34" s="165">
        <f>'Revenue Assumptions'!AA86</f>
        <v>10524.290042178618</v>
      </c>
      <c r="AA34" s="165">
        <f>'Revenue Assumptions'!AB86</f>
        <v>13181.939042728773</v>
      </c>
      <c r="AB34" s="165">
        <f>'Revenue Assumptions'!AC86</f>
        <v>15839.588043278927</v>
      </c>
      <c r="AC34" s="165">
        <f>'Revenue Assumptions'!AD86</f>
        <v>18497.237043829082</v>
      </c>
      <c r="AD34" s="165">
        <f>'Revenue Assumptions'!AE86</f>
        <v>21154.88604437924</v>
      </c>
      <c r="AE34" s="165">
        <f>'Revenue Assumptions'!AF86</f>
        <v>23812.535044929398</v>
      </c>
      <c r="AF34" s="165">
        <f>'Revenue Assumptions'!AG86</f>
        <v>26470.184045479553</v>
      </c>
      <c r="AG34" s="165">
        <f>'Revenue Assumptions'!AH86</f>
        <v>29127.833046029711</v>
      </c>
      <c r="AH34" s="165">
        <f>'Revenue Assumptions'!AI86</f>
        <v>31785.482046579866</v>
      </c>
      <c r="AI34" s="165">
        <f>'Revenue Assumptions'!AJ86</f>
        <v>34443.131047130024</v>
      </c>
      <c r="AJ34" s="165">
        <f>'Revenue Assumptions'!AK86</f>
        <v>37100.780047680179</v>
      </c>
      <c r="AK34" s="165">
        <f>'Revenue Assumptions'!AL86</f>
        <v>115670.76900613907</v>
      </c>
      <c r="AL34" s="165">
        <f>'Revenue Assumptions'!AM86</f>
        <v>140468.87577130986</v>
      </c>
      <c r="AM34" s="165">
        <f>'Revenue Assumptions'!AN86</f>
        <v>165266.98253648062</v>
      </c>
      <c r="AN34" s="165">
        <f>'Revenue Assumptions'!AO86</f>
        <v>190065.0893016514</v>
      </c>
      <c r="AO34" s="165">
        <f>'Revenue Assumptions'!AP86</f>
        <v>214863.19606682216</v>
      </c>
      <c r="AP34" s="165">
        <f>'Revenue Assumptions'!AQ86</f>
        <v>239661.30283199294</v>
      </c>
      <c r="AQ34" s="165">
        <f>'Revenue Assumptions'!AR86</f>
        <v>264459.40959716367</v>
      </c>
      <c r="AR34" s="165">
        <f>'Revenue Assumptions'!AS86</f>
        <v>289257.51636233449</v>
      </c>
      <c r="AS34" s="165">
        <f>'Revenue Assumptions'!AT86</f>
        <v>314055.62312750524</v>
      </c>
      <c r="AT34" s="165">
        <f>'Revenue Assumptions'!AU86</f>
        <v>338853.72989267606</v>
      </c>
      <c r="AU34" s="165">
        <f>'Revenue Assumptions'!AV86</f>
        <v>363651.83665784681</v>
      </c>
      <c r="AV34" s="165">
        <f>'Revenue Assumptions'!AW86</f>
        <v>388449.94342301763</v>
      </c>
      <c r="AW34" s="165">
        <f>'Revenue Assumptions'!AX86</f>
        <v>612504.37117981631</v>
      </c>
      <c r="AX34" s="165">
        <f>'Revenue Assumptions'!AY86</f>
        <v>706989.10466609546</v>
      </c>
      <c r="AY34" s="165">
        <f>'Revenue Assumptions'!AZ86</f>
        <v>801473.83815237461</v>
      </c>
      <c r="AZ34" s="165">
        <f>'Revenue Assumptions'!BA86</f>
        <v>895958.57163865387</v>
      </c>
      <c r="BA34" s="165">
        <f>'Revenue Assumptions'!BB86</f>
        <v>990443.30512493302</v>
      </c>
      <c r="BB34" s="165">
        <f>'Revenue Assumptions'!BC86</f>
        <v>1084928.0386112123</v>
      </c>
      <c r="BC34" s="165">
        <f>'Revenue Assumptions'!BD86</f>
        <v>1179412.7720974914</v>
      </c>
      <c r="BD34" s="165">
        <f>'Revenue Assumptions'!BE86</f>
        <v>1273897.5055837703</v>
      </c>
      <c r="BE34" s="165">
        <f>'Revenue Assumptions'!BF86</f>
        <v>1368382.2390700497</v>
      </c>
      <c r="BF34" s="165">
        <f>'Revenue Assumptions'!BG86</f>
        <v>1462866.9725563289</v>
      </c>
      <c r="BG34" s="165">
        <f>'Revenue Assumptions'!BH86</f>
        <v>1557351.7060426085</v>
      </c>
      <c r="BH34" s="165">
        <f>'Revenue Assumptions'!BI86</f>
        <v>1651836.4395288876</v>
      </c>
      <c r="BI34" s="165">
        <f>'Revenue Assumptions'!BJ86</f>
        <v>2349359.6384891775</v>
      </c>
      <c r="BJ34" s="165">
        <f>'Revenue Assumptions'!BK86</f>
        <v>2633717.1447208817</v>
      </c>
      <c r="BK34" s="165">
        <f>'Revenue Assumptions'!BL86</f>
        <v>2918074.650952586</v>
      </c>
      <c r="BL34" s="165">
        <f>'Revenue Assumptions'!BM86</f>
        <v>3202432.1571842902</v>
      </c>
      <c r="BM34" s="165">
        <f>'Revenue Assumptions'!BN86</f>
        <v>3486789.6634159945</v>
      </c>
      <c r="BN34" s="165">
        <f>'Revenue Assumptions'!BO86</f>
        <v>3771147.1696476988</v>
      </c>
      <c r="BO34" s="165">
        <f>'Revenue Assumptions'!BP86</f>
        <v>4055504.675879403</v>
      </c>
      <c r="BP34" s="165">
        <f>'Revenue Assumptions'!BQ86</f>
        <v>4339862.1821111077</v>
      </c>
      <c r="BQ34" s="165">
        <f>'Revenue Assumptions'!BR86</f>
        <v>4624219.6883428115</v>
      </c>
      <c r="BR34" s="165">
        <f>'Revenue Assumptions'!BS86</f>
        <v>4908577.1945745163</v>
      </c>
      <c r="BS34" s="165">
        <f>'Revenue Assumptions'!BT86</f>
        <v>5192934.7008062191</v>
      </c>
      <c r="BT34" s="165">
        <f>'Revenue Assumptions'!BU86</f>
        <v>5477292.2070379239</v>
      </c>
      <c r="BU34" s="165">
        <f>'Revenue Assumptions'!BV86</f>
        <v>7273192.6280509438</v>
      </c>
      <c r="BV34" s="165">
        <f>'Revenue Assumptions'!BW86</f>
        <v>7973196.248936329</v>
      </c>
      <c r="BW34" s="165">
        <f>'Revenue Assumptions'!BX86</f>
        <v>8673199.8698217124</v>
      </c>
      <c r="BX34" s="165">
        <f>'Revenue Assumptions'!BY86</f>
        <v>9373203.4907070976</v>
      </c>
      <c r="BY34" s="165">
        <f>'Revenue Assumptions'!BZ86</f>
        <v>10073207.111592483</v>
      </c>
      <c r="BZ34" s="165">
        <f>'Revenue Assumptions'!CA86</f>
        <v>10773210.732477866</v>
      </c>
      <c r="CA34" s="165">
        <f>'Revenue Assumptions'!CB86</f>
        <v>11473214.353363249</v>
      </c>
      <c r="CB34" s="165">
        <f>'Revenue Assumptions'!CC86</f>
        <v>12173217.974248635</v>
      </c>
      <c r="CC34" s="165">
        <f>'Revenue Assumptions'!CD86</f>
        <v>12873221.59513402</v>
      </c>
      <c r="CD34" s="165">
        <f>'Revenue Assumptions'!CE86</f>
        <v>13573225.216019405</v>
      </c>
      <c r="CE34" s="165">
        <f>'Revenue Assumptions'!CF86</f>
        <v>14273228.836904787</v>
      </c>
      <c r="CF34" s="165">
        <f>'Revenue Assumptions'!CG86</f>
        <v>14973232.457790172</v>
      </c>
    </row>
    <row r="35" spans="4:84" outlineLevel="1">
      <c r="E35" s="68" t="str">
        <f>'Revenue Assumptions'!E88</f>
        <v>Ads</v>
      </c>
      <c r="L35" s="167"/>
      <c r="M35" s="165">
        <f>'Revenue Assumptions'!N96</f>
        <v>0</v>
      </c>
      <c r="N35" s="165">
        <f>'Revenue Assumptions'!O96</f>
        <v>0</v>
      </c>
      <c r="O35" s="165">
        <f>'Revenue Assumptions'!P96</f>
        <v>0</v>
      </c>
      <c r="P35" s="165">
        <f>'Revenue Assumptions'!Q96</f>
        <v>0</v>
      </c>
      <c r="Q35" s="165">
        <f>'Revenue Assumptions'!R96</f>
        <v>0</v>
      </c>
      <c r="R35" s="165">
        <f>'Revenue Assumptions'!S96</f>
        <v>9.4500000000000011</v>
      </c>
      <c r="S35" s="165">
        <f>'Revenue Assumptions'!T96</f>
        <v>18.900000000000002</v>
      </c>
      <c r="T35" s="165">
        <f>'Revenue Assumptions'!U96</f>
        <v>28.35</v>
      </c>
      <c r="U35" s="165">
        <f>'Revenue Assumptions'!V96</f>
        <v>37.800000000000004</v>
      </c>
      <c r="V35" s="165">
        <f>'Revenue Assumptions'!W96</f>
        <v>47.25</v>
      </c>
      <c r="W35" s="165">
        <f>'Revenue Assumptions'!X96</f>
        <v>56.7</v>
      </c>
      <c r="X35" s="165">
        <f>'Revenue Assumptions'!Y96</f>
        <v>66.150000000000006</v>
      </c>
      <c r="Y35" s="165">
        <f>'Revenue Assumptions'!Z96</f>
        <v>132.30000000000001</v>
      </c>
      <c r="Z35" s="165">
        <f>'Revenue Assumptions'!AA96</f>
        <v>165.375</v>
      </c>
      <c r="AA35" s="165">
        <f>'Revenue Assumptions'!AB96</f>
        <v>198.45000000000002</v>
      </c>
      <c r="AB35" s="165">
        <f>'Revenue Assumptions'!AC96</f>
        <v>231.52500000000001</v>
      </c>
      <c r="AC35" s="165">
        <f>'Revenue Assumptions'!AD96</f>
        <v>264.60000000000002</v>
      </c>
      <c r="AD35" s="165">
        <f>'Revenue Assumptions'!AE96</f>
        <v>297.67500000000001</v>
      </c>
      <c r="AE35" s="165">
        <f>'Revenue Assumptions'!AF96</f>
        <v>330.75</v>
      </c>
      <c r="AF35" s="165">
        <f>'Revenue Assumptions'!AG96</f>
        <v>363.82499999999999</v>
      </c>
      <c r="AG35" s="165">
        <f>'Revenue Assumptions'!AH96</f>
        <v>396.90000000000003</v>
      </c>
      <c r="AH35" s="165">
        <f>'Revenue Assumptions'!AI96</f>
        <v>429.97500000000002</v>
      </c>
      <c r="AI35" s="165">
        <f>'Revenue Assumptions'!AJ96</f>
        <v>463.05</v>
      </c>
      <c r="AJ35" s="165">
        <f>'Revenue Assumptions'!AK96</f>
        <v>496.125</v>
      </c>
      <c r="AK35" s="165">
        <f>'Revenue Assumptions'!AL96</f>
        <v>787.5</v>
      </c>
      <c r="AL35" s="165">
        <f>'Revenue Assumptions'!AM96</f>
        <v>913.5</v>
      </c>
      <c r="AM35" s="165">
        <f>'Revenue Assumptions'!AN96</f>
        <v>1039.5</v>
      </c>
      <c r="AN35" s="165">
        <f>'Revenue Assumptions'!AO96</f>
        <v>1165.5</v>
      </c>
      <c r="AO35" s="165">
        <f>'Revenue Assumptions'!AP96</f>
        <v>1291.5</v>
      </c>
      <c r="AP35" s="165">
        <f>'Revenue Assumptions'!AQ96</f>
        <v>1417.5</v>
      </c>
      <c r="AQ35" s="165">
        <f>'Revenue Assumptions'!AR96</f>
        <v>1543.5</v>
      </c>
      <c r="AR35" s="165">
        <f>'Revenue Assumptions'!AS96</f>
        <v>1669.5</v>
      </c>
      <c r="AS35" s="165">
        <f>'Revenue Assumptions'!AT96</f>
        <v>1795.5</v>
      </c>
      <c r="AT35" s="165">
        <f>'Revenue Assumptions'!AU96</f>
        <v>1921.5</v>
      </c>
      <c r="AU35" s="165">
        <f>'Revenue Assumptions'!AV96</f>
        <v>2047.5</v>
      </c>
      <c r="AV35" s="165">
        <f>'Revenue Assumptions'!AW96</f>
        <v>2173.5</v>
      </c>
      <c r="AW35" s="165">
        <f>'Revenue Assumptions'!AX96</f>
        <v>3076.875</v>
      </c>
      <c r="AX35" s="165">
        <f>'Revenue Assumptions'!AY96</f>
        <v>3436.875</v>
      </c>
      <c r="AY35" s="165">
        <f>'Revenue Assumptions'!AZ96</f>
        <v>3796.875</v>
      </c>
      <c r="AZ35" s="165">
        <f>'Revenue Assumptions'!BA96</f>
        <v>4156.875</v>
      </c>
      <c r="BA35" s="165">
        <f>'Revenue Assumptions'!BB96</f>
        <v>4516.875</v>
      </c>
      <c r="BB35" s="165">
        <f>'Revenue Assumptions'!BC96</f>
        <v>4876.875</v>
      </c>
      <c r="BC35" s="165">
        <f>'Revenue Assumptions'!BD96</f>
        <v>5236.875</v>
      </c>
      <c r="BD35" s="165">
        <f>'Revenue Assumptions'!BE96</f>
        <v>5596.875</v>
      </c>
      <c r="BE35" s="165">
        <f>'Revenue Assumptions'!BF96</f>
        <v>5956.875</v>
      </c>
      <c r="BF35" s="165">
        <f>'Revenue Assumptions'!BG96</f>
        <v>6316.875</v>
      </c>
      <c r="BG35" s="165">
        <f>'Revenue Assumptions'!BH96</f>
        <v>6676.875</v>
      </c>
      <c r="BH35" s="165">
        <f>'Revenue Assumptions'!BI96</f>
        <v>7036.875</v>
      </c>
      <c r="BI35" s="165">
        <f>'Revenue Assumptions'!BJ96</f>
        <v>9336.6</v>
      </c>
      <c r="BJ35" s="165">
        <f>'Revenue Assumptions'!BK96</f>
        <v>10228.950000000001</v>
      </c>
      <c r="BK35" s="165">
        <f>'Revenue Assumptions'!BL96</f>
        <v>11121.300000000001</v>
      </c>
      <c r="BL35" s="165">
        <f>'Revenue Assumptions'!BM96</f>
        <v>12013.65</v>
      </c>
      <c r="BM35" s="165">
        <f>'Revenue Assumptions'!BN96</f>
        <v>12906</v>
      </c>
      <c r="BN35" s="165">
        <f>'Revenue Assumptions'!BO96</f>
        <v>13798.35</v>
      </c>
      <c r="BO35" s="165">
        <f>'Revenue Assumptions'!BP96</f>
        <v>14690.7</v>
      </c>
      <c r="BP35" s="165">
        <f>'Revenue Assumptions'!BQ96</f>
        <v>15583.050000000001</v>
      </c>
      <c r="BQ35" s="165">
        <f>'Revenue Assumptions'!BR96</f>
        <v>16475.400000000001</v>
      </c>
      <c r="BR35" s="165">
        <f>'Revenue Assumptions'!BS96</f>
        <v>17367.75</v>
      </c>
      <c r="BS35" s="165">
        <f>'Revenue Assumptions'!BT96</f>
        <v>18260.100000000002</v>
      </c>
      <c r="BT35" s="165">
        <f>'Revenue Assumptions'!BU96</f>
        <v>19152.45</v>
      </c>
      <c r="BU35" s="165">
        <f>'Revenue Assumptions'!BV96</f>
        <v>20980.350000000002</v>
      </c>
      <c r="BV35" s="165">
        <f>'Revenue Assumptions'!BW96</f>
        <v>22808.25</v>
      </c>
      <c r="BW35" s="165">
        <f>'Revenue Assumptions'!BX96</f>
        <v>24636.15</v>
      </c>
      <c r="BX35" s="165">
        <f>'Revenue Assumptions'!BY96</f>
        <v>26464.05</v>
      </c>
      <c r="BY35" s="165">
        <f>'Revenue Assumptions'!BZ96</f>
        <v>28291.95</v>
      </c>
      <c r="BZ35" s="165">
        <f>'Revenue Assumptions'!CA96</f>
        <v>30119.850000000002</v>
      </c>
      <c r="CA35" s="165">
        <f>'Revenue Assumptions'!CB96</f>
        <v>31947.75</v>
      </c>
      <c r="CB35" s="165">
        <f>'Revenue Assumptions'!CC96</f>
        <v>33775.65</v>
      </c>
      <c r="CC35" s="165">
        <f>'Revenue Assumptions'!CD96</f>
        <v>35603.550000000003</v>
      </c>
      <c r="CD35" s="165">
        <f>'Revenue Assumptions'!CE96</f>
        <v>37431.450000000004</v>
      </c>
      <c r="CE35" s="165">
        <f>'Revenue Assumptions'!CF96</f>
        <v>39259.35</v>
      </c>
      <c r="CF35" s="165">
        <f>'Revenue Assumptions'!CG96</f>
        <v>41087.25</v>
      </c>
    </row>
    <row r="36" spans="4:84" outlineLevel="1">
      <c r="E36" s="68" t="str">
        <f>'Revenue Assumptions'!E98</f>
        <v>Ordering &amp; Delivery</v>
      </c>
      <c r="L36" s="167"/>
      <c r="M36" s="165">
        <f>'Revenue Assumptions'!N104</f>
        <v>0</v>
      </c>
      <c r="N36" s="165">
        <f>'Revenue Assumptions'!O104</f>
        <v>0</v>
      </c>
      <c r="O36" s="165">
        <f>'Revenue Assumptions'!P104</f>
        <v>0</v>
      </c>
      <c r="P36" s="165">
        <f>'Revenue Assumptions'!Q104</f>
        <v>0</v>
      </c>
      <c r="Q36" s="165">
        <f>'Revenue Assumptions'!R104</f>
        <v>0</v>
      </c>
      <c r="R36" s="165">
        <f>'Revenue Assumptions'!S104</f>
        <v>0</v>
      </c>
      <c r="S36" s="165">
        <f>'Revenue Assumptions'!T104</f>
        <v>0</v>
      </c>
      <c r="T36" s="165">
        <f>'Revenue Assumptions'!U104</f>
        <v>0</v>
      </c>
      <c r="U36" s="165">
        <f>'Revenue Assumptions'!V104</f>
        <v>0</v>
      </c>
      <c r="V36" s="165">
        <f>'Revenue Assumptions'!W104</f>
        <v>0</v>
      </c>
      <c r="W36" s="165">
        <f>'Revenue Assumptions'!X104</f>
        <v>0</v>
      </c>
      <c r="X36" s="165">
        <f>'Revenue Assumptions'!Y104</f>
        <v>0</v>
      </c>
      <c r="Y36" s="165">
        <f>'Revenue Assumptions'!Z104</f>
        <v>0</v>
      </c>
      <c r="Z36" s="165">
        <f>'Revenue Assumptions'!AA104</f>
        <v>0</v>
      </c>
      <c r="AA36" s="165">
        <f>'Revenue Assumptions'!AB104</f>
        <v>0</v>
      </c>
      <c r="AB36" s="165">
        <f>'Revenue Assumptions'!AC104</f>
        <v>0</v>
      </c>
      <c r="AC36" s="165">
        <f>'Revenue Assumptions'!AD104</f>
        <v>0</v>
      </c>
      <c r="AD36" s="165">
        <f>'Revenue Assumptions'!AE104</f>
        <v>1323.0000000000002</v>
      </c>
      <c r="AE36" s="165">
        <f>'Revenue Assumptions'!AF104</f>
        <v>1470</v>
      </c>
      <c r="AF36" s="165">
        <f>'Revenue Assumptions'!AG104</f>
        <v>1617.0000000000002</v>
      </c>
      <c r="AG36" s="165">
        <f>'Revenue Assumptions'!AH104</f>
        <v>1764</v>
      </c>
      <c r="AH36" s="165">
        <f>'Revenue Assumptions'!AI104</f>
        <v>1911.0000000000005</v>
      </c>
      <c r="AI36" s="165">
        <f>'Revenue Assumptions'!AJ104</f>
        <v>2058</v>
      </c>
      <c r="AJ36" s="165">
        <f>'Revenue Assumptions'!AK104</f>
        <v>2205</v>
      </c>
      <c r="AK36" s="165">
        <f>'Revenue Assumptions'!AL104</f>
        <v>3150</v>
      </c>
      <c r="AL36" s="165">
        <f>'Revenue Assumptions'!AM104</f>
        <v>3654</v>
      </c>
      <c r="AM36" s="165">
        <f>'Revenue Assumptions'!AN104</f>
        <v>4158</v>
      </c>
      <c r="AN36" s="165">
        <f>'Revenue Assumptions'!AO104</f>
        <v>4662</v>
      </c>
      <c r="AO36" s="165">
        <f>'Revenue Assumptions'!AP104</f>
        <v>5166</v>
      </c>
      <c r="AP36" s="165">
        <f>'Revenue Assumptions'!AQ104</f>
        <v>5670</v>
      </c>
      <c r="AQ36" s="165">
        <f>'Revenue Assumptions'!AR104</f>
        <v>6174</v>
      </c>
      <c r="AR36" s="165">
        <f>'Revenue Assumptions'!AS104</f>
        <v>6678</v>
      </c>
      <c r="AS36" s="165">
        <f>'Revenue Assumptions'!AT104</f>
        <v>7182</v>
      </c>
      <c r="AT36" s="165">
        <f>'Revenue Assumptions'!AU104</f>
        <v>7686</v>
      </c>
      <c r="AU36" s="165">
        <f>'Revenue Assumptions'!AV104</f>
        <v>8190</v>
      </c>
      <c r="AV36" s="165">
        <f>'Revenue Assumptions'!AW104</f>
        <v>8694</v>
      </c>
      <c r="AW36" s="165">
        <f>'Revenue Assumptions'!AX104</f>
        <v>11487</v>
      </c>
      <c r="AX36" s="165">
        <f>'Revenue Assumptions'!AY104</f>
        <v>12831</v>
      </c>
      <c r="AY36" s="165">
        <f>'Revenue Assumptions'!AZ104</f>
        <v>14175</v>
      </c>
      <c r="AZ36" s="165">
        <f>'Revenue Assumptions'!BA104</f>
        <v>15519</v>
      </c>
      <c r="BA36" s="165">
        <f>'Revenue Assumptions'!BB104</f>
        <v>16863</v>
      </c>
      <c r="BB36" s="165">
        <f>'Revenue Assumptions'!BC104</f>
        <v>18207</v>
      </c>
      <c r="BC36" s="165">
        <f>'Revenue Assumptions'!BD104</f>
        <v>19551</v>
      </c>
      <c r="BD36" s="165">
        <f>'Revenue Assumptions'!BE104</f>
        <v>20895</v>
      </c>
      <c r="BE36" s="165">
        <f>'Revenue Assumptions'!BF104</f>
        <v>22239</v>
      </c>
      <c r="BF36" s="165">
        <f>'Revenue Assumptions'!BG104</f>
        <v>23583</v>
      </c>
      <c r="BG36" s="165">
        <f>'Revenue Assumptions'!BH104</f>
        <v>24927</v>
      </c>
      <c r="BH36" s="165">
        <f>'Revenue Assumptions'!BI104</f>
        <v>26271</v>
      </c>
      <c r="BI36" s="165">
        <f>'Revenue Assumptions'!BJ104</f>
        <v>29047.200000000001</v>
      </c>
      <c r="BJ36" s="165">
        <f>'Revenue Assumptions'!BK104</f>
        <v>31823.400000000009</v>
      </c>
      <c r="BK36" s="165">
        <f>'Revenue Assumptions'!BL104</f>
        <v>34599.599999999999</v>
      </c>
      <c r="BL36" s="165">
        <f>'Revenue Assumptions'!BM104</f>
        <v>37375.80000000001</v>
      </c>
      <c r="BM36" s="165">
        <f>'Revenue Assumptions'!BN104</f>
        <v>40152</v>
      </c>
      <c r="BN36" s="165">
        <f>'Revenue Assumptions'!BO104</f>
        <v>42928.200000000004</v>
      </c>
      <c r="BO36" s="165">
        <f>'Revenue Assumptions'!BP104</f>
        <v>45704.400000000009</v>
      </c>
      <c r="BP36" s="165">
        <f>'Revenue Assumptions'!BQ104</f>
        <v>48480.6</v>
      </c>
      <c r="BQ36" s="165">
        <f>'Revenue Assumptions'!BR104</f>
        <v>51256.80000000001</v>
      </c>
      <c r="BR36" s="165">
        <f>'Revenue Assumptions'!BS104</f>
        <v>54033</v>
      </c>
      <c r="BS36" s="165">
        <f>'Revenue Assumptions'!BT104</f>
        <v>56809.200000000004</v>
      </c>
      <c r="BT36" s="165">
        <f>'Revenue Assumptions'!BU104</f>
        <v>59585.4</v>
      </c>
      <c r="BU36" s="165">
        <f>'Revenue Assumptions'!BV104</f>
        <v>65272.200000000004</v>
      </c>
      <c r="BV36" s="165">
        <f>'Revenue Assumptions'!BW104</f>
        <v>70959</v>
      </c>
      <c r="BW36" s="165">
        <f>'Revenue Assumptions'!BX104</f>
        <v>76645.800000000017</v>
      </c>
      <c r="BX36" s="165">
        <f>'Revenue Assumptions'!BY104</f>
        <v>82332.60000000002</v>
      </c>
      <c r="BY36" s="165">
        <f>'Revenue Assumptions'!BZ104</f>
        <v>88019.400000000009</v>
      </c>
      <c r="BZ36" s="165">
        <f>'Revenue Assumptions'!CA104</f>
        <v>93706.2</v>
      </c>
      <c r="CA36" s="165">
        <f>'Revenue Assumptions'!CB104</f>
        <v>99393</v>
      </c>
      <c r="CB36" s="165">
        <f>'Revenue Assumptions'!CC104</f>
        <v>105079.8</v>
      </c>
      <c r="CC36" s="165">
        <f>'Revenue Assumptions'!CD104</f>
        <v>110766.6</v>
      </c>
      <c r="CD36" s="165">
        <f>'Revenue Assumptions'!CE104</f>
        <v>116453.40000000001</v>
      </c>
      <c r="CE36" s="165">
        <f>'Revenue Assumptions'!CF104</f>
        <v>122140.20000000003</v>
      </c>
      <c r="CF36" s="165">
        <f>'Revenue Assumptions'!CG104</f>
        <v>127827</v>
      </c>
    </row>
    <row r="37" spans="4:84" ht="13.8" outlineLevel="1" thickBot="1">
      <c r="E37" s="73" t="s">
        <v>181</v>
      </c>
      <c r="L37" s="167"/>
      <c r="M37" s="169">
        <f t="shared" ref="M37:AJ37" si="10">SUM(M34:M36)</f>
        <v>0</v>
      </c>
      <c r="N37" s="169">
        <f t="shared" si="10"/>
        <v>0</v>
      </c>
      <c r="O37" s="169">
        <f t="shared" si="10"/>
        <v>0</v>
      </c>
      <c r="P37" s="169">
        <f t="shared" si="10"/>
        <v>0</v>
      </c>
      <c r="Q37" s="169">
        <f t="shared" si="10"/>
        <v>0</v>
      </c>
      <c r="R37" s="169">
        <f t="shared" si="10"/>
        <v>173.48936670945656</v>
      </c>
      <c r="S37" s="169">
        <f t="shared" si="10"/>
        <v>346.97873341891312</v>
      </c>
      <c r="T37" s="169">
        <f t="shared" si="10"/>
        <v>520.46810012836977</v>
      </c>
      <c r="U37" s="169">
        <f t="shared" si="10"/>
        <v>693.95746683782625</v>
      </c>
      <c r="V37" s="169">
        <f t="shared" si="10"/>
        <v>867.44683354728295</v>
      </c>
      <c r="W37" s="169">
        <f t="shared" si="10"/>
        <v>1040.9362002567395</v>
      </c>
      <c r="X37" s="169">
        <f t="shared" si="10"/>
        <v>1214.4255669661961</v>
      </c>
      <c r="Y37" s="169">
        <f t="shared" si="10"/>
        <v>7998.9410416284618</v>
      </c>
      <c r="Z37" s="169">
        <f t="shared" si="10"/>
        <v>10689.665042178618</v>
      </c>
      <c r="AA37" s="169">
        <f t="shared" si="10"/>
        <v>13380.389042728773</v>
      </c>
      <c r="AB37" s="169">
        <f t="shared" si="10"/>
        <v>16071.113043278927</v>
      </c>
      <c r="AC37" s="169">
        <f t="shared" si="10"/>
        <v>18761.83704382908</v>
      </c>
      <c r="AD37" s="169">
        <f t="shared" si="10"/>
        <v>22775.561044379239</v>
      </c>
      <c r="AE37" s="169">
        <f t="shared" si="10"/>
        <v>25613.285044929398</v>
      </c>
      <c r="AF37" s="169">
        <f t="shared" si="10"/>
        <v>28451.009045479554</v>
      </c>
      <c r="AG37" s="169">
        <f t="shared" si="10"/>
        <v>31288.733046029713</v>
      </c>
      <c r="AH37" s="169">
        <f t="shared" si="10"/>
        <v>34126.457046579868</v>
      </c>
      <c r="AI37" s="169">
        <f t="shared" si="10"/>
        <v>36964.181047130027</v>
      </c>
      <c r="AJ37" s="169">
        <f t="shared" si="10"/>
        <v>39801.905047680179</v>
      </c>
      <c r="AK37" s="169">
        <f t="shared" ref="AK37" si="11">SUM(AK34:AK36)</f>
        <v>119608.26900613907</v>
      </c>
      <c r="AL37" s="169">
        <f t="shared" ref="AL37" si="12">SUM(AL34:AL36)</f>
        <v>145036.37577130986</v>
      </c>
      <c r="AM37" s="169">
        <f t="shared" ref="AM37" si="13">SUM(AM34:AM36)</f>
        <v>170464.48253648062</v>
      </c>
      <c r="AN37" s="169">
        <f t="shared" ref="AN37" si="14">SUM(AN34:AN36)</f>
        <v>195892.5893016514</v>
      </c>
      <c r="AO37" s="169">
        <f t="shared" ref="AO37" si="15">SUM(AO34:AO36)</f>
        <v>221320.69606682216</v>
      </c>
      <c r="AP37" s="169">
        <f t="shared" ref="AP37" si="16">SUM(AP34:AP36)</f>
        <v>246748.80283199294</v>
      </c>
      <c r="AQ37" s="169">
        <f t="shared" ref="AQ37" si="17">SUM(AQ34:AQ36)</f>
        <v>272176.90959716367</v>
      </c>
      <c r="AR37" s="169">
        <f t="shared" ref="AR37" si="18">SUM(AR34:AR36)</f>
        <v>297605.01636233449</v>
      </c>
      <c r="AS37" s="169">
        <f t="shared" ref="AS37" si="19">SUM(AS34:AS36)</f>
        <v>323033.12312750524</v>
      </c>
      <c r="AT37" s="169">
        <f t="shared" ref="AT37" si="20">SUM(AT34:AT36)</f>
        <v>348461.22989267606</v>
      </c>
      <c r="AU37" s="169">
        <f t="shared" ref="AU37" si="21">SUM(AU34:AU36)</f>
        <v>373889.33665784681</v>
      </c>
      <c r="AV37" s="169">
        <f t="shared" ref="AV37" si="22">SUM(AV34:AV36)</f>
        <v>399317.44342301763</v>
      </c>
      <c r="AW37" s="169">
        <f t="shared" ref="AW37" si="23">SUM(AW34:AW36)</f>
        <v>627068.24617981631</v>
      </c>
      <c r="AX37" s="169">
        <f t="shared" ref="AX37" si="24">SUM(AX34:AX36)</f>
        <v>723256.97966609546</v>
      </c>
      <c r="AY37" s="169">
        <f t="shared" ref="AY37" si="25">SUM(AY34:AY36)</f>
        <v>819445.71315237461</v>
      </c>
      <c r="AZ37" s="169">
        <f t="shared" ref="AZ37" si="26">SUM(AZ34:AZ36)</f>
        <v>915634.44663865387</v>
      </c>
      <c r="BA37" s="169">
        <f t="shared" ref="BA37" si="27">SUM(BA34:BA36)</f>
        <v>1011823.180124933</v>
      </c>
      <c r="BB37" s="169">
        <f t="shared" ref="BB37" si="28">SUM(BB34:BB36)</f>
        <v>1108011.9136112123</v>
      </c>
      <c r="BC37" s="169">
        <f t="shared" ref="BC37" si="29">SUM(BC34:BC36)</f>
        <v>1204200.6470974914</v>
      </c>
      <c r="BD37" s="169">
        <f t="shared" ref="BD37" si="30">SUM(BD34:BD36)</f>
        <v>1300389.3805837703</v>
      </c>
      <c r="BE37" s="169">
        <f t="shared" ref="BE37" si="31">SUM(BE34:BE36)</f>
        <v>1396578.1140700497</v>
      </c>
      <c r="BF37" s="169">
        <f t="shared" ref="BF37" si="32">SUM(BF34:BF36)</f>
        <v>1492766.8475563289</v>
      </c>
      <c r="BG37" s="169">
        <f t="shared" ref="BG37" si="33">SUM(BG34:BG36)</f>
        <v>1588955.5810426085</v>
      </c>
      <c r="BH37" s="169">
        <f t="shared" ref="BH37" si="34">SUM(BH34:BH36)</f>
        <v>1685144.3145288876</v>
      </c>
      <c r="BI37" s="169">
        <f t="shared" ref="BI37" si="35">SUM(BI34:BI36)</f>
        <v>2387743.4384891777</v>
      </c>
      <c r="BJ37" s="169">
        <f t="shared" ref="BJ37" si="36">SUM(BJ34:BJ36)</f>
        <v>2675769.4947208818</v>
      </c>
      <c r="BK37" s="169">
        <f t="shared" ref="BK37" si="37">SUM(BK34:BK36)</f>
        <v>2963795.5509525859</v>
      </c>
      <c r="BL37" s="169">
        <f t="shared" ref="BL37" si="38">SUM(BL34:BL36)</f>
        <v>3251821.60718429</v>
      </c>
      <c r="BM37" s="169">
        <f t="shared" ref="BM37" si="39">SUM(BM34:BM36)</f>
        <v>3539847.6634159945</v>
      </c>
      <c r="BN37" s="169">
        <f t="shared" ref="BN37" si="40">SUM(BN34:BN36)</f>
        <v>3827873.719647699</v>
      </c>
      <c r="BO37" s="169">
        <f t="shared" ref="BO37" si="41">SUM(BO34:BO36)</f>
        <v>4115899.7758794031</v>
      </c>
      <c r="BP37" s="169">
        <f t="shared" ref="BP37" si="42">SUM(BP34:BP36)</f>
        <v>4403925.8321111072</v>
      </c>
      <c r="BQ37" s="169">
        <f t="shared" ref="BQ37" si="43">SUM(BQ34:BQ36)</f>
        <v>4691951.8883428117</v>
      </c>
      <c r="BR37" s="169">
        <f t="shared" ref="BR37" si="44">SUM(BR34:BR36)</f>
        <v>4979977.9445745163</v>
      </c>
      <c r="BS37" s="169">
        <f t="shared" ref="BS37" si="45">SUM(BS34:BS36)</f>
        <v>5268004.0008062189</v>
      </c>
      <c r="BT37" s="169">
        <f t="shared" ref="BT37" si="46">SUM(BT34:BT36)</f>
        <v>5556030.0570379244</v>
      </c>
      <c r="BU37" s="169">
        <f t="shared" ref="BU37" si="47">SUM(BU34:BU36)</f>
        <v>7359445.1780509437</v>
      </c>
      <c r="BV37" s="169">
        <f t="shared" ref="BV37" si="48">SUM(BV34:BV36)</f>
        <v>8066963.498936329</v>
      </c>
      <c r="BW37" s="169">
        <f t="shared" ref="BW37" si="49">SUM(BW34:BW36)</f>
        <v>8774481.8198217135</v>
      </c>
      <c r="BX37" s="169">
        <f t="shared" ref="BX37" si="50">SUM(BX34:BX36)</f>
        <v>9482000.1407070979</v>
      </c>
      <c r="BY37" s="169">
        <f t="shared" ref="BY37" si="51">SUM(BY34:BY36)</f>
        <v>10189518.461592482</v>
      </c>
      <c r="BZ37" s="169">
        <f t="shared" ref="BZ37" si="52">SUM(BZ34:BZ36)</f>
        <v>10897036.782477865</v>
      </c>
      <c r="CA37" s="169">
        <f t="shared" ref="CA37" si="53">SUM(CA34:CA36)</f>
        <v>11604555.103363249</v>
      </c>
      <c r="CB37" s="169">
        <f t="shared" ref="CB37" si="54">SUM(CB34:CB36)</f>
        <v>12312073.424248636</v>
      </c>
      <c r="CC37" s="169">
        <f t="shared" ref="CC37" si="55">SUM(CC34:CC36)</f>
        <v>13019591.74513402</v>
      </c>
      <c r="CD37" s="169">
        <f t="shared" ref="CD37" si="56">SUM(CD34:CD36)</f>
        <v>13727110.066019405</v>
      </c>
      <c r="CE37" s="169">
        <f t="shared" ref="CE37" si="57">SUM(CE34:CE36)</f>
        <v>14434628.386904785</v>
      </c>
      <c r="CF37" s="169">
        <f t="shared" ref="CF37" si="58">SUM(CF34:CF36)</f>
        <v>15142146.707790172</v>
      </c>
    </row>
    <row r="38" spans="4:84" ht="13.8" thickTop="1"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</row>
    <row r="39" spans="4:84" ht="13.8" thickBot="1">
      <c r="D39" s="65" t="s">
        <v>182</v>
      </c>
      <c r="E39" s="65"/>
      <c r="F39" s="65"/>
      <c r="G39" s="65"/>
      <c r="H39" s="65"/>
      <c r="I39" s="65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</row>
    <row r="40" spans="4:84" ht="13.8" outlineLevel="1" thickTop="1">
      <c r="D40" s="69"/>
      <c r="E40" s="69"/>
      <c r="F40" s="69"/>
      <c r="G40" s="69"/>
      <c r="H40" s="69"/>
      <c r="I40" s="69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</row>
    <row r="41" spans="4:84" outlineLevel="1">
      <c r="D41" s="69"/>
      <c r="E41" s="73" t="str">
        <f>'Revenue Assumptions'!E114</f>
        <v>AWS Subscription</v>
      </c>
      <c r="L41" s="167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/>
      <c r="AQ41" s="170"/>
      <c r="AR41" s="170"/>
      <c r="AS41" s="170"/>
      <c r="AT41" s="170"/>
      <c r="AU41" s="170"/>
      <c r="AV41" s="170"/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  <c r="BG41" s="170"/>
      <c r="BH41" s="170"/>
      <c r="BI41" s="170"/>
      <c r="BJ41" s="170"/>
      <c r="BK41" s="170"/>
      <c r="BL41" s="170"/>
      <c r="BM41" s="170"/>
      <c r="BN41" s="170"/>
      <c r="BO41" s="170"/>
      <c r="BP41" s="170"/>
      <c r="BQ41" s="170"/>
      <c r="BR41" s="170"/>
      <c r="BS41" s="170"/>
      <c r="BT41" s="170"/>
      <c r="BU41" s="170"/>
      <c r="BV41" s="170"/>
      <c r="BW41" s="170"/>
      <c r="BX41" s="170"/>
      <c r="BY41" s="170"/>
      <c r="BZ41" s="170"/>
      <c r="CA41" s="170"/>
      <c r="CB41" s="170"/>
      <c r="CC41" s="170"/>
      <c r="CD41" s="170"/>
      <c r="CE41" s="170"/>
      <c r="CF41" s="170"/>
    </row>
    <row r="42" spans="4:84" outlineLevel="1">
      <c r="D42" s="69"/>
      <c r="E42" s="68" t="str">
        <f>'Revenue Assumptions'!E114</f>
        <v>AWS Subscription</v>
      </c>
      <c r="L42" s="167"/>
      <c r="M42" s="165">
        <f>'Revenue Assumptions'!N114</f>
        <v>0</v>
      </c>
      <c r="N42" s="165">
        <f>'Revenue Assumptions'!O114</f>
        <v>0</v>
      </c>
      <c r="O42" s="165">
        <f>'Revenue Assumptions'!P114</f>
        <v>0</v>
      </c>
      <c r="P42" s="165">
        <f>'Revenue Assumptions'!Q114</f>
        <v>0</v>
      </c>
      <c r="Q42" s="165">
        <f>'Revenue Assumptions'!R114</f>
        <v>0</v>
      </c>
      <c r="R42" s="165">
        <f>'Revenue Assumptions'!S114</f>
        <v>5.2046810012836966</v>
      </c>
      <c r="S42" s="165">
        <f>'Revenue Assumptions'!T114</f>
        <v>10.409362002567393</v>
      </c>
      <c r="T42" s="165">
        <f>'Revenue Assumptions'!U114</f>
        <v>15.614043003851092</v>
      </c>
      <c r="U42" s="165">
        <f>'Revenue Assumptions'!V114</f>
        <v>20.818724005134786</v>
      </c>
      <c r="V42" s="165">
        <f>'Revenue Assumptions'!W114</f>
        <v>26.023405006418489</v>
      </c>
      <c r="W42" s="165">
        <f>'Revenue Assumptions'!X114</f>
        <v>31.228086007702185</v>
      </c>
      <c r="X42" s="165">
        <f>'Revenue Assumptions'!Y114</f>
        <v>36.432767008985884</v>
      </c>
      <c r="Y42" s="165">
        <f>'Revenue Assumptions'!Z114</f>
        <v>239.96823124885384</v>
      </c>
      <c r="Z42" s="165">
        <f>'Revenue Assumptions'!AA114</f>
        <v>320.6899512653585</v>
      </c>
      <c r="AA42" s="165">
        <f>'Revenue Assumptions'!AB114</f>
        <v>401.41167128186316</v>
      </c>
      <c r="AB42" s="165">
        <f>'Revenue Assumptions'!AC114</f>
        <v>482.13339129836777</v>
      </c>
      <c r="AC42" s="165">
        <f>'Revenue Assumptions'!AD114</f>
        <v>562.85511131487237</v>
      </c>
      <c r="AD42" s="165">
        <f>'Revenue Assumptions'!AE114</f>
        <v>683.26683133137715</v>
      </c>
      <c r="AE42" s="165">
        <f>'Revenue Assumptions'!AF114</f>
        <v>768.39855134788195</v>
      </c>
      <c r="AF42" s="165">
        <f>'Revenue Assumptions'!AG114</f>
        <v>853.53027136438652</v>
      </c>
      <c r="AG42" s="165">
        <f>'Revenue Assumptions'!AH114</f>
        <v>938.66199138089132</v>
      </c>
      <c r="AH42" s="165">
        <f>'Revenue Assumptions'!AI114</f>
        <v>1023.793711397396</v>
      </c>
      <c r="AI42" s="165">
        <f>'Revenue Assumptions'!AJ114</f>
        <v>1108.9254314139007</v>
      </c>
      <c r="AJ42" s="165">
        <f>'Revenue Assumptions'!AK114</f>
        <v>1194.0571514304054</v>
      </c>
      <c r="AK42" s="165">
        <f>'Revenue Assumptions'!AL114</f>
        <v>3588.2480701841723</v>
      </c>
      <c r="AL42" s="165">
        <f>'Revenue Assumptions'!AM114</f>
        <v>4351.0912731392955</v>
      </c>
      <c r="AM42" s="165">
        <f>'Revenue Assumptions'!AN114</f>
        <v>5113.9344760944186</v>
      </c>
      <c r="AN42" s="165">
        <f>'Revenue Assumptions'!AO114</f>
        <v>5876.7776790495418</v>
      </c>
      <c r="AO42" s="165">
        <f>'Revenue Assumptions'!AP114</f>
        <v>6639.6208820046641</v>
      </c>
      <c r="AP42" s="165">
        <f>'Revenue Assumptions'!AQ114</f>
        <v>7402.4640849597881</v>
      </c>
      <c r="AQ42" s="165">
        <f>'Revenue Assumptions'!AR114</f>
        <v>8165.3072879149095</v>
      </c>
      <c r="AR42" s="165">
        <f>'Revenue Assumptions'!AS114</f>
        <v>8928.1504908700335</v>
      </c>
      <c r="AS42" s="165">
        <f>'Revenue Assumptions'!AT114</f>
        <v>9690.9936938251576</v>
      </c>
      <c r="AT42" s="165">
        <f>'Revenue Assumptions'!AU114</f>
        <v>10453.836896780282</v>
      </c>
      <c r="AU42" s="165">
        <f>'Revenue Assumptions'!AV114</f>
        <v>11216.680099735404</v>
      </c>
      <c r="AV42" s="165">
        <f>'Revenue Assumptions'!AW114</f>
        <v>11979.523302690528</v>
      </c>
      <c r="AW42" s="165">
        <f>'Revenue Assumptions'!AX114</f>
        <v>18812.04738539449</v>
      </c>
      <c r="AX42" s="165">
        <f>'Revenue Assumptions'!AY114</f>
        <v>21697.709389982861</v>
      </c>
      <c r="AY42" s="165">
        <f>'Revenue Assumptions'!AZ114</f>
        <v>24583.371394571237</v>
      </c>
      <c r="AZ42" s="165">
        <f>'Revenue Assumptions'!BA114</f>
        <v>27469.033399159616</v>
      </c>
      <c r="BA42" s="165">
        <f>'Revenue Assumptions'!BB114</f>
        <v>30354.695403747988</v>
      </c>
      <c r="BB42" s="165">
        <f>'Revenue Assumptions'!BC114</f>
        <v>33240.357408336364</v>
      </c>
      <c r="BC42" s="165">
        <f>'Revenue Assumptions'!BD114</f>
        <v>36126.019412924739</v>
      </c>
      <c r="BD42" s="165">
        <f>'Revenue Assumptions'!BE114</f>
        <v>39011.681417513108</v>
      </c>
      <c r="BE42" s="165">
        <f>'Revenue Assumptions'!BF114</f>
        <v>41897.34342210149</v>
      </c>
      <c r="BF42" s="165">
        <f>'Revenue Assumptions'!BG114</f>
        <v>44783.005426689866</v>
      </c>
      <c r="BG42" s="165">
        <f>'Revenue Assumptions'!BH114</f>
        <v>47668.667431278256</v>
      </c>
      <c r="BH42" s="165">
        <f>'Revenue Assumptions'!BI114</f>
        <v>50554.329435866624</v>
      </c>
      <c r="BI42" s="165">
        <f>'Revenue Assumptions'!BJ114</f>
        <v>71632.303154675319</v>
      </c>
      <c r="BJ42" s="165">
        <f>'Revenue Assumptions'!BK114</f>
        <v>80273.084841626449</v>
      </c>
      <c r="BK42" s="165">
        <f>'Revenue Assumptions'!BL114</f>
        <v>88913.866528577579</v>
      </c>
      <c r="BL42" s="165">
        <f>'Revenue Assumptions'!BM114</f>
        <v>97554.648215528709</v>
      </c>
      <c r="BM42" s="165">
        <f>'Revenue Assumptions'!BN114</f>
        <v>106195.42990247982</v>
      </c>
      <c r="BN42" s="165">
        <f>'Revenue Assumptions'!BO114</f>
        <v>114836.21158943095</v>
      </c>
      <c r="BO42" s="165">
        <f>'Revenue Assumptions'!BP114</f>
        <v>123476.99327638208</v>
      </c>
      <c r="BP42" s="165">
        <f>'Revenue Assumptions'!BQ114</f>
        <v>132117.77496333324</v>
      </c>
      <c r="BQ42" s="165">
        <f>'Revenue Assumptions'!BR114</f>
        <v>140758.55665028436</v>
      </c>
      <c r="BR42" s="165">
        <f>'Revenue Assumptions'!BS114</f>
        <v>149399.33833723547</v>
      </c>
      <c r="BS42" s="165">
        <f>'Revenue Assumptions'!BT114</f>
        <v>158040.12002418656</v>
      </c>
      <c r="BT42" s="165">
        <f>'Revenue Assumptions'!BU114</f>
        <v>166680.9017111377</v>
      </c>
      <c r="BU42" s="165">
        <f>'Revenue Assumptions'!BV114</f>
        <v>220783.35534152831</v>
      </c>
      <c r="BV42" s="165">
        <f>'Revenue Assumptions'!BW114</f>
        <v>242008.90496808986</v>
      </c>
      <c r="BW42" s="165">
        <f>'Revenue Assumptions'!BX114</f>
        <v>263234.45459465135</v>
      </c>
      <c r="BX42" s="165">
        <f>'Revenue Assumptions'!BY114</f>
        <v>284460.00422121293</v>
      </c>
      <c r="BY42" s="165">
        <f>'Revenue Assumptions'!BZ114</f>
        <v>305685.55384777446</v>
      </c>
      <c r="BZ42" s="165">
        <f>'Revenue Assumptions'!CA114</f>
        <v>326911.10347433598</v>
      </c>
      <c r="CA42" s="165">
        <f>'Revenue Assumptions'!CB114</f>
        <v>348136.65310089744</v>
      </c>
      <c r="CB42" s="165">
        <f>'Revenue Assumptions'!CC114</f>
        <v>369362.20272745902</v>
      </c>
      <c r="CC42" s="165">
        <f>'Revenue Assumptions'!CD114</f>
        <v>390587.7523540206</v>
      </c>
      <c r="CD42" s="165">
        <f>'Revenue Assumptions'!CE114</f>
        <v>411813.30198058212</v>
      </c>
      <c r="CE42" s="165">
        <f>'Revenue Assumptions'!CF114</f>
        <v>433038.85160714359</v>
      </c>
      <c r="CF42" s="165">
        <f>'Revenue Assumptions'!CG114</f>
        <v>454264.40123370511</v>
      </c>
    </row>
    <row r="43" spans="4:84" outlineLevel="1">
      <c r="D43" s="69"/>
      <c r="E43" s="73" t="str">
        <f>'Revenue Assumptions'!E115</f>
        <v>Ad Hosting Costs</v>
      </c>
      <c r="L43" s="167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/>
      <c r="BD43" s="165"/>
      <c r="BE43" s="165"/>
      <c r="BF43" s="165"/>
      <c r="BG43" s="165"/>
      <c r="BH43" s="165"/>
      <c r="BI43" s="165"/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65"/>
      <c r="CC43" s="165"/>
      <c r="CD43" s="165"/>
      <c r="CE43" s="165"/>
      <c r="CF43" s="165"/>
    </row>
    <row r="44" spans="4:84" outlineLevel="1">
      <c r="D44" s="69"/>
      <c r="E44" s="68" t="s">
        <v>183</v>
      </c>
      <c r="L44" s="167"/>
      <c r="M44" s="165">
        <f>'Revenue Assumptions'!N115</f>
        <v>0</v>
      </c>
      <c r="N44" s="165">
        <f>'Revenue Assumptions'!O115</f>
        <v>0</v>
      </c>
      <c r="O44" s="165">
        <f>'Revenue Assumptions'!P115</f>
        <v>0</v>
      </c>
      <c r="P44" s="165">
        <f>'Revenue Assumptions'!Q115</f>
        <v>0</v>
      </c>
      <c r="Q44" s="165">
        <f>'Revenue Assumptions'!R115</f>
        <v>0</v>
      </c>
      <c r="R44" s="165">
        <f>'Revenue Assumptions'!S115</f>
        <v>0.28350000000000003</v>
      </c>
      <c r="S44" s="165">
        <f>'Revenue Assumptions'!T115</f>
        <v>0.56700000000000006</v>
      </c>
      <c r="T44" s="165">
        <f>'Revenue Assumptions'!U115</f>
        <v>0.85050000000000003</v>
      </c>
      <c r="U44" s="165">
        <f>'Revenue Assumptions'!V115</f>
        <v>1.1340000000000001</v>
      </c>
      <c r="V44" s="165">
        <f>'Revenue Assumptions'!W115</f>
        <v>1.4175</v>
      </c>
      <c r="W44" s="165">
        <f>'Revenue Assumptions'!X115</f>
        <v>1.7010000000000001</v>
      </c>
      <c r="X44" s="165">
        <f>'Revenue Assumptions'!Y115</f>
        <v>1.9845000000000002</v>
      </c>
      <c r="Y44" s="165">
        <f>'Revenue Assumptions'!Z115</f>
        <v>3.9690000000000003</v>
      </c>
      <c r="Z44" s="165">
        <f>'Revenue Assumptions'!AA115</f>
        <v>4.9612499999999997</v>
      </c>
      <c r="AA44" s="165">
        <f>'Revenue Assumptions'!AB115</f>
        <v>5.9535</v>
      </c>
      <c r="AB44" s="165">
        <f>'Revenue Assumptions'!AC115</f>
        <v>6.9457500000000003</v>
      </c>
      <c r="AC44" s="165">
        <f>'Revenue Assumptions'!AD115</f>
        <v>7.9380000000000006</v>
      </c>
      <c r="AD44" s="165">
        <f>'Revenue Assumptions'!AE115</f>
        <v>8.9302499999999991</v>
      </c>
      <c r="AE44" s="165">
        <f>'Revenue Assumptions'!AF115</f>
        <v>9.9224999999999994</v>
      </c>
      <c r="AF44" s="165">
        <f>'Revenue Assumptions'!AG115</f>
        <v>10.91475</v>
      </c>
      <c r="AG44" s="165">
        <f>'Revenue Assumptions'!AH115</f>
        <v>11.907</v>
      </c>
      <c r="AH44" s="165">
        <f>'Revenue Assumptions'!AI115</f>
        <v>12.89925</v>
      </c>
      <c r="AI44" s="165">
        <f>'Revenue Assumptions'!AJ115</f>
        <v>13.891500000000001</v>
      </c>
      <c r="AJ44" s="165">
        <f>'Revenue Assumptions'!AK115</f>
        <v>14.883749999999999</v>
      </c>
      <c r="AK44" s="165">
        <f>'Revenue Assumptions'!AL115</f>
        <v>23.625</v>
      </c>
      <c r="AL44" s="165">
        <f>'Revenue Assumptions'!AM115</f>
        <v>27.404999999999998</v>
      </c>
      <c r="AM44" s="165">
        <f>'Revenue Assumptions'!AN115</f>
        <v>31.184999999999999</v>
      </c>
      <c r="AN44" s="165">
        <f>'Revenue Assumptions'!AO115</f>
        <v>34.964999999999996</v>
      </c>
      <c r="AO44" s="165">
        <f>'Revenue Assumptions'!AP115</f>
        <v>38.744999999999997</v>
      </c>
      <c r="AP44" s="165">
        <f>'Revenue Assumptions'!AQ115</f>
        <v>42.524999999999999</v>
      </c>
      <c r="AQ44" s="165">
        <f>'Revenue Assumptions'!AR115</f>
        <v>46.305</v>
      </c>
      <c r="AR44" s="165">
        <f>'Revenue Assumptions'!AS115</f>
        <v>50.085000000000001</v>
      </c>
      <c r="AS44" s="165">
        <f>'Revenue Assumptions'!AT115</f>
        <v>53.864999999999995</v>
      </c>
      <c r="AT44" s="165">
        <f>'Revenue Assumptions'!AU115</f>
        <v>57.644999999999996</v>
      </c>
      <c r="AU44" s="165">
        <f>'Revenue Assumptions'!AV115</f>
        <v>61.424999999999997</v>
      </c>
      <c r="AV44" s="165">
        <f>'Revenue Assumptions'!AW115</f>
        <v>65.204999999999998</v>
      </c>
      <c r="AW44" s="165">
        <f>'Revenue Assumptions'!AX115</f>
        <v>92.306249999999991</v>
      </c>
      <c r="AX44" s="165">
        <f>'Revenue Assumptions'!AY115</f>
        <v>103.10625</v>
      </c>
      <c r="AY44" s="165">
        <f>'Revenue Assumptions'!AZ115</f>
        <v>113.90625</v>
      </c>
      <c r="AZ44" s="165">
        <f>'Revenue Assumptions'!BA115</f>
        <v>124.70625</v>
      </c>
      <c r="BA44" s="165">
        <f>'Revenue Assumptions'!BB115</f>
        <v>135.50624999999999</v>
      </c>
      <c r="BB44" s="165">
        <f>'Revenue Assumptions'!BC115</f>
        <v>146.30625000000001</v>
      </c>
      <c r="BC44" s="165">
        <f>'Revenue Assumptions'!BD115</f>
        <v>157.10624999999999</v>
      </c>
      <c r="BD44" s="165">
        <f>'Revenue Assumptions'!BE115</f>
        <v>167.90625</v>
      </c>
      <c r="BE44" s="165">
        <f>'Revenue Assumptions'!BF115</f>
        <v>178.70624999999998</v>
      </c>
      <c r="BF44" s="165">
        <f>'Revenue Assumptions'!BG115</f>
        <v>189.50624999999999</v>
      </c>
      <c r="BG44" s="165">
        <f>'Revenue Assumptions'!BH115</f>
        <v>200.30625000000001</v>
      </c>
      <c r="BH44" s="165">
        <f>'Revenue Assumptions'!BI115</f>
        <v>211.10624999999999</v>
      </c>
      <c r="BI44" s="165">
        <f>'Revenue Assumptions'!BJ115</f>
        <v>280.09800000000001</v>
      </c>
      <c r="BJ44" s="165">
        <f>'Revenue Assumptions'!BK115</f>
        <v>306.86849999999998</v>
      </c>
      <c r="BK44" s="165">
        <f>'Revenue Assumptions'!BL115</f>
        <v>333.63900000000001</v>
      </c>
      <c r="BL44" s="165">
        <f>'Revenue Assumptions'!BM115</f>
        <v>360.40949999999998</v>
      </c>
      <c r="BM44" s="165">
        <f>'Revenue Assumptions'!BN115</f>
        <v>387.18</v>
      </c>
      <c r="BN44" s="165">
        <f>'Revenue Assumptions'!BO115</f>
        <v>413.95049999999998</v>
      </c>
      <c r="BO44" s="165">
        <f>'Revenue Assumptions'!BP115</f>
        <v>440.721</v>
      </c>
      <c r="BP44" s="165">
        <f>'Revenue Assumptions'!BQ115</f>
        <v>467.49150000000003</v>
      </c>
      <c r="BQ44" s="165">
        <f>'Revenue Assumptions'!BR115</f>
        <v>494.262</v>
      </c>
      <c r="BR44" s="165">
        <f>'Revenue Assumptions'!BS115</f>
        <v>521.03250000000003</v>
      </c>
      <c r="BS44" s="165">
        <f>'Revenue Assumptions'!BT115</f>
        <v>547.803</v>
      </c>
      <c r="BT44" s="165">
        <f>'Revenue Assumptions'!BU115</f>
        <v>574.57349999999997</v>
      </c>
      <c r="BU44" s="165">
        <f>'Revenue Assumptions'!BV115</f>
        <v>629.41050000000007</v>
      </c>
      <c r="BV44" s="165">
        <f>'Revenue Assumptions'!BW115</f>
        <v>684.24749999999995</v>
      </c>
      <c r="BW44" s="165">
        <f>'Revenue Assumptions'!BX115</f>
        <v>739.08450000000005</v>
      </c>
      <c r="BX44" s="165">
        <f>'Revenue Assumptions'!BY115</f>
        <v>793.92149999999992</v>
      </c>
      <c r="BY44" s="165">
        <f>'Revenue Assumptions'!BZ115</f>
        <v>848.75850000000003</v>
      </c>
      <c r="BZ44" s="165">
        <f>'Revenue Assumptions'!CA115</f>
        <v>903.59550000000002</v>
      </c>
      <c r="CA44" s="165">
        <f>'Revenue Assumptions'!CB115</f>
        <v>958.4325</v>
      </c>
      <c r="CB44" s="165">
        <f>'Revenue Assumptions'!CC115</f>
        <v>1013.2695</v>
      </c>
      <c r="CC44" s="165">
        <f>'Revenue Assumptions'!CD115</f>
        <v>1068.1065000000001</v>
      </c>
      <c r="CD44" s="165">
        <f>'Revenue Assumptions'!CE115</f>
        <v>1122.9435000000001</v>
      </c>
      <c r="CE44" s="165">
        <f>'Revenue Assumptions'!CF115</f>
        <v>1177.7804999999998</v>
      </c>
      <c r="CF44" s="165">
        <f>'Revenue Assumptions'!CG115</f>
        <v>1232.6175000000001</v>
      </c>
    </row>
    <row r="45" spans="4:84" outlineLevel="1">
      <c r="D45" s="69"/>
      <c r="E45" s="73" t="str">
        <f>'Revenue Assumptions'!E116</f>
        <v>Payment Processing Fees</v>
      </c>
      <c r="L45" s="167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65"/>
      <c r="BF45" s="165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</row>
    <row r="46" spans="4:84" outlineLevel="1">
      <c r="D46" s="69"/>
      <c r="E46" s="68" t="s">
        <v>184</v>
      </c>
      <c r="L46" s="167"/>
      <c r="M46" s="165">
        <f>'Revenue Assumptions'!N116</f>
        <v>0</v>
      </c>
      <c r="N46" s="165">
        <f>'Revenue Assumptions'!O116</f>
        <v>0</v>
      </c>
      <c r="O46" s="165">
        <f>'Revenue Assumptions'!P116</f>
        <v>0</v>
      </c>
      <c r="P46" s="165">
        <f>'Revenue Assumptions'!Q116</f>
        <v>0</v>
      </c>
      <c r="Q46" s="165">
        <f>'Revenue Assumptions'!R116</f>
        <v>0</v>
      </c>
      <c r="R46" s="165">
        <f>'Revenue Assumptions'!S116</f>
        <v>5.2046810012836966</v>
      </c>
      <c r="S46" s="165">
        <f>'Revenue Assumptions'!T116</f>
        <v>10.409362002567393</v>
      </c>
      <c r="T46" s="165">
        <f>'Revenue Assumptions'!U116</f>
        <v>15.614043003851092</v>
      </c>
      <c r="U46" s="165">
        <f>'Revenue Assumptions'!V116</f>
        <v>20.818724005134786</v>
      </c>
      <c r="V46" s="165">
        <f>'Revenue Assumptions'!W116</f>
        <v>26.023405006418489</v>
      </c>
      <c r="W46" s="165">
        <f>'Revenue Assumptions'!X116</f>
        <v>31.228086007702185</v>
      </c>
      <c r="X46" s="165">
        <f>'Revenue Assumptions'!Y116</f>
        <v>36.432767008985884</v>
      </c>
      <c r="Y46" s="165">
        <f>'Revenue Assumptions'!Z116</f>
        <v>239.96823124885384</v>
      </c>
      <c r="Z46" s="165">
        <f>'Revenue Assumptions'!AA116</f>
        <v>320.6899512653585</v>
      </c>
      <c r="AA46" s="165">
        <f>'Revenue Assumptions'!AB116</f>
        <v>401.41167128186316</v>
      </c>
      <c r="AB46" s="165">
        <f>'Revenue Assumptions'!AC116</f>
        <v>482.13339129836777</v>
      </c>
      <c r="AC46" s="165">
        <f>'Revenue Assumptions'!AD116</f>
        <v>562.85511131487237</v>
      </c>
      <c r="AD46" s="165">
        <f>'Revenue Assumptions'!AE116</f>
        <v>683.26683133137715</v>
      </c>
      <c r="AE46" s="165">
        <f>'Revenue Assumptions'!AF116</f>
        <v>768.39855134788195</v>
      </c>
      <c r="AF46" s="165">
        <f>'Revenue Assumptions'!AG116</f>
        <v>853.53027136438652</v>
      </c>
      <c r="AG46" s="165">
        <f>'Revenue Assumptions'!AH116</f>
        <v>938.66199138089132</v>
      </c>
      <c r="AH46" s="165">
        <f>'Revenue Assumptions'!AI116</f>
        <v>1023.793711397396</v>
      </c>
      <c r="AI46" s="165">
        <f>'Revenue Assumptions'!AJ116</f>
        <v>1108.9254314139007</v>
      </c>
      <c r="AJ46" s="165">
        <f>'Revenue Assumptions'!AK116</f>
        <v>1194.0571514304054</v>
      </c>
      <c r="AK46" s="165">
        <f>'Revenue Assumptions'!AL116</f>
        <v>3588.2480701841723</v>
      </c>
      <c r="AL46" s="165">
        <f>'Revenue Assumptions'!AM116</f>
        <v>4351.0912731392955</v>
      </c>
      <c r="AM46" s="165">
        <f>'Revenue Assumptions'!AN116</f>
        <v>5113.9344760944186</v>
      </c>
      <c r="AN46" s="165">
        <f>'Revenue Assumptions'!AO116</f>
        <v>5876.7776790495418</v>
      </c>
      <c r="AO46" s="165">
        <f>'Revenue Assumptions'!AP116</f>
        <v>6639.6208820046641</v>
      </c>
      <c r="AP46" s="165">
        <f>'Revenue Assumptions'!AQ116</f>
        <v>7402.4640849597881</v>
      </c>
      <c r="AQ46" s="165">
        <f>'Revenue Assumptions'!AR116</f>
        <v>8165.3072879149095</v>
      </c>
      <c r="AR46" s="165">
        <f>'Revenue Assumptions'!AS116</f>
        <v>8928.1504908700335</v>
      </c>
      <c r="AS46" s="165">
        <f>'Revenue Assumptions'!AT116</f>
        <v>9690.9936938251576</v>
      </c>
      <c r="AT46" s="165">
        <f>'Revenue Assumptions'!AU116</f>
        <v>10453.836896780282</v>
      </c>
      <c r="AU46" s="165">
        <f>'Revenue Assumptions'!AV116</f>
        <v>11216.680099735404</v>
      </c>
      <c r="AV46" s="165">
        <f>'Revenue Assumptions'!AW116</f>
        <v>11979.523302690528</v>
      </c>
      <c r="AW46" s="165">
        <f>'Revenue Assumptions'!AX116</f>
        <v>18812.04738539449</v>
      </c>
      <c r="AX46" s="165">
        <f>'Revenue Assumptions'!AY116</f>
        <v>21697.709389982861</v>
      </c>
      <c r="AY46" s="165">
        <f>'Revenue Assumptions'!AZ116</f>
        <v>24583.371394571237</v>
      </c>
      <c r="AZ46" s="165">
        <f>'Revenue Assumptions'!BA116</f>
        <v>27469.033399159616</v>
      </c>
      <c r="BA46" s="165">
        <f>'Revenue Assumptions'!BB116</f>
        <v>30354.695403747988</v>
      </c>
      <c r="BB46" s="165">
        <f>'Revenue Assumptions'!BC116</f>
        <v>33240.357408336364</v>
      </c>
      <c r="BC46" s="165">
        <f>'Revenue Assumptions'!BD116</f>
        <v>36126.019412924739</v>
      </c>
      <c r="BD46" s="165">
        <f>'Revenue Assumptions'!BE116</f>
        <v>39011.681417513108</v>
      </c>
      <c r="BE46" s="165">
        <f>'Revenue Assumptions'!BF116</f>
        <v>41897.34342210149</v>
      </c>
      <c r="BF46" s="165">
        <f>'Revenue Assumptions'!BG116</f>
        <v>44783.005426689866</v>
      </c>
      <c r="BG46" s="165">
        <f>'Revenue Assumptions'!BH116</f>
        <v>47668.667431278256</v>
      </c>
      <c r="BH46" s="165">
        <f>'Revenue Assumptions'!BI116</f>
        <v>50554.329435866624</v>
      </c>
      <c r="BI46" s="165">
        <f>'Revenue Assumptions'!BJ116</f>
        <v>71632.303154675319</v>
      </c>
      <c r="BJ46" s="165">
        <f>'Revenue Assumptions'!BK116</f>
        <v>80273.084841626449</v>
      </c>
      <c r="BK46" s="165">
        <f>'Revenue Assumptions'!BL116</f>
        <v>88913.866528577579</v>
      </c>
      <c r="BL46" s="165">
        <f>'Revenue Assumptions'!BM116</f>
        <v>97554.648215528709</v>
      </c>
      <c r="BM46" s="165">
        <f>'Revenue Assumptions'!BN116</f>
        <v>106195.42990247982</v>
      </c>
      <c r="BN46" s="165">
        <f>'Revenue Assumptions'!BO116</f>
        <v>114836.21158943095</v>
      </c>
      <c r="BO46" s="165">
        <f>'Revenue Assumptions'!BP116</f>
        <v>123476.99327638208</v>
      </c>
      <c r="BP46" s="165">
        <f>'Revenue Assumptions'!BQ116</f>
        <v>132117.77496333324</v>
      </c>
      <c r="BQ46" s="165">
        <f>'Revenue Assumptions'!BR116</f>
        <v>140758.55665028436</v>
      </c>
      <c r="BR46" s="165">
        <f>'Revenue Assumptions'!BS116</f>
        <v>149399.33833723547</v>
      </c>
      <c r="BS46" s="165">
        <f>'Revenue Assumptions'!BT116</f>
        <v>158040.12002418656</v>
      </c>
      <c r="BT46" s="165">
        <f>'Revenue Assumptions'!BU116</f>
        <v>166680.9017111377</v>
      </c>
      <c r="BU46" s="165">
        <f>'Revenue Assumptions'!BV116</f>
        <v>220783.35534152831</v>
      </c>
      <c r="BV46" s="165">
        <f>'Revenue Assumptions'!BW116</f>
        <v>242008.90496808986</v>
      </c>
      <c r="BW46" s="165">
        <f>'Revenue Assumptions'!BX116</f>
        <v>263234.45459465135</v>
      </c>
      <c r="BX46" s="165">
        <f>'Revenue Assumptions'!BY116</f>
        <v>284460.00422121293</v>
      </c>
      <c r="BY46" s="165">
        <f>'Revenue Assumptions'!BZ116</f>
        <v>305685.55384777446</v>
      </c>
      <c r="BZ46" s="165">
        <f>'Revenue Assumptions'!CA116</f>
        <v>326911.10347433598</v>
      </c>
      <c r="CA46" s="165">
        <f>'Revenue Assumptions'!CB116</f>
        <v>348136.65310089744</v>
      </c>
      <c r="CB46" s="165">
        <f>'Revenue Assumptions'!CC116</f>
        <v>369362.20272745902</v>
      </c>
      <c r="CC46" s="165">
        <f>'Revenue Assumptions'!CD116</f>
        <v>390587.7523540206</v>
      </c>
      <c r="CD46" s="165">
        <f>'Revenue Assumptions'!CE116</f>
        <v>411813.30198058212</v>
      </c>
      <c r="CE46" s="165">
        <f>'Revenue Assumptions'!CF116</f>
        <v>433038.85160714359</v>
      </c>
      <c r="CF46" s="165">
        <f>'Revenue Assumptions'!CG116</f>
        <v>454264.40123370511</v>
      </c>
    </row>
    <row r="47" spans="4:84" outlineLevel="1">
      <c r="D47" s="69"/>
      <c r="E47" s="73" t="str">
        <f>'Revenue Assumptions'!E117</f>
        <v>Sponsored Listings</v>
      </c>
      <c r="L47" s="167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</row>
    <row r="48" spans="4:84" outlineLevel="1">
      <c r="D48" s="69"/>
      <c r="E48" s="68" t="s">
        <v>185</v>
      </c>
      <c r="L48" s="167"/>
      <c r="M48" s="165">
        <f>SUM('Revenue Assumptions'!N117:N117)</f>
        <v>0</v>
      </c>
      <c r="N48" s="165">
        <f>SUM('Revenue Assumptions'!O117:O117)</f>
        <v>0</v>
      </c>
      <c r="O48" s="165">
        <f>SUM('Revenue Assumptions'!P117:P117)</f>
        <v>0</v>
      </c>
      <c r="P48" s="165">
        <f>SUM('Revenue Assumptions'!Q117:Q117)</f>
        <v>0</v>
      </c>
      <c r="Q48" s="165">
        <f>SUM('Revenue Assumptions'!R117:R117)</f>
        <v>0</v>
      </c>
      <c r="R48" s="165">
        <f>SUM('Revenue Assumptions'!S117:S117)</f>
        <v>3.4697873341891312</v>
      </c>
      <c r="S48" s="165">
        <f>SUM('Revenue Assumptions'!T117:T117)</f>
        <v>6.9395746683782624</v>
      </c>
      <c r="T48" s="165">
        <f>SUM('Revenue Assumptions'!U117:U117)</f>
        <v>10.409362002567395</v>
      </c>
      <c r="U48" s="165">
        <f>SUM('Revenue Assumptions'!V117:V117)</f>
        <v>13.879149336756525</v>
      </c>
      <c r="V48" s="165">
        <f>SUM('Revenue Assumptions'!W117:W117)</f>
        <v>17.348936670945658</v>
      </c>
      <c r="W48" s="165">
        <f>SUM('Revenue Assumptions'!X117:X117)</f>
        <v>20.81872400513479</v>
      </c>
      <c r="X48" s="165">
        <f>SUM('Revenue Assumptions'!Y117:Y117)</f>
        <v>24.288511339323922</v>
      </c>
      <c r="Y48" s="165">
        <f>SUM('Revenue Assumptions'!Z117:Z117)</f>
        <v>159.97882083256923</v>
      </c>
      <c r="Z48" s="165">
        <f>SUM('Revenue Assumptions'!AA117:AA117)</f>
        <v>213.79330084357235</v>
      </c>
      <c r="AA48" s="165">
        <f>SUM('Revenue Assumptions'!AB117:AB117)</f>
        <v>267.60778085457548</v>
      </c>
      <c r="AB48" s="165">
        <f>SUM('Revenue Assumptions'!AC117:AC117)</f>
        <v>321.42226086557855</v>
      </c>
      <c r="AC48" s="165">
        <f>SUM('Revenue Assumptions'!AD117:AD117)</f>
        <v>375.23674087658162</v>
      </c>
      <c r="AD48" s="165">
        <f>SUM('Revenue Assumptions'!AE117:AE117)</f>
        <v>429.0512208875848</v>
      </c>
      <c r="AE48" s="165">
        <f>SUM('Revenue Assumptions'!AF117:AF117)</f>
        <v>482.86570089858799</v>
      </c>
      <c r="AF48" s="165">
        <f>SUM('Revenue Assumptions'!AG117:AG117)</f>
        <v>536.68018090959106</v>
      </c>
      <c r="AG48" s="165">
        <f>SUM('Revenue Assumptions'!AH117:AH117)</f>
        <v>590.49466092059424</v>
      </c>
      <c r="AH48" s="165">
        <f>SUM('Revenue Assumptions'!AI117:AI117)</f>
        <v>644.30914093159731</v>
      </c>
      <c r="AI48" s="165">
        <f>SUM('Revenue Assumptions'!AJ117:AJ117)</f>
        <v>698.1236209426005</v>
      </c>
      <c r="AJ48" s="165">
        <f>SUM('Revenue Assumptions'!AK117:AK117)</f>
        <v>751.93810095360357</v>
      </c>
      <c r="AK48" s="165">
        <f>SUM('Revenue Assumptions'!AL117:AL117)</f>
        <v>2329.1653801227817</v>
      </c>
      <c r="AL48" s="165">
        <f>SUM('Revenue Assumptions'!AM117:AM117)</f>
        <v>2827.6475154261971</v>
      </c>
      <c r="AM48" s="165">
        <f>SUM('Revenue Assumptions'!AN117:AN117)</f>
        <v>3326.1296507296124</v>
      </c>
      <c r="AN48" s="165">
        <f>SUM('Revenue Assumptions'!AO117:AO117)</f>
        <v>3824.6117860330282</v>
      </c>
      <c r="AO48" s="165">
        <f>SUM('Revenue Assumptions'!AP117:AP117)</f>
        <v>4323.0939213364436</v>
      </c>
      <c r="AP48" s="165">
        <f>SUM('Revenue Assumptions'!AQ117:AQ117)</f>
        <v>4821.5760566398594</v>
      </c>
      <c r="AQ48" s="165">
        <f>SUM('Revenue Assumptions'!AR117:AR117)</f>
        <v>5320.0581919432734</v>
      </c>
      <c r="AR48" s="165">
        <f>SUM('Revenue Assumptions'!AS117:AS117)</f>
        <v>5818.5403272466901</v>
      </c>
      <c r="AS48" s="165">
        <f>SUM('Revenue Assumptions'!AT117:AT117)</f>
        <v>6317.022462550105</v>
      </c>
      <c r="AT48" s="165">
        <f>SUM('Revenue Assumptions'!AU117:AU117)</f>
        <v>6815.5045978535209</v>
      </c>
      <c r="AU48" s="165">
        <f>SUM('Revenue Assumptions'!AV117:AV117)</f>
        <v>7313.9867331569367</v>
      </c>
      <c r="AV48" s="165">
        <f>SUM('Revenue Assumptions'!AW117:AW117)</f>
        <v>7812.4688684603525</v>
      </c>
      <c r="AW48" s="165">
        <f>SUM('Revenue Assumptions'!AX117:AX117)</f>
        <v>12311.624923596326</v>
      </c>
      <c r="AX48" s="165">
        <f>SUM('Revenue Assumptions'!AY117:AY117)</f>
        <v>14208.519593321909</v>
      </c>
      <c r="AY48" s="165">
        <f>SUM('Revenue Assumptions'!AZ117:AZ117)</f>
        <v>16105.414263047493</v>
      </c>
      <c r="AZ48" s="165">
        <f>SUM('Revenue Assumptions'!BA117:BA117)</f>
        <v>18002.308932773078</v>
      </c>
      <c r="BA48" s="165">
        <f>SUM('Revenue Assumptions'!BB117:BB117)</f>
        <v>19899.203602498659</v>
      </c>
      <c r="BB48" s="165">
        <f>SUM('Revenue Assumptions'!BC117:BC117)</f>
        <v>21796.098272224244</v>
      </c>
      <c r="BC48" s="165">
        <f>SUM('Revenue Assumptions'!BD117:BD117)</f>
        <v>23692.992941949829</v>
      </c>
      <c r="BD48" s="165">
        <f>SUM('Revenue Assumptions'!BE117:BE117)</f>
        <v>25589.887611675407</v>
      </c>
      <c r="BE48" s="165">
        <f>SUM('Revenue Assumptions'!BF117:BF117)</f>
        <v>27486.782281400996</v>
      </c>
      <c r="BF48" s="165">
        <f>SUM('Revenue Assumptions'!BG117:BG117)</f>
        <v>29383.676951126577</v>
      </c>
      <c r="BG48" s="165">
        <f>SUM('Revenue Assumptions'!BH117:BH117)</f>
        <v>31280.57162085217</v>
      </c>
      <c r="BH48" s="165">
        <f>SUM('Revenue Assumptions'!BI117:BI117)</f>
        <v>33177.466290577751</v>
      </c>
      <c r="BI48" s="165">
        <f>SUM('Revenue Assumptions'!BJ117:BJ117)</f>
        <v>47173.924769783553</v>
      </c>
      <c r="BJ48" s="165">
        <f>SUM('Revenue Assumptions'!BK117:BK117)</f>
        <v>52878.921894417639</v>
      </c>
      <c r="BK48" s="165">
        <f>SUM('Revenue Assumptions'!BL117:BL117)</f>
        <v>58583.919019051718</v>
      </c>
      <c r="BL48" s="165">
        <f>SUM('Revenue Assumptions'!BM117:BM117)</f>
        <v>64288.916143685805</v>
      </c>
      <c r="BM48" s="165">
        <f>SUM('Revenue Assumptions'!BN117:BN117)</f>
        <v>69993.913268319884</v>
      </c>
      <c r="BN48" s="165">
        <f>SUM('Revenue Assumptions'!BO117:BO117)</f>
        <v>75698.910392953985</v>
      </c>
      <c r="BO48" s="165">
        <f>SUM('Revenue Assumptions'!BP117:BP117)</f>
        <v>81403.907517588072</v>
      </c>
      <c r="BP48" s="165">
        <f>SUM('Revenue Assumptions'!BQ117:BQ117)</f>
        <v>87108.904642222158</v>
      </c>
      <c r="BQ48" s="165">
        <f>SUM('Revenue Assumptions'!BR117:BR117)</f>
        <v>92813.901766856245</v>
      </c>
      <c r="BR48" s="165">
        <f>SUM('Revenue Assumptions'!BS117:BS117)</f>
        <v>98518.898891490331</v>
      </c>
      <c r="BS48" s="165">
        <f>SUM('Revenue Assumptions'!BT117:BT117)</f>
        <v>104223.89601612437</v>
      </c>
      <c r="BT48" s="165">
        <f>SUM('Revenue Assumptions'!BU117:BU117)</f>
        <v>109928.89314075849</v>
      </c>
      <c r="BU48" s="165">
        <f>SUM('Revenue Assumptions'!BV117:BV117)</f>
        <v>145883.45956101888</v>
      </c>
      <c r="BV48" s="165">
        <f>SUM('Revenue Assumptions'!BW117:BW117)</f>
        <v>159920.08997872658</v>
      </c>
      <c r="BW48" s="165">
        <f>SUM('Revenue Assumptions'!BX117:BX117)</f>
        <v>173956.72039643425</v>
      </c>
      <c r="BX48" s="165">
        <f>SUM('Revenue Assumptions'!BY117:BY117)</f>
        <v>187993.35081414197</v>
      </c>
      <c r="BY48" s="165">
        <f>SUM('Revenue Assumptions'!BZ117:BZ117)</f>
        <v>202029.98123184964</v>
      </c>
      <c r="BZ48" s="165">
        <f>SUM('Revenue Assumptions'!CA117:CA117)</f>
        <v>216066.61164955731</v>
      </c>
      <c r="CA48" s="165">
        <f>SUM('Revenue Assumptions'!CB117:CB117)</f>
        <v>230103.242067265</v>
      </c>
      <c r="CB48" s="165">
        <f>SUM('Revenue Assumptions'!CC117:CC117)</f>
        <v>244139.8724849727</v>
      </c>
      <c r="CC48" s="165">
        <f>SUM('Revenue Assumptions'!CD117:CD117)</f>
        <v>258176.50290268043</v>
      </c>
      <c r="CD48" s="165">
        <f>SUM('Revenue Assumptions'!CE117:CE117)</f>
        <v>272213.13332038809</v>
      </c>
      <c r="CE48" s="165">
        <f>SUM('Revenue Assumptions'!CF117:CF117)</f>
        <v>286249.7637380957</v>
      </c>
      <c r="CF48" s="165">
        <f>SUM('Revenue Assumptions'!CG117:CG117)</f>
        <v>300286.39415580343</v>
      </c>
    </row>
    <row r="49" spans="4:84" ht="13.8" outlineLevel="1" thickBot="1">
      <c r="E49" s="73" t="s">
        <v>181</v>
      </c>
      <c r="L49" s="167"/>
      <c r="M49" s="169">
        <f t="shared" ref="M49:AJ49" si="59">SUM(M42:M48)</f>
        <v>0</v>
      </c>
      <c r="N49" s="169">
        <f t="shared" si="59"/>
        <v>0</v>
      </c>
      <c r="O49" s="169">
        <f t="shared" si="59"/>
        <v>0</v>
      </c>
      <c r="P49" s="169">
        <f t="shared" si="59"/>
        <v>0</v>
      </c>
      <c r="Q49" s="169">
        <f t="shared" si="59"/>
        <v>0</v>
      </c>
      <c r="R49" s="169">
        <f t="shared" si="59"/>
        <v>14.162649336756525</v>
      </c>
      <c r="S49" s="169">
        <f t="shared" si="59"/>
        <v>28.32529867351305</v>
      </c>
      <c r="T49" s="169">
        <f t="shared" si="59"/>
        <v>42.487948010269577</v>
      </c>
      <c r="U49" s="169">
        <f t="shared" si="59"/>
        <v>56.6505973470261</v>
      </c>
      <c r="V49" s="169">
        <f t="shared" si="59"/>
        <v>70.813246683782637</v>
      </c>
      <c r="W49" s="169">
        <f t="shared" si="59"/>
        <v>84.975896020539153</v>
      </c>
      <c r="X49" s="169">
        <f t="shared" si="59"/>
        <v>99.138545357295683</v>
      </c>
      <c r="Y49" s="169">
        <f t="shared" si="59"/>
        <v>643.88428333027696</v>
      </c>
      <c r="Z49" s="169">
        <f t="shared" si="59"/>
        <v>860.13445337428925</v>
      </c>
      <c r="AA49" s="169">
        <f t="shared" si="59"/>
        <v>1076.384623418302</v>
      </c>
      <c r="AB49" s="169">
        <f t="shared" si="59"/>
        <v>1292.6347934623141</v>
      </c>
      <c r="AC49" s="169">
        <f t="shared" si="59"/>
        <v>1508.8849635063266</v>
      </c>
      <c r="AD49" s="169">
        <f t="shared" si="59"/>
        <v>1804.5151335503392</v>
      </c>
      <c r="AE49" s="169">
        <f t="shared" si="59"/>
        <v>2029.5853035943519</v>
      </c>
      <c r="AF49" s="169">
        <f t="shared" si="59"/>
        <v>2254.6554736383641</v>
      </c>
      <c r="AG49" s="169">
        <f t="shared" si="59"/>
        <v>2479.7256436823773</v>
      </c>
      <c r="AH49" s="169">
        <f t="shared" si="59"/>
        <v>2704.7958137263895</v>
      </c>
      <c r="AI49" s="169">
        <f t="shared" si="59"/>
        <v>2929.8659837704017</v>
      </c>
      <c r="AJ49" s="169">
        <f t="shared" si="59"/>
        <v>3154.9361538144144</v>
      </c>
      <c r="AK49" s="169">
        <f t="shared" ref="AK49" si="60">SUM(AK42:AK48)</f>
        <v>9529.2865204911268</v>
      </c>
      <c r="AL49" s="169">
        <f t="shared" ref="AL49" si="61">SUM(AL42:AL48)</f>
        <v>11557.235061704789</v>
      </c>
      <c r="AM49" s="169">
        <f t="shared" ref="AM49" si="62">SUM(AM42:AM48)</f>
        <v>13585.183602918451</v>
      </c>
      <c r="AN49" s="169">
        <f t="shared" ref="AN49" si="63">SUM(AN42:AN48)</f>
        <v>15613.132144132112</v>
      </c>
      <c r="AO49" s="169">
        <f t="shared" ref="AO49" si="64">SUM(AO42:AO48)</f>
        <v>17641.080685345773</v>
      </c>
      <c r="AP49" s="169">
        <f t="shared" ref="AP49" si="65">SUM(AP42:AP48)</f>
        <v>19669.029226559436</v>
      </c>
      <c r="AQ49" s="169">
        <f t="shared" ref="AQ49" si="66">SUM(AQ42:AQ48)</f>
        <v>21696.977767773093</v>
      </c>
      <c r="AR49" s="169">
        <f t="shared" ref="AR49" si="67">SUM(AR42:AR48)</f>
        <v>23724.926308986756</v>
      </c>
      <c r="AS49" s="169">
        <f t="shared" ref="AS49" si="68">SUM(AS42:AS48)</f>
        <v>25752.874850200424</v>
      </c>
      <c r="AT49" s="169">
        <f t="shared" ref="AT49" si="69">SUM(AT42:AT48)</f>
        <v>27780.823391414084</v>
      </c>
      <c r="AU49" s="169">
        <f t="shared" ref="AU49" si="70">SUM(AU42:AU48)</f>
        <v>29808.771932627744</v>
      </c>
      <c r="AV49" s="169">
        <f t="shared" ref="AV49" si="71">SUM(AV42:AV48)</f>
        <v>31836.720473841408</v>
      </c>
      <c r="AW49" s="169">
        <f t="shared" ref="AW49" si="72">SUM(AW42:AW48)</f>
        <v>50028.025944385307</v>
      </c>
      <c r="AX49" s="169">
        <f t="shared" ref="AX49" si="73">SUM(AX42:AX48)</f>
        <v>57707.044623287627</v>
      </c>
      <c r="AY49" s="169">
        <f t="shared" ref="AY49" si="74">SUM(AY42:AY48)</f>
        <v>65386.06330218997</v>
      </c>
      <c r="AZ49" s="169">
        <f t="shared" ref="AZ49" si="75">SUM(AZ42:AZ48)</f>
        <v>73065.081981092313</v>
      </c>
      <c r="BA49" s="169">
        <f t="shared" ref="BA49" si="76">SUM(BA42:BA48)</f>
        <v>80744.100659994641</v>
      </c>
      <c r="BB49" s="169">
        <f t="shared" ref="BB49" si="77">SUM(BB42:BB48)</f>
        <v>88423.11933889697</v>
      </c>
      <c r="BC49" s="169">
        <f t="shared" ref="BC49" si="78">SUM(BC42:BC48)</f>
        <v>96102.138017799298</v>
      </c>
      <c r="BD49" s="169">
        <f t="shared" ref="BD49" si="79">SUM(BD42:BD48)</f>
        <v>103781.15669670163</v>
      </c>
      <c r="BE49" s="169">
        <f t="shared" ref="BE49" si="80">SUM(BE42:BE48)</f>
        <v>111460.17537560398</v>
      </c>
      <c r="BF49" s="169">
        <f t="shared" ref="BF49" si="81">SUM(BF42:BF48)</f>
        <v>119139.19405450631</v>
      </c>
      <c r="BG49" s="169">
        <f t="shared" ref="BG49" si="82">SUM(BG42:BG48)</f>
        <v>126818.21273340867</v>
      </c>
      <c r="BH49" s="169">
        <f t="shared" ref="BH49" si="83">SUM(BH42:BH48)</f>
        <v>134497.231412311</v>
      </c>
      <c r="BI49" s="169">
        <f t="shared" ref="BI49" si="84">SUM(BI42:BI48)</f>
        <v>190718.6290791342</v>
      </c>
      <c r="BJ49" s="169">
        <f t="shared" ref="BJ49" si="85">SUM(BJ42:BJ48)</f>
        <v>213731.96007767055</v>
      </c>
      <c r="BK49" s="169">
        <f t="shared" ref="BK49" si="86">SUM(BK42:BK48)</f>
        <v>236745.29107620686</v>
      </c>
      <c r="BL49" s="169">
        <f t="shared" ref="BL49" si="87">SUM(BL42:BL48)</f>
        <v>259758.62207474321</v>
      </c>
      <c r="BM49" s="169">
        <f t="shared" ref="BM49" si="88">SUM(BM42:BM48)</f>
        <v>282771.95307327952</v>
      </c>
      <c r="BN49" s="169">
        <f t="shared" ref="BN49" si="89">SUM(BN42:BN48)</f>
        <v>305785.2840718159</v>
      </c>
      <c r="BO49" s="169">
        <f t="shared" ref="BO49" si="90">SUM(BO42:BO48)</f>
        <v>328798.61507035221</v>
      </c>
      <c r="BP49" s="169">
        <f t="shared" ref="BP49" si="91">SUM(BP42:BP48)</f>
        <v>351811.94606888865</v>
      </c>
      <c r="BQ49" s="169">
        <f t="shared" ref="BQ49" si="92">SUM(BQ42:BQ48)</f>
        <v>374825.27706742496</v>
      </c>
      <c r="BR49" s="169">
        <f t="shared" ref="BR49" si="93">SUM(BR42:BR48)</f>
        <v>397838.60806596128</v>
      </c>
      <c r="BS49" s="169">
        <f t="shared" ref="BS49" si="94">SUM(BS42:BS48)</f>
        <v>420851.93906449748</v>
      </c>
      <c r="BT49" s="169">
        <f t="shared" ref="BT49" si="95">SUM(BT42:BT48)</f>
        <v>443865.27006303391</v>
      </c>
      <c r="BU49" s="169">
        <f t="shared" ref="BU49" si="96">SUM(BU42:BU48)</f>
        <v>588079.58074407547</v>
      </c>
      <c r="BV49" s="169">
        <f t="shared" ref="BV49" si="97">SUM(BV42:BV48)</f>
        <v>644622.1474149063</v>
      </c>
      <c r="BW49" s="169">
        <f t="shared" ref="BW49" si="98">SUM(BW42:BW48)</f>
        <v>701164.71408573701</v>
      </c>
      <c r="BX49" s="169">
        <f t="shared" ref="BX49" si="99">SUM(BX42:BX48)</f>
        <v>757707.28075656784</v>
      </c>
      <c r="BY49" s="169">
        <f t="shared" ref="BY49" si="100">SUM(BY42:BY48)</f>
        <v>814249.84742739855</v>
      </c>
      <c r="BZ49" s="169">
        <f t="shared" ref="BZ49" si="101">SUM(BZ42:BZ48)</f>
        <v>870792.41409822926</v>
      </c>
      <c r="CA49" s="169">
        <f t="shared" ref="CA49" si="102">SUM(CA42:CA48)</f>
        <v>927334.98076905985</v>
      </c>
      <c r="CB49" s="169">
        <f t="shared" ref="CB49" si="103">SUM(CB42:CB48)</f>
        <v>983877.54743989068</v>
      </c>
      <c r="CC49" s="169">
        <f t="shared" ref="CC49" si="104">SUM(CC42:CC48)</f>
        <v>1040420.1141107216</v>
      </c>
      <c r="CD49" s="169">
        <f t="shared" ref="CD49" si="105">SUM(CD42:CD48)</f>
        <v>1096962.6807815523</v>
      </c>
      <c r="CE49" s="169">
        <f t="shared" ref="CE49" si="106">SUM(CE42:CE48)</f>
        <v>1153505.2474523829</v>
      </c>
      <c r="CF49" s="169">
        <f t="shared" ref="CF49" si="107">SUM(CF42:CF48)</f>
        <v>1210047.8141232135</v>
      </c>
    </row>
    <row r="50" spans="4:84" ht="13.8" thickTop="1">
      <c r="L50" s="167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1"/>
      <c r="BD50" s="171"/>
      <c r="BE50" s="171"/>
      <c r="BF50" s="171"/>
      <c r="BG50" s="171"/>
      <c r="BH50" s="171"/>
      <c r="BI50" s="171"/>
      <c r="BJ50" s="171"/>
      <c r="BK50" s="171"/>
      <c r="BL50" s="171"/>
      <c r="BM50" s="171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171"/>
      <c r="CC50" s="171"/>
      <c r="CD50" s="171"/>
      <c r="CE50" s="171"/>
      <c r="CF50" s="171"/>
    </row>
    <row r="51" spans="4:84" ht="13.8" thickBot="1">
      <c r="D51" s="65" t="s">
        <v>38</v>
      </c>
      <c r="E51" s="65"/>
      <c r="F51" s="65"/>
      <c r="G51" s="65"/>
      <c r="H51" s="65"/>
      <c r="I51" s="65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7"/>
      <c r="CE51" s="167"/>
      <c r="CF51" s="167"/>
    </row>
    <row r="52" spans="4:84" ht="13.8" outlineLevel="1" thickTop="1">
      <c r="E52" s="64" t="s">
        <v>186</v>
      </c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</row>
    <row r="53" spans="4:84" outlineLevel="1">
      <c r="E53" s="68" t="str">
        <f>Assumptions!E56</f>
        <v>C-Level</v>
      </c>
      <c r="L53" s="167"/>
      <c r="M53" s="292" cm="1">
        <f t="array" ref="M53">INDEX(Assumptions!$G45:$L45,,Model!M$11)*INDEX(Assumptions!$G56:$L56,,Model!M$11)*M$15</f>
        <v>0</v>
      </c>
      <c r="N53" s="292" cm="1">
        <f t="array" ref="N53">INDEX(Assumptions!$G45:$L45,,Model!N$11)*INDEX(Assumptions!$G56:$L56,,Model!N$11)*N$15</f>
        <v>0</v>
      </c>
      <c r="O53" s="292" cm="1">
        <f t="array" ref="O53">INDEX(Assumptions!$G45:$L45,,Model!O$11)*INDEX(Assumptions!$G56:$L56,,Model!O$11)*O$15</f>
        <v>0</v>
      </c>
      <c r="P53" s="292" cm="1">
        <f t="array" ref="P53">INDEX(Assumptions!$G45:$L45,,Model!P$11)*INDEX(Assumptions!$G56:$L56,,Model!P$11)*P$15</f>
        <v>0</v>
      </c>
      <c r="Q53" s="292" cm="1">
        <f t="array" ref="Q53">INDEX(Assumptions!$G45:$L45,,Model!Q$11)*INDEX(Assumptions!$G56:$L56,,Model!Q$11)*Q$15</f>
        <v>0</v>
      </c>
      <c r="R53" s="292" cm="1">
        <f t="array" ref="R53">INDEX(Assumptions!$G45:$L45,,Model!R$11)*INDEX(Assumptions!$G56:$L56,,Model!R$11)*R$15</f>
        <v>10000</v>
      </c>
      <c r="S53" s="292" cm="1">
        <f t="array" ref="S53">INDEX(Assumptions!$G45:$L45,,Model!S$11)*INDEX(Assumptions!$G56:$L56,,Model!S$11)*S$15</f>
        <v>10000</v>
      </c>
      <c r="T53" s="292" cm="1">
        <f t="array" ref="T53">INDEX(Assumptions!$G45:$L45,,Model!T$11)*INDEX(Assumptions!$G56:$L56,,Model!T$11)*T$15</f>
        <v>10000</v>
      </c>
      <c r="U53" s="292" cm="1">
        <f t="array" ref="U53">INDEX(Assumptions!$G45:$L45,,Model!U$11)*INDEX(Assumptions!$G56:$L56,,Model!U$11)*U$15</f>
        <v>10000</v>
      </c>
      <c r="V53" s="292" cm="1">
        <f t="array" ref="V53">INDEX(Assumptions!$G45:$L45,,Model!V$11)*INDEX(Assumptions!$G56:$L56,,Model!V$11)*V$15</f>
        <v>10000</v>
      </c>
      <c r="W53" s="292" cm="1">
        <f t="array" ref="W53">INDEX(Assumptions!$G45:$L45,,Model!W$11)*INDEX(Assumptions!$G56:$L56,,Model!W$11)*W$15</f>
        <v>10000</v>
      </c>
      <c r="X53" s="292" cm="1">
        <f t="array" ref="X53">INDEX(Assumptions!$G45:$L45,,Model!X$11)*INDEX(Assumptions!$G56:$L56,,Model!X$11)*X$15</f>
        <v>10000</v>
      </c>
      <c r="Y53" s="292" cm="1">
        <f t="array" ref="Y53">INDEX(Assumptions!$G45:$L45,,Model!Y$11)*INDEX(Assumptions!$G56:$L56,,Model!Y$11)*Y$15</f>
        <v>29166</v>
      </c>
      <c r="Z53" s="292" cm="1">
        <f t="array" ref="Z53">INDEX(Assumptions!$G45:$L45,,Model!Z$11)*INDEX(Assumptions!$G56:$L56,,Model!Z$11)*Z$15</f>
        <v>29166</v>
      </c>
      <c r="AA53" s="292" cm="1">
        <f t="array" ref="AA53">INDEX(Assumptions!$G45:$L45,,Model!AA$11)*INDEX(Assumptions!$G56:$L56,,Model!AA$11)*AA$15</f>
        <v>29166</v>
      </c>
      <c r="AB53" s="292" cm="1">
        <f t="array" ref="AB53">INDEX(Assumptions!$G45:$L45,,Model!AB$11)*INDEX(Assumptions!$G56:$L56,,Model!AB$11)*AB$15</f>
        <v>29166</v>
      </c>
      <c r="AC53" s="292" cm="1">
        <f t="array" ref="AC53">INDEX(Assumptions!$G45:$L45,,Model!AC$11)*INDEX(Assumptions!$G56:$L56,,Model!AC$11)*AC$15</f>
        <v>29166</v>
      </c>
      <c r="AD53" s="292" cm="1">
        <f t="array" ref="AD53">INDEX(Assumptions!$G45:$L45,,Model!AD$11)*INDEX(Assumptions!$G56:$L56,,Model!AD$11)*AD$15</f>
        <v>29166</v>
      </c>
      <c r="AE53" s="292" cm="1">
        <f t="array" ref="AE53">INDEX(Assumptions!$G45:$L45,,Model!AE$11)*INDEX(Assumptions!$G56:$L56,,Model!AE$11)*AE$15</f>
        <v>29166</v>
      </c>
      <c r="AF53" s="292" cm="1">
        <f t="array" ref="AF53">INDEX(Assumptions!$G45:$L45,,Model!AF$11)*INDEX(Assumptions!$G56:$L56,,Model!AF$11)*AF$15</f>
        <v>29166</v>
      </c>
      <c r="AG53" s="292" cm="1">
        <f t="array" ref="AG53">INDEX(Assumptions!$G45:$L45,,Model!AG$11)*INDEX(Assumptions!$G56:$L56,,Model!AG$11)*AG$15</f>
        <v>29166</v>
      </c>
      <c r="AH53" s="292" cm="1">
        <f t="array" ref="AH53">INDEX(Assumptions!$G45:$L45,,Model!AH$11)*INDEX(Assumptions!$G56:$L56,,Model!AH$11)*AH$15</f>
        <v>29166</v>
      </c>
      <c r="AI53" s="292" cm="1">
        <f t="array" ref="AI53">INDEX(Assumptions!$G45:$L45,,Model!AI$11)*INDEX(Assumptions!$G56:$L56,,Model!AI$11)*AI$15</f>
        <v>29166</v>
      </c>
      <c r="AJ53" s="292" cm="1">
        <f t="array" ref="AJ53">INDEX(Assumptions!$G45:$L45,,Model!AJ$11)*INDEX(Assumptions!$G56:$L56,,Model!AJ$11)*AJ$15</f>
        <v>29166</v>
      </c>
      <c r="AK53" s="292" cm="1">
        <f t="array" ref="AK53">INDEX(Assumptions!$G45:$L45,,Model!AK$11)*INDEX(Assumptions!$G56:$L56,,Model!AK$11)*AK$15</f>
        <v>29166</v>
      </c>
      <c r="AL53" s="292" cm="1">
        <f t="array" ref="AL53">INDEX(Assumptions!$G45:$L45,,Model!AL$11)*INDEX(Assumptions!$G56:$L56,,Model!AL$11)*AL$15</f>
        <v>29166</v>
      </c>
      <c r="AM53" s="292" cm="1">
        <f t="array" ref="AM53">INDEX(Assumptions!$G45:$L45,,Model!AM$11)*INDEX(Assumptions!$G56:$L56,,Model!AM$11)*AM$15</f>
        <v>29166</v>
      </c>
      <c r="AN53" s="292" cm="1">
        <f t="array" ref="AN53">INDEX(Assumptions!$G45:$L45,,Model!AN$11)*INDEX(Assumptions!$G56:$L56,,Model!AN$11)*AN$15</f>
        <v>29166</v>
      </c>
      <c r="AO53" s="292" cm="1">
        <f t="array" ref="AO53">INDEX(Assumptions!$G45:$L45,,Model!AO$11)*INDEX(Assumptions!$G56:$L56,,Model!AO$11)*AO$15</f>
        <v>29166</v>
      </c>
      <c r="AP53" s="292" cm="1">
        <f t="array" ref="AP53">INDEX(Assumptions!$G45:$L45,,Model!AP$11)*INDEX(Assumptions!$G56:$L56,,Model!AP$11)*AP$15</f>
        <v>29166</v>
      </c>
      <c r="AQ53" s="292" cm="1">
        <f t="array" ref="AQ53">INDEX(Assumptions!$G45:$L45,,Model!AQ$11)*INDEX(Assumptions!$G56:$L56,,Model!AQ$11)*AQ$15</f>
        <v>29166</v>
      </c>
      <c r="AR53" s="292" cm="1">
        <f t="array" ref="AR53">INDEX(Assumptions!$G45:$L45,,Model!AR$11)*INDEX(Assumptions!$G56:$L56,,Model!AR$11)*AR$15</f>
        <v>29166</v>
      </c>
      <c r="AS53" s="292" cm="1">
        <f t="array" ref="AS53">INDEX(Assumptions!$G45:$L45,,Model!AS$11)*INDEX(Assumptions!$G56:$L56,,Model!AS$11)*AS$15</f>
        <v>29166</v>
      </c>
      <c r="AT53" s="292" cm="1">
        <f t="array" ref="AT53">INDEX(Assumptions!$G45:$L45,,Model!AT$11)*INDEX(Assumptions!$G56:$L56,,Model!AT$11)*AT$15</f>
        <v>29166</v>
      </c>
      <c r="AU53" s="292" cm="1">
        <f t="array" ref="AU53">INDEX(Assumptions!$G45:$L45,,Model!AU$11)*INDEX(Assumptions!$G56:$L56,,Model!AU$11)*AU$15</f>
        <v>29166</v>
      </c>
      <c r="AV53" s="292" cm="1">
        <f t="array" ref="AV53">INDEX(Assumptions!$G45:$L45,,Model!AV$11)*INDEX(Assumptions!$G56:$L56,,Model!AV$11)*AV$15</f>
        <v>29166</v>
      </c>
      <c r="AW53" s="292" cm="1">
        <f t="array" ref="AW53">INDEX(Assumptions!$G45:$L45,,Model!AW$11)*INDEX(Assumptions!$G56:$L56,,Model!AW$11)*AW$15</f>
        <v>29166</v>
      </c>
      <c r="AX53" s="292" cm="1">
        <f t="array" ref="AX53">INDEX(Assumptions!$G45:$L45,,Model!AX$11)*INDEX(Assumptions!$G56:$L56,,Model!AX$11)*AX$15</f>
        <v>29166</v>
      </c>
      <c r="AY53" s="292" cm="1">
        <f t="array" ref="AY53">INDEX(Assumptions!$G45:$L45,,Model!AY$11)*INDEX(Assumptions!$G56:$L56,,Model!AY$11)*AY$15</f>
        <v>29166</v>
      </c>
      <c r="AZ53" s="292" cm="1">
        <f t="array" ref="AZ53">INDEX(Assumptions!$G45:$L45,,Model!AZ$11)*INDEX(Assumptions!$G56:$L56,,Model!AZ$11)*AZ$15</f>
        <v>29166</v>
      </c>
      <c r="BA53" s="292" cm="1">
        <f t="array" ref="BA53">INDEX(Assumptions!$G45:$L45,,Model!BA$11)*INDEX(Assumptions!$G56:$L56,,Model!BA$11)*BA$15</f>
        <v>29166</v>
      </c>
      <c r="BB53" s="292" cm="1">
        <f t="array" ref="BB53">INDEX(Assumptions!$G45:$L45,,Model!BB$11)*INDEX(Assumptions!$G56:$L56,,Model!BB$11)*BB$15</f>
        <v>29166</v>
      </c>
      <c r="BC53" s="292" cm="1">
        <f t="array" ref="BC53">INDEX(Assumptions!$G45:$L45,,Model!BC$11)*INDEX(Assumptions!$G56:$L56,,Model!BC$11)*BC$15</f>
        <v>29166</v>
      </c>
      <c r="BD53" s="292" cm="1">
        <f t="array" ref="BD53">INDEX(Assumptions!$G45:$L45,,Model!BD$11)*INDEX(Assumptions!$G56:$L56,,Model!BD$11)*BD$15</f>
        <v>29166</v>
      </c>
      <c r="BE53" s="292" cm="1">
        <f t="array" ref="BE53">INDEX(Assumptions!$G45:$L45,,Model!BE$11)*INDEX(Assumptions!$G56:$L56,,Model!BE$11)*BE$15</f>
        <v>29166</v>
      </c>
      <c r="BF53" s="292" cm="1">
        <f t="array" ref="BF53">INDEX(Assumptions!$G45:$L45,,Model!BF$11)*INDEX(Assumptions!$G56:$L56,,Model!BF$11)*BF$15</f>
        <v>29166</v>
      </c>
      <c r="BG53" s="292" cm="1">
        <f t="array" ref="BG53">INDEX(Assumptions!$G45:$L45,,Model!BG$11)*INDEX(Assumptions!$G56:$L56,,Model!BG$11)*BG$15</f>
        <v>29166</v>
      </c>
      <c r="BH53" s="292" cm="1">
        <f t="array" ref="BH53">INDEX(Assumptions!$G45:$L45,,Model!BH$11)*INDEX(Assumptions!$G56:$L56,,Model!BH$11)*BH$15</f>
        <v>29166</v>
      </c>
      <c r="BI53" s="292" cm="1">
        <f t="array" ref="BI53">INDEX(Assumptions!$G45:$L45,,Model!BI$11)*INDEX(Assumptions!$G56:$L56,,Model!BI$11)*BI$15</f>
        <v>29166</v>
      </c>
      <c r="BJ53" s="292" cm="1">
        <f t="array" ref="BJ53">INDEX(Assumptions!$G45:$L45,,Model!BJ$11)*INDEX(Assumptions!$G56:$L56,,Model!BJ$11)*BJ$15</f>
        <v>29166</v>
      </c>
      <c r="BK53" s="292" cm="1">
        <f t="array" ref="BK53">INDEX(Assumptions!$G45:$L45,,Model!BK$11)*INDEX(Assumptions!$G56:$L56,,Model!BK$11)*BK$15</f>
        <v>29166</v>
      </c>
      <c r="BL53" s="292" cm="1">
        <f t="array" ref="BL53">INDEX(Assumptions!$G45:$L45,,Model!BL$11)*INDEX(Assumptions!$G56:$L56,,Model!BL$11)*BL$15</f>
        <v>29166</v>
      </c>
      <c r="BM53" s="292" cm="1">
        <f t="array" ref="BM53">INDEX(Assumptions!$G45:$L45,,Model!BM$11)*INDEX(Assumptions!$G56:$L56,,Model!BM$11)*BM$15</f>
        <v>29166</v>
      </c>
      <c r="BN53" s="292" cm="1">
        <f t="array" ref="BN53">INDEX(Assumptions!$G45:$L45,,Model!BN$11)*INDEX(Assumptions!$G56:$L56,,Model!BN$11)*BN$15</f>
        <v>29166</v>
      </c>
      <c r="BO53" s="292" cm="1">
        <f t="array" ref="BO53">INDEX(Assumptions!$G45:$L45,,Model!BO$11)*INDEX(Assumptions!$G56:$L56,,Model!BO$11)*BO$15</f>
        <v>29166</v>
      </c>
      <c r="BP53" s="292" cm="1">
        <f t="array" ref="BP53">INDEX(Assumptions!$G45:$L45,,Model!BP$11)*INDEX(Assumptions!$G56:$L56,,Model!BP$11)*BP$15</f>
        <v>29166</v>
      </c>
      <c r="BQ53" s="292" cm="1">
        <f t="array" ref="BQ53">INDEX(Assumptions!$G45:$L45,,Model!BQ$11)*INDEX(Assumptions!$G56:$L56,,Model!BQ$11)*BQ$15</f>
        <v>29166</v>
      </c>
      <c r="BR53" s="292" cm="1">
        <f t="array" ref="BR53">INDEX(Assumptions!$G45:$L45,,Model!BR$11)*INDEX(Assumptions!$G56:$L56,,Model!BR$11)*BR$15</f>
        <v>29166</v>
      </c>
      <c r="BS53" s="292" cm="1">
        <f t="array" ref="BS53">INDEX(Assumptions!$G45:$L45,,Model!BS$11)*INDEX(Assumptions!$G56:$L56,,Model!BS$11)*BS$15</f>
        <v>29166</v>
      </c>
      <c r="BT53" s="292" cm="1">
        <f t="array" ref="BT53">INDEX(Assumptions!$G45:$L45,,Model!BT$11)*INDEX(Assumptions!$G56:$L56,,Model!BT$11)*BT$15</f>
        <v>29166</v>
      </c>
      <c r="BU53" s="292" cm="1">
        <f t="array" ref="BU53">INDEX(Assumptions!$G45:$L45,,Model!BU$11)*INDEX(Assumptions!$G56:$L56,,Model!BU$11)*BU$15</f>
        <v>29166</v>
      </c>
      <c r="BV53" s="292" cm="1">
        <f t="array" ref="BV53">INDEX(Assumptions!$G45:$L45,,Model!BV$11)*INDEX(Assumptions!$G56:$L56,,Model!BV$11)*BV$15</f>
        <v>29166</v>
      </c>
      <c r="BW53" s="292" cm="1">
        <f t="array" ref="BW53">INDEX(Assumptions!$G45:$L45,,Model!BW$11)*INDEX(Assumptions!$G56:$L56,,Model!BW$11)*BW$15</f>
        <v>29166</v>
      </c>
      <c r="BX53" s="292" cm="1">
        <f t="array" ref="BX53">INDEX(Assumptions!$G45:$L45,,Model!BX$11)*INDEX(Assumptions!$G56:$L56,,Model!BX$11)*BX$15</f>
        <v>29166</v>
      </c>
      <c r="BY53" s="292" cm="1">
        <f t="array" ref="BY53">INDEX(Assumptions!$G45:$L45,,Model!BY$11)*INDEX(Assumptions!$G56:$L56,,Model!BY$11)*BY$15</f>
        <v>29166</v>
      </c>
      <c r="BZ53" s="292" cm="1">
        <f t="array" ref="BZ53">INDEX(Assumptions!$G45:$L45,,Model!BZ$11)*INDEX(Assumptions!$G56:$L56,,Model!BZ$11)*BZ$15</f>
        <v>29166</v>
      </c>
      <c r="CA53" s="292" cm="1">
        <f t="array" ref="CA53">INDEX(Assumptions!$G45:$L45,,Model!CA$11)*INDEX(Assumptions!$G56:$L56,,Model!CA$11)*CA$15</f>
        <v>29166</v>
      </c>
      <c r="CB53" s="292" cm="1">
        <f t="array" ref="CB53">INDEX(Assumptions!$G45:$L45,,Model!CB$11)*INDEX(Assumptions!$G56:$L56,,Model!CB$11)*CB$15</f>
        <v>29166</v>
      </c>
      <c r="CC53" s="292" cm="1">
        <f t="array" ref="CC53">INDEX(Assumptions!$G45:$L45,,Model!CC$11)*INDEX(Assumptions!$G56:$L56,,Model!CC$11)*CC$15</f>
        <v>29166</v>
      </c>
      <c r="CD53" s="292" cm="1">
        <f t="array" ref="CD53">INDEX(Assumptions!$G45:$L45,,Model!CD$11)*INDEX(Assumptions!$G56:$L56,,Model!CD$11)*CD$15</f>
        <v>29166</v>
      </c>
      <c r="CE53" s="292" cm="1">
        <f t="array" ref="CE53">INDEX(Assumptions!$G45:$L45,,Model!CE$11)*INDEX(Assumptions!$G56:$L56,,Model!CE$11)*CE$15</f>
        <v>29166</v>
      </c>
      <c r="CF53" s="292" cm="1">
        <f t="array" ref="CF53">INDEX(Assumptions!$G45:$L45,,Model!CF$11)*INDEX(Assumptions!$G56:$L56,,Model!CF$11)*CF$15</f>
        <v>29166</v>
      </c>
    </row>
    <row r="54" spans="4:84" outlineLevel="1">
      <c r="E54" s="68" t="str">
        <f>Assumptions!E57</f>
        <v>Directors</v>
      </c>
      <c r="L54" s="167"/>
      <c r="M54" s="290" cm="1">
        <f t="array" ref="M54">INDEX(Assumptions!$G46:$L46,,Model!M$11)*INDEX(Assumptions!$G57:$L57,,Model!M$11)*M$15</f>
        <v>0</v>
      </c>
      <c r="N54" s="290" cm="1">
        <f t="array" ref="N54">INDEX(Assumptions!$G46:$L46,,Model!N$11)*INDEX(Assumptions!$G57:$L57,,Model!N$11)*N$15</f>
        <v>0</v>
      </c>
      <c r="O54" s="290" cm="1">
        <f t="array" ref="O54">INDEX(Assumptions!$G46:$L46,,Model!O$11)*INDEX(Assumptions!$G57:$L57,,Model!O$11)*O$15</f>
        <v>0</v>
      </c>
      <c r="P54" s="290" cm="1">
        <f t="array" ref="P54">INDEX(Assumptions!$G46:$L46,,Model!P$11)*INDEX(Assumptions!$G57:$L57,,Model!P$11)*P$15</f>
        <v>0</v>
      </c>
      <c r="Q54" s="290" cm="1">
        <f t="array" ref="Q54">INDEX(Assumptions!$G46:$L46,,Model!Q$11)*INDEX(Assumptions!$G57:$L57,,Model!Q$11)*Q$15</f>
        <v>0</v>
      </c>
      <c r="R54" s="290" cm="1">
        <f t="array" ref="R54">INDEX(Assumptions!$G46:$L46,,Model!R$11)*INDEX(Assumptions!$G57:$L57,,Model!R$11)*R$15</f>
        <v>0</v>
      </c>
      <c r="S54" s="290" cm="1">
        <f t="array" ref="S54">INDEX(Assumptions!$G46:$L46,,Model!S$11)*INDEX(Assumptions!$G57:$L57,,Model!S$11)*S$15</f>
        <v>0</v>
      </c>
      <c r="T54" s="290" cm="1">
        <f t="array" ref="T54">INDEX(Assumptions!$G46:$L46,,Model!T$11)*INDEX(Assumptions!$G57:$L57,,Model!T$11)*T$15</f>
        <v>0</v>
      </c>
      <c r="U54" s="290" cm="1">
        <f t="array" ref="U54">INDEX(Assumptions!$G46:$L46,,Model!U$11)*INDEX(Assumptions!$G57:$L57,,Model!U$11)*U$15</f>
        <v>0</v>
      </c>
      <c r="V54" s="290" cm="1">
        <f t="array" ref="V54">INDEX(Assumptions!$G46:$L46,,Model!V$11)*INDEX(Assumptions!$G57:$L57,,Model!V$11)*V$15</f>
        <v>0</v>
      </c>
      <c r="W54" s="290" cm="1">
        <f t="array" ref="W54">INDEX(Assumptions!$G46:$L46,,Model!W$11)*INDEX(Assumptions!$G57:$L57,,Model!W$11)*W$15</f>
        <v>0</v>
      </c>
      <c r="X54" s="290" cm="1">
        <f t="array" ref="X54">INDEX(Assumptions!$G46:$L46,,Model!X$11)*INDEX(Assumptions!$G57:$L57,,Model!X$11)*X$15</f>
        <v>0</v>
      </c>
      <c r="Y54" s="290" cm="1">
        <f t="array" ref="Y54">INDEX(Assumptions!$G46:$L46,,Model!Y$11)*INDEX(Assumptions!$G57:$L57,,Model!Y$11)*Y$15</f>
        <v>31251</v>
      </c>
      <c r="Z54" s="290" cm="1">
        <f t="array" ref="Z54">INDEX(Assumptions!$G46:$L46,,Model!Z$11)*INDEX(Assumptions!$G57:$L57,,Model!Z$11)*Z$15</f>
        <v>31251</v>
      </c>
      <c r="AA54" s="290" cm="1">
        <f t="array" ref="AA54">INDEX(Assumptions!$G46:$L46,,Model!AA$11)*INDEX(Assumptions!$G57:$L57,,Model!AA$11)*AA$15</f>
        <v>31251</v>
      </c>
      <c r="AB54" s="290" cm="1">
        <f t="array" ref="AB54">INDEX(Assumptions!$G46:$L46,,Model!AB$11)*INDEX(Assumptions!$G57:$L57,,Model!AB$11)*AB$15</f>
        <v>31251</v>
      </c>
      <c r="AC54" s="290" cm="1">
        <f t="array" ref="AC54">INDEX(Assumptions!$G46:$L46,,Model!AC$11)*INDEX(Assumptions!$G57:$L57,,Model!AC$11)*AC$15</f>
        <v>31251</v>
      </c>
      <c r="AD54" s="290" cm="1">
        <f t="array" ref="AD54">INDEX(Assumptions!$G46:$L46,,Model!AD$11)*INDEX(Assumptions!$G57:$L57,,Model!AD$11)*AD$15</f>
        <v>31251</v>
      </c>
      <c r="AE54" s="290" cm="1">
        <f t="array" ref="AE54">INDEX(Assumptions!$G46:$L46,,Model!AE$11)*INDEX(Assumptions!$G57:$L57,,Model!AE$11)*AE$15</f>
        <v>31251</v>
      </c>
      <c r="AF54" s="290" cm="1">
        <f t="array" ref="AF54">INDEX(Assumptions!$G46:$L46,,Model!AF$11)*INDEX(Assumptions!$G57:$L57,,Model!AF$11)*AF$15</f>
        <v>31251</v>
      </c>
      <c r="AG54" s="290" cm="1">
        <f t="array" ref="AG54">INDEX(Assumptions!$G46:$L46,,Model!AG$11)*INDEX(Assumptions!$G57:$L57,,Model!AG$11)*AG$15</f>
        <v>31251</v>
      </c>
      <c r="AH54" s="290" cm="1">
        <f t="array" ref="AH54">INDEX(Assumptions!$G46:$L46,,Model!AH$11)*INDEX(Assumptions!$G57:$L57,,Model!AH$11)*AH$15</f>
        <v>31251</v>
      </c>
      <c r="AI54" s="290" cm="1">
        <f t="array" ref="AI54">INDEX(Assumptions!$G46:$L46,,Model!AI$11)*INDEX(Assumptions!$G57:$L57,,Model!AI$11)*AI$15</f>
        <v>31251</v>
      </c>
      <c r="AJ54" s="290" cm="1">
        <f t="array" ref="AJ54">INDEX(Assumptions!$G46:$L46,,Model!AJ$11)*INDEX(Assumptions!$G57:$L57,,Model!AJ$11)*AJ$15</f>
        <v>31251</v>
      </c>
      <c r="AK54" s="290" cm="1">
        <f t="array" ref="AK54">INDEX(Assumptions!$G46:$L46,,Model!AK$11)*INDEX(Assumptions!$G57:$L57,,Model!AK$11)*AK$15</f>
        <v>31251</v>
      </c>
      <c r="AL54" s="290" cm="1">
        <f t="array" ref="AL54">INDEX(Assumptions!$G46:$L46,,Model!AL$11)*INDEX(Assumptions!$G57:$L57,,Model!AL$11)*AL$15</f>
        <v>31251</v>
      </c>
      <c r="AM54" s="290" cm="1">
        <f t="array" ref="AM54">INDEX(Assumptions!$G46:$L46,,Model!AM$11)*INDEX(Assumptions!$G57:$L57,,Model!AM$11)*AM$15</f>
        <v>31251</v>
      </c>
      <c r="AN54" s="290" cm="1">
        <f t="array" ref="AN54">INDEX(Assumptions!$G46:$L46,,Model!AN$11)*INDEX(Assumptions!$G57:$L57,,Model!AN$11)*AN$15</f>
        <v>31251</v>
      </c>
      <c r="AO54" s="290" cm="1">
        <f t="array" ref="AO54">INDEX(Assumptions!$G46:$L46,,Model!AO$11)*INDEX(Assumptions!$G57:$L57,,Model!AO$11)*AO$15</f>
        <v>31251</v>
      </c>
      <c r="AP54" s="290" cm="1">
        <f t="array" ref="AP54">INDEX(Assumptions!$G46:$L46,,Model!AP$11)*INDEX(Assumptions!$G57:$L57,,Model!AP$11)*AP$15</f>
        <v>31251</v>
      </c>
      <c r="AQ54" s="290" cm="1">
        <f t="array" ref="AQ54">INDEX(Assumptions!$G46:$L46,,Model!AQ$11)*INDEX(Assumptions!$G57:$L57,,Model!AQ$11)*AQ$15</f>
        <v>31251</v>
      </c>
      <c r="AR54" s="290" cm="1">
        <f t="array" ref="AR54">INDEX(Assumptions!$G46:$L46,,Model!AR$11)*INDEX(Assumptions!$G57:$L57,,Model!AR$11)*AR$15</f>
        <v>31251</v>
      </c>
      <c r="AS54" s="290" cm="1">
        <f t="array" ref="AS54">INDEX(Assumptions!$G46:$L46,,Model!AS$11)*INDEX(Assumptions!$G57:$L57,,Model!AS$11)*AS$15</f>
        <v>31251</v>
      </c>
      <c r="AT54" s="290" cm="1">
        <f t="array" ref="AT54">INDEX(Assumptions!$G46:$L46,,Model!AT$11)*INDEX(Assumptions!$G57:$L57,,Model!AT$11)*AT$15</f>
        <v>31251</v>
      </c>
      <c r="AU54" s="290" cm="1">
        <f t="array" ref="AU54">INDEX(Assumptions!$G46:$L46,,Model!AU$11)*INDEX(Assumptions!$G57:$L57,,Model!AU$11)*AU$15</f>
        <v>31251</v>
      </c>
      <c r="AV54" s="290" cm="1">
        <f t="array" ref="AV54">INDEX(Assumptions!$G46:$L46,,Model!AV$11)*INDEX(Assumptions!$G57:$L57,,Model!AV$11)*AV$15</f>
        <v>31251</v>
      </c>
      <c r="AW54" s="290" cm="1">
        <f t="array" ref="AW54">INDEX(Assumptions!$G46:$L46,,Model!AW$11)*INDEX(Assumptions!$G57:$L57,,Model!AW$11)*AW$15</f>
        <v>31251</v>
      </c>
      <c r="AX54" s="290" cm="1">
        <f t="array" ref="AX54">INDEX(Assumptions!$G46:$L46,,Model!AX$11)*INDEX(Assumptions!$G57:$L57,,Model!AX$11)*AX$15</f>
        <v>31251</v>
      </c>
      <c r="AY54" s="290" cm="1">
        <f t="array" ref="AY54">INDEX(Assumptions!$G46:$L46,,Model!AY$11)*INDEX(Assumptions!$G57:$L57,,Model!AY$11)*AY$15</f>
        <v>31251</v>
      </c>
      <c r="AZ54" s="290" cm="1">
        <f t="array" ref="AZ54">INDEX(Assumptions!$G46:$L46,,Model!AZ$11)*INDEX(Assumptions!$G57:$L57,,Model!AZ$11)*AZ$15</f>
        <v>31251</v>
      </c>
      <c r="BA54" s="290" cm="1">
        <f t="array" ref="BA54">INDEX(Assumptions!$G46:$L46,,Model!BA$11)*INDEX(Assumptions!$G57:$L57,,Model!BA$11)*BA$15</f>
        <v>31251</v>
      </c>
      <c r="BB54" s="290" cm="1">
        <f t="array" ref="BB54">INDEX(Assumptions!$G46:$L46,,Model!BB$11)*INDEX(Assumptions!$G57:$L57,,Model!BB$11)*BB$15</f>
        <v>31251</v>
      </c>
      <c r="BC54" s="290" cm="1">
        <f t="array" ref="BC54">INDEX(Assumptions!$G46:$L46,,Model!BC$11)*INDEX(Assumptions!$G57:$L57,,Model!BC$11)*BC$15</f>
        <v>31251</v>
      </c>
      <c r="BD54" s="290" cm="1">
        <f t="array" ref="BD54">INDEX(Assumptions!$G46:$L46,,Model!BD$11)*INDEX(Assumptions!$G57:$L57,,Model!BD$11)*BD$15</f>
        <v>31251</v>
      </c>
      <c r="BE54" s="290" cm="1">
        <f t="array" ref="BE54">INDEX(Assumptions!$G46:$L46,,Model!BE$11)*INDEX(Assumptions!$G57:$L57,,Model!BE$11)*BE$15</f>
        <v>31251</v>
      </c>
      <c r="BF54" s="290" cm="1">
        <f t="array" ref="BF54">INDEX(Assumptions!$G46:$L46,,Model!BF$11)*INDEX(Assumptions!$G57:$L57,,Model!BF$11)*BF$15</f>
        <v>31251</v>
      </c>
      <c r="BG54" s="290" cm="1">
        <f t="array" ref="BG54">INDEX(Assumptions!$G46:$L46,,Model!BG$11)*INDEX(Assumptions!$G57:$L57,,Model!BG$11)*BG$15</f>
        <v>31251</v>
      </c>
      <c r="BH54" s="290" cm="1">
        <f t="array" ref="BH54">INDEX(Assumptions!$G46:$L46,,Model!BH$11)*INDEX(Assumptions!$G57:$L57,,Model!BH$11)*BH$15</f>
        <v>31251</v>
      </c>
      <c r="BI54" s="290" cm="1">
        <f t="array" ref="BI54">INDEX(Assumptions!$G46:$L46,,Model!BI$11)*INDEX(Assumptions!$G57:$L57,,Model!BI$11)*BI$15</f>
        <v>31251</v>
      </c>
      <c r="BJ54" s="290" cm="1">
        <f t="array" ref="BJ54">INDEX(Assumptions!$G46:$L46,,Model!BJ$11)*INDEX(Assumptions!$G57:$L57,,Model!BJ$11)*BJ$15</f>
        <v>31251</v>
      </c>
      <c r="BK54" s="290" cm="1">
        <f t="array" ref="BK54">INDEX(Assumptions!$G46:$L46,,Model!BK$11)*INDEX(Assumptions!$G57:$L57,,Model!BK$11)*BK$15</f>
        <v>31251</v>
      </c>
      <c r="BL54" s="290" cm="1">
        <f t="array" ref="BL54">INDEX(Assumptions!$G46:$L46,,Model!BL$11)*INDEX(Assumptions!$G57:$L57,,Model!BL$11)*BL$15</f>
        <v>31251</v>
      </c>
      <c r="BM54" s="290" cm="1">
        <f t="array" ref="BM54">INDEX(Assumptions!$G46:$L46,,Model!BM$11)*INDEX(Assumptions!$G57:$L57,,Model!BM$11)*BM$15</f>
        <v>31251</v>
      </c>
      <c r="BN54" s="290" cm="1">
        <f t="array" ref="BN54">INDEX(Assumptions!$G46:$L46,,Model!BN$11)*INDEX(Assumptions!$G57:$L57,,Model!BN$11)*BN$15</f>
        <v>31251</v>
      </c>
      <c r="BO54" s="290" cm="1">
        <f t="array" ref="BO54">INDEX(Assumptions!$G46:$L46,,Model!BO$11)*INDEX(Assumptions!$G57:$L57,,Model!BO$11)*BO$15</f>
        <v>31251</v>
      </c>
      <c r="BP54" s="290" cm="1">
        <f t="array" ref="BP54">INDEX(Assumptions!$G46:$L46,,Model!BP$11)*INDEX(Assumptions!$G57:$L57,,Model!BP$11)*BP$15</f>
        <v>31251</v>
      </c>
      <c r="BQ54" s="290" cm="1">
        <f t="array" ref="BQ54">INDEX(Assumptions!$G46:$L46,,Model!BQ$11)*INDEX(Assumptions!$G57:$L57,,Model!BQ$11)*BQ$15</f>
        <v>31251</v>
      </c>
      <c r="BR54" s="290" cm="1">
        <f t="array" ref="BR54">INDEX(Assumptions!$G46:$L46,,Model!BR$11)*INDEX(Assumptions!$G57:$L57,,Model!BR$11)*BR$15</f>
        <v>31251</v>
      </c>
      <c r="BS54" s="290" cm="1">
        <f t="array" ref="BS54">INDEX(Assumptions!$G46:$L46,,Model!BS$11)*INDEX(Assumptions!$G57:$L57,,Model!BS$11)*BS$15</f>
        <v>31251</v>
      </c>
      <c r="BT54" s="290" cm="1">
        <f t="array" ref="BT54">INDEX(Assumptions!$G46:$L46,,Model!BT$11)*INDEX(Assumptions!$G57:$L57,,Model!BT$11)*BT$15</f>
        <v>31251</v>
      </c>
      <c r="BU54" s="290" cm="1">
        <f t="array" ref="BU54">INDEX(Assumptions!$G46:$L46,,Model!BU$11)*INDEX(Assumptions!$G57:$L57,,Model!BU$11)*BU$15</f>
        <v>31251</v>
      </c>
      <c r="BV54" s="290" cm="1">
        <f t="array" ref="BV54">INDEX(Assumptions!$G46:$L46,,Model!BV$11)*INDEX(Assumptions!$G57:$L57,,Model!BV$11)*BV$15</f>
        <v>31251</v>
      </c>
      <c r="BW54" s="290" cm="1">
        <f t="array" ref="BW54">INDEX(Assumptions!$G46:$L46,,Model!BW$11)*INDEX(Assumptions!$G57:$L57,,Model!BW$11)*BW$15</f>
        <v>31251</v>
      </c>
      <c r="BX54" s="290" cm="1">
        <f t="array" ref="BX54">INDEX(Assumptions!$G46:$L46,,Model!BX$11)*INDEX(Assumptions!$G57:$L57,,Model!BX$11)*BX$15</f>
        <v>31251</v>
      </c>
      <c r="BY54" s="290" cm="1">
        <f t="array" ref="BY54">INDEX(Assumptions!$G46:$L46,,Model!BY$11)*INDEX(Assumptions!$G57:$L57,,Model!BY$11)*BY$15</f>
        <v>31251</v>
      </c>
      <c r="BZ54" s="290" cm="1">
        <f t="array" ref="BZ54">INDEX(Assumptions!$G46:$L46,,Model!BZ$11)*INDEX(Assumptions!$G57:$L57,,Model!BZ$11)*BZ$15</f>
        <v>31251</v>
      </c>
      <c r="CA54" s="290" cm="1">
        <f t="array" ref="CA54">INDEX(Assumptions!$G46:$L46,,Model!CA$11)*INDEX(Assumptions!$G57:$L57,,Model!CA$11)*CA$15</f>
        <v>31251</v>
      </c>
      <c r="CB54" s="290" cm="1">
        <f t="array" ref="CB54">INDEX(Assumptions!$G46:$L46,,Model!CB$11)*INDEX(Assumptions!$G57:$L57,,Model!CB$11)*CB$15</f>
        <v>31251</v>
      </c>
      <c r="CC54" s="290" cm="1">
        <f t="array" ref="CC54">INDEX(Assumptions!$G46:$L46,,Model!CC$11)*INDEX(Assumptions!$G57:$L57,,Model!CC$11)*CC$15</f>
        <v>31251</v>
      </c>
      <c r="CD54" s="290" cm="1">
        <f t="array" ref="CD54">INDEX(Assumptions!$G46:$L46,,Model!CD$11)*INDEX(Assumptions!$G57:$L57,,Model!CD$11)*CD$15</f>
        <v>31251</v>
      </c>
      <c r="CE54" s="290" cm="1">
        <f t="array" ref="CE54">INDEX(Assumptions!$G46:$L46,,Model!CE$11)*INDEX(Assumptions!$G57:$L57,,Model!CE$11)*CE$15</f>
        <v>31251</v>
      </c>
      <c r="CF54" s="290" cm="1">
        <f t="array" ref="CF54">INDEX(Assumptions!$G46:$L46,,Model!CF$11)*INDEX(Assumptions!$G57:$L57,,Model!CF$11)*CF$15</f>
        <v>31251</v>
      </c>
    </row>
    <row r="55" spans="4:84" outlineLevel="1">
      <c r="E55" s="68" t="str">
        <f>Assumptions!E59</f>
        <v>Sales Department</v>
      </c>
      <c r="L55" s="167"/>
      <c r="M55" s="290" cm="1">
        <f t="array" ref="M55">INDEX(Assumptions!$G47:$L47,,Model!M$11)*INDEX(Assumptions!$G58:$L58,,Model!M$11)*M$15</f>
        <v>0</v>
      </c>
      <c r="N55" s="290" cm="1">
        <f t="array" ref="N55">INDEX(Assumptions!$G47:$L47,,Model!N$11)*INDEX(Assumptions!$G58:$L58,,Model!N$11)*N$15</f>
        <v>0</v>
      </c>
      <c r="O55" s="290" cm="1">
        <f t="array" ref="O55">INDEX(Assumptions!$G47:$L47,,Model!O$11)*INDEX(Assumptions!$G58:$L58,,Model!O$11)*O$15</f>
        <v>0</v>
      </c>
      <c r="P55" s="290" cm="1">
        <f t="array" ref="P55">INDEX(Assumptions!$G47:$L47,,Model!P$11)*INDEX(Assumptions!$G58:$L58,,Model!P$11)*P$15</f>
        <v>0</v>
      </c>
      <c r="Q55" s="290" cm="1">
        <f t="array" ref="Q55">INDEX(Assumptions!$G47:$L47,,Model!Q$11)*INDEX(Assumptions!$G58:$L58,,Model!Q$11)*Q$15</f>
        <v>0</v>
      </c>
      <c r="R55" s="290" cm="1">
        <f t="array" ref="R55">INDEX(Assumptions!$G47:$L47,,Model!R$11)*INDEX(Assumptions!$G58:$L58,,Model!R$11)*R$15</f>
        <v>0</v>
      </c>
      <c r="S55" s="290" cm="1">
        <f t="array" ref="S55">INDEX(Assumptions!$G47:$L47,,Model!S$11)*INDEX(Assumptions!$G58:$L58,,Model!S$11)*S$15</f>
        <v>0</v>
      </c>
      <c r="T55" s="290" cm="1">
        <f t="array" ref="T55">INDEX(Assumptions!$G47:$L47,,Model!T$11)*INDEX(Assumptions!$G58:$L58,,Model!T$11)*T$15</f>
        <v>0</v>
      </c>
      <c r="U55" s="290" cm="1">
        <f t="array" ref="U55">INDEX(Assumptions!$G47:$L47,,Model!U$11)*INDEX(Assumptions!$G58:$L58,,Model!U$11)*U$15</f>
        <v>0</v>
      </c>
      <c r="V55" s="290" cm="1">
        <f t="array" ref="V55">INDEX(Assumptions!$G47:$L47,,Model!V$11)*INDEX(Assumptions!$G58:$L58,,Model!V$11)*V$15</f>
        <v>0</v>
      </c>
      <c r="W55" s="290" cm="1">
        <f t="array" ref="W55">INDEX(Assumptions!$G47:$L47,,Model!W$11)*INDEX(Assumptions!$G58:$L58,,Model!W$11)*W$15</f>
        <v>0</v>
      </c>
      <c r="X55" s="290" cm="1">
        <f t="array" ref="X55">INDEX(Assumptions!$G47:$L47,,Model!X$11)*INDEX(Assumptions!$G58:$L58,,Model!X$11)*X$15</f>
        <v>0</v>
      </c>
      <c r="Y55" s="290" cm="1">
        <f t="array" ref="Y55">INDEX(Assumptions!$G47:$L47,,Model!Y$11)*INDEX(Assumptions!$G58:$L58,,Model!Y$11)*Y$15</f>
        <v>20834</v>
      </c>
      <c r="Z55" s="290" cm="1">
        <f t="array" ref="Z55">INDEX(Assumptions!$G47:$L47,,Model!Z$11)*INDEX(Assumptions!$G58:$L58,,Model!Z$11)*Z$15</f>
        <v>20834</v>
      </c>
      <c r="AA55" s="290" cm="1">
        <f t="array" ref="AA55">INDEX(Assumptions!$G47:$L47,,Model!AA$11)*INDEX(Assumptions!$G58:$L58,,Model!AA$11)*AA$15</f>
        <v>20834</v>
      </c>
      <c r="AB55" s="290" cm="1">
        <f t="array" ref="AB55">INDEX(Assumptions!$G47:$L47,,Model!AB$11)*INDEX(Assumptions!$G58:$L58,,Model!AB$11)*AB$15</f>
        <v>20834</v>
      </c>
      <c r="AC55" s="290" cm="1">
        <f t="array" ref="AC55">INDEX(Assumptions!$G47:$L47,,Model!AC$11)*INDEX(Assumptions!$G58:$L58,,Model!AC$11)*AC$15</f>
        <v>20834</v>
      </c>
      <c r="AD55" s="290" cm="1">
        <f t="array" ref="AD55">INDEX(Assumptions!$G47:$L47,,Model!AD$11)*INDEX(Assumptions!$G58:$L58,,Model!AD$11)*AD$15</f>
        <v>20834</v>
      </c>
      <c r="AE55" s="290" cm="1">
        <f t="array" ref="AE55">INDEX(Assumptions!$G47:$L47,,Model!AE$11)*INDEX(Assumptions!$G58:$L58,,Model!AE$11)*AE$15</f>
        <v>20834</v>
      </c>
      <c r="AF55" s="290" cm="1">
        <f t="array" ref="AF55">INDEX(Assumptions!$G47:$L47,,Model!AF$11)*INDEX(Assumptions!$G58:$L58,,Model!AF$11)*AF$15</f>
        <v>20834</v>
      </c>
      <c r="AG55" s="290" cm="1">
        <f t="array" ref="AG55">INDEX(Assumptions!$G47:$L47,,Model!AG$11)*INDEX(Assumptions!$G58:$L58,,Model!AG$11)*AG$15</f>
        <v>20834</v>
      </c>
      <c r="AH55" s="290" cm="1">
        <f t="array" ref="AH55">INDEX(Assumptions!$G47:$L47,,Model!AH$11)*INDEX(Assumptions!$G58:$L58,,Model!AH$11)*AH$15</f>
        <v>20834</v>
      </c>
      <c r="AI55" s="290" cm="1">
        <f t="array" ref="AI55">INDEX(Assumptions!$G47:$L47,,Model!AI$11)*INDEX(Assumptions!$G58:$L58,,Model!AI$11)*AI$15</f>
        <v>20834</v>
      </c>
      <c r="AJ55" s="290" cm="1">
        <f t="array" ref="AJ55">INDEX(Assumptions!$G47:$L47,,Model!AJ$11)*INDEX(Assumptions!$G58:$L58,,Model!AJ$11)*AJ$15</f>
        <v>20834</v>
      </c>
      <c r="AK55" s="290" cm="1">
        <f t="array" ref="AK55">INDEX(Assumptions!$G47:$L47,,Model!AK$11)*INDEX(Assumptions!$G58:$L58,,Model!AK$11)*AK$15</f>
        <v>31251</v>
      </c>
      <c r="AL55" s="290" cm="1">
        <f t="array" ref="AL55">INDEX(Assumptions!$G47:$L47,,Model!AL$11)*INDEX(Assumptions!$G58:$L58,,Model!AL$11)*AL$15</f>
        <v>31251</v>
      </c>
      <c r="AM55" s="290" cm="1">
        <f t="array" ref="AM55">INDEX(Assumptions!$G47:$L47,,Model!AM$11)*INDEX(Assumptions!$G58:$L58,,Model!AM$11)*AM$15</f>
        <v>31251</v>
      </c>
      <c r="AN55" s="290" cm="1">
        <f t="array" ref="AN55">INDEX(Assumptions!$G47:$L47,,Model!AN$11)*INDEX(Assumptions!$G58:$L58,,Model!AN$11)*AN$15</f>
        <v>31251</v>
      </c>
      <c r="AO55" s="290" cm="1">
        <f t="array" ref="AO55">INDEX(Assumptions!$G47:$L47,,Model!AO$11)*INDEX(Assumptions!$G58:$L58,,Model!AO$11)*AO$15</f>
        <v>31251</v>
      </c>
      <c r="AP55" s="290" cm="1">
        <f t="array" ref="AP55">INDEX(Assumptions!$G47:$L47,,Model!AP$11)*INDEX(Assumptions!$G58:$L58,,Model!AP$11)*AP$15</f>
        <v>31251</v>
      </c>
      <c r="AQ55" s="290" cm="1">
        <f t="array" ref="AQ55">INDEX(Assumptions!$G47:$L47,,Model!AQ$11)*INDEX(Assumptions!$G58:$L58,,Model!AQ$11)*AQ$15</f>
        <v>31251</v>
      </c>
      <c r="AR55" s="290" cm="1">
        <f t="array" ref="AR55">INDEX(Assumptions!$G47:$L47,,Model!AR$11)*INDEX(Assumptions!$G58:$L58,,Model!AR$11)*AR$15</f>
        <v>31251</v>
      </c>
      <c r="AS55" s="290" cm="1">
        <f t="array" ref="AS55">INDEX(Assumptions!$G47:$L47,,Model!AS$11)*INDEX(Assumptions!$G58:$L58,,Model!AS$11)*AS$15</f>
        <v>31251</v>
      </c>
      <c r="AT55" s="290" cm="1">
        <f t="array" ref="AT55">INDEX(Assumptions!$G47:$L47,,Model!AT$11)*INDEX(Assumptions!$G58:$L58,,Model!AT$11)*AT$15</f>
        <v>31251</v>
      </c>
      <c r="AU55" s="290" cm="1">
        <f t="array" ref="AU55">INDEX(Assumptions!$G47:$L47,,Model!AU$11)*INDEX(Assumptions!$G58:$L58,,Model!AU$11)*AU$15</f>
        <v>31251</v>
      </c>
      <c r="AV55" s="290" cm="1">
        <f t="array" ref="AV55">INDEX(Assumptions!$G47:$L47,,Model!AV$11)*INDEX(Assumptions!$G58:$L58,,Model!AV$11)*AV$15</f>
        <v>31251</v>
      </c>
      <c r="AW55" s="290" cm="1">
        <f t="array" ref="AW55">INDEX(Assumptions!$G47:$L47,,Model!AW$11)*INDEX(Assumptions!$G58:$L58,,Model!AW$11)*AW$15</f>
        <v>41668</v>
      </c>
      <c r="AX55" s="290" cm="1">
        <f t="array" ref="AX55">INDEX(Assumptions!$G47:$L47,,Model!AX$11)*INDEX(Assumptions!$G58:$L58,,Model!AX$11)*AX$15</f>
        <v>41668</v>
      </c>
      <c r="AY55" s="290" cm="1">
        <f t="array" ref="AY55">INDEX(Assumptions!$G47:$L47,,Model!AY$11)*INDEX(Assumptions!$G58:$L58,,Model!AY$11)*AY$15</f>
        <v>41668</v>
      </c>
      <c r="AZ55" s="290" cm="1">
        <f t="array" ref="AZ55">INDEX(Assumptions!$G47:$L47,,Model!AZ$11)*INDEX(Assumptions!$G58:$L58,,Model!AZ$11)*AZ$15</f>
        <v>41668</v>
      </c>
      <c r="BA55" s="290" cm="1">
        <f t="array" ref="BA55">INDEX(Assumptions!$G47:$L47,,Model!BA$11)*INDEX(Assumptions!$G58:$L58,,Model!BA$11)*BA$15</f>
        <v>41668</v>
      </c>
      <c r="BB55" s="290" cm="1">
        <f t="array" ref="BB55">INDEX(Assumptions!$G47:$L47,,Model!BB$11)*INDEX(Assumptions!$G58:$L58,,Model!BB$11)*BB$15</f>
        <v>41668</v>
      </c>
      <c r="BC55" s="290" cm="1">
        <f t="array" ref="BC55">INDEX(Assumptions!$G47:$L47,,Model!BC$11)*INDEX(Assumptions!$G58:$L58,,Model!BC$11)*BC$15</f>
        <v>41668</v>
      </c>
      <c r="BD55" s="290" cm="1">
        <f t="array" ref="BD55">INDEX(Assumptions!$G47:$L47,,Model!BD$11)*INDEX(Assumptions!$G58:$L58,,Model!BD$11)*BD$15</f>
        <v>41668</v>
      </c>
      <c r="BE55" s="290" cm="1">
        <f t="array" ref="BE55">INDEX(Assumptions!$G47:$L47,,Model!BE$11)*INDEX(Assumptions!$G58:$L58,,Model!BE$11)*BE$15</f>
        <v>41668</v>
      </c>
      <c r="BF55" s="290" cm="1">
        <f t="array" ref="BF55">INDEX(Assumptions!$G47:$L47,,Model!BF$11)*INDEX(Assumptions!$G58:$L58,,Model!BF$11)*BF$15</f>
        <v>41668</v>
      </c>
      <c r="BG55" s="290" cm="1">
        <f t="array" ref="BG55">INDEX(Assumptions!$G47:$L47,,Model!BG$11)*INDEX(Assumptions!$G58:$L58,,Model!BG$11)*BG$15</f>
        <v>41668</v>
      </c>
      <c r="BH55" s="290" cm="1">
        <f t="array" ref="BH55">INDEX(Assumptions!$G47:$L47,,Model!BH$11)*INDEX(Assumptions!$G58:$L58,,Model!BH$11)*BH$15</f>
        <v>41668</v>
      </c>
      <c r="BI55" s="290" cm="1">
        <f t="array" ref="BI55">INDEX(Assumptions!$G47:$L47,,Model!BI$11)*INDEX(Assumptions!$G58:$L58,,Model!BI$11)*BI$15</f>
        <v>52085</v>
      </c>
      <c r="BJ55" s="290" cm="1">
        <f t="array" ref="BJ55">INDEX(Assumptions!$G47:$L47,,Model!BJ$11)*INDEX(Assumptions!$G58:$L58,,Model!BJ$11)*BJ$15</f>
        <v>52085</v>
      </c>
      <c r="BK55" s="290" cm="1">
        <f t="array" ref="BK55">INDEX(Assumptions!$G47:$L47,,Model!BK$11)*INDEX(Assumptions!$G58:$L58,,Model!BK$11)*BK$15</f>
        <v>52085</v>
      </c>
      <c r="BL55" s="290" cm="1">
        <f t="array" ref="BL55">INDEX(Assumptions!$G47:$L47,,Model!BL$11)*INDEX(Assumptions!$G58:$L58,,Model!BL$11)*BL$15</f>
        <v>52085</v>
      </c>
      <c r="BM55" s="290" cm="1">
        <f t="array" ref="BM55">INDEX(Assumptions!$G47:$L47,,Model!BM$11)*INDEX(Assumptions!$G58:$L58,,Model!BM$11)*BM$15</f>
        <v>52085</v>
      </c>
      <c r="BN55" s="290" cm="1">
        <f t="array" ref="BN55">INDEX(Assumptions!$G47:$L47,,Model!BN$11)*INDEX(Assumptions!$G58:$L58,,Model!BN$11)*BN$15</f>
        <v>52085</v>
      </c>
      <c r="BO55" s="290" cm="1">
        <f t="array" ref="BO55">INDEX(Assumptions!$G47:$L47,,Model!BO$11)*INDEX(Assumptions!$G58:$L58,,Model!BO$11)*BO$15</f>
        <v>52085</v>
      </c>
      <c r="BP55" s="290" cm="1">
        <f t="array" ref="BP55">INDEX(Assumptions!$G47:$L47,,Model!BP$11)*INDEX(Assumptions!$G58:$L58,,Model!BP$11)*BP$15</f>
        <v>52085</v>
      </c>
      <c r="BQ55" s="290" cm="1">
        <f t="array" ref="BQ55">INDEX(Assumptions!$G47:$L47,,Model!BQ$11)*INDEX(Assumptions!$G58:$L58,,Model!BQ$11)*BQ$15</f>
        <v>52085</v>
      </c>
      <c r="BR55" s="290" cm="1">
        <f t="array" ref="BR55">INDEX(Assumptions!$G47:$L47,,Model!BR$11)*INDEX(Assumptions!$G58:$L58,,Model!BR$11)*BR$15</f>
        <v>52085</v>
      </c>
      <c r="BS55" s="290" cm="1">
        <f t="array" ref="BS55">INDEX(Assumptions!$G47:$L47,,Model!BS$11)*INDEX(Assumptions!$G58:$L58,,Model!BS$11)*BS$15</f>
        <v>52085</v>
      </c>
      <c r="BT55" s="290" cm="1">
        <f t="array" ref="BT55">INDEX(Assumptions!$G47:$L47,,Model!BT$11)*INDEX(Assumptions!$G58:$L58,,Model!BT$11)*BT$15</f>
        <v>52085</v>
      </c>
      <c r="BU55" s="290" cm="1">
        <f t="array" ref="BU55">INDEX(Assumptions!$G47:$L47,,Model!BU$11)*INDEX(Assumptions!$G58:$L58,,Model!BU$11)*BU$15</f>
        <v>62502</v>
      </c>
      <c r="BV55" s="290" cm="1">
        <f t="array" ref="BV55">INDEX(Assumptions!$G47:$L47,,Model!BV$11)*INDEX(Assumptions!$G58:$L58,,Model!BV$11)*BV$15</f>
        <v>62502</v>
      </c>
      <c r="BW55" s="290" cm="1">
        <f t="array" ref="BW55">INDEX(Assumptions!$G47:$L47,,Model!BW$11)*INDEX(Assumptions!$G58:$L58,,Model!BW$11)*BW$15</f>
        <v>62502</v>
      </c>
      <c r="BX55" s="290" cm="1">
        <f t="array" ref="BX55">INDEX(Assumptions!$G47:$L47,,Model!BX$11)*INDEX(Assumptions!$G58:$L58,,Model!BX$11)*BX$15</f>
        <v>62502</v>
      </c>
      <c r="BY55" s="290" cm="1">
        <f t="array" ref="BY55">INDEX(Assumptions!$G47:$L47,,Model!BY$11)*INDEX(Assumptions!$G58:$L58,,Model!BY$11)*BY$15</f>
        <v>62502</v>
      </c>
      <c r="BZ55" s="290" cm="1">
        <f t="array" ref="BZ55">INDEX(Assumptions!$G47:$L47,,Model!BZ$11)*INDEX(Assumptions!$G58:$L58,,Model!BZ$11)*BZ$15</f>
        <v>62502</v>
      </c>
      <c r="CA55" s="290" cm="1">
        <f t="array" ref="CA55">INDEX(Assumptions!$G47:$L47,,Model!CA$11)*INDEX(Assumptions!$G58:$L58,,Model!CA$11)*CA$15</f>
        <v>62502</v>
      </c>
      <c r="CB55" s="290" cm="1">
        <f t="array" ref="CB55">INDEX(Assumptions!$G47:$L47,,Model!CB$11)*INDEX(Assumptions!$G58:$L58,,Model!CB$11)*CB$15</f>
        <v>62502</v>
      </c>
      <c r="CC55" s="290" cm="1">
        <f t="array" ref="CC55">INDEX(Assumptions!$G47:$L47,,Model!CC$11)*INDEX(Assumptions!$G58:$L58,,Model!CC$11)*CC$15</f>
        <v>62502</v>
      </c>
      <c r="CD55" s="290" cm="1">
        <f t="array" ref="CD55">INDEX(Assumptions!$G47:$L47,,Model!CD$11)*INDEX(Assumptions!$G58:$L58,,Model!CD$11)*CD$15</f>
        <v>62502</v>
      </c>
      <c r="CE55" s="290" cm="1">
        <f t="array" ref="CE55">INDEX(Assumptions!$G47:$L47,,Model!CE$11)*INDEX(Assumptions!$G58:$L58,,Model!CE$11)*CE$15</f>
        <v>62502</v>
      </c>
      <c r="CF55" s="290" cm="1">
        <f t="array" ref="CF55">INDEX(Assumptions!$G47:$L47,,Model!CF$11)*INDEX(Assumptions!$G58:$L58,,Model!CF$11)*CF$15</f>
        <v>62502</v>
      </c>
    </row>
    <row r="56" spans="4:84" outlineLevel="1">
      <c r="E56" s="68" t="str">
        <f>Assumptions!E61</f>
        <v>Accounting &amp; Finance</v>
      </c>
      <c r="L56" s="167"/>
      <c r="M56" s="290" cm="1">
        <f t="array" ref="M56">INDEX(Assumptions!$G48:$L48,,Model!M$11)*INDEX(Assumptions!$G59:$L59,,Model!M$11)*M$15</f>
        <v>0</v>
      </c>
      <c r="N56" s="290" cm="1">
        <f t="array" ref="N56">INDEX(Assumptions!$G48:$L48,,Model!N$11)*INDEX(Assumptions!$G59:$L59,,Model!N$11)*N$15</f>
        <v>0</v>
      </c>
      <c r="O56" s="290" cm="1">
        <f t="array" ref="O56">INDEX(Assumptions!$G48:$L48,,Model!O$11)*INDEX(Assumptions!$G59:$L59,,Model!O$11)*O$15</f>
        <v>0</v>
      </c>
      <c r="P56" s="290" cm="1">
        <f t="array" ref="P56">INDEX(Assumptions!$G48:$L48,,Model!P$11)*INDEX(Assumptions!$G59:$L59,,Model!P$11)*P$15</f>
        <v>0</v>
      </c>
      <c r="Q56" s="290" cm="1">
        <f t="array" ref="Q56">INDEX(Assumptions!$G48:$L48,,Model!Q$11)*INDEX(Assumptions!$G59:$L59,,Model!Q$11)*Q$15</f>
        <v>0</v>
      </c>
      <c r="R56" s="290" cm="1">
        <f t="array" ref="R56">INDEX(Assumptions!$G48:$L48,,Model!R$11)*INDEX(Assumptions!$G59:$L59,,Model!R$11)*R$15</f>
        <v>3500</v>
      </c>
      <c r="S56" s="290" cm="1">
        <f t="array" ref="S56">INDEX(Assumptions!$G48:$L48,,Model!S$11)*INDEX(Assumptions!$G59:$L59,,Model!S$11)*S$15</f>
        <v>3500</v>
      </c>
      <c r="T56" s="290" cm="1">
        <f t="array" ref="T56">INDEX(Assumptions!$G48:$L48,,Model!T$11)*INDEX(Assumptions!$G59:$L59,,Model!T$11)*T$15</f>
        <v>3500</v>
      </c>
      <c r="U56" s="290" cm="1">
        <f t="array" ref="U56">INDEX(Assumptions!$G48:$L48,,Model!U$11)*INDEX(Assumptions!$G59:$L59,,Model!U$11)*U$15</f>
        <v>3500</v>
      </c>
      <c r="V56" s="290" cm="1">
        <f t="array" ref="V56">INDEX(Assumptions!$G48:$L48,,Model!V$11)*INDEX(Assumptions!$G59:$L59,,Model!V$11)*V$15</f>
        <v>3500</v>
      </c>
      <c r="W56" s="290" cm="1">
        <f t="array" ref="W56">INDEX(Assumptions!$G48:$L48,,Model!W$11)*INDEX(Assumptions!$G59:$L59,,Model!W$11)*W$15</f>
        <v>3500</v>
      </c>
      <c r="X56" s="290" cm="1">
        <f t="array" ref="X56">INDEX(Assumptions!$G48:$L48,,Model!X$11)*INDEX(Assumptions!$G59:$L59,,Model!X$11)*X$15</f>
        <v>3500</v>
      </c>
      <c r="Y56" s="290" cm="1">
        <f t="array" ref="Y56">INDEX(Assumptions!$G48:$L48,,Model!Y$11)*INDEX(Assumptions!$G59:$L59,,Model!Y$11)*Y$15</f>
        <v>8334</v>
      </c>
      <c r="Z56" s="290" cm="1">
        <f t="array" ref="Z56">INDEX(Assumptions!$G48:$L48,,Model!Z$11)*INDEX(Assumptions!$G59:$L59,,Model!Z$11)*Z$15</f>
        <v>8334</v>
      </c>
      <c r="AA56" s="290" cm="1">
        <f t="array" ref="AA56">INDEX(Assumptions!$G48:$L48,,Model!AA$11)*INDEX(Assumptions!$G59:$L59,,Model!AA$11)*AA$15</f>
        <v>8334</v>
      </c>
      <c r="AB56" s="290" cm="1">
        <f t="array" ref="AB56">INDEX(Assumptions!$G48:$L48,,Model!AB$11)*INDEX(Assumptions!$G59:$L59,,Model!AB$11)*AB$15</f>
        <v>8334</v>
      </c>
      <c r="AC56" s="290" cm="1">
        <f t="array" ref="AC56">INDEX(Assumptions!$G48:$L48,,Model!AC$11)*INDEX(Assumptions!$G59:$L59,,Model!AC$11)*AC$15</f>
        <v>8334</v>
      </c>
      <c r="AD56" s="290" cm="1">
        <f t="array" ref="AD56">INDEX(Assumptions!$G48:$L48,,Model!AD$11)*INDEX(Assumptions!$G59:$L59,,Model!AD$11)*AD$15</f>
        <v>8334</v>
      </c>
      <c r="AE56" s="290" cm="1">
        <f t="array" ref="AE56">INDEX(Assumptions!$G48:$L48,,Model!AE$11)*INDEX(Assumptions!$G59:$L59,,Model!AE$11)*AE$15</f>
        <v>8334</v>
      </c>
      <c r="AF56" s="290" cm="1">
        <f t="array" ref="AF56">INDEX(Assumptions!$G48:$L48,,Model!AF$11)*INDEX(Assumptions!$G59:$L59,,Model!AF$11)*AF$15</f>
        <v>8334</v>
      </c>
      <c r="AG56" s="290" cm="1">
        <f t="array" ref="AG56">INDEX(Assumptions!$G48:$L48,,Model!AG$11)*INDEX(Assumptions!$G59:$L59,,Model!AG$11)*AG$15</f>
        <v>8334</v>
      </c>
      <c r="AH56" s="290" cm="1">
        <f t="array" ref="AH56">INDEX(Assumptions!$G48:$L48,,Model!AH$11)*INDEX(Assumptions!$G59:$L59,,Model!AH$11)*AH$15</f>
        <v>8334</v>
      </c>
      <c r="AI56" s="290" cm="1">
        <f t="array" ref="AI56">INDEX(Assumptions!$G48:$L48,,Model!AI$11)*INDEX(Assumptions!$G59:$L59,,Model!AI$11)*AI$15</f>
        <v>8334</v>
      </c>
      <c r="AJ56" s="290" cm="1">
        <f t="array" ref="AJ56">INDEX(Assumptions!$G48:$L48,,Model!AJ$11)*INDEX(Assumptions!$G59:$L59,,Model!AJ$11)*AJ$15</f>
        <v>8334</v>
      </c>
      <c r="AK56" s="290" cm="1">
        <f t="array" ref="AK56">INDEX(Assumptions!$G48:$L48,,Model!AK$11)*INDEX(Assumptions!$G59:$L59,,Model!AK$11)*AK$15</f>
        <v>12501</v>
      </c>
      <c r="AL56" s="290" cm="1">
        <f t="array" ref="AL56">INDEX(Assumptions!$G48:$L48,,Model!AL$11)*INDEX(Assumptions!$G59:$L59,,Model!AL$11)*AL$15</f>
        <v>12501</v>
      </c>
      <c r="AM56" s="290" cm="1">
        <f t="array" ref="AM56">INDEX(Assumptions!$G48:$L48,,Model!AM$11)*INDEX(Assumptions!$G59:$L59,,Model!AM$11)*AM$15</f>
        <v>12501</v>
      </c>
      <c r="AN56" s="290" cm="1">
        <f t="array" ref="AN56">INDEX(Assumptions!$G48:$L48,,Model!AN$11)*INDEX(Assumptions!$G59:$L59,,Model!AN$11)*AN$15</f>
        <v>12501</v>
      </c>
      <c r="AO56" s="290" cm="1">
        <f t="array" ref="AO56">INDEX(Assumptions!$G48:$L48,,Model!AO$11)*INDEX(Assumptions!$G59:$L59,,Model!AO$11)*AO$15</f>
        <v>12501</v>
      </c>
      <c r="AP56" s="290" cm="1">
        <f t="array" ref="AP56">INDEX(Assumptions!$G48:$L48,,Model!AP$11)*INDEX(Assumptions!$G59:$L59,,Model!AP$11)*AP$15</f>
        <v>12501</v>
      </c>
      <c r="AQ56" s="290" cm="1">
        <f t="array" ref="AQ56">INDEX(Assumptions!$G48:$L48,,Model!AQ$11)*INDEX(Assumptions!$G59:$L59,,Model!AQ$11)*AQ$15</f>
        <v>12501</v>
      </c>
      <c r="AR56" s="290" cm="1">
        <f t="array" ref="AR56">INDEX(Assumptions!$G48:$L48,,Model!AR$11)*INDEX(Assumptions!$G59:$L59,,Model!AR$11)*AR$15</f>
        <v>12501</v>
      </c>
      <c r="AS56" s="290" cm="1">
        <f t="array" ref="AS56">INDEX(Assumptions!$G48:$L48,,Model!AS$11)*INDEX(Assumptions!$G59:$L59,,Model!AS$11)*AS$15</f>
        <v>12501</v>
      </c>
      <c r="AT56" s="290" cm="1">
        <f t="array" ref="AT56">INDEX(Assumptions!$G48:$L48,,Model!AT$11)*INDEX(Assumptions!$G59:$L59,,Model!AT$11)*AT$15</f>
        <v>12501</v>
      </c>
      <c r="AU56" s="290" cm="1">
        <f t="array" ref="AU56">INDEX(Assumptions!$G48:$L48,,Model!AU$11)*INDEX(Assumptions!$G59:$L59,,Model!AU$11)*AU$15</f>
        <v>12501</v>
      </c>
      <c r="AV56" s="290" cm="1">
        <f t="array" ref="AV56">INDEX(Assumptions!$G48:$L48,,Model!AV$11)*INDEX(Assumptions!$G59:$L59,,Model!AV$11)*AV$15</f>
        <v>12501</v>
      </c>
      <c r="AW56" s="290" cm="1">
        <f t="array" ref="AW56">INDEX(Assumptions!$G48:$L48,,Model!AW$11)*INDEX(Assumptions!$G59:$L59,,Model!AW$11)*AW$15</f>
        <v>16668</v>
      </c>
      <c r="AX56" s="290" cm="1">
        <f t="array" ref="AX56">INDEX(Assumptions!$G48:$L48,,Model!AX$11)*INDEX(Assumptions!$G59:$L59,,Model!AX$11)*AX$15</f>
        <v>16668</v>
      </c>
      <c r="AY56" s="290" cm="1">
        <f t="array" ref="AY56">INDEX(Assumptions!$G48:$L48,,Model!AY$11)*INDEX(Assumptions!$G59:$L59,,Model!AY$11)*AY$15</f>
        <v>16668</v>
      </c>
      <c r="AZ56" s="290" cm="1">
        <f t="array" ref="AZ56">INDEX(Assumptions!$G48:$L48,,Model!AZ$11)*INDEX(Assumptions!$G59:$L59,,Model!AZ$11)*AZ$15</f>
        <v>16668</v>
      </c>
      <c r="BA56" s="290" cm="1">
        <f t="array" ref="BA56">INDEX(Assumptions!$G48:$L48,,Model!BA$11)*INDEX(Assumptions!$G59:$L59,,Model!BA$11)*BA$15</f>
        <v>16668</v>
      </c>
      <c r="BB56" s="290" cm="1">
        <f t="array" ref="BB56">INDEX(Assumptions!$G48:$L48,,Model!BB$11)*INDEX(Assumptions!$G59:$L59,,Model!BB$11)*BB$15</f>
        <v>16668</v>
      </c>
      <c r="BC56" s="290" cm="1">
        <f t="array" ref="BC56">INDEX(Assumptions!$G48:$L48,,Model!BC$11)*INDEX(Assumptions!$G59:$L59,,Model!BC$11)*BC$15</f>
        <v>16668</v>
      </c>
      <c r="BD56" s="290" cm="1">
        <f t="array" ref="BD56">INDEX(Assumptions!$G48:$L48,,Model!BD$11)*INDEX(Assumptions!$G59:$L59,,Model!BD$11)*BD$15</f>
        <v>16668</v>
      </c>
      <c r="BE56" s="290" cm="1">
        <f t="array" ref="BE56">INDEX(Assumptions!$G48:$L48,,Model!BE$11)*INDEX(Assumptions!$G59:$L59,,Model!BE$11)*BE$15</f>
        <v>16668</v>
      </c>
      <c r="BF56" s="290" cm="1">
        <f t="array" ref="BF56">INDEX(Assumptions!$G48:$L48,,Model!BF$11)*INDEX(Assumptions!$G59:$L59,,Model!BF$11)*BF$15</f>
        <v>16668</v>
      </c>
      <c r="BG56" s="290" cm="1">
        <f t="array" ref="BG56">INDEX(Assumptions!$G48:$L48,,Model!BG$11)*INDEX(Assumptions!$G59:$L59,,Model!BG$11)*BG$15</f>
        <v>16668</v>
      </c>
      <c r="BH56" s="290" cm="1">
        <f t="array" ref="BH56">INDEX(Assumptions!$G48:$L48,,Model!BH$11)*INDEX(Assumptions!$G59:$L59,,Model!BH$11)*BH$15</f>
        <v>16668</v>
      </c>
      <c r="BI56" s="290" cm="1">
        <f t="array" ref="BI56">INDEX(Assumptions!$G48:$L48,,Model!BI$11)*INDEX(Assumptions!$G59:$L59,,Model!BI$11)*BI$15</f>
        <v>20835</v>
      </c>
      <c r="BJ56" s="290" cm="1">
        <f t="array" ref="BJ56">INDEX(Assumptions!$G48:$L48,,Model!BJ$11)*INDEX(Assumptions!$G59:$L59,,Model!BJ$11)*BJ$15</f>
        <v>20835</v>
      </c>
      <c r="BK56" s="290" cm="1">
        <f t="array" ref="BK56">INDEX(Assumptions!$G48:$L48,,Model!BK$11)*INDEX(Assumptions!$G59:$L59,,Model!BK$11)*BK$15</f>
        <v>20835</v>
      </c>
      <c r="BL56" s="290" cm="1">
        <f t="array" ref="BL56">INDEX(Assumptions!$G48:$L48,,Model!BL$11)*INDEX(Assumptions!$G59:$L59,,Model!BL$11)*BL$15</f>
        <v>20835</v>
      </c>
      <c r="BM56" s="290" cm="1">
        <f t="array" ref="BM56">INDEX(Assumptions!$G48:$L48,,Model!BM$11)*INDEX(Assumptions!$G59:$L59,,Model!BM$11)*BM$15</f>
        <v>20835</v>
      </c>
      <c r="BN56" s="290" cm="1">
        <f t="array" ref="BN56">INDEX(Assumptions!$G48:$L48,,Model!BN$11)*INDEX(Assumptions!$G59:$L59,,Model!BN$11)*BN$15</f>
        <v>20835</v>
      </c>
      <c r="BO56" s="290" cm="1">
        <f t="array" ref="BO56">INDEX(Assumptions!$G48:$L48,,Model!BO$11)*INDEX(Assumptions!$G59:$L59,,Model!BO$11)*BO$15</f>
        <v>20835</v>
      </c>
      <c r="BP56" s="290" cm="1">
        <f t="array" ref="BP56">INDEX(Assumptions!$G48:$L48,,Model!BP$11)*INDEX(Assumptions!$G59:$L59,,Model!BP$11)*BP$15</f>
        <v>20835</v>
      </c>
      <c r="BQ56" s="290" cm="1">
        <f t="array" ref="BQ56">INDEX(Assumptions!$G48:$L48,,Model!BQ$11)*INDEX(Assumptions!$G59:$L59,,Model!BQ$11)*BQ$15</f>
        <v>20835</v>
      </c>
      <c r="BR56" s="290" cm="1">
        <f t="array" ref="BR56">INDEX(Assumptions!$G48:$L48,,Model!BR$11)*INDEX(Assumptions!$G59:$L59,,Model!BR$11)*BR$15</f>
        <v>20835</v>
      </c>
      <c r="BS56" s="290" cm="1">
        <f t="array" ref="BS56">INDEX(Assumptions!$G48:$L48,,Model!BS$11)*INDEX(Assumptions!$G59:$L59,,Model!BS$11)*BS$15</f>
        <v>20835</v>
      </c>
      <c r="BT56" s="290" cm="1">
        <f t="array" ref="BT56">INDEX(Assumptions!$G48:$L48,,Model!BT$11)*INDEX(Assumptions!$G59:$L59,,Model!BT$11)*BT$15</f>
        <v>20835</v>
      </c>
      <c r="BU56" s="290" cm="1">
        <f t="array" ref="BU56">INDEX(Assumptions!$G48:$L48,,Model!BU$11)*INDEX(Assumptions!$G59:$L59,,Model!BU$11)*BU$15</f>
        <v>25002</v>
      </c>
      <c r="BV56" s="290" cm="1">
        <f t="array" ref="BV56">INDEX(Assumptions!$G48:$L48,,Model!BV$11)*INDEX(Assumptions!$G59:$L59,,Model!BV$11)*BV$15</f>
        <v>25002</v>
      </c>
      <c r="BW56" s="290" cm="1">
        <f t="array" ref="BW56">INDEX(Assumptions!$G48:$L48,,Model!BW$11)*INDEX(Assumptions!$G59:$L59,,Model!BW$11)*BW$15</f>
        <v>25002</v>
      </c>
      <c r="BX56" s="290" cm="1">
        <f t="array" ref="BX56">INDEX(Assumptions!$G48:$L48,,Model!BX$11)*INDEX(Assumptions!$G59:$L59,,Model!BX$11)*BX$15</f>
        <v>25002</v>
      </c>
      <c r="BY56" s="290" cm="1">
        <f t="array" ref="BY56">INDEX(Assumptions!$G48:$L48,,Model!BY$11)*INDEX(Assumptions!$G59:$L59,,Model!BY$11)*BY$15</f>
        <v>25002</v>
      </c>
      <c r="BZ56" s="290" cm="1">
        <f t="array" ref="BZ56">INDEX(Assumptions!$G48:$L48,,Model!BZ$11)*INDEX(Assumptions!$G59:$L59,,Model!BZ$11)*BZ$15</f>
        <v>25002</v>
      </c>
      <c r="CA56" s="290" cm="1">
        <f t="array" ref="CA56">INDEX(Assumptions!$G48:$L48,,Model!CA$11)*INDEX(Assumptions!$G59:$L59,,Model!CA$11)*CA$15</f>
        <v>25002</v>
      </c>
      <c r="CB56" s="290" cm="1">
        <f t="array" ref="CB56">INDEX(Assumptions!$G48:$L48,,Model!CB$11)*INDEX(Assumptions!$G59:$L59,,Model!CB$11)*CB$15</f>
        <v>25002</v>
      </c>
      <c r="CC56" s="290" cm="1">
        <f t="array" ref="CC56">INDEX(Assumptions!$G48:$L48,,Model!CC$11)*INDEX(Assumptions!$G59:$L59,,Model!CC$11)*CC$15</f>
        <v>25002</v>
      </c>
      <c r="CD56" s="290" cm="1">
        <f t="array" ref="CD56">INDEX(Assumptions!$G48:$L48,,Model!CD$11)*INDEX(Assumptions!$G59:$L59,,Model!CD$11)*CD$15</f>
        <v>25002</v>
      </c>
      <c r="CE56" s="290" cm="1">
        <f t="array" ref="CE56">INDEX(Assumptions!$G48:$L48,,Model!CE$11)*INDEX(Assumptions!$G59:$L59,,Model!CE$11)*CE$15</f>
        <v>25002</v>
      </c>
      <c r="CF56" s="290" cm="1">
        <f t="array" ref="CF56">INDEX(Assumptions!$G48:$L48,,Model!CF$11)*INDEX(Assumptions!$G59:$L59,,Model!CF$11)*CF$15</f>
        <v>25002</v>
      </c>
    </row>
    <row r="57" spans="4:84" outlineLevel="1">
      <c r="E57" s="68" t="str">
        <f>Assumptions!E62</f>
        <v>Creative Department</v>
      </c>
      <c r="F57" s="70"/>
      <c r="L57" s="167"/>
      <c r="M57" s="290" cm="1">
        <f t="array" ref="M57">INDEX(Assumptions!$G49:$L49,,Model!M$11)*INDEX(Assumptions!$G60:$L60,,Model!M$11)*M$15</f>
        <v>0</v>
      </c>
      <c r="N57" s="290" cm="1">
        <f t="array" ref="N57">INDEX(Assumptions!$G49:$L49,,Model!N$11)*INDEX(Assumptions!$G60:$L60,,Model!N$11)*N$15</f>
        <v>0</v>
      </c>
      <c r="O57" s="290" cm="1">
        <f t="array" ref="O57">INDEX(Assumptions!$G49:$L49,,Model!O$11)*INDEX(Assumptions!$G60:$L60,,Model!O$11)*O$15</f>
        <v>0</v>
      </c>
      <c r="P57" s="290" cm="1">
        <f t="array" ref="P57">INDEX(Assumptions!$G49:$L49,,Model!P$11)*INDEX(Assumptions!$G60:$L60,,Model!P$11)*P$15</f>
        <v>0</v>
      </c>
      <c r="Q57" s="290" cm="1">
        <f t="array" ref="Q57">INDEX(Assumptions!$G49:$L49,,Model!Q$11)*INDEX(Assumptions!$G60:$L60,,Model!Q$11)*Q$15</f>
        <v>0</v>
      </c>
      <c r="R57" s="290" cm="1">
        <f t="array" ref="R57">INDEX(Assumptions!$G49:$L49,,Model!R$11)*INDEX(Assumptions!$G60:$L60,,Model!R$11)*R$15</f>
        <v>3500</v>
      </c>
      <c r="S57" s="290" cm="1">
        <f t="array" ref="S57">INDEX(Assumptions!$G49:$L49,,Model!S$11)*INDEX(Assumptions!$G60:$L60,,Model!S$11)*S$15</f>
        <v>3500</v>
      </c>
      <c r="T57" s="290" cm="1">
        <f t="array" ref="T57">INDEX(Assumptions!$G49:$L49,,Model!T$11)*INDEX(Assumptions!$G60:$L60,,Model!T$11)*T$15</f>
        <v>3500</v>
      </c>
      <c r="U57" s="290" cm="1">
        <f t="array" ref="U57">INDEX(Assumptions!$G49:$L49,,Model!U$11)*INDEX(Assumptions!$G60:$L60,,Model!U$11)*U$15</f>
        <v>3500</v>
      </c>
      <c r="V57" s="290" cm="1">
        <f t="array" ref="V57">INDEX(Assumptions!$G49:$L49,,Model!V$11)*INDEX(Assumptions!$G60:$L60,,Model!V$11)*V$15</f>
        <v>3500</v>
      </c>
      <c r="W57" s="290" cm="1">
        <f t="array" ref="W57">INDEX(Assumptions!$G49:$L49,,Model!W$11)*INDEX(Assumptions!$G60:$L60,,Model!W$11)*W$15</f>
        <v>3500</v>
      </c>
      <c r="X57" s="290" cm="1">
        <f t="array" ref="X57">INDEX(Assumptions!$G49:$L49,,Model!X$11)*INDEX(Assumptions!$G60:$L60,,Model!X$11)*X$15</f>
        <v>3500</v>
      </c>
      <c r="Y57" s="290" cm="1">
        <f t="array" ref="Y57">INDEX(Assumptions!$G49:$L49,,Model!Y$11)*INDEX(Assumptions!$G60:$L60,,Model!Y$11)*Y$15</f>
        <v>8334</v>
      </c>
      <c r="Z57" s="290" cm="1">
        <f t="array" ref="Z57">INDEX(Assumptions!$G49:$L49,,Model!Z$11)*INDEX(Assumptions!$G60:$L60,,Model!Z$11)*Z$15</f>
        <v>8334</v>
      </c>
      <c r="AA57" s="290" cm="1">
        <f t="array" ref="AA57">INDEX(Assumptions!$G49:$L49,,Model!AA$11)*INDEX(Assumptions!$G60:$L60,,Model!AA$11)*AA$15</f>
        <v>8334</v>
      </c>
      <c r="AB57" s="290" cm="1">
        <f t="array" ref="AB57">INDEX(Assumptions!$G49:$L49,,Model!AB$11)*INDEX(Assumptions!$G60:$L60,,Model!AB$11)*AB$15</f>
        <v>8334</v>
      </c>
      <c r="AC57" s="290" cm="1">
        <f t="array" ref="AC57">INDEX(Assumptions!$G49:$L49,,Model!AC$11)*INDEX(Assumptions!$G60:$L60,,Model!AC$11)*AC$15</f>
        <v>8334</v>
      </c>
      <c r="AD57" s="290" cm="1">
        <f t="array" ref="AD57">INDEX(Assumptions!$G49:$L49,,Model!AD$11)*INDEX(Assumptions!$G60:$L60,,Model!AD$11)*AD$15</f>
        <v>8334</v>
      </c>
      <c r="AE57" s="290" cm="1">
        <f t="array" ref="AE57">INDEX(Assumptions!$G49:$L49,,Model!AE$11)*INDEX(Assumptions!$G60:$L60,,Model!AE$11)*AE$15</f>
        <v>8334</v>
      </c>
      <c r="AF57" s="290" cm="1">
        <f t="array" ref="AF57">INDEX(Assumptions!$G49:$L49,,Model!AF$11)*INDEX(Assumptions!$G60:$L60,,Model!AF$11)*AF$15</f>
        <v>8334</v>
      </c>
      <c r="AG57" s="290" cm="1">
        <f t="array" ref="AG57">INDEX(Assumptions!$G49:$L49,,Model!AG$11)*INDEX(Assumptions!$G60:$L60,,Model!AG$11)*AG$15</f>
        <v>8334</v>
      </c>
      <c r="AH57" s="290" cm="1">
        <f t="array" ref="AH57">INDEX(Assumptions!$G49:$L49,,Model!AH$11)*INDEX(Assumptions!$G60:$L60,,Model!AH$11)*AH$15</f>
        <v>8334</v>
      </c>
      <c r="AI57" s="290" cm="1">
        <f t="array" ref="AI57">INDEX(Assumptions!$G49:$L49,,Model!AI$11)*INDEX(Assumptions!$G60:$L60,,Model!AI$11)*AI$15</f>
        <v>8334</v>
      </c>
      <c r="AJ57" s="290" cm="1">
        <f t="array" ref="AJ57">INDEX(Assumptions!$G49:$L49,,Model!AJ$11)*INDEX(Assumptions!$G60:$L60,,Model!AJ$11)*AJ$15</f>
        <v>8334</v>
      </c>
      <c r="AK57" s="290" cm="1">
        <f t="array" ref="AK57">INDEX(Assumptions!$G49:$L49,,Model!AK$11)*INDEX(Assumptions!$G60:$L60,,Model!AK$11)*AK$15</f>
        <v>12501</v>
      </c>
      <c r="AL57" s="290" cm="1">
        <f t="array" ref="AL57">INDEX(Assumptions!$G49:$L49,,Model!AL$11)*INDEX(Assumptions!$G60:$L60,,Model!AL$11)*AL$15</f>
        <v>12501</v>
      </c>
      <c r="AM57" s="290" cm="1">
        <f t="array" ref="AM57">INDEX(Assumptions!$G49:$L49,,Model!AM$11)*INDEX(Assumptions!$G60:$L60,,Model!AM$11)*AM$15</f>
        <v>12501</v>
      </c>
      <c r="AN57" s="290" cm="1">
        <f t="array" ref="AN57">INDEX(Assumptions!$G49:$L49,,Model!AN$11)*INDEX(Assumptions!$G60:$L60,,Model!AN$11)*AN$15</f>
        <v>12501</v>
      </c>
      <c r="AO57" s="290" cm="1">
        <f t="array" ref="AO57">INDEX(Assumptions!$G49:$L49,,Model!AO$11)*INDEX(Assumptions!$G60:$L60,,Model!AO$11)*AO$15</f>
        <v>12501</v>
      </c>
      <c r="AP57" s="290" cm="1">
        <f t="array" ref="AP57">INDEX(Assumptions!$G49:$L49,,Model!AP$11)*INDEX(Assumptions!$G60:$L60,,Model!AP$11)*AP$15</f>
        <v>12501</v>
      </c>
      <c r="AQ57" s="290" cm="1">
        <f t="array" ref="AQ57">INDEX(Assumptions!$G49:$L49,,Model!AQ$11)*INDEX(Assumptions!$G60:$L60,,Model!AQ$11)*AQ$15</f>
        <v>12501</v>
      </c>
      <c r="AR57" s="290" cm="1">
        <f t="array" ref="AR57">INDEX(Assumptions!$G49:$L49,,Model!AR$11)*INDEX(Assumptions!$G60:$L60,,Model!AR$11)*AR$15</f>
        <v>12501</v>
      </c>
      <c r="AS57" s="290" cm="1">
        <f t="array" ref="AS57">INDEX(Assumptions!$G49:$L49,,Model!AS$11)*INDEX(Assumptions!$G60:$L60,,Model!AS$11)*AS$15</f>
        <v>12501</v>
      </c>
      <c r="AT57" s="290" cm="1">
        <f t="array" ref="AT57">INDEX(Assumptions!$G49:$L49,,Model!AT$11)*INDEX(Assumptions!$G60:$L60,,Model!AT$11)*AT$15</f>
        <v>12501</v>
      </c>
      <c r="AU57" s="290" cm="1">
        <f t="array" ref="AU57">INDEX(Assumptions!$G49:$L49,,Model!AU$11)*INDEX(Assumptions!$G60:$L60,,Model!AU$11)*AU$15</f>
        <v>12501</v>
      </c>
      <c r="AV57" s="290" cm="1">
        <f t="array" ref="AV57">INDEX(Assumptions!$G49:$L49,,Model!AV$11)*INDEX(Assumptions!$G60:$L60,,Model!AV$11)*AV$15</f>
        <v>12501</v>
      </c>
      <c r="AW57" s="290" cm="1">
        <f t="array" ref="AW57">INDEX(Assumptions!$G49:$L49,,Model!AW$11)*INDEX(Assumptions!$G60:$L60,,Model!AW$11)*AW$15</f>
        <v>16668</v>
      </c>
      <c r="AX57" s="290" cm="1">
        <f t="array" ref="AX57">INDEX(Assumptions!$G49:$L49,,Model!AX$11)*INDEX(Assumptions!$G60:$L60,,Model!AX$11)*AX$15</f>
        <v>16668</v>
      </c>
      <c r="AY57" s="290" cm="1">
        <f t="array" ref="AY57">INDEX(Assumptions!$G49:$L49,,Model!AY$11)*INDEX(Assumptions!$G60:$L60,,Model!AY$11)*AY$15</f>
        <v>16668</v>
      </c>
      <c r="AZ57" s="290" cm="1">
        <f t="array" ref="AZ57">INDEX(Assumptions!$G49:$L49,,Model!AZ$11)*INDEX(Assumptions!$G60:$L60,,Model!AZ$11)*AZ$15</f>
        <v>16668</v>
      </c>
      <c r="BA57" s="290" cm="1">
        <f t="array" ref="BA57">INDEX(Assumptions!$G49:$L49,,Model!BA$11)*INDEX(Assumptions!$G60:$L60,,Model!BA$11)*BA$15</f>
        <v>16668</v>
      </c>
      <c r="BB57" s="290" cm="1">
        <f t="array" ref="BB57">INDEX(Assumptions!$G49:$L49,,Model!BB$11)*INDEX(Assumptions!$G60:$L60,,Model!BB$11)*BB$15</f>
        <v>16668</v>
      </c>
      <c r="BC57" s="290" cm="1">
        <f t="array" ref="BC57">INDEX(Assumptions!$G49:$L49,,Model!BC$11)*INDEX(Assumptions!$G60:$L60,,Model!BC$11)*BC$15</f>
        <v>16668</v>
      </c>
      <c r="BD57" s="290" cm="1">
        <f t="array" ref="BD57">INDEX(Assumptions!$G49:$L49,,Model!BD$11)*INDEX(Assumptions!$G60:$L60,,Model!BD$11)*BD$15</f>
        <v>16668</v>
      </c>
      <c r="BE57" s="290" cm="1">
        <f t="array" ref="BE57">INDEX(Assumptions!$G49:$L49,,Model!BE$11)*INDEX(Assumptions!$G60:$L60,,Model!BE$11)*BE$15</f>
        <v>16668</v>
      </c>
      <c r="BF57" s="290" cm="1">
        <f t="array" ref="BF57">INDEX(Assumptions!$G49:$L49,,Model!BF$11)*INDEX(Assumptions!$G60:$L60,,Model!BF$11)*BF$15</f>
        <v>16668</v>
      </c>
      <c r="BG57" s="290" cm="1">
        <f t="array" ref="BG57">INDEX(Assumptions!$G49:$L49,,Model!BG$11)*INDEX(Assumptions!$G60:$L60,,Model!BG$11)*BG$15</f>
        <v>16668</v>
      </c>
      <c r="BH57" s="290" cm="1">
        <f t="array" ref="BH57">INDEX(Assumptions!$G49:$L49,,Model!BH$11)*INDEX(Assumptions!$G60:$L60,,Model!BH$11)*BH$15</f>
        <v>16668</v>
      </c>
      <c r="BI57" s="290" cm="1">
        <f t="array" ref="BI57">INDEX(Assumptions!$G49:$L49,,Model!BI$11)*INDEX(Assumptions!$G60:$L60,,Model!BI$11)*BI$15</f>
        <v>20835</v>
      </c>
      <c r="BJ57" s="290" cm="1">
        <f t="array" ref="BJ57">INDEX(Assumptions!$G49:$L49,,Model!BJ$11)*INDEX(Assumptions!$G60:$L60,,Model!BJ$11)*BJ$15</f>
        <v>20835</v>
      </c>
      <c r="BK57" s="290" cm="1">
        <f t="array" ref="BK57">INDEX(Assumptions!$G49:$L49,,Model!BK$11)*INDEX(Assumptions!$G60:$L60,,Model!BK$11)*BK$15</f>
        <v>20835</v>
      </c>
      <c r="BL57" s="290" cm="1">
        <f t="array" ref="BL57">INDEX(Assumptions!$G49:$L49,,Model!BL$11)*INDEX(Assumptions!$G60:$L60,,Model!BL$11)*BL$15</f>
        <v>20835</v>
      </c>
      <c r="BM57" s="290" cm="1">
        <f t="array" ref="BM57">INDEX(Assumptions!$G49:$L49,,Model!BM$11)*INDEX(Assumptions!$G60:$L60,,Model!BM$11)*BM$15</f>
        <v>20835</v>
      </c>
      <c r="BN57" s="290" cm="1">
        <f t="array" ref="BN57">INDEX(Assumptions!$G49:$L49,,Model!BN$11)*INDEX(Assumptions!$G60:$L60,,Model!BN$11)*BN$15</f>
        <v>20835</v>
      </c>
      <c r="BO57" s="290" cm="1">
        <f t="array" ref="BO57">INDEX(Assumptions!$G49:$L49,,Model!BO$11)*INDEX(Assumptions!$G60:$L60,,Model!BO$11)*BO$15</f>
        <v>20835</v>
      </c>
      <c r="BP57" s="290" cm="1">
        <f t="array" ref="BP57">INDEX(Assumptions!$G49:$L49,,Model!BP$11)*INDEX(Assumptions!$G60:$L60,,Model!BP$11)*BP$15</f>
        <v>20835</v>
      </c>
      <c r="BQ57" s="290" cm="1">
        <f t="array" ref="BQ57">INDEX(Assumptions!$G49:$L49,,Model!BQ$11)*INDEX(Assumptions!$G60:$L60,,Model!BQ$11)*BQ$15</f>
        <v>20835</v>
      </c>
      <c r="BR57" s="290" cm="1">
        <f t="array" ref="BR57">INDEX(Assumptions!$G49:$L49,,Model!BR$11)*INDEX(Assumptions!$G60:$L60,,Model!BR$11)*BR$15</f>
        <v>20835</v>
      </c>
      <c r="BS57" s="290" cm="1">
        <f t="array" ref="BS57">INDEX(Assumptions!$G49:$L49,,Model!BS$11)*INDEX(Assumptions!$G60:$L60,,Model!BS$11)*BS$15</f>
        <v>20835</v>
      </c>
      <c r="BT57" s="290" cm="1">
        <f t="array" ref="BT57">INDEX(Assumptions!$G49:$L49,,Model!BT$11)*INDEX(Assumptions!$G60:$L60,,Model!BT$11)*BT$15</f>
        <v>20835</v>
      </c>
      <c r="BU57" s="290" cm="1">
        <f t="array" ref="BU57">INDEX(Assumptions!$G49:$L49,,Model!BU$11)*INDEX(Assumptions!$G60:$L60,,Model!BU$11)*BU$15</f>
        <v>25002</v>
      </c>
      <c r="BV57" s="290" cm="1">
        <f t="array" ref="BV57">INDEX(Assumptions!$G49:$L49,,Model!BV$11)*INDEX(Assumptions!$G60:$L60,,Model!BV$11)*BV$15</f>
        <v>25002</v>
      </c>
      <c r="BW57" s="290" cm="1">
        <f t="array" ref="BW57">INDEX(Assumptions!$G49:$L49,,Model!BW$11)*INDEX(Assumptions!$G60:$L60,,Model!BW$11)*BW$15</f>
        <v>25002</v>
      </c>
      <c r="BX57" s="290" cm="1">
        <f t="array" ref="BX57">INDEX(Assumptions!$G49:$L49,,Model!BX$11)*INDEX(Assumptions!$G60:$L60,,Model!BX$11)*BX$15</f>
        <v>25002</v>
      </c>
      <c r="BY57" s="290" cm="1">
        <f t="array" ref="BY57">INDEX(Assumptions!$G49:$L49,,Model!BY$11)*INDEX(Assumptions!$G60:$L60,,Model!BY$11)*BY$15</f>
        <v>25002</v>
      </c>
      <c r="BZ57" s="290" cm="1">
        <f t="array" ref="BZ57">INDEX(Assumptions!$G49:$L49,,Model!BZ$11)*INDEX(Assumptions!$G60:$L60,,Model!BZ$11)*BZ$15</f>
        <v>25002</v>
      </c>
      <c r="CA57" s="290" cm="1">
        <f t="array" ref="CA57">INDEX(Assumptions!$G49:$L49,,Model!CA$11)*INDEX(Assumptions!$G60:$L60,,Model!CA$11)*CA$15</f>
        <v>25002</v>
      </c>
      <c r="CB57" s="290" cm="1">
        <f t="array" ref="CB57">INDEX(Assumptions!$G49:$L49,,Model!CB$11)*INDEX(Assumptions!$G60:$L60,,Model!CB$11)*CB$15</f>
        <v>25002</v>
      </c>
      <c r="CC57" s="290" cm="1">
        <f t="array" ref="CC57">INDEX(Assumptions!$G49:$L49,,Model!CC$11)*INDEX(Assumptions!$G60:$L60,,Model!CC$11)*CC$15</f>
        <v>25002</v>
      </c>
      <c r="CD57" s="290" cm="1">
        <f t="array" ref="CD57">INDEX(Assumptions!$G49:$L49,,Model!CD$11)*INDEX(Assumptions!$G60:$L60,,Model!CD$11)*CD$15</f>
        <v>25002</v>
      </c>
      <c r="CE57" s="290" cm="1">
        <f t="array" ref="CE57">INDEX(Assumptions!$G49:$L49,,Model!CE$11)*INDEX(Assumptions!$G60:$L60,,Model!CE$11)*CE$15</f>
        <v>25002</v>
      </c>
      <c r="CF57" s="290" cm="1">
        <f t="array" ref="CF57">INDEX(Assumptions!$G49:$L49,,Model!CF$11)*INDEX(Assumptions!$G60:$L60,,Model!CF$11)*CF$15</f>
        <v>25002</v>
      </c>
    </row>
    <row r="58" spans="4:84" outlineLevel="1">
      <c r="E58" s="68" t="str">
        <f>Assumptions!E63</f>
        <v>Product Management</v>
      </c>
      <c r="F58" s="70"/>
      <c r="L58" s="167"/>
      <c r="M58" s="290" cm="1">
        <f t="array" ref="M58">INDEX(Assumptions!$G50:$L50,,Model!M$11)*INDEX(Assumptions!$G61:$L61,,Model!M$11)*M$15</f>
        <v>0</v>
      </c>
      <c r="N58" s="290" cm="1">
        <f t="array" ref="N58">INDEX(Assumptions!$G50:$L50,,Model!N$11)*INDEX(Assumptions!$G61:$L61,,Model!N$11)*N$15</f>
        <v>0</v>
      </c>
      <c r="O58" s="290" cm="1">
        <f t="array" ref="O58">INDEX(Assumptions!$G50:$L50,,Model!O$11)*INDEX(Assumptions!$G61:$L61,,Model!O$11)*O$15</f>
        <v>0</v>
      </c>
      <c r="P58" s="290" cm="1">
        <f t="array" ref="P58">INDEX(Assumptions!$G50:$L50,,Model!P$11)*INDEX(Assumptions!$G61:$L61,,Model!P$11)*P$15</f>
        <v>0</v>
      </c>
      <c r="Q58" s="290" cm="1">
        <f t="array" ref="Q58">INDEX(Assumptions!$G50:$L50,,Model!Q$11)*INDEX(Assumptions!$G61:$L61,,Model!Q$11)*Q$15</f>
        <v>0</v>
      </c>
      <c r="R58" s="290" cm="1">
        <f t="array" ref="R58">INDEX(Assumptions!$G50:$L50,,Model!R$11)*INDEX(Assumptions!$G61:$L61,,Model!R$11)*R$15</f>
        <v>0</v>
      </c>
      <c r="S58" s="290" cm="1">
        <f t="array" ref="S58">INDEX(Assumptions!$G50:$L50,,Model!S$11)*INDEX(Assumptions!$G61:$L61,,Model!S$11)*S$15</f>
        <v>0</v>
      </c>
      <c r="T58" s="290" cm="1">
        <f t="array" ref="T58">INDEX(Assumptions!$G50:$L50,,Model!T$11)*INDEX(Assumptions!$G61:$L61,,Model!T$11)*T$15</f>
        <v>0</v>
      </c>
      <c r="U58" s="290" cm="1">
        <f t="array" ref="U58">INDEX(Assumptions!$G50:$L50,,Model!U$11)*INDEX(Assumptions!$G61:$L61,,Model!U$11)*U$15</f>
        <v>0</v>
      </c>
      <c r="V58" s="290" cm="1">
        <f t="array" ref="V58">INDEX(Assumptions!$G50:$L50,,Model!V$11)*INDEX(Assumptions!$G61:$L61,,Model!V$11)*V$15</f>
        <v>0</v>
      </c>
      <c r="W58" s="290" cm="1">
        <f t="array" ref="W58">INDEX(Assumptions!$G50:$L50,,Model!W$11)*INDEX(Assumptions!$G61:$L61,,Model!W$11)*W$15</f>
        <v>0</v>
      </c>
      <c r="X58" s="290" cm="1">
        <f t="array" ref="X58">INDEX(Assumptions!$G50:$L50,,Model!X$11)*INDEX(Assumptions!$G61:$L61,,Model!X$11)*X$15</f>
        <v>0</v>
      </c>
      <c r="Y58" s="290" cm="1">
        <f t="array" ref="Y58">INDEX(Assumptions!$G50:$L50,,Model!Y$11)*INDEX(Assumptions!$G61:$L61,,Model!Y$11)*Y$15</f>
        <v>13334</v>
      </c>
      <c r="Z58" s="290" cm="1">
        <f t="array" ref="Z58">INDEX(Assumptions!$G50:$L50,,Model!Z$11)*INDEX(Assumptions!$G61:$L61,,Model!Z$11)*Z$15</f>
        <v>13334</v>
      </c>
      <c r="AA58" s="290" cm="1">
        <f t="array" ref="AA58">INDEX(Assumptions!$G50:$L50,,Model!AA$11)*INDEX(Assumptions!$G61:$L61,,Model!AA$11)*AA$15</f>
        <v>13334</v>
      </c>
      <c r="AB58" s="290" cm="1">
        <f t="array" ref="AB58">INDEX(Assumptions!$G50:$L50,,Model!AB$11)*INDEX(Assumptions!$G61:$L61,,Model!AB$11)*AB$15</f>
        <v>13334</v>
      </c>
      <c r="AC58" s="290" cm="1">
        <f t="array" ref="AC58">INDEX(Assumptions!$G50:$L50,,Model!AC$11)*INDEX(Assumptions!$G61:$L61,,Model!AC$11)*AC$15</f>
        <v>13334</v>
      </c>
      <c r="AD58" s="290" cm="1">
        <f t="array" ref="AD58">INDEX(Assumptions!$G50:$L50,,Model!AD$11)*INDEX(Assumptions!$G61:$L61,,Model!AD$11)*AD$15</f>
        <v>13334</v>
      </c>
      <c r="AE58" s="290" cm="1">
        <f t="array" ref="AE58">INDEX(Assumptions!$G50:$L50,,Model!AE$11)*INDEX(Assumptions!$G61:$L61,,Model!AE$11)*AE$15</f>
        <v>13334</v>
      </c>
      <c r="AF58" s="290" cm="1">
        <f t="array" ref="AF58">INDEX(Assumptions!$G50:$L50,,Model!AF$11)*INDEX(Assumptions!$G61:$L61,,Model!AF$11)*AF$15</f>
        <v>13334</v>
      </c>
      <c r="AG58" s="290" cm="1">
        <f t="array" ref="AG58">INDEX(Assumptions!$G50:$L50,,Model!AG$11)*INDEX(Assumptions!$G61:$L61,,Model!AG$11)*AG$15</f>
        <v>13334</v>
      </c>
      <c r="AH58" s="290" cm="1">
        <f t="array" ref="AH58">INDEX(Assumptions!$G50:$L50,,Model!AH$11)*INDEX(Assumptions!$G61:$L61,,Model!AH$11)*AH$15</f>
        <v>13334</v>
      </c>
      <c r="AI58" s="290" cm="1">
        <f t="array" ref="AI58">INDEX(Assumptions!$G50:$L50,,Model!AI$11)*INDEX(Assumptions!$G61:$L61,,Model!AI$11)*AI$15</f>
        <v>13334</v>
      </c>
      <c r="AJ58" s="290" cm="1">
        <f t="array" ref="AJ58">INDEX(Assumptions!$G50:$L50,,Model!AJ$11)*INDEX(Assumptions!$G61:$L61,,Model!AJ$11)*AJ$15</f>
        <v>13334</v>
      </c>
      <c r="AK58" s="290" cm="1">
        <f t="array" ref="AK58">INDEX(Assumptions!$G50:$L50,,Model!AK$11)*INDEX(Assumptions!$G61:$L61,,Model!AK$11)*AK$15</f>
        <v>20001</v>
      </c>
      <c r="AL58" s="290" cm="1">
        <f t="array" ref="AL58">INDEX(Assumptions!$G50:$L50,,Model!AL$11)*INDEX(Assumptions!$G61:$L61,,Model!AL$11)*AL$15</f>
        <v>20001</v>
      </c>
      <c r="AM58" s="290" cm="1">
        <f t="array" ref="AM58">INDEX(Assumptions!$G50:$L50,,Model!AM$11)*INDEX(Assumptions!$G61:$L61,,Model!AM$11)*AM$15</f>
        <v>20001</v>
      </c>
      <c r="AN58" s="290" cm="1">
        <f t="array" ref="AN58">INDEX(Assumptions!$G50:$L50,,Model!AN$11)*INDEX(Assumptions!$G61:$L61,,Model!AN$11)*AN$15</f>
        <v>20001</v>
      </c>
      <c r="AO58" s="290" cm="1">
        <f t="array" ref="AO58">INDEX(Assumptions!$G50:$L50,,Model!AO$11)*INDEX(Assumptions!$G61:$L61,,Model!AO$11)*AO$15</f>
        <v>20001</v>
      </c>
      <c r="AP58" s="290" cm="1">
        <f t="array" ref="AP58">INDEX(Assumptions!$G50:$L50,,Model!AP$11)*INDEX(Assumptions!$G61:$L61,,Model!AP$11)*AP$15</f>
        <v>20001</v>
      </c>
      <c r="AQ58" s="290" cm="1">
        <f t="array" ref="AQ58">INDEX(Assumptions!$G50:$L50,,Model!AQ$11)*INDEX(Assumptions!$G61:$L61,,Model!AQ$11)*AQ$15</f>
        <v>20001</v>
      </c>
      <c r="AR58" s="290" cm="1">
        <f t="array" ref="AR58">INDEX(Assumptions!$G50:$L50,,Model!AR$11)*INDEX(Assumptions!$G61:$L61,,Model!AR$11)*AR$15</f>
        <v>20001</v>
      </c>
      <c r="AS58" s="290" cm="1">
        <f t="array" ref="AS58">INDEX(Assumptions!$G50:$L50,,Model!AS$11)*INDEX(Assumptions!$G61:$L61,,Model!AS$11)*AS$15</f>
        <v>20001</v>
      </c>
      <c r="AT58" s="290" cm="1">
        <f t="array" ref="AT58">INDEX(Assumptions!$G50:$L50,,Model!AT$11)*INDEX(Assumptions!$G61:$L61,,Model!AT$11)*AT$15</f>
        <v>20001</v>
      </c>
      <c r="AU58" s="290" cm="1">
        <f t="array" ref="AU58">INDEX(Assumptions!$G50:$L50,,Model!AU$11)*INDEX(Assumptions!$G61:$L61,,Model!AU$11)*AU$15</f>
        <v>20001</v>
      </c>
      <c r="AV58" s="290" cm="1">
        <f t="array" ref="AV58">INDEX(Assumptions!$G50:$L50,,Model!AV$11)*INDEX(Assumptions!$G61:$L61,,Model!AV$11)*AV$15</f>
        <v>20001</v>
      </c>
      <c r="AW58" s="290" cm="1">
        <f t="array" ref="AW58">INDEX(Assumptions!$G50:$L50,,Model!AW$11)*INDEX(Assumptions!$G61:$L61,,Model!AW$11)*AW$15</f>
        <v>26668</v>
      </c>
      <c r="AX58" s="290" cm="1">
        <f t="array" ref="AX58">INDEX(Assumptions!$G50:$L50,,Model!AX$11)*INDEX(Assumptions!$G61:$L61,,Model!AX$11)*AX$15</f>
        <v>26668</v>
      </c>
      <c r="AY58" s="290" cm="1">
        <f t="array" ref="AY58">INDEX(Assumptions!$G50:$L50,,Model!AY$11)*INDEX(Assumptions!$G61:$L61,,Model!AY$11)*AY$15</f>
        <v>26668</v>
      </c>
      <c r="AZ58" s="290" cm="1">
        <f t="array" ref="AZ58">INDEX(Assumptions!$G50:$L50,,Model!AZ$11)*INDEX(Assumptions!$G61:$L61,,Model!AZ$11)*AZ$15</f>
        <v>26668</v>
      </c>
      <c r="BA58" s="290" cm="1">
        <f t="array" ref="BA58">INDEX(Assumptions!$G50:$L50,,Model!BA$11)*INDEX(Assumptions!$G61:$L61,,Model!BA$11)*BA$15</f>
        <v>26668</v>
      </c>
      <c r="BB58" s="290" cm="1">
        <f t="array" ref="BB58">INDEX(Assumptions!$G50:$L50,,Model!BB$11)*INDEX(Assumptions!$G61:$L61,,Model!BB$11)*BB$15</f>
        <v>26668</v>
      </c>
      <c r="BC58" s="290" cm="1">
        <f t="array" ref="BC58">INDEX(Assumptions!$G50:$L50,,Model!BC$11)*INDEX(Assumptions!$G61:$L61,,Model!BC$11)*BC$15</f>
        <v>26668</v>
      </c>
      <c r="BD58" s="290" cm="1">
        <f t="array" ref="BD58">INDEX(Assumptions!$G50:$L50,,Model!BD$11)*INDEX(Assumptions!$G61:$L61,,Model!BD$11)*BD$15</f>
        <v>26668</v>
      </c>
      <c r="BE58" s="290" cm="1">
        <f t="array" ref="BE58">INDEX(Assumptions!$G50:$L50,,Model!BE$11)*INDEX(Assumptions!$G61:$L61,,Model!BE$11)*BE$15</f>
        <v>26668</v>
      </c>
      <c r="BF58" s="290" cm="1">
        <f t="array" ref="BF58">INDEX(Assumptions!$G50:$L50,,Model!BF$11)*INDEX(Assumptions!$G61:$L61,,Model!BF$11)*BF$15</f>
        <v>26668</v>
      </c>
      <c r="BG58" s="290" cm="1">
        <f t="array" ref="BG58">INDEX(Assumptions!$G50:$L50,,Model!BG$11)*INDEX(Assumptions!$G61:$L61,,Model!BG$11)*BG$15</f>
        <v>26668</v>
      </c>
      <c r="BH58" s="290" cm="1">
        <f t="array" ref="BH58">INDEX(Assumptions!$G50:$L50,,Model!BH$11)*INDEX(Assumptions!$G61:$L61,,Model!BH$11)*BH$15</f>
        <v>26668</v>
      </c>
      <c r="BI58" s="290" cm="1">
        <f t="array" ref="BI58">INDEX(Assumptions!$G50:$L50,,Model!BI$11)*INDEX(Assumptions!$G61:$L61,,Model!BI$11)*BI$15</f>
        <v>33335</v>
      </c>
      <c r="BJ58" s="290" cm="1">
        <f t="array" ref="BJ58">INDEX(Assumptions!$G50:$L50,,Model!BJ$11)*INDEX(Assumptions!$G61:$L61,,Model!BJ$11)*BJ$15</f>
        <v>33335</v>
      </c>
      <c r="BK58" s="290" cm="1">
        <f t="array" ref="BK58">INDEX(Assumptions!$G50:$L50,,Model!BK$11)*INDEX(Assumptions!$G61:$L61,,Model!BK$11)*BK$15</f>
        <v>33335</v>
      </c>
      <c r="BL58" s="290" cm="1">
        <f t="array" ref="BL58">INDEX(Assumptions!$G50:$L50,,Model!BL$11)*INDEX(Assumptions!$G61:$L61,,Model!BL$11)*BL$15</f>
        <v>33335</v>
      </c>
      <c r="BM58" s="290" cm="1">
        <f t="array" ref="BM58">INDEX(Assumptions!$G50:$L50,,Model!BM$11)*INDEX(Assumptions!$G61:$L61,,Model!BM$11)*BM$15</f>
        <v>33335</v>
      </c>
      <c r="BN58" s="290" cm="1">
        <f t="array" ref="BN58">INDEX(Assumptions!$G50:$L50,,Model!BN$11)*INDEX(Assumptions!$G61:$L61,,Model!BN$11)*BN$15</f>
        <v>33335</v>
      </c>
      <c r="BO58" s="290" cm="1">
        <f t="array" ref="BO58">INDEX(Assumptions!$G50:$L50,,Model!BO$11)*INDEX(Assumptions!$G61:$L61,,Model!BO$11)*BO$15</f>
        <v>33335</v>
      </c>
      <c r="BP58" s="290" cm="1">
        <f t="array" ref="BP58">INDEX(Assumptions!$G50:$L50,,Model!BP$11)*INDEX(Assumptions!$G61:$L61,,Model!BP$11)*BP$15</f>
        <v>33335</v>
      </c>
      <c r="BQ58" s="290" cm="1">
        <f t="array" ref="BQ58">INDEX(Assumptions!$G50:$L50,,Model!BQ$11)*INDEX(Assumptions!$G61:$L61,,Model!BQ$11)*BQ$15</f>
        <v>33335</v>
      </c>
      <c r="BR58" s="290" cm="1">
        <f t="array" ref="BR58">INDEX(Assumptions!$G50:$L50,,Model!BR$11)*INDEX(Assumptions!$G61:$L61,,Model!BR$11)*BR$15</f>
        <v>33335</v>
      </c>
      <c r="BS58" s="290" cm="1">
        <f t="array" ref="BS58">INDEX(Assumptions!$G50:$L50,,Model!BS$11)*INDEX(Assumptions!$G61:$L61,,Model!BS$11)*BS$15</f>
        <v>33335</v>
      </c>
      <c r="BT58" s="290" cm="1">
        <f t="array" ref="BT58">INDEX(Assumptions!$G50:$L50,,Model!BT$11)*INDEX(Assumptions!$G61:$L61,,Model!BT$11)*BT$15</f>
        <v>33335</v>
      </c>
      <c r="BU58" s="290" cm="1">
        <f t="array" ref="BU58">INDEX(Assumptions!$G50:$L50,,Model!BU$11)*INDEX(Assumptions!$G61:$L61,,Model!BU$11)*BU$15</f>
        <v>40002</v>
      </c>
      <c r="BV58" s="290" cm="1">
        <f t="array" ref="BV58">INDEX(Assumptions!$G50:$L50,,Model!BV$11)*INDEX(Assumptions!$G61:$L61,,Model!BV$11)*BV$15</f>
        <v>40002</v>
      </c>
      <c r="BW58" s="290" cm="1">
        <f t="array" ref="BW58">INDEX(Assumptions!$G50:$L50,,Model!BW$11)*INDEX(Assumptions!$G61:$L61,,Model!BW$11)*BW$15</f>
        <v>40002</v>
      </c>
      <c r="BX58" s="290" cm="1">
        <f t="array" ref="BX58">INDEX(Assumptions!$G50:$L50,,Model!BX$11)*INDEX(Assumptions!$G61:$L61,,Model!BX$11)*BX$15</f>
        <v>40002</v>
      </c>
      <c r="BY58" s="290" cm="1">
        <f t="array" ref="BY58">INDEX(Assumptions!$G50:$L50,,Model!BY$11)*INDEX(Assumptions!$G61:$L61,,Model!BY$11)*BY$15</f>
        <v>40002</v>
      </c>
      <c r="BZ58" s="290" cm="1">
        <f t="array" ref="BZ58">INDEX(Assumptions!$G50:$L50,,Model!BZ$11)*INDEX(Assumptions!$G61:$L61,,Model!BZ$11)*BZ$15</f>
        <v>40002</v>
      </c>
      <c r="CA58" s="290" cm="1">
        <f t="array" ref="CA58">INDEX(Assumptions!$G50:$L50,,Model!CA$11)*INDEX(Assumptions!$G61:$L61,,Model!CA$11)*CA$15</f>
        <v>40002</v>
      </c>
      <c r="CB58" s="290" cm="1">
        <f t="array" ref="CB58">INDEX(Assumptions!$G50:$L50,,Model!CB$11)*INDEX(Assumptions!$G61:$L61,,Model!CB$11)*CB$15</f>
        <v>40002</v>
      </c>
      <c r="CC58" s="290" cm="1">
        <f t="array" ref="CC58">INDEX(Assumptions!$G50:$L50,,Model!CC$11)*INDEX(Assumptions!$G61:$L61,,Model!CC$11)*CC$15</f>
        <v>40002</v>
      </c>
      <c r="CD58" s="290" cm="1">
        <f t="array" ref="CD58">INDEX(Assumptions!$G50:$L50,,Model!CD$11)*INDEX(Assumptions!$G61:$L61,,Model!CD$11)*CD$15</f>
        <v>40002</v>
      </c>
      <c r="CE58" s="290" cm="1">
        <f t="array" ref="CE58">INDEX(Assumptions!$G50:$L50,,Model!CE$11)*INDEX(Assumptions!$G61:$L61,,Model!CE$11)*CE$15</f>
        <v>40002</v>
      </c>
      <c r="CF58" s="290" cm="1">
        <f t="array" ref="CF58">INDEX(Assumptions!$G50:$L50,,Model!CF$11)*INDEX(Assumptions!$G61:$L61,,Model!CF$11)*CF$15</f>
        <v>40002</v>
      </c>
    </row>
    <row r="59" spans="4:84" outlineLevel="1">
      <c r="E59" s="68" t="str">
        <f>Assumptions!E64</f>
        <v>Adminstrative Assistant</v>
      </c>
      <c r="F59" s="70"/>
      <c r="L59" s="167"/>
      <c r="M59" s="290" cm="1">
        <f t="array" ref="M59">INDEX(Assumptions!$G51:$L51,,Model!M$11)*INDEX(Assumptions!$G62:$L62,,Model!M$11)*M$15</f>
        <v>0</v>
      </c>
      <c r="N59" s="290" cm="1">
        <f t="array" ref="N59">INDEX(Assumptions!$G51:$L51,,Model!N$11)*INDEX(Assumptions!$G62:$L62,,Model!N$11)*N$15</f>
        <v>0</v>
      </c>
      <c r="O59" s="290" cm="1">
        <f t="array" ref="O59">INDEX(Assumptions!$G51:$L51,,Model!O$11)*INDEX(Assumptions!$G62:$L62,,Model!O$11)*O$15</f>
        <v>0</v>
      </c>
      <c r="P59" s="290" cm="1">
        <f t="array" ref="P59">INDEX(Assumptions!$G51:$L51,,Model!P$11)*INDEX(Assumptions!$G62:$L62,,Model!P$11)*P$15</f>
        <v>0</v>
      </c>
      <c r="Q59" s="290" cm="1">
        <f t="array" ref="Q59">INDEX(Assumptions!$G51:$L51,,Model!Q$11)*INDEX(Assumptions!$G62:$L62,,Model!Q$11)*Q$15</f>
        <v>0</v>
      </c>
      <c r="R59" s="290" cm="1">
        <f t="array" ref="R59">INDEX(Assumptions!$G51:$L51,,Model!R$11)*INDEX(Assumptions!$G62:$L62,,Model!R$11)*R$15</f>
        <v>3500</v>
      </c>
      <c r="S59" s="290" cm="1">
        <f t="array" ref="S59">INDEX(Assumptions!$G51:$L51,,Model!S$11)*INDEX(Assumptions!$G62:$L62,,Model!S$11)*S$15</f>
        <v>3500</v>
      </c>
      <c r="T59" s="290" cm="1">
        <f t="array" ref="T59">INDEX(Assumptions!$G51:$L51,,Model!T$11)*INDEX(Assumptions!$G62:$L62,,Model!T$11)*T$15</f>
        <v>3500</v>
      </c>
      <c r="U59" s="290" cm="1">
        <f t="array" ref="U59">INDEX(Assumptions!$G51:$L51,,Model!U$11)*INDEX(Assumptions!$G62:$L62,,Model!U$11)*U$15</f>
        <v>3500</v>
      </c>
      <c r="V59" s="290" cm="1">
        <f t="array" ref="V59">INDEX(Assumptions!$G51:$L51,,Model!V$11)*INDEX(Assumptions!$G62:$L62,,Model!V$11)*V$15</f>
        <v>3500</v>
      </c>
      <c r="W59" s="290" cm="1">
        <f t="array" ref="W59">INDEX(Assumptions!$G51:$L51,,Model!W$11)*INDEX(Assumptions!$G62:$L62,,Model!W$11)*W$15</f>
        <v>3500</v>
      </c>
      <c r="X59" s="290" cm="1">
        <f t="array" ref="X59">INDEX(Assumptions!$G51:$L51,,Model!X$11)*INDEX(Assumptions!$G62:$L62,,Model!X$11)*X$15</f>
        <v>3500</v>
      </c>
      <c r="Y59" s="290" cm="1">
        <f t="array" ref="Y59">INDEX(Assumptions!$G51:$L51,,Model!Y$11)*INDEX(Assumptions!$G62:$L62,,Model!Y$11)*Y$15</f>
        <v>12500</v>
      </c>
      <c r="Z59" s="290" cm="1">
        <f t="array" ref="Z59">INDEX(Assumptions!$G51:$L51,,Model!Z$11)*INDEX(Assumptions!$G62:$L62,,Model!Z$11)*Z$15</f>
        <v>12500</v>
      </c>
      <c r="AA59" s="290" cm="1">
        <f t="array" ref="AA59">INDEX(Assumptions!$G51:$L51,,Model!AA$11)*INDEX(Assumptions!$G62:$L62,,Model!AA$11)*AA$15</f>
        <v>12500</v>
      </c>
      <c r="AB59" s="290" cm="1">
        <f t="array" ref="AB59">INDEX(Assumptions!$G51:$L51,,Model!AB$11)*INDEX(Assumptions!$G62:$L62,,Model!AB$11)*AB$15</f>
        <v>12500</v>
      </c>
      <c r="AC59" s="290" cm="1">
        <f t="array" ref="AC59">INDEX(Assumptions!$G51:$L51,,Model!AC$11)*INDEX(Assumptions!$G62:$L62,,Model!AC$11)*AC$15</f>
        <v>12500</v>
      </c>
      <c r="AD59" s="290" cm="1">
        <f t="array" ref="AD59">INDEX(Assumptions!$G51:$L51,,Model!AD$11)*INDEX(Assumptions!$G62:$L62,,Model!AD$11)*AD$15</f>
        <v>12500</v>
      </c>
      <c r="AE59" s="290" cm="1">
        <f t="array" ref="AE59">INDEX(Assumptions!$G51:$L51,,Model!AE$11)*INDEX(Assumptions!$G62:$L62,,Model!AE$11)*AE$15</f>
        <v>12500</v>
      </c>
      <c r="AF59" s="290" cm="1">
        <f t="array" ref="AF59">INDEX(Assumptions!$G51:$L51,,Model!AF$11)*INDEX(Assumptions!$G62:$L62,,Model!AF$11)*AF$15</f>
        <v>12500</v>
      </c>
      <c r="AG59" s="290" cm="1">
        <f t="array" ref="AG59">INDEX(Assumptions!$G51:$L51,,Model!AG$11)*INDEX(Assumptions!$G62:$L62,,Model!AG$11)*AG$15</f>
        <v>12500</v>
      </c>
      <c r="AH59" s="290" cm="1">
        <f t="array" ref="AH59">INDEX(Assumptions!$G51:$L51,,Model!AH$11)*INDEX(Assumptions!$G62:$L62,,Model!AH$11)*AH$15</f>
        <v>12500</v>
      </c>
      <c r="AI59" s="290" cm="1">
        <f t="array" ref="AI59">INDEX(Assumptions!$G51:$L51,,Model!AI$11)*INDEX(Assumptions!$G62:$L62,,Model!AI$11)*AI$15</f>
        <v>12500</v>
      </c>
      <c r="AJ59" s="290" cm="1">
        <f t="array" ref="AJ59">INDEX(Assumptions!$G51:$L51,,Model!AJ$11)*INDEX(Assumptions!$G62:$L62,,Model!AJ$11)*AJ$15</f>
        <v>12500</v>
      </c>
      <c r="AK59" s="290" cm="1">
        <f t="array" ref="AK59">INDEX(Assumptions!$G51:$L51,,Model!AK$11)*INDEX(Assumptions!$G62:$L62,,Model!AK$11)*AK$15</f>
        <v>18750</v>
      </c>
      <c r="AL59" s="290" cm="1">
        <f t="array" ref="AL59">INDEX(Assumptions!$G51:$L51,,Model!AL$11)*INDEX(Assumptions!$G62:$L62,,Model!AL$11)*AL$15</f>
        <v>18750</v>
      </c>
      <c r="AM59" s="290" cm="1">
        <f t="array" ref="AM59">INDEX(Assumptions!$G51:$L51,,Model!AM$11)*INDEX(Assumptions!$G62:$L62,,Model!AM$11)*AM$15</f>
        <v>18750</v>
      </c>
      <c r="AN59" s="290" cm="1">
        <f t="array" ref="AN59">INDEX(Assumptions!$G51:$L51,,Model!AN$11)*INDEX(Assumptions!$G62:$L62,,Model!AN$11)*AN$15</f>
        <v>18750</v>
      </c>
      <c r="AO59" s="290" cm="1">
        <f t="array" ref="AO59">INDEX(Assumptions!$G51:$L51,,Model!AO$11)*INDEX(Assumptions!$G62:$L62,,Model!AO$11)*AO$15</f>
        <v>18750</v>
      </c>
      <c r="AP59" s="290" cm="1">
        <f t="array" ref="AP59">INDEX(Assumptions!$G51:$L51,,Model!AP$11)*INDEX(Assumptions!$G62:$L62,,Model!AP$11)*AP$15</f>
        <v>18750</v>
      </c>
      <c r="AQ59" s="290" cm="1">
        <f t="array" ref="AQ59">INDEX(Assumptions!$G51:$L51,,Model!AQ$11)*INDEX(Assumptions!$G62:$L62,,Model!AQ$11)*AQ$15</f>
        <v>18750</v>
      </c>
      <c r="AR59" s="290" cm="1">
        <f t="array" ref="AR59">INDEX(Assumptions!$G51:$L51,,Model!AR$11)*INDEX(Assumptions!$G62:$L62,,Model!AR$11)*AR$15</f>
        <v>18750</v>
      </c>
      <c r="AS59" s="290" cm="1">
        <f t="array" ref="AS59">INDEX(Assumptions!$G51:$L51,,Model!AS$11)*INDEX(Assumptions!$G62:$L62,,Model!AS$11)*AS$15</f>
        <v>18750</v>
      </c>
      <c r="AT59" s="290" cm="1">
        <f t="array" ref="AT59">INDEX(Assumptions!$G51:$L51,,Model!AT$11)*INDEX(Assumptions!$G62:$L62,,Model!AT$11)*AT$15</f>
        <v>18750</v>
      </c>
      <c r="AU59" s="290" cm="1">
        <f t="array" ref="AU59">INDEX(Assumptions!$G51:$L51,,Model!AU$11)*INDEX(Assumptions!$G62:$L62,,Model!AU$11)*AU$15</f>
        <v>18750</v>
      </c>
      <c r="AV59" s="290" cm="1">
        <f t="array" ref="AV59">INDEX(Assumptions!$G51:$L51,,Model!AV$11)*INDEX(Assumptions!$G62:$L62,,Model!AV$11)*AV$15</f>
        <v>18750</v>
      </c>
      <c r="AW59" s="290" cm="1">
        <f t="array" ref="AW59">INDEX(Assumptions!$G51:$L51,,Model!AW$11)*INDEX(Assumptions!$G62:$L62,,Model!AW$11)*AW$15</f>
        <v>25000</v>
      </c>
      <c r="AX59" s="290" cm="1">
        <f t="array" ref="AX59">INDEX(Assumptions!$G51:$L51,,Model!AX$11)*INDEX(Assumptions!$G62:$L62,,Model!AX$11)*AX$15</f>
        <v>25000</v>
      </c>
      <c r="AY59" s="290" cm="1">
        <f t="array" ref="AY59">INDEX(Assumptions!$G51:$L51,,Model!AY$11)*INDEX(Assumptions!$G62:$L62,,Model!AY$11)*AY$15</f>
        <v>25000</v>
      </c>
      <c r="AZ59" s="290" cm="1">
        <f t="array" ref="AZ59">INDEX(Assumptions!$G51:$L51,,Model!AZ$11)*INDEX(Assumptions!$G62:$L62,,Model!AZ$11)*AZ$15</f>
        <v>25000</v>
      </c>
      <c r="BA59" s="290" cm="1">
        <f t="array" ref="BA59">INDEX(Assumptions!$G51:$L51,,Model!BA$11)*INDEX(Assumptions!$G62:$L62,,Model!BA$11)*BA$15</f>
        <v>25000</v>
      </c>
      <c r="BB59" s="290" cm="1">
        <f t="array" ref="BB59">INDEX(Assumptions!$G51:$L51,,Model!BB$11)*INDEX(Assumptions!$G62:$L62,,Model!BB$11)*BB$15</f>
        <v>25000</v>
      </c>
      <c r="BC59" s="290" cm="1">
        <f t="array" ref="BC59">INDEX(Assumptions!$G51:$L51,,Model!BC$11)*INDEX(Assumptions!$G62:$L62,,Model!BC$11)*BC$15</f>
        <v>25000</v>
      </c>
      <c r="BD59" s="290" cm="1">
        <f t="array" ref="BD59">INDEX(Assumptions!$G51:$L51,,Model!BD$11)*INDEX(Assumptions!$G62:$L62,,Model!BD$11)*BD$15</f>
        <v>25000</v>
      </c>
      <c r="BE59" s="290" cm="1">
        <f t="array" ref="BE59">INDEX(Assumptions!$G51:$L51,,Model!BE$11)*INDEX(Assumptions!$G62:$L62,,Model!BE$11)*BE$15</f>
        <v>25000</v>
      </c>
      <c r="BF59" s="290" cm="1">
        <f t="array" ref="BF59">INDEX(Assumptions!$G51:$L51,,Model!BF$11)*INDEX(Assumptions!$G62:$L62,,Model!BF$11)*BF$15</f>
        <v>25000</v>
      </c>
      <c r="BG59" s="290" cm="1">
        <f t="array" ref="BG59">INDEX(Assumptions!$G51:$L51,,Model!BG$11)*INDEX(Assumptions!$G62:$L62,,Model!BG$11)*BG$15</f>
        <v>25000</v>
      </c>
      <c r="BH59" s="290" cm="1">
        <f t="array" ref="BH59">INDEX(Assumptions!$G51:$L51,,Model!BH$11)*INDEX(Assumptions!$G62:$L62,,Model!BH$11)*BH$15</f>
        <v>25000</v>
      </c>
      <c r="BI59" s="290" cm="1">
        <f t="array" ref="BI59">INDEX(Assumptions!$G51:$L51,,Model!BI$11)*INDEX(Assumptions!$G62:$L62,,Model!BI$11)*BI$15</f>
        <v>31250</v>
      </c>
      <c r="BJ59" s="290" cm="1">
        <f t="array" ref="BJ59">INDEX(Assumptions!$G51:$L51,,Model!BJ$11)*INDEX(Assumptions!$G62:$L62,,Model!BJ$11)*BJ$15</f>
        <v>31250</v>
      </c>
      <c r="BK59" s="290" cm="1">
        <f t="array" ref="BK59">INDEX(Assumptions!$G51:$L51,,Model!BK$11)*INDEX(Assumptions!$G62:$L62,,Model!BK$11)*BK$15</f>
        <v>31250</v>
      </c>
      <c r="BL59" s="290" cm="1">
        <f t="array" ref="BL59">INDEX(Assumptions!$G51:$L51,,Model!BL$11)*INDEX(Assumptions!$G62:$L62,,Model!BL$11)*BL$15</f>
        <v>31250</v>
      </c>
      <c r="BM59" s="290" cm="1">
        <f t="array" ref="BM59">INDEX(Assumptions!$G51:$L51,,Model!BM$11)*INDEX(Assumptions!$G62:$L62,,Model!BM$11)*BM$15</f>
        <v>31250</v>
      </c>
      <c r="BN59" s="290" cm="1">
        <f t="array" ref="BN59">INDEX(Assumptions!$G51:$L51,,Model!BN$11)*INDEX(Assumptions!$G62:$L62,,Model!BN$11)*BN$15</f>
        <v>31250</v>
      </c>
      <c r="BO59" s="290" cm="1">
        <f t="array" ref="BO59">INDEX(Assumptions!$G51:$L51,,Model!BO$11)*INDEX(Assumptions!$G62:$L62,,Model!BO$11)*BO$15</f>
        <v>31250</v>
      </c>
      <c r="BP59" s="290" cm="1">
        <f t="array" ref="BP59">INDEX(Assumptions!$G51:$L51,,Model!BP$11)*INDEX(Assumptions!$G62:$L62,,Model!BP$11)*BP$15</f>
        <v>31250</v>
      </c>
      <c r="BQ59" s="290" cm="1">
        <f t="array" ref="BQ59">INDEX(Assumptions!$G51:$L51,,Model!BQ$11)*INDEX(Assumptions!$G62:$L62,,Model!BQ$11)*BQ$15</f>
        <v>31250</v>
      </c>
      <c r="BR59" s="290" cm="1">
        <f t="array" ref="BR59">INDEX(Assumptions!$G51:$L51,,Model!BR$11)*INDEX(Assumptions!$G62:$L62,,Model!BR$11)*BR$15</f>
        <v>31250</v>
      </c>
      <c r="BS59" s="290" cm="1">
        <f t="array" ref="BS59">INDEX(Assumptions!$G51:$L51,,Model!BS$11)*INDEX(Assumptions!$G62:$L62,,Model!BS$11)*BS$15</f>
        <v>31250</v>
      </c>
      <c r="BT59" s="290" cm="1">
        <f t="array" ref="BT59">INDEX(Assumptions!$G51:$L51,,Model!BT$11)*INDEX(Assumptions!$G62:$L62,,Model!BT$11)*BT$15</f>
        <v>31250</v>
      </c>
      <c r="BU59" s="290" cm="1">
        <f t="array" ref="BU59">INDEX(Assumptions!$G51:$L51,,Model!BU$11)*INDEX(Assumptions!$G62:$L62,,Model!BU$11)*BU$15</f>
        <v>37500</v>
      </c>
      <c r="BV59" s="290" cm="1">
        <f t="array" ref="BV59">INDEX(Assumptions!$G51:$L51,,Model!BV$11)*INDEX(Assumptions!$G62:$L62,,Model!BV$11)*BV$15</f>
        <v>37500</v>
      </c>
      <c r="BW59" s="290" cm="1">
        <f t="array" ref="BW59">INDEX(Assumptions!$G51:$L51,,Model!BW$11)*INDEX(Assumptions!$G62:$L62,,Model!BW$11)*BW$15</f>
        <v>37500</v>
      </c>
      <c r="BX59" s="290" cm="1">
        <f t="array" ref="BX59">INDEX(Assumptions!$G51:$L51,,Model!BX$11)*INDEX(Assumptions!$G62:$L62,,Model!BX$11)*BX$15</f>
        <v>37500</v>
      </c>
      <c r="BY59" s="290" cm="1">
        <f t="array" ref="BY59">INDEX(Assumptions!$G51:$L51,,Model!BY$11)*INDEX(Assumptions!$G62:$L62,,Model!BY$11)*BY$15</f>
        <v>37500</v>
      </c>
      <c r="BZ59" s="290" cm="1">
        <f t="array" ref="BZ59">INDEX(Assumptions!$G51:$L51,,Model!BZ$11)*INDEX(Assumptions!$G62:$L62,,Model!BZ$11)*BZ$15</f>
        <v>37500</v>
      </c>
      <c r="CA59" s="290" cm="1">
        <f t="array" ref="CA59">INDEX(Assumptions!$G51:$L51,,Model!CA$11)*INDEX(Assumptions!$G62:$L62,,Model!CA$11)*CA$15</f>
        <v>37500</v>
      </c>
      <c r="CB59" s="290" cm="1">
        <f t="array" ref="CB59">INDEX(Assumptions!$G51:$L51,,Model!CB$11)*INDEX(Assumptions!$G62:$L62,,Model!CB$11)*CB$15</f>
        <v>37500</v>
      </c>
      <c r="CC59" s="290" cm="1">
        <f t="array" ref="CC59">INDEX(Assumptions!$G51:$L51,,Model!CC$11)*INDEX(Assumptions!$G62:$L62,,Model!CC$11)*CC$15</f>
        <v>37500</v>
      </c>
      <c r="CD59" s="290" cm="1">
        <f t="array" ref="CD59">INDEX(Assumptions!$G51:$L51,,Model!CD$11)*INDEX(Assumptions!$G62:$L62,,Model!CD$11)*CD$15</f>
        <v>37500</v>
      </c>
      <c r="CE59" s="290" cm="1">
        <f t="array" ref="CE59">INDEX(Assumptions!$G51:$L51,,Model!CE$11)*INDEX(Assumptions!$G62:$L62,,Model!CE$11)*CE$15</f>
        <v>37500</v>
      </c>
      <c r="CF59" s="290" cm="1">
        <f t="array" ref="CF59">INDEX(Assumptions!$G51:$L51,,Model!CF$11)*INDEX(Assumptions!$G62:$L62,,Model!CF$11)*CF$15</f>
        <v>37500</v>
      </c>
    </row>
    <row r="60" spans="4:84" outlineLevel="1">
      <c r="E60" s="64" t="str">
        <f>Assumptions!E67</f>
        <v>Accounting &amp; Legal</v>
      </c>
      <c r="L60" s="167"/>
      <c r="M60" s="290" cm="1">
        <f t="array" ref="M60">IF(M$11=1,Assumptions!$G67,INDEX(Assumptions!$G$67:$L$67,,M$11)*M$37)*M$15</f>
        <v>0</v>
      </c>
      <c r="N60" s="290" cm="1">
        <f t="array" ref="N60">IF(N$11=1,Assumptions!$G67,INDEX(Assumptions!$G$67:$L$67,,N$11)*N$37)*N$15</f>
        <v>0</v>
      </c>
      <c r="O60" s="290" cm="1">
        <f t="array" ref="O60">IF(O$11=1,Assumptions!$G67,INDEX(Assumptions!$G$67:$L$67,,O$11)*O$37)*O$15</f>
        <v>0</v>
      </c>
      <c r="P60" s="290" cm="1">
        <f t="array" ref="P60">IF(P$11=1,Assumptions!$G67,INDEX(Assumptions!$G$67:$L$67,,P$11)*P$37)*P$15</f>
        <v>0</v>
      </c>
      <c r="Q60" s="290" cm="1">
        <f t="array" ref="Q60">IF(Q$11=1,Assumptions!$G67,INDEX(Assumptions!$G$67:$L$67,,Q$11)*Q$37)*Q$15</f>
        <v>0</v>
      </c>
      <c r="R60" s="290" cm="1">
        <f t="array" ref="R60">IF(R$11=1,Assumptions!$G67,INDEX(Assumptions!$G$67:$L$67,,R$11)*R$37)*R$15</f>
        <v>2600</v>
      </c>
      <c r="S60" s="290" cm="1">
        <f t="array" ref="S60">IF(S$11=1,Assumptions!$G67,INDEX(Assumptions!$G$67:$L$67,,S$11)*S$37)*S$15</f>
        <v>2600</v>
      </c>
      <c r="T60" s="290" cm="1">
        <f t="array" ref="T60">IF(T$11=1,Assumptions!$G67,INDEX(Assumptions!$G$67:$L$67,,T$11)*T$37)*T$15</f>
        <v>2600</v>
      </c>
      <c r="U60" s="290" cm="1">
        <f t="array" ref="U60">IF(U$11=1,Assumptions!$G67,INDEX(Assumptions!$G$67:$L$67,,U$11)*U$37)*U$15</f>
        <v>2600</v>
      </c>
      <c r="V60" s="290" cm="1">
        <f t="array" ref="V60">IF(V$11=1,Assumptions!$G67,INDEX(Assumptions!$G$67:$L$67,,V$11)*V$37)*V$15</f>
        <v>2600</v>
      </c>
      <c r="W60" s="290" cm="1">
        <f t="array" ref="W60">IF(W$11=1,Assumptions!$G67,INDEX(Assumptions!$G$67:$L$67,,W$11)*W$37)*W$15</f>
        <v>2600</v>
      </c>
      <c r="X60" s="290" cm="1">
        <f t="array" ref="X60">IF(X$11=1,Assumptions!$G67,INDEX(Assumptions!$G$67:$L$67,,X$11)*X$37)*X$15</f>
        <v>2600</v>
      </c>
      <c r="Y60" s="290" cm="1">
        <f t="array" ref="Y60">IF(Y$11=1,Assumptions!$G67,INDEX(Assumptions!$G$67:$L$67,,Y$11)*Y$37)*Y$15</f>
        <v>319.95764166513845</v>
      </c>
      <c r="Z60" s="290" cm="1">
        <f t="array" ref="Z60">IF(Z$11=1,Assumptions!$G67,INDEX(Assumptions!$G$67:$L$67,,Z$11)*Z$37)*Z$15</f>
        <v>427.58660168714471</v>
      </c>
      <c r="AA60" s="290" cm="1">
        <f t="array" ref="AA60">IF(AA$11=1,Assumptions!$G67,INDEX(Assumptions!$G$67:$L$67,,AA$11)*AA$37)*AA$15</f>
        <v>535.21556170915096</v>
      </c>
      <c r="AB60" s="290" cm="1">
        <f t="array" ref="AB60">IF(AB$11=1,Assumptions!$G67,INDEX(Assumptions!$G$67:$L$67,,AB$11)*AB$37)*AB$15</f>
        <v>642.8445217311571</v>
      </c>
      <c r="AC60" s="290" cm="1">
        <f t="array" ref="AC60">IF(AC$11=1,Assumptions!$G67,INDEX(Assumptions!$G$67:$L$67,,AC$11)*AC$37)*AC$15</f>
        <v>750.47348175316324</v>
      </c>
      <c r="AD60" s="290" cm="1">
        <f t="array" ref="AD60">IF(AD$11=1,Assumptions!$G67,INDEX(Assumptions!$G$67:$L$67,,AD$11)*AD$37)*AD$15</f>
        <v>911.02244177516957</v>
      </c>
      <c r="AE60" s="290" cm="1">
        <f t="array" ref="AE60">IF(AE$11=1,Assumptions!$G67,INDEX(Assumptions!$G$67:$L$67,,AE$11)*AE$37)*AE$15</f>
        <v>1024.5314017971759</v>
      </c>
      <c r="AF60" s="290" cm="1">
        <f t="array" ref="AF60">IF(AF$11=1,Assumptions!$G67,INDEX(Assumptions!$G$67:$L$67,,AF$11)*AF$37)*AF$15</f>
        <v>1138.0403618191822</v>
      </c>
      <c r="AG60" s="290" cm="1">
        <f t="array" ref="AG60">IF(AG$11=1,Assumptions!$G67,INDEX(Assumptions!$G$67:$L$67,,AG$11)*AG$37)*AG$15</f>
        <v>1251.5493218411884</v>
      </c>
      <c r="AH60" s="290" cm="1">
        <f t="array" ref="AH60">IF(AH$11=1,Assumptions!$G67,INDEX(Assumptions!$G$67:$L$67,,AH$11)*AH$37)*AH$15</f>
        <v>1365.0582818631947</v>
      </c>
      <c r="AI60" s="290" cm="1">
        <f t="array" ref="AI60">IF(AI$11=1,Assumptions!$G67,INDEX(Assumptions!$G$67:$L$67,,AI$11)*AI$37)*AI$15</f>
        <v>1478.5672418852012</v>
      </c>
      <c r="AJ60" s="290" cm="1">
        <f t="array" ref="AJ60">IF(AJ$11=1,Assumptions!$G67,INDEX(Assumptions!$G$67:$L$67,,AJ$11)*AJ$37)*AJ$15</f>
        <v>1592.0762019072072</v>
      </c>
      <c r="AK60" s="290" cm="1">
        <f t="array" ref="AK60">IF(AK$11=1,Assumptions!$G67,INDEX(Assumptions!$G$67:$L$67,,AK$11)*AK$37)*AK$15</f>
        <v>4784.3307602455634</v>
      </c>
      <c r="AL60" s="290" cm="1">
        <f t="array" ref="AL60">IF(AL$11=1,Assumptions!$G67,INDEX(Assumptions!$G$67:$L$67,,AL$11)*AL$37)*AL$15</f>
        <v>5801.4550308523949</v>
      </c>
      <c r="AM60" s="290" cm="1">
        <f t="array" ref="AM60">IF(AM$11=1,Assumptions!$G67,INDEX(Assumptions!$G$67:$L$67,,AM$11)*AM$37)*AM$15</f>
        <v>6818.5793014592246</v>
      </c>
      <c r="AN60" s="290" cm="1">
        <f t="array" ref="AN60">IF(AN$11=1,Assumptions!$G67,INDEX(Assumptions!$G$67:$L$67,,AN$11)*AN$37)*AN$15</f>
        <v>7835.703572066056</v>
      </c>
      <c r="AO60" s="290" cm="1">
        <f t="array" ref="AO60">IF(AO$11=1,Assumptions!$G67,INDEX(Assumptions!$G$67:$L$67,,AO$11)*AO$37)*AO$15</f>
        <v>8852.8278426728866</v>
      </c>
      <c r="AP60" s="290" cm="1">
        <f t="array" ref="AP60">IF(AP$11=1,Assumptions!$G67,INDEX(Assumptions!$G$67:$L$67,,AP$11)*AP$37)*AP$15</f>
        <v>9869.9521132797181</v>
      </c>
      <c r="AQ60" s="290" cm="1">
        <f t="array" ref="AQ60">IF(AQ$11=1,Assumptions!$G67,INDEX(Assumptions!$G$67:$L$67,,AQ$11)*AQ$37)*AQ$15</f>
        <v>10887.076383886548</v>
      </c>
      <c r="AR60" s="290" cm="1">
        <f t="array" ref="AR60">IF(AR$11=1,Assumptions!$G67,INDEX(Assumptions!$G$67:$L$67,,AR$11)*AR$37)*AR$15</f>
        <v>11904.200654493379</v>
      </c>
      <c r="AS60" s="290" cm="1">
        <f t="array" ref="AS60">IF(AS$11=1,Assumptions!$G67,INDEX(Assumptions!$G$67:$L$67,,AS$11)*AS$37)*AS$15</f>
        <v>12921.324925100211</v>
      </c>
      <c r="AT60" s="290" cm="1">
        <f t="array" ref="AT60">IF(AT$11=1,Assumptions!$G67,INDEX(Assumptions!$G$67:$L$67,,AT$11)*AT$37)*AT$15</f>
        <v>13938.449195707042</v>
      </c>
      <c r="AU60" s="290" cm="1">
        <f t="array" ref="AU60">IF(AU$11=1,Assumptions!$G67,INDEX(Assumptions!$G$67:$L$67,,AU$11)*AU$37)*AU$15</f>
        <v>14955.573466313872</v>
      </c>
      <c r="AV60" s="290" cm="1">
        <f t="array" ref="AV60">IF(AV$11=1,Assumptions!$G67,INDEX(Assumptions!$G$67:$L$67,,AV$11)*AV$37)*AV$15</f>
        <v>15972.697736920705</v>
      </c>
      <c r="AW60" s="290" cm="1">
        <f t="array" ref="AW60">IF(AW$11=1,Assumptions!$G67,INDEX(Assumptions!$G$67:$L$67,,AW$11)*AW$37)*AW$15</f>
        <v>25082.729847192652</v>
      </c>
      <c r="AX60" s="290" cm="1">
        <f t="array" ref="AX60">IF(AX$11=1,Assumptions!$G67,INDEX(Assumptions!$G$67:$L$67,,AX$11)*AX$37)*AX$15</f>
        <v>28930.27918664382</v>
      </c>
      <c r="AY60" s="290" cm="1">
        <f t="array" ref="AY60">IF(AY$11=1,Assumptions!$G67,INDEX(Assumptions!$G$67:$L$67,,AY$11)*AY$37)*AY$15</f>
        <v>32777.828526094985</v>
      </c>
      <c r="AZ60" s="290" cm="1">
        <f t="array" ref="AZ60">IF(AZ$11=1,Assumptions!$G67,INDEX(Assumptions!$G$67:$L$67,,AZ$11)*AZ$37)*AZ$15</f>
        <v>36625.377865546157</v>
      </c>
      <c r="BA60" s="290" cm="1">
        <f t="array" ref="BA60">IF(BA$11=1,Assumptions!$G67,INDEX(Assumptions!$G$67:$L$67,,BA$11)*BA$37)*BA$15</f>
        <v>40472.927204997322</v>
      </c>
      <c r="BB60" s="290" cm="1">
        <f t="array" ref="BB60">IF(BB$11=1,Assumptions!$G67,INDEX(Assumptions!$G$67:$L$67,,BB$11)*BB$37)*BB$15</f>
        <v>44320.476544448495</v>
      </c>
      <c r="BC60" s="290" cm="1">
        <f t="array" ref="BC60">IF(BC$11=1,Assumptions!$G67,INDEX(Assumptions!$G$67:$L$67,,BC$11)*BC$37)*BC$15</f>
        <v>48168.02588389966</v>
      </c>
      <c r="BD60" s="290" cm="1">
        <f t="array" ref="BD60">IF(BD$11=1,Assumptions!$G67,INDEX(Assumptions!$G$67:$L$67,,BD$11)*BD$37)*BD$15</f>
        <v>52015.575223350817</v>
      </c>
      <c r="BE60" s="290" cm="1">
        <f t="array" ref="BE60">IF(BE$11=1,Assumptions!$G67,INDEX(Assumptions!$G$67:$L$67,,BE$11)*BE$37)*BE$15</f>
        <v>55863.12456280199</v>
      </c>
      <c r="BF60" s="290" cm="1">
        <f t="array" ref="BF60">IF(BF$11=1,Assumptions!$G67,INDEX(Assumptions!$G$67:$L$67,,BF$11)*BF$37)*BF$15</f>
        <v>59710.673902253155</v>
      </c>
      <c r="BG60" s="290" cm="1">
        <f t="array" ref="BG60">IF(BG$11=1,Assumptions!$G67,INDEX(Assumptions!$G$67:$L$67,,BG$11)*BG$37)*BG$15</f>
        <v>63558.223241704341</v>
      </c>
      <c r="BH60" s="290" cm="1">
        <f t="array" ref="BH60">IF(BH$11=1,Assumptions!$G67,INDEX(Assumptions!$G$67:$L$67,,BH$11)*BH$37)*BH$15</f>
        <v>67405.772581155499</v>
      </c>
      <c r="BI60" s="290" cm="1">
        <f t="array" ref="BI60">IF(BI$11=1,Assumptions!$G67,INDEX(Assumptions!$G$67:$L$67,,BI$11)*BI$37)*BI$15</f>
        <v>191019.47507913422</v>
      </c>
      <c r="BJ60" s="290" cm="1">
        <f t="array" ref="BJ60">IF(BJ$11=1,Assumptions!$G67,INDEX(Assumptions!$G$67:$L$67,,BJ$11)*BJ$37)*BJ$15</f>
        <v>214061.55957767056</v>
      </c>
      <c r="BK60" s="290" cm="1">
        <f t="array" ref="BK60">IF(BK$11=1,Assumptions!$G67,INDEX(Assumptions!$G$67:$L$67,,BK$11)*BK$37)*BK$15</f>
        <v>237103.64407620687</v>
      </c>
      <c r="BL60" s="290" cm="1">
        <f t="array" ref="BL60">IF(BL$11=1,Assumptions!$G67,INDEX(Assumptions!$G$67:$L$67,,BL$11)*BL$37)*BL$15</f>
        <v>260145.7285747432</v>
      </c>
      <c r="BM60" s="290" cm="1">
        <f t="array" ref="BM60">IF(BM$11=1,Assumptions!$G67,INDEX(Assumptions!$G$67:$L$67,,BM$11)*BM$37)*BM$15</f>
        <v>283187.81307327957</v>
      </c>
      <c r="BN60" s="290" cm="1">
        <f t="array" ref="BN60">IF(BN$11=1,Assumptions!$G67,INDEX(Assumptions!$G$67:$L$67,,BN$11)*BN$37)*BN$15</f>
        <v>306229.89757181593</v>
      </c>
      <c r="BO60" s="290" cm="1">
        <f t="array" ref="BO60">IF(BO$11=1,Assumptions!$G67,INDEX(Assumptions!$G$67:$L$67,,BO$11)*BO$37)*BO$15</f>
        <v>329271.98207035224</v>
      </c>
      <c r="BP60" s="290" cm="1">
        <f t="array" ref="BP60">IF(BP$11=1,Assumptions!$G67,INDEX(Assumptions!$G$67:$L$67,,BP$11)*BP$37)*BP$15</f>
        <v>352314.06656888861</v>
      </c>
      <c r="BQ60" s="290" cm="1">
        <f t="array" ref="BQ60">IF(BQ$11=1,Assumptions!$G67,INDEX(Assumptions!$G$67:$L$67,,BQ$11)*BQ$37)*BQ$15</f>
        <v>375356.15106742497</v>
      </c>
      <c r="BR60" s="290" cm="1">
        <f t="array" ref="BR60">IF(BR$11=1,Assumptions!$G67,INDEX(Assumptions!$G$67:$L$67,,BR$11)*BR$37)*BR$15</f>
        <v>398398.23556596134</v>
      </c>
      <c r="BS60" s="290" cm="1">
        <f t="array" ref="BS60">IF(BS$11=1,Assumptions!$G67,INDEX(Assumptions!$G$67:$L$67,,BS$11)*BS$37)*BS$15</f>
        <v>421440.32006449753</v>
      </c>
      <c r="BT60" s="290" cm="1">
        <f t="array" ref="BT60">IF(BT$11=1,Assumptions!$G67,INDEX(Assumptions!$G$67:$L$67,,BT$11)*BT$37)*BT$15</f>
        <v>444482.40456303395</v>
      </c>
      <c r="BU60" s="290" cm="1">
        <f t="array" ref="BU60">IF(BU$11=1,Assumptions!$G67,INDEX(Assumptions!$G$67:$L$67,,BU$11)*BU$37)*BU$15</f>
        <v>588755.61424407549</v>
      </c>
      <c r="BV60" s="290" cm="1">
        <f t="array" ref="BV60">IF(BV$11=1,Assumptions!$G67,INDEX(Assumptions!$G$67:$L$67,,BV$11)*BV$37)*BV$15</f>
        <v>645357.0799149063</v>
      </c>
      <c r="BW60" s="290" cm="1">
        <f t="array" ref="BW60">IF(BW$11=1,Assumptions!$G67,INDEX(Assumptions!$G$67:$L$67,,BW$11)*BW$37)*BW$15</f>
        <v>701958.5455857371</v>
      </c>
      <c r="BX60" s="290" cm="1">
        <f t="array" ref="BX60">IF(BX$11=1,Assumptions!$G67,INDEX(Assumptions!$G$67:$L$67,,BX$11)*BX$37)*BX$15</f>
        <v>758560.0112565679</v>
      </c>
      <c r="BY60" s="290" cm="1">
        <f t="array" ref="BY60">IF(BY$11=1,Assumptions!$G67,INDEX(Assumptions!$G$67:$L$67,,BY$11)*BY$37)*BY$15</f>
        <v>815161.47692739859</v>
      </c>
      <c r="BZ60" s="290" cm="1">
        <f t="array" ref="BZ60">IF(BZ$11=1,Assumptions!$G67,INDEX(Assumptions!$G$67:$L$67,,BZ$11)*BZ$37)*BZ$15</f>
        <v>871762.94259822927</v>
      </c>
      <c r="CA60" s="290" cm="1">
        <f t="array" ref="CA60">IF(CA$11=1,Assumptions!$G67,INDEX(Assumptions!$G$67:$L$67,,CA$11)*CA$37)*CA$15</f>
        <v>928364.40826905996</v>
      </c>
      <c r="CB60" s="290" cm="1">
        <f t="array" ref="CB60">IF(CB$11=1,Assumptions!$G67,INDEX(Assumptions!$G$67:$L$67,,CB$11)*CB$37)*CB$15</f>
        <v>984965.87393989088</v>
      </c>
      <c r="CC60" s="290" cm="1">
        <f t="array" ref="CC60">IF(CC$11=1,Assumptions!$G67,INDEX(Assumptions!$G$67:$L$67,,CC$11)*CC$37)*CC$15</f>
        <v>1041567.3396107217</v>
      </c>
      <c r="CD60" s="290" cm="1">
        <f t="array" ref="CD60">IF(CD$11=1,Assumptions!$G67,INDEX(Assumptions!$G$67:$L$67,,CD$11)*CD$37)*CD$15</f>
        <v>1098168.8052815525</v>
      </c>
      <c r="CE60" s="290" cm="1">
        <f t="array" ref="CE60">IF(CE$11=1,Assumptions!$G67,INDEX(Assumptions!$G$67:$L$67,,CE$11)*CE$37)*CE$15</f>
        <v>1154770.2709523828</v>
      </c>
      <c r="CF60" s="290" cm="1">
        <f t="array" ref="CF60">IF(CF$11=1,Assumptions!$G67,INDEX(Assumptions!$G$67:$L$67,,CF$11)*CF$37)*CF$15</f>
        <v>1211371.7366232139</v>
      </c>
    </row>
    <row r="61" spans="4:84" outlineLevel="1">
      <c r="E61" s="64" t="str">
        <f>Assumptions!E68</f>
        <v>Administrative</v>
      </c>
      <c r="L61" s="167"/>
      <c r="M61" s="290" cm="1">
        <f t="array" ref="M61">IF(M$11=1,Assumptions!$G68,INDEX(Assumptions!$G$67:$L$67,,M$11)*M$37)*M$15</f>
        <v>0</v>
      </c>
      <c r="N61" s="290" cm="1">
        <f t="array" ref="N61">IF(N$11=1,Assumptions!$G68,INDEX(Assumptions!$G$67:$L$67,,N$11)*N$37)*N$15</f>
        <v>0</v>
      </c>
      <c r="O61" s="290" cm="1">
        <f t="array" ref="O61">IF(O$11=1,Assumptions!$G68,INDEX(Assumptions!$G$67:$L$67,,O$11)*O$37)*O$15</f>
        <v>0</v>
      </c>
      <c r="P61" s="290" cm="1">
        <f t="array" ref="P61">IF(P$11=1,Assumptions!$G68,INDEX(Assumptions!$G$67:$L$67,,P$11)*P$37)*P$15</f>
        <v>0</v>
      </c>
      <c r="Q61" s="290" cm="1">
        <f t="array" ref="Q61">IF(Q$11=1,Assumptions!$G68,INDEX(Assumptions!$G$67:$L$67,,Q$11)*Q$37)*Q$15</f>
        <v>0</v>
      </c>
      <c r="R61" s="290" cm="1">
        <f t="array" ref="R61">IF(R$11=1,Assumptions!$G68,INDEX(Assumptions!$G$67:$L$67,,R$11)*R$37)*R$15</f>
        <v>1000</v>
      </c>
      <c r="S61" s="290" cm="1">
        <f t="array" ref="S61">IF(S$11=1,Assumptions!$G68,INDEX(Assumptions!$G$67:$L$67,,S$11)*S$37)*S$15</f>
        <v>1000</v>
      </c>
      <c r="T61" s="290" cm="1">
        <f t="array" ref="T61">IF(T$11=1,Assumptions!$G68,INDEX(Assumptions!$G$67:$L$67,,T$11)*T$37)*T$15</f>
        <v>1000</v>
      </c>
      <c r="U61" s="290" cm="1">
        <f t="array" ref="U61">IF(U$11=1,Assumptions!$G68,INDEX(Assumptions!$G$67:$L$67,,U$11)*U$37)*U$15</f>
        <v>1000</v>
      </c>
      <c r="V61" s="290" cm="1">
        <f t="array" ref="V61">IF(V$11=1,Assumptions!$G68,INDEX(Assumptions!$G$67:$L$67,,V$11)*V$37)*V$15</f>
        <v>1000</v>
      </c>
      <c r="W61" s="290" cm="1">
        <f t="array" ref="W61">IF(W$11=1,Assumptions!$G68,INDEX(Assumptions!$G$67:$L$67,,W$11)*W$37)*W$15</f>
        <v>1000</v>
      </c>
      <c r="X61" s="290" cm="1">
        <f t="array" ref="X61">IF(X$11=1,Assumptions!$G68,INDEX(Assumptions!$G$67:$L$67,,X$11)*X$37)*X$15</f>
        <v>1000</v>
      </c>
      <c r="Y61" s="290" cm="1">
        <f t="array" ref="Y61">IF(Y$11=1,Assumptions!$G68,INDEX(Assumptions!$G$67:$L$67,,Y$11)*Y$37)*Y$15</f>
        <v>319.95764166513845</v>
      </c>
      <c r="Z61" s="290" cm="1">
        <f t="array" ref="Z61">IF(Z$11=1,Assumptions!$G68,INDEX(Assumptions!$G$67:$L$67,,Z$11)*Z$37)*Z$15</f>
        <v>427.58660168714471</v>
      </c>
      <c r="AA61" s="290" cm="1">
        <f t="array" ref="AA61">IF(AA$11=1,Assumptions!$G68,INDEX(Assumptions!$G$67:$L$67,,AA$11)*AA$37)*AA$15</f>
        <v>535.21556170915096</v>
      </c>
      <c r="AB61" s="290" cm="1">
        <f t="array" ref="AB61">IF(AB$11=1,Assumptions!$G68,INDEX(Assumptions!$G$67:$L$67,,AB$11)*AB$37)*AB$15</f>
        <v>642.8445217311571</v>
      </c>
      <c r="AC61" s="290" cm="1">
        <f t="array" ref="AC61">IF(AC$11=1,Assumptions!$G68,INDEX(Assumptions!$G$67:$L$67,,AC$11)*AC$37)*AC$15</f>
        <v>750.47348175316324</v>
      </c>
      <c r="AD61" s="290" cm="1">
        <f t="array" ref="AD61">IF(AD$11=1,Assumptions!$G68,INDEX(Assumptions!$G$67:$L$67,,AD$11)*AD$37)*AD$15</f>
        <v>911.02244177516957</v>
      </c>
      <c r="AE61" s="290" cm="1">
        <f t="array" ref="AE61">IF(AE$11=1,Assumptions!$G68,INDEX(Assumptions!$G$67:$L$67,,AE$11)*AE$37)*AE$15</f>
        <v>1024.5314017971759</v>
      </c>
      <c r="AF61" s="290" cm="1">
        <f t="array" ref="AF61">IF(AF$11=1,Assumptions!$G68,INDEX(Assumptions!$G$67:$L$67,,AF$11)*AF$37)*AF$15</f>
        <v>1138.0403618191822</v>
      </c>
      <c r="AG61" s="290" cm="1">
        <f t="array" ref="AG61">IF(AG$11=1,Assumptions!$G68,INDEX(Assumptions!$G$67:$L$67,,AG$11)*AG$37)*AG$15</f>
        <v>1251.5493218411884</v>
      </c>
      <c r="AH61" s="290" cm="1">
        <f t="array" ref="AH61">IF(AH$11=1,Assumptions!$G68,INDEX(Assumptions!$G$67:$L$67,,AH$11)*AH$37)*AH$15</f>
        <v>1365.0582818631947</v>
      </c>
      <c r="AI61" s="290" cm="1">
        <f t="array" ref="AI61">IF(AI$11=1,Assumptions!$G68,INDEX(Assumptions!$G$67:$L$67,,AI$11)*AI$37)*AI$15</f>
        <v>1478.5672418852012</v>
      </c>
      <c r="AJ61" s="290" cm="1">
        <f t="array" ref="AJ61">IF(AJ$11=1,Assumptions!$G68,INDEX(Assumptions!$G$67:$L$67,,AJ$11)*AJ$37)*AJ$15</f>
        <v>1592.0762019072072</v>
      </c>
      <c r="AK61" s="290" cm="1">
        <f t="array" ref="AK61">IF(AK$11=1,Assumptions!$G68,INDEX(Assumptions!$G$67:$L$67,,AK$11)*AK$37)*AK$15</f>
        <v>4784.3307602455634</v>
      </c>
      <c r="AL61" s="290" cm="1">
        <f t="array" ref="AL61">IF(AL$11=1,Assumptions!$G68,INDEX(Assumptions!$G$67:$L$67,,AL$11)*AL$37)*AL$15</f>
        <v>5801.4550308523949</v>
      </c>
      <c r="AM61" s="290" cm="1">
        <f t="array" ref="AM61">IF(AM$11=1,Assumptions!$G68,INDEX(Assumptions!$G$67:$L$67,,AM$11)*AM$37)*AM$15</f>
        <v>6818.5793014592246</v>
      </c>
      <c r="AN61" s="290" cm="1">
        <f t="array" ref="AN61">IF(AN$11=1,Assumptions!$G68,INDEX(Assumptions!$G$67:$L$67,,AN$11)*AN$37)*AN$15</f>
        <v>7835.703572066056</v>
      </c>
      <c r="AO61" s="290" cm="1">
        <f t="array" ref="AO61">IF(AO$11=1,Assumptions!$G68,INDEX(Assumptions!$G$67:$L$67,,AO$11)*AO$37)*AO$15</f>
        <v>8852.8278426728866</v>
      </c>
      <c r="AP61" s="290" cm="1">
        <f t="array" ref="AP61">IF(AP$11=1,Assumptions!$G68,INDEX(Assumptions!$G$67:$L$67,,AP$11)*AP$37)*AP$15</f>
        <v>9869.9521132797181</v>
      </c>
      <c r="AQ61" s="290" cm="1">
        <f t="array" ref="AQ61">IF(AQ$11=1,Assumptions!$G68,INDEX(Assumptions!$G$67:$L$67,,AQ$11)*AQ$37)*AQ$15</f>
        <v>10887.076383886548</v>
      </c>
      <c r="AR61" s="290" cm="1">
        <f t="array" ref="AR61">IF(AR$11=1,Assumptions!$G68,INDEX(Assumptions!$G$67:$L$67,,AR$11)*AR$37)*AR$15</f>
        <v>11904.200654493379</v>
      </c>
      <c r="AS61" s="290" cm="1">
        <f t="array" ref="AS61">IF(AS$11=1,Assumptions!$G68,INDEX(Assumptions!$G$67:$L$67,,AS$11)*AS$37)*AS$15</f>
        <v>12921.324925100211</v>
      </c>
      <c r="AT61" s="290" cm="1">
        <f t="array" ref="AT61">IF(AT$11=1,Assumptions!$G68,INDEX(Assumptions!$G$67:$L$67,,AT$11)*AT$37)*AT$15</f>
        <v>13938.449195707042</v>
      </c>
      <c r="AU61" s="290" cm="1">
        <f t="array" ref="AU61">IF(AU$11=1,Assumptions!$G68,INDEX(Assumptions!$G$67:$L$67,,AU$11)*AU$37)*AU$15</f>
        <v>14955.573466313872</v>
      </c>
      <c r="AV61" s="290" cm="1">
        <f t="array" ref="AV61">IF(AV$11=1,Assumptions!$G68,INDEX(Assumptions!$G$67:$L$67,,AV$11)*AV$37)*AV$15</f>
        <v>15972.697736920705</v>
      </c>
      <c r="AW61" s="290" cm="1">
        <f t="array" ref="AW61">IF(AW$11=1,Assumptions!$G68,INDEX(Assumptions!$G$67:$L$67,,AW$11)*AW$37)*AW$15</f>
        <v>25082.729847192652</v>
      </c>
      <c r="AX61" s="290" cm="1">
        <f t="array" ref="AX61">IF(AX$11=1,Assumptions!$G68,INDEX(Assumptions!$G$67:$L$67,,AX$11)*AX$37)*AX$15</f>
        <v>28930.27918664382</v>
      </c>
      <c r="AY61" s="290" cm="1">
        <f t="array" ref="AY61">IF(AY$11=1,Assumptions!$G68,INDEX(Assumptions!$G$67:$L$67,,AY$11)*AY$37)*AY$15</f>
        <v>32777.828526094985</v>
      </c>
      <c r="AZ61" s="290" cm="1">
        <f t="array" ref="AZ61">IF(AZ$11=1,Assumptions!$G68,INDEX(Assumptions!$G$67:$L$67,,AZ$11)*AZ$37)*AZ$15</f>
        <v>36625.377865546157</v>
      </c>
      <c r="BA61" s="290" cm="1">
        <f t="array" ref="BA61">IF(BA$11=1,Assumptions!$G68,INDEX(Assumptions!$G$67:$L$67,,BA$11)*BA$37)*BA$15</f>
        <v>40472.927204997322</v>
      </c>
      <c r="BB61" s="290" cm="1">
        <f t="array" ref="BB61">IF(BB$11=1,Assumptions!$G68,INDEX(Assumptions!$G$67:$L$67,,BB$11)*BB$37)*BB$15</f>
        <v>44320.476544448495</v>
      </c>
      <c r="BC61" s="290" cm="1">
        <f t="array" ref="BC61">IF(BC$11=1,Assumptions!$G68,INDEX(Assumptions!$G$67:$L$67,,BC$11)*BC$37)*BC$15</f>
        <v>48168.02588389966</v>
      </c>
      <c r="BD61" s="290" cm="1">
        <f t="array" ref="BD61">IF(BD$11=1,Assumptions!$G68,INDEX(Assumptions!$G$67:$L$67,,BD$11)*BD$37)*BD$15</f>
        <v>52015.575223350817</v>
      </c>
      <c r="BE61" s="290" cm="1">
        <f t="array" ref="BE61">IF(BE$11=1,Assumptions!$G68,INDEX(Assumptions!$G$67:$L$67,,BE$11)*BE$37)*BE$15</f>
        <v>55863.12456280199</v>
      </c>
      <c r="BF61" s="290" cm="1">
        <f t="array" ref="BF61">IF(BF$11=1,Assumptions!$G68,INDEX(Assumptions!$G$67:$L$67,,BF$11)*BF$37)*BF$15</f>
        <v>59710.673902253155</v>
      </c>
      <c r="BG61" s="290" cm="1">
        <f t="array" ref="BG61">IF(BG$11=1,Assumptions!$G68,INDEX(Assumptions!$G$67:$L$67,,BG$11)*BG$37)*BG$15</f>
        <v>63558.223241704341</v>
      </c>
      <c r="BH61" s="290" cm="1">
        <f t="array" ref="BH61">IF(BH$11=1,Assumptions!$G68,INDEX(Assumptions!$G$67:$L$67,,BH$11)*BH$37)*BH$15</f>
        <v>67405.772581155499</v>
      </c>
      <c r="BI61" s="290" cm="1">
        <f t="array" ref="BI61">IF(BI$11=1,Assumptions!$G68,INDEX(Assumptions!$G$67:$L$67,,BI$11)*BI$37)*BI$15</f>
        <v>191019.47507913422</v>
      </c>
      <c r="BJ61" s="290" cm="1">
        <f t="array" ref="BJ61">IF(BJ$11=1,Assumptions!$G68,INDEX(Assumptions!$G$67:$L$67,,BJ$11)*BJ$37)*BJ$15</f>
        <v>214061.55957767056</v>
      </c>
      <c r="BK61" s="290" cm="1">
        <f t="array" ref="BK61">IF(BK$11=1,Assumptions!$G68,INDEX(Assumptions!$G$67:$L$67,,BK$11)*BK$37)*BK$15</f>
        <v>237103.64407620687</v>
      </c>
      <c r="BL61" s="290" cm="1">
        <f t="array" ref="BL61">IF(BL$11=1,Assumptions!$G68,INDEX(Assumptions!$G$67:$L$67,,BL$11)*BL$37)*BL$15</f>
        <v>260145.7285747432</v>
      </c>
      <c r="BM61" s="290" cm="1">
        <f t="array" ref="BM61">IF(BM$11=1,Assumptions!$G68,INDEX(Assumptions!$G$67:$L$67,,BM$11)*BM$37)*BM$15</f>
        <v>283187.81307327957</v>
      </c>
      <c r="BN61" s="290" cm="1">
        <f t="array" ref="BN61">IF(BN$11=1,Assumptions!$G68,INDEX(Assumptions!$G$67:$L$67,,BN$11)*BN$37)*BN$15</f>
        <v>306229.89757181593</v>
      </c>
      <c r="BO61" s="290" cm="1">
        <f t="array" ref="BO61">IF(BO$11=1,Assumptions!$G68,INDEX(Assumptions!$G$67:$L$67,,BO$11)*BO$37)*BO$15</f>
        <v>329271.98207035224</v>
      </c>
      <c r="BP61" s="290" cm="1">
        <f t="array" ref="BP61">IF(BP$11=1,Assumptions!$G68,INDEX(Assumptions!$G$67:$L$67,,BP$11)*BP$37)*BP$15</f>
        <v>352314.06656888861</v>
      </c>
      <c r="BQ61" s="290" cm="1">
        <f t="array" ref="BQ61">IF(BQ$11=1,Assumptions!$G68,INDEX(Assumptions!$G$67:$L$67,,BQ$11)*BQ$37)*BQ$15</f>
        <v>375356.15106742497</v>
      </c>
      <c r="BR61" s="290" cm="1">
        <f t="array" ref="BR61">IF(BR$11=1,Assumptions!$G68,INDEX(Assumptions!$G$67:$L$67,,BR$11)*BR$37)*BR$15</f>
        <v>398398.23556596134</v>
      </c>
      <c r="BS61" s="290" cm="1">
        <f t="array" ref="BS61">IF(BS$11=1,Assumptions!$G68,INDEX(Assumptions!$G$67:$L$67,,BS$11)*BS$37)*BS$15</f>
        <v>421440.32006449753</v>
      </c>
      <c r="BT61" s="290" cm="1">
        <f t="array" ref="BT61">IF(BT$11=1,Assumptions!$G68,INDEX(Assumptions!$G$67:$L$67,,BT$11)*BT$37)*BT$15</f>
        <v>444482.40456303395</v>
      </c>
      <c r="BU61" s="290" cm="1">
        <f t="array" ref="BU61">IF(BU$11=1,Assumptions!$G68,INDEX(Assumptions!$G$67:$L$67,,BU$11)*BU$37)*BU$15</f>
        <v>588755.61424407549</v>
      </c>
      <c r="BV61" s="290" cm="1">
        <f t="array" ref="BV61">IF(BV$11=1,Assumptions!$G68,INDEX(Assumptions!$G$67:$L$67,,BV$11)*BV$37)*BV$15</f>
        <v>645357.0799149063</v>
      </c>
      <c r="BW61" s="290" cm="1">
        <f t="array" ref="BW61">IF(BW$11=1,Assumptions!$G68,INDEX(Assumptions!$G$67:$L$67,,BW$11)*BW$37)*BW$15</f>
        <v>701958.5455857371</v>
      </c>
      <c r="BX61" s="290" cm="1">
        <f t="array" ref="BX61">IF(BX$11=1,Assumptions!$G68,INDEX(Assumptions!$G$67:$L$67,,BX$11)*BX$37)*BX$15</f>
        <v>758560.0112565679</v>
      </c>
      <c r="BY61" s="290" cm="1">
        <f t="array" ref="BY61">IF(BY$11=1,Assumptions!$G68,INDEX(Assumptions!$G$67:$L$67,,BY$11)*BY$37)*BY$15</f>
        <v>815161.47692739859</v>
      </c>
      <c r="BZ61" s="290" cm="1">
        <f t="array" ref="BZ61">IF(BZ$11=1,Assumptions!$G68,INDEX(Assumptions!$G$67:$L$67,,BZ$11)*BZ$37)*BZ$15</f>
        <v>871762.94259822927</v>
      </c>
      <c r="CA61" s="290" cm="1">
        <f t="array" ref="CA61">IF(CA$11=1,Assumptions!$G68,INDEX(Assumptions!$G$67:$L$67,,CA$11)*CA$37)*CA$15</f>
        <v>928364.40826905996</v>
      </c>
      <c r="CB61" s="290" cm="1">
        <f t="array" ref="CB61">IF(CB$11=1,Assumptions!$G68,INDEX(Assumptions!$G$67:$L$67,,CB$11)*CB$37)*CB$15</f>
        <v>984965.87393989088</v>
      </c>
      <c r="CC61" s="290" cm="1">
        <f t="array" ref="CC61">IF(CC$11=1,Assumptions!$G68,INDEX(Assumptions!$G$67:$L$67,,CC$11)*CC$37)*CC$15</f>
        <v>1041567.3396107217</v>
      </c>
      <c r="CD61" s="290" cm="1">
        <f t="array" ref="CD61">IF(CD$11=1,Assumptions!$G68,INDEX(Assumptions!$G$67:$L$67,,CD$11)*CD$37)*CD$15</f>
        <v>1098168.8052815525</v>
      </c>
      <c r="CE61" s="290" cm="1">
        <f t="array" ref="CE61">IF(CE$11=1,Assumptions!$G68,INDEX(Assumptions!$G$67:$L$67,,CE$11)*CE$37)*CE$15</f>
        <v>1154770.2709523828</v>
      </c>
      <c r="CF61" s="290" cm="1">
        <f t="array" ref="CF61">IF(CF$11=1,Assumptions!$G68,INDEX(Assumptions!$G$67:$L$67,,CF$11)*CF$37)*CF$15</f>
        <v>1211371.7366232139</v>
      </c>
    </row>
    <row r="62" spans="4:84" outlineLevel="1">
      <c r="E62" s="64" t="str">
        <f>Assumptions!E69</f>
        <v>Advertising &amp; Marketing</v>
      </c>
      <c r="L62" s="167"/>
      <c r="M62" s="312">
        <f>'Revenue Assumptions'!N21</f>
        <v>0</v>
      </c>
      <c r="N62" s="312">
        <f>'Revenue Assumptions'!O21</f>
        <v>0</v>
      </c>
      <c r="O62" s="312">
        <f>'Revenue Assumptions'!P21</f>
        <v>0</v>
      </c>
      <c r="P62" s="312">
        <f>'Revenue Assumptions'!Q21</f>
        <v>0</v>
      </c>
      <c r="Q62" s="312">
        <f>'Revenue Assumptions'!R21</f>
        <v>0</v>
      </c>
      <c r="R62" s="312">
        <f>'Revenue Assumptions'!S21</f>
        <v>15000</v>
      </c>
      <c r="S62" s="312">
        <f>'Revenue Assumptions'!T21</f>
        <v>15000</v>
      </c>
      <c r="T62" s="312">
        <f>'Revenue Assumptions'!U21</f>
        <v>15000</v>
      </c>
      <c r="U62" s="312">
        <f>'Revenue Assumptions'!V21</f>
        <v>15000</v>
      </c>
      <c r="V62" s="312">
        <f>'Revenue Assumptions'!W21</f>
        <v>15000</v>
      </c>
      <c r="W62" s="312">
        <f>'Revenue Assumptions'!X21</f>
        <v>15000</v>
      </c>
      <c r="X62" s="312">
        <f>'Revenue Assumptions'!Y21</f>
        <v>15000</v>
      </c>
      <c r="Y62" s="312">
        <f>'Revenue Assumptions'!Z21</f>
        <v>30000</v>
      </c>
      <c r="Z62" s="312">
        <f>'Revenue Assumptions'!AA21</f>
        <v>30000</v>
      </c>
      <c r="AA62" s="312">
        <f>'Revenue Assumptions'!AB21</f>
        <v>30000</v>
      </c>
      <c r="AB62" s="312">
        <f>'Revenue Assumptions'!AC21</f>
        <v>30000</v>
      </c>
      <c r="AC62" s="312">
        <f>'Revenue Assumptions'!AD21</f>
        <v>30000</v>
      </c>
      <c r="AD62" s="312">
        <f>'Revenue Assumptions'!AE21</f>
        <v>30000</v>
      </c>
      <c r="AE62" s="312">
        <f>'Revenue Assumptions'!AF21</f>
        <v>30000</v>
      </c>
      <c r="AF62" s="312">
        <f>'Revenue Assumptions'!AG21</f>
        <v>30000</v>
      </c>
      <c r="AG62" s="312">
        <f>'Revenue Assumptions'!AH21</f>
        <v>30000</v>
      </c>
      <c r="AH62" s="312">
        <f>'Revenue Assumptions'!AI21</f>
        <v>30000</v>
      </c>
      <c r="AI62" s="312">
        <f>'Revenue Assumptions'!AJ21</f>
        <v>30000</v>
      </c>
      <c r="AJ62" s="312">
        <f>'Revenue Assumptions'!AK21</f>
        <v>30000</v>
      </c>
      <c r="AK62" s="312">
        <f>'Revenue Assumptions'!AL21</f>
        <v>60000</v>
      </c>
      <c r="AL62" s="312">
        <f>'Revenue Assumptions'!AM21</f>
        <v>60000</v>
      </c>
      <c r="AM62" s="312">
        <f>'Revenue Assumptions'!AN21</f>
        <v>60000</v>
      </c>
      <c r="AN62" s="312">
        <f>'Revenue Assumptions'!AO21</f>
        <v>60000</v>
      </c>
      <c r="AO62" s="312">
        <f>'Revenue Assumptions'!AP21</f>
        <v>60000</v>
      </c>
      <c r="AP62" s="312">
        <f>'Revenue Assumptions'!AQ21</f>
        <v>60000</v>
      </c>
      <c r="AQ62" s="312">
        <f>'Revenue Assumptions'!AR21</f>
        <v>60000</v>
      </c>
      <c r="AR62" s="312">
        <f>'Revenue Assumptions'!AS21</f>
        <v>60000</v>
      </c>
      <c r="AS62" s="312">
        <f>'Revenue Assumptions'!AT21</f>
        <v>60000</v>
      </c>
      <c r="AT62" s="312">
        <f>'Revenue Assumptions'!AU21</f>
        <v>60000</v>
      </c>
      <c r="AU62" s="312">
        <f>'Revenue Assumptions'!AV21</f>
        <v>60000</v>
      </c>
      <c r="AV62" s="312">
        <f>'Revenue Assumptions'!AW21</f>
        <v>60000</v>
      </c>
      <c r="AW62" s="312">
        <f>'Revenue Assumptions'!AX21</f>
        <v>120000</v>
      </c>
      <c r="AX62" s="312">
        <f>'Revenue Assumptions'!AY21</f>
        <v>120000</v>
      </c>
      <c r="AY62" s="312">
        <f>'Revenue Assumptions'!AZ21</f>
        <v>120000</v>
      </c>
      <c r="AZ62" s="312">
        <f>'Revenue Assumptions'!BA21</f>
        <v>120000</v>
      </c>
      <c r="BA62" s="312">
        <f>'Revenue Assumptions'!BB21</f>
        <v>120000</v>
      </c>
      <c r="BB62" s="312">
        <f>'Revenue Assumptions'!BC21</f>
        <v>120000</v>
      </c>
      <c r="BC62" s="312">
        <f>'Revenue Assumptions'!BD21</f>
        <v>120000</v>
      </c>
      <c r="BD62" s="312">
        <f>'Revenue Assumptions'!BE21</f>
        <v>120000</v>
      </c>
      <c r="BE62" s="312">
        <f>'Revenue Assumptions'!BF21</f>
        <v>120000</v>
      </c>
      <c r="BF62" s="312">
        <f>'Revenue Assumptions'!BG21</f>
        <v>120000</v>
      </c>
      <c r="BG62" s="312">
        <f>'Revenue Assumptions'!BH21</f>
        <v>120000</v>
      </c>
      <c r="BH62" s="312">
        <f>'Revenue Assumptions'!BI21</f>
        <v>120000</v>
      </c>
      <c r="BI62" s="312">
        <f>'Revenue Assumptions'!BJ21</f>
        <v>240000</v>
      </c>
      <c r="BJ62" s="312">
        <f>'Revenue Assumptions'!BK21</f>
        <v>240000</v>
      </c>
      <c r="BK62" s="312">
        <f>'Revenue Assumptions'!BL21</f>
        <v>240000</v>
      </c>
      <c r="BL62" s="312">
        <f>'Revenue Assumptions'!BM21</f>
        <v>240000</v>
      </c>
      <c r="BM62" s="312">
        <f>'Revenue Assumptions'!BN21</f>
        <v>240000</v>
      </c>
      <c r="BN62" s="312">
        <f>'Revenue Assumptions'!BO21</f>
        <v>240000</v>
      </c>
      <c r="BO62" s="312">
        <f>'Revenue Assumptions'!BP21</f>
        <v>240000</v>
      </c>
      <c r="BP62" s="312">
        <f>'Revenue Assumptions'!BQ21</f>
        <v>240000</v>
      </c>
      <c r="BQ62" s="312">
        <f>'Revenue Assumptions'!BR21</f>
        <v>240000</v>
      </c>
      <c r="BR62" s="312">
        <f>'Revenue Assumptions'!BS21</f>
        <v>240000</v>
      </c>
      <c r="BS62" s="312">
        <f>'Revenue Assumptions'!BT21</f>
        <v>240000</v>
      </c>
      <c r="BT62" s="312">
        <f>'Revenue Assumptions'!BU21</f>
        <v>240000</v>
      </c>
      <c r="BU62" s="312">
        <f>'Revenue Assumptions'!BV21</f>
        <v>480000</v>
      </c>
      <c r="BV62" s="312">
        <f>'Revenue Assumptions'!BW21</f>
        <v>480000</v>
      </c>
      <c r="BW62" s="312">
        <f>'Revenue Assumptions'!BX21</f>
        <v>480000</v>
      </c>
      <c r="BX62" s="312">
        <f>'Revenue Assumptions'!BY21</f>
        <v>480000</v>
      </c>
      <c r="BY62" s="312">
        <f>'Revenue Assumptions'!BZ21</f>
        <v>480000</v>
      </c>
      <c r="BZ62" s="312">
        <f>'Revenue Assumptions'!CA21</f>
        <v>480000</v>
      </c>
      <c r="CA62" s="312">
        <f>'Revenue Assumptions'!CB21</f>
        <v>480000</v>
      </c>
      <c r="CB62" s="312">
        <f>'Revenue Assumptions'!CC21</f>
        <v>480000</v>
      </c>
      <c r="CC62" s="312">
        <f>'Revenue Assumptions'!CD21</f>
        <v>480000</v>
      </c>
      <c r="CD62" s="312">
        <f>'Revenue Assumptions'!CE21</f>
        <v>480000</v>
      </c>
      <c r="CE62" s="312">
        <f>'Revenue Assumptions'!CF21</f>
        <v>480000</v>
      </c>
      <c r="CF62" s="312">
        <f>'Revenue Assumptions'!CG21</f>
        <v>480000</v>
      </c>
    </row>
    <row r="63" spans="4:84" outlineLevel="1">
      <c r="E63" s="64" t="str">
        <f>Assumptions!E70</f>
        <v>Business Insurance</v>
      </c>
      <c r="L63" s="167"/>
      <c r="M63" s="290" cm="1">
        <f t="array" ref="M63">IF(M$11=1,Assumptions!$G70,INDEX(Assumptions!$G$67:$L$67,,M$11)*M$37)*M$15</f>
        <v>0</v>
      </c>
      <c r="N63" s="290" cm="1">
        <f t="array" ref="N63">IF(N$11=1,Assumptions!$G70,INDEX(Assumptions!$G$67:$L$67,,N$11)*N$37)*N$15</f>
        <v>0</v>
      </c>
      <c r="O63" s="290" cm="1">
        <f t="array" ref="O63">IF(O$11=1,Assumptions!$G70,INDEX(Assumptions!$G$67:$L$67,,O$11)*O$37)*O$15</f>
        <v>0</v>
      </c>
      <c r="P63" s="290" cm="1">
        <f t="array" ref="P63">IF(P$11=1,Assumptions!$G70,INDEX(Assumptions!$G$67:$L$67,,P$11)*P$37)*P$15</f>
        <v>0</v>
      </c>
      <c r="Q63" s="290" cm="1">
        <f t="array" ref="Q63">IF(Q$11=1,Assumptions!$G70,INDEX(Assumptions!$G$67:$L$67,,Q$11)*Q$37)*Q$15</f>
        <v>0</v>
      </c>
      <c r="R63" s="290" cm="1">
        <f t="array" ref="R63">IF(R$11=1,Assumptions!$G70,INDEX(Assumptions!$G$67:$L$67,,R$11)*R$37)*R$15</f>
        <v>800</v>
      </c>
      <c r="S63" s="290" cm="1">
        <f t="array" ref="S63">IF(S$11=1,Assumptions!$G70,INDEX(Assumptions!$G$67:$L$67,,S$11)*S$37)*S$15</f>
        <v>800</v>
      </c>
      <c r="T63" s="290" cm="1">
        <f t="array" ref="T63">IF(T$11=1,Assumptions!$G70,INDEX(Assumptions!$G$67:$L$67,,T$11)*T$37)*T$15</f>
        <v>800</v>
      </c>
      <c r="U63" s="290" cm="1">
        <f t="array" ref="U63">IF(U$11=1,Assumptions!$G70,INDEX(Assumptions!$G$67:$L$67,,U$11)*U$37)*U$15</f>
        <v>800</v>
      </c>
      <c r="V63" s="290" cm="1">
        <f t="array" ref="V63">IF(V$11=1,Assumptions!$G70,INDEX(Assumptions!$G$67:$L$67,,V$11)*V$37)*V$15</f>
        <v>800</v>
      </c>
      <c r="W63" s="290" cm="1">
        <f t="array" ref="W63">IF(W$11=1,Assumptions!$G70,INDEX(Assumptions!$G$67:$L$67,,W$11)*W$37)*W$15</f>
        <v>800</v>
      </c>
      <c r="X63" s="290" cm="1">
        <f t="array" ref="X63">IF(X$11=1,Assumptions!$G70,INDEX(Assumptions!$G$67:$L$67,,X$11)*X$37)*X$15</f>
        <v>800</v>
      </c>
      <c r="Y63" s="290" cm="1">
        <f t="array" ref="Y63">IF(Y$11=1,Assumptions!$G70,INDEX(Assumptions!$G$67:$L$67,,Y$11)*Y$37)*Y$15</f>
        <v>319.95764166513845</v>
      </c>
      <c r="Z63" s="290" cm="1">
        <f t="array" ref="Z63">IF(Z$11=1,Assumptions!$G70,INDEX(Assumptions!$G$67:$L$67,,Z$11)*Z$37)*Z$15</f>
        <v>427.58660168714471</v>
      </c>
      <c r="AA63" s="290" cm="1">
        <f t="array" ref="AA63">IF(AA$11=1,Assumptions!$G70,INDEX(Assumptions!$G$67:$L$67,,AA$11)*AA$37)*AA$15</f>
        <v>535.21556170915096</v>
      </c>
      <c r="AB63" s="290" cm="1">
        <f t="array" ref="AB63">IF(AB$11=1,Assumptions!$G70,INDEX(Assumptions!$G$67:$L$67,,AB$11)*AB$37)*AB$15</f>
        <v>642.8445217311571</v>
      </c>
      <c r="AC63" s="290" cm="1">
        <f t="array" ref="AC63">IF(AC$11=1,Assumptions!$G70,INDEX(Assumptions!$G$67:$L$67,,AC$11)*AC$37)*AC$15</f>
        <v>750.47348175316324</v>
      </c>
      <c r="AD63" s="290" cm="1">
        <f t="array" ref="AD63">IF(AD$11=1,Assumptions!$G70,INDEX(Assumptions!$G$67:$L$67,,AD$11)*AD$37)*AD$15</f>
        <v>911.02244177516957</v>
      </c>
      <c r="AE63" s="290" cm="1">
        <f t="array" ref="AE63">IF(AE$11=1,Assumptions!$G70,INDEX(Assumptions!$G$67:$L$67,,AE$11)*AE$37)*AE$15</f>
        <v>1024.5314017971759</v>
      </c>
      <c r="AF63" s="290" cm="1">
        <f t="array" ref="AF63">IF(AF$11=1,Assumptions!$G70,INDEX(Assumptions!$G$67:$L$67,,AF$11)*AF$37)*AF$15</f>
        <v>1138.0403618191822</v>
      </c>
      <c r="AG63" s="290" cm="1">
        <f t="array" ref="AG63">IF(AG$11=1,Assumptions!$G70,INDEX(Assumptions!$G$67:$L$67,,AG$11)*AG$37)*AG$15</f>
        <v>1251.5493218411884</v>
      </c>
      <c r="AH63" s="290" cm="1">
        <f t="array" ref="AH63">IF(AH$11=1,Assumptions!$G70,INDEX(Assumptions!$G$67:$L$67,,AH$11)*AH$37)*AH$15</f>
        <v>1365.0582818631947</v>
      </c>
      <c r="AI63" s="290" cm="1">
        <f t="array" ref="AI63">IF(AI$11=1,Assumptions!$G70,INDEX(Assumptions!$G$67:$L$67,,AI$11)*AI$37)*AI$15</f>
        <v>1478.5672418852012</v>
      </c>
      <c r="AJ63" s="290" cm="1">
        <f t="array" ref="AJ63">IF(AJ$11=1,Assumptions!$G70,INDEX(Assumptions!$G$67:$L$67,,AJ$11)*AJ$37)*AJ$15</f>
        <v>1592.0762019072072</v>
      </c>
      <c r="AK63" s="290" cm="1">
        <f t="array" ref="AK63">IF(AK$11=1,Assumptions!$G70,INDEX(Assumptions!$G$67:$L$67,,AK$11)*AK$37)*AK$15</f>
        <v>4784.3307602455634</v>
      </c>
      <c r="AL63" s="290" cm="1">
        <f t="array" ref="AL63">IF(AL$11=1,Assumptions!$G70,INDEX(Assumptions!$G$67:$L$67,,AL$11)*AL$37)*AL$15</f>
        <v>5801.4550308523949</v>
      </c>
      <c r="AM63" s="290" cm="1">
        <f t="array" ref="AM63">IF(AM$11=1,Assumptions!$G70,INDEX(Assumptions!$G$67:$L$67,,AM$11)*AM$37)*AM$15</f>
        <v>6818.5793014592246</v>
      </c>
      <c r="AN63" s="290" cm="1">
        <f t="array" ref="AN63">IF(AN$11=1,Assumptions!$G70,INDEX(Assumptions!$G$67:$L$67,,AN$11)*AN$37)*AN$15</f>
        <v>7835.703572066056</v>
      </c>
      <c r="AO63" s="290" cm="1">
        <f t="array" ref="AO63">IF(AO$11=1,Assumptions!$G70,INDEX(Assumptions!$G$67:$L$67,,AO$11)*AO$37)*AO$15</f>
        <v>8852.8278426728866</v>
      </c>
      <c r="AP63" s="290" cm="1">
        <f t="array" ref="AP63">IF(AP$11=1,Assumptions!$G70,INDEX(Assumptions!$G$67:$L$67,,AP$11)*AP$37)*AP$15</f>
        <v>9869.9521132797181</v>
      </c>
      <c r="AQ63" s="290" cm="1">
        <f t="array" ref="AQ63">IF(AQ$11=1,Assumptions!$G70,INDEX(Assumptions!$G$67:$L$67,,AQ$11)*AQ$37)*AQ$15</f>
        <v>10887.076383886548</v>
      </c>
      <c r="AR63" s="290" cm="1">
        <f t="array" ref="AR63">IF(AR$11=1,Assumptions!$G70,INDEX(Assumptions!$G$67:$L$67,,AR$11)*AR$37)*AR$15</f>
        <v>11904.200654493379</v>
      </c>
      <c r="AS63" s="290" cm="1">
        <f t="array" ref="AS63">IF(AS$11=1,Assumptions!$G70,INDEX(Assumptions!$G$67:$L$67,,AS$11)*AS$37)*AS$15</f>
        <v>12921.324925100211</v>
      </c>
      <c r="AT63" s="290" cm="1">
        <f t="array" ref="AT63">IF(AT$11=1,Assumptions!$G70,INDEX(Assumptions!$G$67:$L$67,,AT$11)*AT$37)*AT$15</f>
        <v>13938.449195707042</v>
      </c>
      <c r="AU63" s="290" cm="1">
        <f t="array" ref="AU63">IF(AU$11=1,Assumptions!$G70,INDEX(Assumptions!$G$67:$L$67,,AU$11)*AU$37)*AU$15</f>
        <v>14955.573466313872</v>
      </c>
      <c r="AV63" s="290" cm="1">
        <f t="array" ref="AV63">IF(AV$11=1,Assumptions!$G70,INDEX(Assumptions!$G$67:$L$67,,AV$11)*AV$37)*AV$15</f>
        <v>15972.697736920705</v>
      </c>
      <c r="AW63" s="290" cm="1">
        <f t="array" ref="AW63">IF(AW$11=1,Assumptions!$G70,INDEX(Assumptions!$G$67:$L$67,,AW$11)*AW$37)*AW$15</f>
        <v>25082.729847192652</v>
      </c>
      <c r="AX63" s="290" cm="1">
        <f t="array" ref="AX63">IF(AX$11=1,Assumptions!$G70,INDEX(Assumptions!$G$67:$L$67,,AX$11)*AX$37)*AX$15</f>
        <v>28930.27918664382</v>
      </c>
      <c r="AY63" s="290" cm="1">
        <f t="array" ref="AY63">IF(AY$11=1,Assumptions!$G70,INDEX(Assumptions!$G$67:$L$67,,AY$11)*AY$37)*AY$15</f>
        <v>32777.828526094985</v>
      </c>
      <c r="AZ63" s="290" cm="1">
        <f t="array" ref="AZ63">IF(AZ$11=1,Assumptions!$G70,INDEX(Assumptions!$G$67:$L$67,,AZ$11)*AZ$37)*AZ$15</f>
        <v>36625.377865546157</v>
      </c>
      <c r="BA63" s="290" cm="1">
        <f t="array" ref="BA63">IF(BA$11=1,Assumptions!$G70,INDEX(Assumptions!$G$67:$L$67,,BA$11)*BA$37)*BA$15</f>
        <v>40472.927204997322</v>
      </c>
      <c r="BB63" s="290" cm="1">
        <f t="array" ref="BB63">IF(BB$11=1,Assumptions!$G70,INDEX(Assumptions!$G$67:$L$67,,BB$11)*BB$37)*BB$15</f>
        <v>44320.476544448495</v>
      </c>
      <c r="BC63" s="290" cm="1">
        <f t="array" ref="BC63">IF(BC$11=1,Assumptions!$G70,INDEX(Assumptions!$G$67:$L$67,,BC$11)*BC$37)*BC$15</f>
        <v>48168.02588389966</v>
      </c>
      <c r="BD63" s="290" cm="1">
        <f t="array" ref="BD63">IF(BD$11=1,Assumptions!$G70,INDEX(Assumptions!$G$67:$L$67,,BD$11)*BD$37)*BD$15</f>
        <v>52015.575223350817</v>
      </c>
      <c r="BE63" s="290" cm="1">
        <f t="array" ref="BE63">IF(BE$11=1,Assumptions!$G70,INDEX(Assumptions!$G$67:$L$67,,BE$11)*BE$37)*BE$15</f>
        <v>55863.12456280199</v>
      </c>
      <c r="BF63" s="290" cm="1">
        <f t="array" ref="BF63">IF(BF$11=1,Assumptions!$G70,INDEX(Assumptions!$G$67:$L$67,,BF$11)*BF$37)*BF$15</f>
        <v>59710.673902253155</v>
      </c>
      <c r="BG63" s="290" cm="1">
        <f t="array" ref="BG63">IF(BG$11=1,Assumptions!$G70,INDEX(Assumptions!$G$67:$L$67,,BG$11)*BG$37)*BG$15</f>
        <v>63558.223241704341</v>
      </c>
      <c r="BH63" s="290" cm="1">
        <f t="array" ref="BH63">IF(BH$11=1,Assumptions!$G70,INDEX(Assumptions!$G$67:$L$67,,BH$11)*BH$37)*BH$15</f>
        <v>67405.772581155499</v>
      </c>
      <c r="BI63" s="290" cm="1">
        <f t="array" ref="BI63">IF(BI$11=1,Assumptions!$G70,INDEX(Assumptions!$G$67:$L$67,,BI$11)*BI$37)*BI$15</f>
        <v>191019.47507913422</v>
      </c>
      <c r="BJ63" s="290" cm="1">
        <f t="array" ref="BJ63">IF(BJ$11=1,Assumptions!$G70,INDEX(Assumptions!$G$67:$L$67,,BJ$11)*BJ$37)*BJ$15</f>
        <v>214061.55957767056</v>
      </c>
      <c r="BK63" s="290" cm="1">
        <f t="array" ref="BK63">IF(BK$11=1,Assumptions!$G70,INDEX(Assumptions!$G$67:$L$67,,BK$11)*BK$37)*BK$15</f>
        <v>237103.64407620687</v>
      </c>
      <c r="BL63" s="290" cm="1">
        <f t="array" ref="BL63">IF(BL$11=1,Assumptions!$G70,INDEX(Assumptions!$G$67:$L$67,,BL$11)*BL$37)*BL$15</f>
        <v>260145.7285747432</v>
      </c>
      <c r="BM63" s="290" cm="1">
        <f t="array" ref="BM63">IF(BM$11=1,Assumptions!$G70,INDEX(Assumptions!$G$67:$L$67,,BM$11)*BM$37)*BM$15</f>
        <v>283187.81307327957</v>
      </c>
      <c r="BN63" s="290" cm="1">
        <f t="array" ref="BN63">IF(BN$11=1,Assumptions!$G70,INDEX(Assumptions!$G$67:$L$67,,BN$11)*BN$37)*BN$15</f>
        <v>306229.89757181593</v>
      </c>
      <c r="BO63" s="290" cm="1">
        <f t="array" ref="BO63">IF(BO$11=1,Assumptions!$G70,INDEX(Assumptions!$G$67:$L$67,,BO$11)*BO$37)*BO$15</f>
        <v>329271.98207035224</v>
      </c>
      <c r="BP63" s="290" cm="1">
        <f t="array" ref="BP63">IF(BP$11=1,Assumptions!$G70,INDEX(Assumptions!$G$67:$L$67,,BP$11)*BP$37)*BP$15</f>
        <v>352314.06656888861</v>
      </c>
      <c r="BQ63" s="290" cm="1">
        <f t="array" ref="BQ63">IF(BQ$11=1,Assumptions!$G70,INDEX(Assumptions!$G$67:$L$67,,BQ$11)*BQ$37)*BQ$15</f>
        <v>375356.15106742497</v>
      </c>
      <c r="BR63" s="290" cm="1">
        <f t="array" ref="BR63">IF(BR$11=1,Assumptions!$G70,INDEX(Assumptions!$G$67:$L$67,,BR$11)*BR$37)*BR$15</f>
        <v>398398.23556596134</v>
      </c>
      <c r="BS63" s="290" cm="1">
        <f t="array" ref="BS63">IF(BS$11=1,Assumptions!$G70,INDEX(Assumptions!$G$67:$L$67,,BS$11)*BS$37)*BS$15</f>
        <v>421440.32006449753</v>
      </c>
      <c r="BT63" s="290" cm="1">
        <f t="array" ref="BT63">IF(BT$11=1,Assumptions!$G70,INDEX(Assumptions!$G$67:$L$67,,BT$11)*BT$37)*BT$15</f>
        <v>444482.40456303395</v>
      </c>
      <c r="BU63" s="290" cm="1">
        <f t="array" ref="BU63">IF(BU$11=1,Assumptions!$G70,INDEX(Assumptions!$G$67:$L$67,,BU$11)*BU$37)*BU$15</f>
        <v>588755.61424407549</v>
      </c>
      <c r="BV63" s="290" cm="1">
        <f t="array" ref="BV63">IF(BV$11=1,Assumptions!$G70,INDEX(Assumptions!$G$67:$L$67,,BV$11)*BV$37)*BV$15</f>
        <v>645357.0799149063</v>
      </c>
      <c r="BW63" s="290" cm="1">
        <f t="array" ref="BW63">IF(BW$11=1,Assumptions!$G70,INDEX(Assumptions!$G$67:$L$67,,BW$11)*BW$37)*BW$15</f>
        <v>701958.5455857371</v>
      </c>
      <c r="BX63" s="290" cm="1">
        <f t="array" ref="BX63">IF(BX$11=1,Assumptions!$G70,INDEX(Assumptions!$G$67:$L$67,,BX$11)*BX$37)*BX$15</f>
        <v>758560.0112565679</v>
      </c>
      <c r="BY63" s="290" cm="1">
        <f t="array" ref="BY63">IF(BY$11=1,Assumptions!$G70,INDEX(Assumptions!$G$67:$L$67,,BY$11)*BY$37)*BY$15</f>
        <v>815161.47692739859</v>
      </c>
      <c r="BZ63" s="290" cm="1">
        <f t="array" ref="BZ63">IF(BZ$11=1,Assumptions!$G70,INDEX(Assumptions!$G$67:$L$67,,BZ$11)*BZ$37)*BZ$15</f>
        <v>871762.94259822927</v>
      </c>
      <c r="CA63" s="290" cm="1">
        <f t="array" ref="CA63">IF(CA$11=1,Assumptions!$G70,INDEX(Assumptions!$G$67:$L$67,,CA$11)*CA$37)*CA$15</f>
        <v>928364.40826905996</v>
      </c>
      <c r="CB63" s="290" cm="1">
        <f t="array" ref="CB63">IF(CB$11=1,Assumptions!$G70,INDEX(Assumptions!$G$67:$L$67,,CB$11)*CB$37)*CB$15</f>
        <v>984965.87393989088</v>
      </c>
      <c r="CC63" s="290" cm="1">
        <f t="array" ref="CC63">IF(CC$11=1,Assumptions!$G70,INDEX(Assumptions!$G$67:$L$67,,CC$11)*CC$37)*CC$15</f>
        <v>1041567.3396107217</v>
      </c>
      <c r="CD63" s="290" cm="1">
        <f t="array" ref="CD63">IF(CD$11=1,Assumptions!$G70,INDEX(Assumptions!$G$67:$L$67,,CD$11)*CD$37)*CD$15</f>
        <v>1098168.8052815525</v>
      </c>
      <c r="CE63" s="290" cm="1">
        <f t="array" ref="CE63">IF(CE$11=1,Assumptions!$G70,INDEX(Assumptions!$G$67:$L$67,,CE$11)*CE$37)*CE$15</f>
        <v>1154770.2709523828</v>
      </c>
      <c r="CF63" s="290" cm="1">
        <f t="array" ref="CF63">IF(CF$11=1,Assumptions!$G70,INDEX(Assumptions!$G$67:$L$67,,CF$11)*CF$37)*CF$15</f>
        <v>1211371.7366232139</v>
      </c>
    </row>
    <row r="64" spans="4:84" outlineLevel="1">
      <c r="E64" s="64" t="str">
        <f>Assumptions!E71</f>
        <v>Contract Labor</v>
      </c>
      <c r="L64" s="167"/>
      <c r="M64" s="290" cm="1">
        <f t="array" ref="M64">IF(M$11=1,Assumptions!$G71,INDEX(Assumptions!$G$67:$L$67,,M$11)*M$37)*M$15</f>
        <v>0</v>
      </c>
      <c r="N64" s="290" cm="1">
        <f t="array" ref="N64">IF(N$11=1,Assumptions!$G71,INDEX(Assumptions!$G$67:$L$67,,N$11)*N$37)*N$15</f>
        <v>0</v>
      </c>
      <c r="O64" s="290" cm="1">
        <f t="array" ref="O64">IF(O$11=1,Assumptions!$G71,INDEX(Assumptions!$G$67:$L$67,,O$11)*O$37)*O$15</f>
        <v>0</v>
      </c>
      <c r="P64" s="290" cm="1">
        <f t="array" ref="P64">IF(P$11=1,Assumptions!$G71,INDEX(Assumptions!$G$67:$L$67,,P$11)*P$37)*P$15</f>
        <v>0</v>
      </c>
      <c r="Q64" s="290" cm="1">
        <f t="array" ref="Q64">IF(Q$11=1,Assumptions!$G71,INDEX(Assumptions!$G$67:$L$67,,Q$11)*Q$37)*Q$15</f>
        <v>0</v>
      </c>
      <c r="R64" s="290" cm="1">
        <f t="array" ref="R64">IF(R$11=1,Assumptions!$G71,INDEX(Assumptions!$G$67:$L$67,,R$11)*R$37)*R$15</f>
        <v>3500</v>
      </c>
      <c r="S64" s="290" cm="1">
        <f t="array" ref="S64">IF(S$11=1,Assumptions!$G71,INDEX(Assumptions!$G$67:$L$67,,S$11)*S$37)*S$15</f>
        <v>3500</v>
      </c>
      <c r="T64" s="290" cm="1">
        <f t="array" ref="T64">IF(T$11=1,Assumptions!$G71,INDEX(Assumptions!$G$67:$L$67,,T$11)*T$37)*T$15</f>
        <v>3500</v>
      </c>
      <c r="U64" s="290" cm="1">
        <f t="array" ref="U64">IF(U$11=1,Assumptions!$G71,INDEX(Assumptions!$G$67:$L$67,,U$11)*U$37)*U$15</f>
        <v>3500</v>
      </c>
      <c r="V64" s="290" cm="1">
        <f t="array" ref="V64">IF(V$11=1,Assumptions!$G71,INDEX(Assumptions!$G$67:$L$67,,V$11)*V$37)*V$15</f>
        <v>3500</v>
      </c>
      <c r="W64" s="290" cm="1">
        <f t="array" ref="W64">IF(W$11=1,Assumptions!$G71,INDEX(Assumptions!$G$67:$L$67,,W$11)*W$37)*W$15</f>
        <v>3500</v>
      </c>
      <c r="X64" s="290" cm="1">
        <f t="array" ref="X64">IF(X$11=1,Assumptions!$G71,INDEX(Assumptions!$G$67:$L$67,,X$11)*X$37)*X$15</f>
        <v>3500</v>
      </c>
      <c r="Y64" s="290" cm="1">
        <f t="array" ref="Y64">IF(Y$11=1,Assumptions!$G71,INDEX(Assumptions!$G$67:$L$67,,Y$11)*Y$37)*Y$15</f>
        <v>319.95764166513845</v>
      </c>
      <c r="Z64" s="290" cm="1">
        <f t="array" ref="Z64">IF(Z$11=1,Assumptions!$G71,INDEX(Assumptions!$G$67:$L$67,,Z$11)*Z$37)*Z$15</f>
        <v>427.58660168714471</v>
      </c>
      <c r="AA64" s="290" cm="1">
        <f t="array" ref="AA64">IF(AA$11=1,Assumptions!$G71,INDEX(Assumptions!$G$67:$L$67,,AA$11)*AA$37)*AA$15</f>
        <v>535.21556170915096</v>
      </c>
      <c r="AB64" s="290" cm="1">
        <f t="array" ref="AB64">IF(AB$11=1,Assumptions!$G71,INDEX(Assumptions!$G$67:$L$67,,AB$11)*AB$37)*AB$15</f>
        <v>642.8445217311571</v>
      </c>
      <c r="AC64" s="290" cm="1">
        <f t="array" ref="AC64">IF(AC$11=1,Assumptions!$G71,INDEX(Assumptions!$G$67:$L$67,,AC$11)*AC$37)*AC$15</f>
        <v>750.47348175316324</v>
      </c>
      <c r="AD64" s="290" cm="1">
        <f t="array" ref="AD64">IF(AD$11=1,Assumptions!$G71,INDEX(Assumptions!$G$67:$L$67,,AD$11)*AD$37)*AD$15</f>
        <v>911.02244177516957</v>
      </c>
      <c r="AE64" s="290" cm="1">
        <f t="array" ref="AE64">IF(AE$11=1,Assumptions!$G71,INDEX(Assumptions!$G$67:$L$67,,AE$11)*AE$37)*AE$15</f>
        <v>1024.5314017971759</v>
      </c>
      <c r="AF64" s="290" cm="1">
        <f t="array" ref="AF64">IF(AF$11=1,Assumptions!$G71,INDEX(Assumptions!$G$67:$L$67,,AF$11)*AF$37)*AF$15</f>
        <v>1138.0403618191822</v>
      </c>
      <c r="AG64" s="290" cm="1">
        <f t="array" ref="AG64">IF(AG$11=1,Assumptions!$G71,INDEX(Assumptions!$G$67:$L$67,,AG$11)*AG$37)*AG$15</f>
        <v>1251.5493218411884</v>
      </c>
      <c r="AH64" s="290" cm="1">
        <f t="array" ref="AH64">IF(AH$11=1,Assumptions!$G71,INDEX(Assumptions!$G$67:$L$67,,AH$11)*AH$37)*AH$15</f>
        <v>1365.0582818631947</v>
      </c>
      <c r="AI64" s="290" cm="1">
        <f t="array" ref="AI64">IF(AI$11=1,Assumptions!$G71,INDEX(Assumptions!$G$67:$L$67,,AI$11)*AI$37)*AI$15</f>
        <v>1478.5672418852012</v>
      </c>
      <c r="AJ64" s="290" cm="1">
        <f t="array" ref="AJ64">IF(AJ$11=1,Assumptions!$G71,INDEX(Assumptions!$G$67:$L$67,,AJ$11)*AJ$37)*AJ$15</f>
        <v>1592.0762019072072</v>
      </c>
      <c r="AK64" s="290" cm="1">
        <f t="array" ref="AK64">IF(AK$11=1,Assumptions!$G71,INDEX(Assumptions!$G$67:$L$67,,AK$11)*AK$37)*AK$15</f>
        <v>4784.3307602455634</v>
      </c>
      <c r="AL64" s="290" cm="1">
        <f t="array" ref="AL64">IF(AL$11=1,Assumptions!$G71,INDEX(Assumptions!$G$67:$L$67,,AL$11)*AL$37)*AL$15</f>
        <v>5801.4550308523949</v>
      </c>
      <c r="AM64" s="290" cm="1">
        <f t="array" ref="AM64">IF(AM$11=1,Assumptions!$G71,INDEX(Assumptions!$G$67:$L$67,,AM$11)*AM$37)*AM$15</f>
        <v>6818.5793014592246</v>
      </c>
      <c r="AN64" s="290" cm="1">
        <f t="array" ref="AN64">IF(AN$11=1,Assumptions!$G71,INDEX(Assumptions!$G$67:$L$67,,AN$11)*AN$37)*AN$15</f>
        <v>7835.703572066056</v>
      </c>
      <c r="AO64" s="290" cm="1">
        <f t="array" ref="AO64">IF(AO$11=1,Assumptions!$G71,INDEX(Assumptions!$G$67:$L$67,,AO$11)*AO$37)*AO$15</f>
        <v>8852.8278426728866</v>
      </c>
      <c r="AP64" s="290" cm="1">
        <f t="array" ref="AP64">IF(AP$11=1,Assumptions!$G71,INDEX(Assumptions!$G$67:$L$67,,AP$11)*AP$37)*AP$15</f>
        <v>9869.9521132797181</v>
      </c>
      <c r="AQ64" s="290" cm="1">
        <f t="array" ref="AQ64">IF(AQ$11=1,Assumptions!$G71,INDEX(Assumptions!$G$67:$L$67,,AQ$11)*AQ$37)*AQ$15</f>
        <v>10887.076383886548</v>
      </c>
      <c r="AR64" s="290" cm="1">
        <f t="array" ref="AR64">IF(AR$11=1,Assumptions!$G71,INDEX(Assumptions!$G$67:$L$67,,AR$11)*AR$37)*AR$15</f>
        <v>11904.200654493379</v>
      </c>
      <c r="AS64" s="290" cm="1">
        <f t="array" ref="AS64">IF(AS$11=1,Assumptions!$G71,INDEX(Assumptions!$G$67:$L$67,,AS$11)*AS$37)*AS$15</f>
        <v>12921.324925100211</v>
      </c>
      <c r="AT64" s="290" cm="1">
        <f t="array" ref="AT64">IF(AT$11=1,Assumptions!$G71,INDEX(Assumptions!$G$67:$L$67,,AT$11)*AT$37)*AT$15</f>
        <v>13938.449195707042</v>
      </c>
      <c r="AU64" s="290" cm="1">
        <f t="array" ref="AU64">IF(AU$11=1,Assumptions!$G71,INDEX(Assumptions!$G$67:$L$67,,AU$11)*AU$37)*AU$15</f>
        <v>14955.573466313872</v>
      </c>
      <c r="AV64" s="290" cm="1">
        <f t="array" ref="AV64">IF(AV$11=1,Assumptions!$G71,INDEX(Assumptions!$G$67:$L$67,,AV$11)*AV$37)*AV$15</f>
        <v>15972.697736920705</v>
      </c>
      <c r="AW64" s="290" cm="1">
        <f t="array" ref="AW64">IF(AW$11=1,Assumptions!$G71,INDEX(Assumptions!$G$67:$L$67,,AW$11)*AW$37)*AW$15</f>
        <v>25082.729847192652</v>
      </c>
      <c r="AX64" s="290" cm="1">
        <f t="array" ref="AX64">IF(AX$11=1,Assumptions!$G71,INDEX(Assumptions!$G$67:$L$67,,AX$11)*AX$37)*AX$15</f>
        <v>28930.27918664382</v>
      </c>
      <c r="AY64" s="290" cm="1">
        <f t="array" ref="AY64">IF(AY$11=1,Assumptions!$G71,INDEX(Assumptions!$G$67:$L$67,,AY$11)*AY$37)*AY$15</f>
        <v>32777.828526094985</v>
      </c>
      <c r="AZ64" s="290" cm="1">
        <f t="array" ref="AZ64">IF(AZ$11=1,Assumptions!$G71,INDEX(Assumptions!$G$67:$L$67,,AZ$11)*AZ$37)*AZ$15</f>
        <v>36625.377865546157</v>
      </c>
      <c r="BA64" s="290" cm="1">
        <f t="array" ref="BA64">IF(BA$11=1,Assumptions!$G71,INDEX(Assumptions!$G$67:$L$67,,BA$11)*BA$37)*BA$15</f>
        <v>40472.927204997322</v>
      </c>
      <c r="BB64" s="290" cm="1">
        <f t="array" ref="BB64">IF(BB$11=1,Assumptions!$G71,INDEX(Assumptions!$G$67:$L$67,,BB$11)*BB$37)*BB$15</f>
        <v>44320.476544448495</v>
      </c>
      <c r="BC64" s="290" cm="1">
        <f t="array" ref="BC64">IF(BC$11=1,Assumptions!$G71,INDEX(Assumptions!$G$67:$L$67,,BC$11)*BC$37)*BC$15</f>
        <v>48168.02588389966</v>
      </c>
      <c r="BD64" s="290" cm="1">
        <f t="array" ref="BD64">IF(BD$11=1,Assumptions!$G71,INDEX(Assumptions!$G$67:$L$67,,BD$11)*BD$37)*BD$15</f>
        <v>52015.575223350817</v>
      </c>
      <c r="BE64" s="290" cm="1">
        <f t="array" ref="BE64">IF(BE$11=1,Assumptions!$G71,INDEX(Assumptions!$G$67:$L$67,,BE$11)*BE$37)*BE$15</f>
        <v>55863.12456280199</v>
      </c>
      <c r="BF64" s="290" cm="1">
        <f t="array" ref="BF64">IF(BF$11=1,Assumptions!$G71,INDEX(Assumptions!$G$67:$L$67,,BF$11)*BF$37)*BF$15</f>
        <v>59710.673902253155</v>
      </c>
      <c r="BG64" s="290" cm="1">
        <f t="array" ref="BG64">IF(BG$11=1,Assumptions!$G71,INDEX(Assumptions!$G$67:$L$67,,BG$11)*BG$37)*BG$15</f>
        <v>63558.223241704341</v>
      </c>
      <c r="BH64" s="290" cm="1">
        <f t="array" ref="BH64">IF(BH$11=1,Assumptions!$G71,INDEX(Assumptions!$G$67:$L$67,,BH$11)*BH$37)*BH$15</f>
        <v>67405.772581155499</v>
      </c>
      <c r="BI64" s="290" cm="1">
        <f t="array" ref="BI64">IF(BI$11=1,Assumptions!$G71,INDEX(Assumptions!$G$67:$L$67,,BI$11)*BI$37)*BI$15</f>
        <v>191019.47507913422</v>
      </c>
      <c r="BJ64" s="290" cm="1">
        <f t="array" ref="BJ64">IF(BJ$11=1,Assumptions!$G71,INDEX(Assumptions!$G$67:$L$67,,BJ$11)*BJ$37)*BJ$15</f>
        <v>214061.55957767056</v>
      </c>
      <c r="BK64" s="290" cm="1">
        <f t="array" ref="BK64">IF(BK$11=1,Assumptions!$G71,INDEX(Assumptions!$G$67:$L$67,,BK$11)*BK$37)*BK$15</f>
        <v>237103.64407620687</v>
      </c>
      <c r="BL64" s="290" cm="1">
        <f t="array" ref="BL64">IF(BL$11=1,Assumptions!$G71,INDEX(Assumptions!$G$67:$L$67,,BL$11)*BL$37)*BL$15</f>
        <v>260145.7285747432</v>
      </c>
      <c r="BM64" s="290" cm="1">
        <f t="array" ref="BM64">IF(BM$11=1,Assumptions!$G71,INDEX(Assumptions!$G$67:$L$67,,BM$11)*BM$37)*BM$15</f>
        <v>283187.81307327957</v>
      </c>
      <c r="BN64" s="290" cm="1">
        <f t="array" ref="BN64">IF(BN$11=1,Assumptions!$G71,INDEX(Assumptions!$G$67:$L$67,,BN$11)*BN$37)*BN$15</f>
        <v>306229.89757181593</v>
      </c>
      <c r="BO64" s="290" cm="1">
        <f t="array" ref="BO64">IF(BO$11=1,Assumptions!$G71,INDEX(Assumptions!$G$67:$L$67,,BO$11)*BO$37)*BO$15</f>
        <v>329271.98207035224</v>
      </c>
      <c r="BP64" s="290" cm="1">
        <f t="array" ref="BP64">IF(BP$11=1,Assumptions!$G71,INDEX(Assumptions!$G$67:$L$67,,BP$11)*BP$37)*BP$15</f>
        <v>352314.06656888861</v>
      </c>
      <c r="BQ64" s="290" cm="1">
        <f t="array" ref="BQ64">IF(BQ$11=1,Assumptions!$G71,INDEX(Assumptions!$G$67:$L$67,,BQ$11)*BQ$37)*BQ$15</f>
        <v>375356.15106742497</v>
      </c>
      <c r="BR64" s="290" cm="1">
        <f t="array" ref="BR64">IF(BR$11=1,Assumptions!$G71,INDEX(Assumptions!$G$67:$L$67,,BR$11)*BR$37)*BR$15</f>
        <v>398398.23556596134</v>
      </c>
      <c r="BS64" s="290" cm="1">
        <f t="array" ref="BS64">IF(BS$11=1,Assumptions!$G71,INDEX(Assumptions!$G$67:$L$67,,BS$11)*BS$37)*BS$15</f>
        <v>421440.32006449753</v>
      </c>
      <c r="BT64" s="290" cm="1">
        <f t="array" ref="BT64">IF(BT$11=1,Assumptions!$G71,INDEX(Assumptions!$G$67:$L$67,,BT$11)*BT$37)*BT$15</f>
        <v>444482.40456303395</v>
      </c>
      <c r="BU64" s="290" cm="1">
        <f t="array" ref="BU64">IF(BU$11=1,Assumptions!$G71,INDEX(Assumptions!$G$67:$L$67,,BU$11)*BU$37)*BU$15</f>
        <v>588755.61424407549</v>
      </c>
      <c r="BV64" s="290" cm="1">
        <f t="array" ref="BV64">IF(BV$11=1,Assumptions!$G71,INDEX(Assumptions!$G$67:$L$67,,BV$11)*BV$37)*BV$15</f>
        <v>645357.0799149063</v>
      </c>
      <c r="BW64" s="290" cm="1">
        <f t="array" ref="BW64">IF(BW$11=1,Assumptions!$G71,INDEX(Assumptions!$G$67:$L$67,,BW$11)*BW$37)*BW$15</f>
        <v>701958.5455857371</v>
      </c>
      <c r="BX64" s="290" cm="1">
        <f t="array" ref="BX64">IF(BX$11=1,Assumptions!$G71,INDEX(Assumptions!$G$67:$L$67,,BX$11)*BX$37)*BX$15</f>
        <v>758560.0112565679</v>
      </c>
      <c r="BY64" s="290" cm="1">
        <f t="array" ref="BY64">IF(BY$11=1,Assumptions!$G71,INDEX(Assumptions!$G$67:$L$67,,BY$11)*BY$37)*BY$15</f>
        <v>815161.47692739859</v>
      </c>
      <c r="BZ64" s="290" cm="1">
        <f t="array" ref="BZ64">IF(BZ$11=1,Assumptions!$G71,INDEX(Assumptions!$G$67:$L$67,,BZ$11)*BZ$37)*BZ$15</f>
        <v>871762.94259822927</v>
      </c>
      <c r="CA64" s="290" cm="1">
        <f t="array" ref="CA64">IF(CA$11=1,Assumptions!$G71,INDEX(Assumptions!$G$67:$L$67,,CA$11)*CA$37)*CA$15</f>
        <v>928364.40826905996</v>
      </c>
      <c r="CB64" s="290" cm="1">
        <f t="array" ref="CB64">IF(CB$11=1,Assumptions!$G71,INDEX(Assumptions!$G$67:$L$67,,CB$11)*CB$37)*CB$15</f>
        <v>984965.87393989088</v>
      </c>
      <c r="CC64" s="290" cm="1">
        <f t="array" ref="CC64">IF(CC$11=1,Assumptions!$G71,INDEX(Assumptions!$G$67:$L$67,,CC$11)*CC$37)*CC$15</f>
        <v>1041567.3396107217</v>
      </c>
      <c r="CD64" s="290" cm="1">
        <f t="array" ref="CD64">IF(CD$11=1,Assumptions!$G71,INDEX(Assumptions!$G$67:$L$67,,CD$11)*CD$37)*CD$15</f>
        <v>1098168.8052815525</v>
      </c>
      <c r="CE64" s="290" cm="1">
        <f t="array" ref="CE64">IF(CE$11=1,Assumptions!$G71,INDEX(Assumptions!$G$67:$L$67,,CE$11)*CE$37)*CE$15</f>
        <v>1154770.2709523828</v>
      </c>
      <c r="CF64" s="290" cm="1">
        <f t="array" ref="CF64">IF(CF$11=1,Assumptions!$G71,INDEX(Assumptions!$G$67:$L$67,,CF$11)*CF$37)*CF$15</f>
        <v>1211371.7366232139</v>
      </c>
    </row>
    <row r="65" spans="5:84" outlineLevel="1">
      <c r="E65" s="64" t="str">
        <f>Assumptions!E72</f>
        <v>Dues &amp; Memberships</v>
      </c>
      <c r="L65" s="167"/>
      <c r="M65" s="290" cm="1">
        <f t="array" ref="M65">IF(M$11=1,Assumptions!$G72,INDEX(Assumptions!$G$67:$L$67,,M$11)*M$37)*M$15</f>
        <v>0</v>
      </c>
      <c r="N65" s="290" cm="1">
        <f t="array" ref="N65">IF(N$11=1,Assumptions!$G72,INDEX(Assumptions!$G$67:$L$67,,N$11)*N$37)*N$15</f>
        <v>0</v>
      </c>
      <c r="O65" s="290" cm="1">
        <f t="array" ref="O65">IF(O$11=1,Assumptions!$G72,INDEX(Assumptions!$G$67:$L$67,,O$11)*O$37)*O$15</f>
        <v>0</v>
      </c>
      <c r="P65" s="290" cm="1">
        <f t="array" ref="P65">IF(P$11=1,Assumptions!$G72,INDEX(Assumptions!$G$67:$L$67,,P$11)*P$37)*P$15</f>
        <v>0</v>
      </c>
      <c r="Q65" s="290" cm="1">
        <f t="array" ref="Q65">IF(Q$11=1,Assumptions!$G72,INDEX(Assumptions!$G$67:$L$67,,Q$11)*Q$37)*Q$15</f>
        <v>0</v>
      </c>
      <c r="R65" s="290" cm="1">
        <f t="array" ref="R65">IF(R$11=1,Assumptions!$G72,INDEX(Assumptions!$G$67:$L$67,,R$11)*R$37)*R$15</f>
        <v>200</v>
      </c>
      <c r="S65" s="290" cm="1">
        <f t="array" ref="S65">IF(S$11=1,Assumptions!$G72,INDEX(Assumptions!$G$67:$L$67,,S$11)*S$37)*S$15</f>
        <v>200</v>
      </c>
      <c r="T65" s="290" cm="1">
        <f t="array" ref="T65">IF(T$11=1,Assumptions!$G72,INDEX(Assumptions!$G$67:$L$67,,T$11)*T$37)*T$15</f>
        <v>200</v>
      </c>
      <c r="U65" s="290" cm="1">
        <f t="array" ref="U65">IF(U$11=1,Assumptions!$G72,INDEX(Assumptions!$G$67:$L$67,,U$11)*U$37)*U$15</f>
        <v>200</v>
      </c>
      <c r="V65" s="290" cm="1">
        <f t="array" ref="V65">IF(V$11=1,Assumptions!$G72,INDEX(Assumptions!$G$67:$L$67,,V$11)*V$37)*V$15</f>
        <v>200</v>
      </c>
      <c r="W65" s="290" cm="1">
        <f t="array" ref="W65">IF(W$11=1,Assumptions!$G72,INDEX(Assumptions!$G$67:$L$67,,W$11)*W$37)*W$15</f>
        <v>200</v>
      </c>
      <c r="X65" s="290" cm="1">
        <f t="array" ref="X65">IF(X$11=1,Assumptions!$G72,INDEX(Assumptions!$G$67:$L$67,,X$11)*X$37)*X$15</f>
        <v>200</v>
      </c>
      <c r="Y65" s="290" cm="1">
        <f t="array" ref="Y65">IF(Y$11=1,Assumptions!$G72,INDEX(Assumptions!$G$67:$L$67,,Y$11)*Y$37)*Y$15</f>
        <v>319.95764166513845</v>
      </c>
      <c r="Z65" s="290" cm="1">
        <f t="array" ref="Z65">IF(Z$11=1,Assumptions!$G72,INDEX(Assumptions!$G$67:$L$67,,Z$11)*Z$37)*Z$15</f>
        <v>427.58660168714471</v>
      </c>
      <c r="AA65" s="290" cm="1">
        <f t="array" ref="AA65">IF(AA$11=1,Assumptions!$G72,INDEX(Assumptions!$G$67:$L$67,,AA$11)*AA$37)*AA$15</f>
        <v>535.21556170915096</v>
      </c>
      <c r="AB65" s="290" cm="1">
        <f t="array" ref="AB65">IF(AB$11=1,Assumptions!$G72,INDEX(Assumptions!$G$67:$L$67,,AB$11)*AB$37)*AB$15</f>
        <v>642.8445217311571</v>
      </c>
      <c r="AC65" s="290" cm="1">
        <f t="array" ref="AC65">IF(AC$11=1,Assumptions!$G72,INDEX(Assumptions!$G$67:$L$67,,AC$11)*AC$37)*AC$15</f>
        <v>750.47348175316324</v>
      </c>
      <c r="AD65" s="290" cm="1">
        <f t="array" ref="AD65">IF(AD$11=1,Assumptions!$G72,INDEX(Assumptions!$G$67:$L$67,,AD$11)*AD$37)*AD$15</f>
        <v>911.02244177516957</v>
      </c>
      <c r="AE65" s="290" cm="1">
        <f t="array" ref="AE65">IF(AE$11=1,Assumptions!$G72,INDEX(Assumptions!$G$67:$L$67,,AE$11)*AE$37)*AE$15</f>
        <v>1024.5314017971759</v>
      </c>
      <c r="AF65" s="290" cm="1">
        <f t="array" ref="AF65">IF(AF$11=1,Assumptions!$G72,INDEX(Assumptions!$G$67:$L$67,,AF$11)*AF$37)*AF$15</f>
        <v>1138.0403618191822</v>
      </c>
      <c r="AG65" s="290" cm="1">
        <f t="array" ref="AG65">IF(AG$11=1,Assumptions!$G72,INDEX(Assumptions!$G$67:$L$67,,AG$11)*AG$37)*AG$15</f>
        <v>1251.5493218411884</v>
      </c>
      <c r="AH65" s="290" cm="1">
        <f t="array" ref="AH65">IF(AH$11=1,Assumptions!$G72,INDEX(Assumptions!$G$67:$L$67,,AH$11)*AH$37)*AH$15</f>
        <v>1365.0582818631947</v>
      </c>
      <c r="AI65" s="290" cm="1">
        <f t="array" ref="AI65">IF(AI$11=1,Assumptions!$G72,INDEX(Assumptions!$G$67:$L$67,,AI$11)*AI$37)*AI$15</f>
        <v>1478.5672418852012</v>
      </c>
      <c r="AJ65" s="290" cm="1">
        <f t="array" ref="AJ65">IF(AJ$11=1,Assumptions!$G72,INDEX(Assumptions!$G$67:$L$67,,AJ$11)*AJ$37)*AJ$15</f>
        <v>1592.0762019072072</v>
      </c>
      <c r="AK65" s="290" cm="1">
        <f t="array" ref="AK65">IF(AK$11=1,Assumptions!$G72,INDEX(Assumptions!$G$67:$L$67,,AK$11)*AK$37)*AK$15</f>
        <v>4784.3307602455634</v>
      </c>
      <c r="AL65" s="290" cm="1">
        <f t="array" ref="AL65">IF(AL$11=1,Assumptions!$G72,INDEX(Assumptions!$G$67:$L$67,,AL$11)*AL$37)*AL$15</f>
        <v>5801.4550308523949</v>
      </c>
      <c r="AM65" s="290" cm="1">
        <f t="array" ref="AM65">IF(AM$11=1,Assumptions!$G72,INDEX(Assumptions!$G$67:$L$67,,AM$11)*AM$37)*AM$15</f>
        <v>6818.5793014592246</v>
      </c>
      <c r="AN65" s="290" cm="1">
        <f t="array" ref="AN65">IF(AN$11=1,Assumptions!$G72,INDEX(Assumptions!$G$67:$L$67,,AN$11)*AN$37)*AN$15</f>
        <v>7835.703572066056</v>
      </c>
      <c r="AO65" s="290" cm="1">
        <f t="array" ref="AO65">IF(AO$11=1,Assumptions!$G72,INDEX(Assumptions!$G$67:$L$67,,AO$11)*AO$37)*AO$15</f>
        <v>8852.8278426728866</v>
      </c>
      <c r="AP65" s="290" cm="1">
        <f t="array" ref="AP65">IF(AP$11=1,Assumptions!$G72,INDEX(Assumptions!$G$67:$L$67,,AP$11)*AP$37)*AP$15</f>
        <v>9869.9521132797181</v>
      </c>
      <c r="AQ65" s="290" cm="1">
        <f t="array" ref="AQ65">IF(AQ$11=1,Assumptions!$G72,INDEX(Assumptions!$G$67:$L$67,,AQ$11)*AQ$37)*AQ$15</f>
        <v>10887.076383886548</v>
      </c>
      <c r="AR65" s="290" cm="1">
        <f t="array" ref="AR65">IF(AR$11=1,Assumptions!$G72,INDEX(Assumptions!$G$67:$L$67,,AR$11)*AR$37)*AR$15</f>
        <v>11904.200654493379</v>
      </c>
      <c r="AS65" s="290" cm="1">
        <f t="array" ref="AS65">IF(AS$11=1,Assumptions!$G72,INDEX(Assumptions!$G$67:$L$67,,AS$11)*AS$37)*AS$15</f>
        <v>12921.324925100211</v>
      </c>
      <c r="AT65" s="290" cm="1">
        <f t="array" ref="AT65">IF(AT$11=1,Assumptions!$G72,INDEX(Assumptions!$G$67:$L$67,,AT$11)*AT$37)*AT$15</f>
        <v>13938.449195707042</v>
      </c>
      <c r="AU65" s="290" cm="1">
        <f t="array" ref="AU65">IF(AU$11=1,Assumptions!$G72,INDEX(Assumptions!$G$67:$L$67,,AU$11)*AU$37)*AU$15</f>
        <v>14955.573466313872</v>
      </c>
      <c r="AV65" s="290" cm="1">
        <f t="array" ref="AV65">IF(AV$11=1,Assumptions!$G72,INDEX(Assumptions!$G$67:$L$67,,AV$11)*AV$37)*AV$15</f>
        <v>15972.697736920705</v>
      </c>
      <c r="AW65" s="290" cm="1">
        <f t="array" ref="AW65">IF(AW$11=1,Assumptions!$G72,INDEX(Assumptions!$G$67:$L$67,,AW$11)*AW$37)*AW$15</f>
        <v>25082.729847192652</v>
      </c>
      <c r="AX65" s="290" cm="1">
        <f t="array" ref="AX65">IF(AX$11=1,Assumptions!$G72,INDEX(Assumptions!$G$67:$L$67,,AX$11)*AX$37)*AX$15</f>
        <v>28930.27918664382</v>
      </c>
      <c r="AY65" s="290" cm="1">
        <f t="array" ref="AY65">IF(AY$11=1,Assumptions!$G72,INDEX(Assumptions!$G$67:$L$67,,AY$11)*AY$37)*AY$15</f>
        <v>32777.828526094985</v>
      </c>
      <c r="AZ65" s="290" cm="1">
        <f t="array" ref="AZ65">IF(AZ$11=1,Assumptions!$G72,INDEX(Assumptions!$G$67:$L$67,,AZ$11)*AZ$37)*AZ$15</f>
        <v>36625.377865546157</v>
      </c>
      <c r="BA65" s="290" cm="1">
        <f t="array" ref="BA65">IF(BA$11=1,Assumptions!$G72,INDEX(Assumptions!$G$67:$L$67,,BA$11)*BA$37)*BA$15</f>
        <v>40472.927204997322</v>
      </c>
      <c r="BB65" s="290" cm="1">
        <f t="array" ref="BB65">IF(BB$11=1,Assumptions!$G72,INDEX(Assumptions!$G$67:$L$67,,BB$11)*BB$37)*BB$15</f>
        <v>44320.476544448495</v>
      </c>
      <c r="BC65" s="290" cm="1">
        <f t="array" ref="BC65">IF(BC$11=1,Assumptions!$G72,INDEX(Assumptions!$G$67:$L$67,,BC$11)*BC$37)*BC$15</f>
        <v>48168.02588389966</v>
      </c>
      <c r="BD65" s="290" cm="1">
        <f t="array" ref="BD65">IF(BD$11=1,Assumptions!$G72,INDEX(Assumptions!$G$67:$L$67,,BD$11)*BD$37)*BD$15</f>
        <v>52015.575223350817</v>
      </c>
      <c r="BE65" s="290" cm="1">
        <f t="array" ref="BE65">IF(BE$11=1,Assumptions!$G72,INDEX(Assumptions!$G$67:$L$67,,BE$11)*BE$37)*BE$15</f>
        <v>55863.12456280199</v>
      </c>
      <c r="BF65" s="290" cm="1">
        <f t="array" ref="BF65">IF(BF$11=1,Assumptions!$G72,INDEX(Assumptions!$G$67:$L$67,,BF$11)*BF$37)*BF$15</f>
        <v>59710.673902253155</v>
      </c>
      <c r="BG65" s="290" cm="1">
        <f t="array" ref="BG65">IF(BG$11=1,Assumptions!$G72,INDEX(Assumptions!$G$67:$L$67,,BG$11)*BG$37)*BG$15</f>
        <v>63558.223241704341</v>
      </c>
      <c r="BH65" s="290" cm="1">
        <f t="array" ref="BH65">IF(BH$11=1,Assumptions!$G72,INDEX(Assumptions!$G$67:$L$67,,BH$11)*BH$37)*BH$15</f>
        <v>67405.772581155499</v>
      </c>
      <c r="BI65" s="290" cm="1">
        <f t="array" ref="BI65">IF(BI$11=1,Assumptions!$G72,INDEX(Assumptions!$G$67:$L$67,,BI$11)*BI$37)*BI$15</f>
        <v>191019.47507913422</v>
      </c>
      <c r="BJ65" s="290" cm="1">
        <f t="array" ref="BJ65">IF(BJ$11=1,Assumptions!$G72,INDEX(Assumptions!$G$67:$L$67,,BJ$11)*BJ$37)*BJ$15</f>
        <v>214061.55957767056</v>
      </c>
      <c r="BK65" s="290" cm="1">
        <f t="array" ref="BK65">IF(BK$11=1,Assumptions!$G72,INDEX(Assumptions!$G$67:$L$67,,BK$11)*BK$37)*BK$15</f>
        <v>237103.64407620687</v>
      </c>
      <c r="BL65" s="290" cm="1">
        <f t="array" ref="BL65">IF(BL$11=1,Assumptions!$G72,INDEX(Assumptions!$G$67:$L$67,,BL$11)*BL$37)*BL$15</f>
        <v>260145.7285747432</v>
      </c>
      <c r="BM65" s="290" cm="1">
        <f t="array" ref="BM65">IF(BM$11=1,Assumptions!$G72,INDEX(Assumptions!$G$67:$L$67,,BM$11)*BM$37)*BM$15</f>
        <v>283187.81307327957</v>
      </c>
      <c r="BN65" s="290" cm="1">
        <f t="array" ref="BN65">IF(BN$11=1,Assumptions!$G72,INDEX(Assumptions!$G$67:$L$67,,BN$11)*BN$37)*BN$15</f>
        <v>306229.89757181593</v>
      </c>
      <c r="BO65" s="290" cm="1">
        <f t="array" ref="BO65">IF(BO$11=1,Assumptions!$G72,INDEX(Assumptions!$G$67:$L$67,,BO$11)*BO$37)*BO$15</f>
        <v>329271.98207035224</v>
      </c>
      <c r="BP65" s="290" cm="1">
        <f t="array" ref="BP65">IF(BP$11=1,Assumptions!$G72,INDEX(Assumptions!$G$67:$L$67,,BP$11)*BP$37)*BP$15</f>
        <v>352314.06656888861</v>
      </c>
      <c r="BQ65" s="290" cm="1">
        <f t="array" ref="BQ65">IF(BQ$11=1,Assumptions!$G72,INDEX(Assumptions!$G$67:$L$67,,BQ$11)*BQ$37)*BQ$15</f>
        <v>375356.15106742497</v>
      </c>
      <c r="BR65" s="290" cm="1">
        <f t="array" ref="BR65">IF(BR$11=1,Assumptions!$G72,INDEX(Assumptions!$G$67:$L$67,,BR$11)*BR$37)*BR$15</f>
        <v>398398.23556596134</v>
      </c>
      <c r="BS65" s="290" cm="1">
        <f t="array" ref="BS65">IF(BS$11=1,Assumptions!$G72,INDEX(Assumptions!$G$67:$L$67,,BS$11)*BS$37)*BS$15</f>
        <v>421440.32006449753</v>
      </c>
      <c r="BT65" s="290" cm="1">
        <f t="array" ref="BT65">IF(BT$11=1,Assumptions!$G72,INDEX(Assumptions!$G$67:$L$67,,BT$11)*BT$37)*BT$15</f>
        <v>444482.40456303395</v>
      </c>
      <c r="BU65" s="290" cm="1">
        <f t="array" ref="BU65">IF(BU$11=1,Assumptions!$G72,INDEX(Assumptions!$G$67:$L$67,,BU$11)*BU$37)*BU$15</f>
        <v>588755.61424407549</v>
      </c>
      <c r="BV65" s="290" cm="1">
        <f t="array" ref="BV65">IF(BV$11=1,Assumptions!$G72,INDEX(Assumptions!$G$67:$L$67,,BV$11)*BV$37)*BV$15</f>
        <v>645357.0799149063</v>
      </c>
      <c r="BW65" s="290" cm="1">
        <f t="array" ref="BW65">IF(BW$11=1,Assumptions!$G72,INDEX(Assumptions!$G$67:$L$67,,BW$11)*BW$37)*BW$15</f>
        <v>701958.5455857371</v>
      </c>
      <c r="BX65" s="290" cm="1">
        <f t="array" ref="BX65">IF(BX$11=1,Assumptions!$G72,INDEX(Assumptions!$G$67:$L$67,,BX$11)*BX$37)*BX$15</f>
        <v>758560.0112565679</v>
      </c>
      <c r="BY65" s="290" cm="1">
        <f t="array" ref="BY65">IF(BY$11=1,Assumptions!$G72,INDEX(Assumptions!$G$67:$L$67,,BY$11)*BY$37)*BY$15</f>
        <v>815161.47692739859</v>
      </c>
      <c r="BZ65" s="290" cm="1">
        <f t="array" ref="BZ65">IF(BZ$11=1,Assumptions!$G72,INDEX(Assumptions!$G$67:$L$67,,BZ$11)*BZ$37)*BZ$15</f>
        <v>871762.94259822927</v>
      </c>
      <c r="CA65" s="290" cm="1">
        <f t="array" ref="CA65">IF(CA$11=1,Assumptions!$G72,INDEX(Assumptions!$G$67:$L$67,,CA$11)*CA$37)*CA$15</f>
        <v>928364.40826905996</v>
      </c>
      <c r="CB65" s="290" cm="1">
        <f t="array" ref="CB65">IF(CB$11=1,Assumptions!$G72,INDEX(Assumptions!$G$67:$L$67,,CB$11)*CB$37)*CB$15</f>
        <v>984965.87393989088</v>
      </c>
      <c r="CC65" s="290" cm="1">
        <f t="array" ref="CC65">IF(CC$11=1,Assumptions!$G72,INDEX(Assumptions!$G$67:$L$67,,CC$11)*CC$37)*CC$15</f>
        <v>1041567.3396107217</v>
      </c>
      <c r="CD65" s="290" cm="1">
        <f t="array" ref="CD65">IF(CD$11=1,Assumptions!$G72,INDEX(Assumptions!$G$67:$L$67,,CD$11)*CD$37)*CD$15</f>
        <v>1098168.8052815525</v>
      </c>
      <c r="CE65" s="290" cm="1">
        <f t="array" ref="CE65">IF(CE$11=1,Assumptions!$G72,INDEX(Assumptions!$G$67:$L$67,,CE$11)*CE$37)*CE$15</f>
        <v>1154770.2709523828</v>
      </c>
      <c r="CF65" s="290" cm="1">
        <f t="array" ref="CF65">IF(CF$11=1,Assumptions!$G72,INDEX(Assumptions!$G$67:$L$67,,CF$11)*CF$37)*CF$15</f>
        <v>1211371.7366232139</v>
      </c>
    </row>
    <row r="66" spans="5:84" outlineLevel="1">
      <c r="E66" s="64" t="str">
        <f>Assumptions!E73</f>
        <v>Meals &amp; Entertainment</v>
      </c>
      <c r="L66" s="167"/>
      <c r="M66" s="290" cm="1">
        <f t="array" ref="M66">IF(M$11=1,Assumptions!$G73,INDEX(Assumptions!$G$67:$L$67,,M$11)*M$37)*M$15</f>
        <v>0</v>
      </c>
      <c r="N66" s="290" cm="1">
        <f t="array" ref="N66">IF(N$11=1,Assumptions!$G73,INDEX(Assumptions!$G$67:$L$67,,N$11)*N$37)*N$15</f>
        <v>0</v>
      </c>
      <c r="O66" s="290" cm="1">
        <f t="array" ref="O66">IF(O$11=1,Assumptions!$G73,INDEX(Assumptions!$G$67:$L$67,,O$11)*O$37)*O$15</f>
        <v>0</v>
      </c>
      <c r="P66" s="290" cm="1">
        <f t="array" ref="P66">IF(P$11=1,Assumptions!$G73,INDEX(Assumptions!$G$67:$L$67,,P$11)*P$37)*P$15</f>
        <v>0</v>
      </c>
      <c r="Q66" s="290" cm="1">
        <f t="array" ref="Q66">IF(Q$11=1,Assumptions!$G73,INDEX(Assumptions!$G$67:$L$67,,Q$11)*Q$37)*Q$15</f>
        <v>0</v>
      </c>
      <c r="R66" s="290" cm="1">
        <f t="array" ref="R66">IF(R$11=1,Assumptions!$G73,INDEX(Assumptions!$G$67:$L$67,,R$11)*R$37)*R$15</f>
        <v>400</v>
      </c>
      <c r="S66" s="290" cm="1">
        <f t="array" ref="S66">IF(S$11=1,Assumptions!$G73,INDEX(Assumptions!$G$67:$L$67,,S$11)*S$37)*S$15</f>
        <v>400</v>
      </c>
      <c r="T66" s="290" cm="1">
        <f t="array" ref="T66">IF(T$11=1,Assumptions!$G73,INDEX(Assumptions!$G$67:$L$67,,T$11)*T$37)*T$15</f>
        <v>400</v>
      </c>
      <c r="U66" s="290" cm="1">
        <f t="array" ref="U66">IF(U$11=1,Assumptions!$G73,INDEX(Assumptions!$G$67:$L$67,,U$11)*U$37)*U$15</f>
        <v>400</v>
      </c>
      <c r="V66" s="290" cm="1">
        <f t="array" ref="V66">IF(V$11=1,Assumptions!$G73,INDEX(Assumptions!$G$67:$L$67,,V$11)*V$37)*V$15</f>
        <v>400</v>
      </c>
      <c r="W66" s="290" cm="1">
        <f t="array" ref="W66">IF(W$11=1,Assumptions!$G73,INDEX(Assumptions!$G$67:$L$67,,W$11)*W$37)*W$15</f>
        <v>400</v>
      </c>
      <c r="X66" s="290" cm="1">
        <f t="array" ref="X66">IF(X$11=1,Assumptions!$G73,INDEX(Assumptions!$G$67:$L$67,,X$11)*X$37)*X$15</f>
        <v>400</v>
      </c>
      <c r="Y66" s="290" cm="1">
        <f t="array" ref="Y66">IF(Y$11=1,Assumptions!$G73,INDEX(Assumptions!$G$67:$L$67,,Y$11)*Y$37)*Y$15</f>
        <v>319.95764166513845</v>
      </c>
      <c r="Z66" s="290" cm="1">
        <f t="array" ref="Z66">IF(Z$11=1,Assumptions!$G73,INDEX(Assumptions!$G$67:$L$67,,Z$11)*Z$37)*Z$15</f>
        <v>427.58660168714471</v>
      </c>
      <c r="AA66" s="290" cm="1">
        <f t="array" ref="AA66">IF(AA$11=1,Assumptions!$G73,INDEX(Assumptions!$G$67:$L$67,,AA$11)*AA$37)*AA$15</f>
        <v>535.21556170915096</v>
      </c>
      <c r="AB66" s="290" cm="1">
        <f t="array" ref="AB66">IF(AB$11=1,Assumptions!$G73,INDEX(Assumptions!$G$67:$L$67,,AB$11)*AB$37)*AB$15</f>
        <v>642.8445217311571</v>
      </c>
      <c r="AC66" s="290" cm="1">
        <f t="array" ref="AC66">IF(AC$11=1,Assumptions!$G73,INDEX(Assumptions!$G$67:$L$67,,AC$11)*AC$37)*AC$15</f>
        <v>750.47348175316324</v>
      </c>
      <c r="AD66" s="290" cm="1">
        <f t="array" ref="AD66">IF(AD$11=1,Assumptions!$G73,INDEX(Assumptions!$G$67:$L$67,,AD$11)*AD$37)*AD$15</f>
        <v>911.02244177516957</v>
      </c>
      <c r="AE66" s="290" cm="1">
        <f t="array" ref="AE66">IF(AE$11=1,Assumptions!$G73,INDEX(Assumptions!$G$67:$L$67,,AE$11)*AE$37)*AE$15</f>
        <v>1024.5314017971759</v>
      </c>
      <c r="AF66" s="290" cm="1">
        <f t="array" ref="AF66">IF(AF$11=1,Assumptions!$G73,INDEX(Assumptions!$G$67:$L$67,,AF$11)*AF$37)*AF$15</f>
        <v>1138.0403618191822</v>
      </c>
      <c r="AG66" s="290" cm="1">
        <f t="array" ref="AG66">IF(AG$11=1,Assumptions!$G73,INDEX(Assumptions!$G$67:$L$67,,AG$11)*AG$37)*AG$15</f>
        <v>1251.5493218411884</v>
      </c>
      <c r="AH66" s="290" cm="1">
        <f t="array" ref="AH66">IF(AH$11=1,Assumptions!$G73,INDEX(Assumptions!$G$67:$L$67,,AH$11)*AH$37)*AH$15</f>
        <v>1365.0582818631947</v>
      </c>
      <c r="AI66" s="290" cm="1">
        <f t="array" ref="AI66">IF(AI$11=1,Assumptions!$G73,INDEX(Assumptions!$G$67:$L$67,,AI$11)*AI$37)*AI$15</f>
        <v>1478.5672418852012</v>
      </c>
      <c r="AJ66" s="290" cm="1">
        <f t="array" ref="AJ66">IF(AJ$11=1,Assumptions!$G73,INDEX(Assumptions!$G$67:$L$67,,AJ$11)*AJ$37)*AJ$15</f>
        <v>1592.0762019072072</v>
      </c>
      <c r="AK66" s="290" cm="1">
        <f t="array" ref="AK66">IF(AK$11=1,Assumptions!$G73,INDEX(Assumptions!$G$67:$L$67,,AK$11)*AK$37)*AK$15</f>
        <v>4784.3307602455634</v>
      </c>
      <c r="AL66" s="290" cm="1">
        <f t="array" ref="AL66">IF(AL$11=1,Assumptions!$G73,INDEX(Assumptions!$G$67:$L$67,,AL$11)*AL$37)*AL$15</f>
        <v>5801.4550308523949</v>
      </c>
      <c r="AM66" s="290" cm="1">
        <f t="array" ref="AM66">IF(AM$11=1,Assumptions!$G73,INDEX(Assumptions!$G$67:$L$67,,AM$11)*AM$37)*AM$15</f>
        <v>6818.5793014592246</v>
      </c>
      <c r="AN66" s="290" cm="1">
        <f t="array" ref="AN66">IF(AN$11=1,Assumptions!$G73,INDEX(Assumptions!$G$67:$L$67,,AN$11)*AN$37)*AN$15</f>
        <v>7835.703572066056</v>
      </c>
      <c r="AO66" s="290" cm="1">
        <f t="array" ref="AO66">IF(AO$11=1,Assumptions!$G73,INDEX(Assumptions!$G$67:$L$67,,AO$11)*AO$37)*AO$15</f>
        <v>8852.8278426728866</v>
      </c>
      <c r="AP66" s="290" cm="1">
        <f t="array" ref="AP66">IF(AP$11=1,Assumptions!$G73,INDEX(Assumptions!$G$67:$L$67,,AP$11)*AP$37)*AP$15</f>
        <v>9869.9521132797181</v>
      </c>
      <c r="AQ66" s="290" cm="1">
        <f t="array" ref="AQ66">IF(AQ$11=1,Assumptions!$G73,INDEX(Assumptions!$G$67:$L$67,,AQ$11)*AQ$37)*AQ$15</f>
        <v>10887.076383886548</v>
      </c>
      <c r="AR66" s="290" cm="1">
        <f t="array" ref="AR66">IF(AR$11=1,Assumptions!$G73,INDEX(Assumptions!$G$67:$L$67,,AR$11)*AR$37)*AR$15</f>
        <v>11904.200654493379</v>
      </c>
      <c r="AS66" s="290" cm="1">
        <f t="array" ref="AS66">IF(AS$11=1,Assumptions!$G73,INDEX(Assumptions!$G$67:$L$67,,AS$11)*AS$37)*AS$15</f>
        <v>12921.324925100211</v>
      </c>
      <c r="AT66" s="290" cm="1">
        <f t="array" ref="AT66">IF(AT$11=1,Assumptions!$G73,INDEX(Assumptions!$G$67:$L$67,,AT$11)*AT$37)*AT$15</f>
        <v>13938.449195707042</v>
      </c>
      <c r="AU66" s="290" cm="1">
        <f t="array" ref="AU66">IF(AU$11=1,Assumptions!$G73,INDEX(Assumptions!$G$67:$L$67,,AU$11)*AU$37)*AU$15</f>
        <v>14955.573466313872</v>
      </c>
      <c r="AV66" s="290" cm="1">
        <f t="array" ref="AV66">IF(AV$11=1,Assumptions!$G73,INDEX(Assumptions!$G$67:$L$67,,AV$11)*AV$37)*AV$15</f>
        <v>15972.697736920705</v>
      </c>
      <c r="AW66" s="290" cm="1">
        <f t="array" ref="AW66">IF(AW$11=1,Assumptions!$G73,INDEX(Assumptions!$G$67:$L$67,,AW$11)*AW$37)*AW$15</f>
        <v>25082.729847192652</v>
      </c>
      <c r="AX66" s="290" cm="1">
        <f t="array" ref="AX66">IF(AX$11=1,Assumptions!$G73,INDEX(Assumptions!$G$67:$L$67,,AX$11)*AX$37)*AX$15</f>
        <v>28930.27918664382</v>
      </c>
      <c r="AY66" s="290" cm="1">
        <f t="array" ref="AY66">IF(AY$11=1,Assumptions!$G73,INDEX(Assumptions!$G$67:$L$67,,AY$11)*AY$37)*AY$15</f>
        <v>32777.828526094985</v>
      </c>
      <c r="AZ66" s="290" cm="1">
        <f t="array" ref="AZ66">IF(AZ$11=1,Assumptions!$G73,INDEX(Assumptions!$G$67:$L$67,,AZ$11)*AZ$37)*AZ$15</f>
        <v>36625.377865546157</v>
      </c>
      <c r="BA66" s="290" cm="1">
        <f t="array" ref="BA66">IF(BA$11=1,Assumptions!$G73,INDEX(Assumptions!$G$67:$L$67,,BA$11)*BA$37)*BA$15</f>
        <v>40472.927204997322</v>
      </c>
      <c r="BB66" s="290" cm="1">
        <f t="array" ref="BB66">IF(BB$11=1,Assumptions!$G73,INDEX(Assumptions!$G$67:$L$67,,BB$11)*BB$37)*BB$15</f>
        <v>44320.476544448495</v>
      </c>
      <c r="BC66" s="290" cm="1">
        <f t="array" ref="BC66">IF(BC$11=1,Assumptions!$G73,INDEX(Assumptions!$G$67:$L$67,,BC$11)*BC$37)*BC$15</f>
        <v>48168.02588389966</v>
      </c>
      <c r="BD66" s="290" cm="1">
        <f t="array" ref="BD66">IF(BD$11=1,Assumptions!$G73,INDEX(Assumptions!$G$67:$L$67,,BD$11)*BD$37)*BD$15</f>
        <v>52015.575223350817</v>
      </c>
      <c r="BE66" s="290" cm="1">
        <f t="array" ref="BE66">IF(BE$11=1,Assumptions!$G73,INDEX(Assumptions!$G$67:$L$67,,BE$11)*BE$37)*BE$15</f>
        <v>55863.12456280199</v>
      </c>
      <c r="BF66" s="290" cm="1">
        <f t="array" ref="BF66">IF(BF$11=1,Assumptions!$G73,INDEX(Assumptions!$G$67:$L$67,,BF$11)*BF$37)*BF$15</f>
        <v>59710.673902253155</v>
      </c>
      <c r="BG66" s="290" cm="1">
        <f t="array" ref="BG66">IF(BG$11=1,Assumptions!$G73,INDEX(Assumptions!$G$67:$L$67,,BG$11)*BG$37)*BG$15</f>
        <v>63558.223241704341</v>
      </c>
      <c r="BH66" s="290" cm="1">
        <f t="array" ref="BH66">IF(BH$11=1,Assumptions!$G73,INDEX(Assumptions!$G$67:$L$67,,BH$11)*BH$37)*BH$15</f>
        <v>67405.772581155499</v>
      </c>
      <c r="BI66" s="290" cm="1">
        <f t="array" ref="BI66">IF(BI$11=1,Assumptions!$G73,INDEX(Assumptions!$G$67:$L$67,,BI$11)*BI$37)*BI$15</f>
        <v>191019.47507913422</v>
      </c>
      <c r="BJ66" s="290" cm="1">
        <f t="array" ref="BJ66">IF(BJ$11=1,Assumptions!$G73,INDEX(Assumptions!$G$67:$L$67,,BJ$11)*BJ$37)*BJ$15</f>
        <v>214061.55957767056</v>
      </c>
      <c r="BK66" s="290" cm="1">
        <f t="array" ref="BK66">IF(BK$11=1,Assumptions!$G73,INDEX(Assumptions!$G$67:$L$67,,BK$11)*BK$37)*BK$15</f>
        <v>237103.64407620687</v>
      </c>
      <c r="BL66" s="290" cm="1">
        <f t="array" ref="BL66">IF(BL$11=1,Assumptions!$G73,INDEX(Assumptions!$G$67:$L$67,,BL$11)*BL$37)*BL$15</f>
        <v>260145.7285747432</v>
      </c>
      <c r="BM66" s="290" cm="1">
        <f t="array" ref="BM66">IF(BM$11=1,Assumptions!$G73,INDEX(Assumptions!$G$67:$L$67,,BM$11)*BM$37)*BM$15</f>
        <v>283187.81307327957</v>
      </c>
      <c r="BN66" s="290" cm="1">
        <f t="array" ref="BN66">IF(BN$11=1,Assumptions!$G73,INDEX(Assumptions!$G$67:$L$67,,BN$11)*BN$37)*BN$15</f>
        <v>306229.89757181593</v>
      </c>
      <c r="BO66" s="290" cm="1">
        <f t="array" ref="BO66">IF(BO$11=1,Assumptions!$G73,INDEX(Assumptions!$G$67:$L$67,,BO$11)*BO$37)*BO$15</f>
        <v>329271.98207035224</v>
      </c>
      <c r="BP66" s="290" cm="1">
        <f t="array" ref="BP66">IF(BP$11=1,Assumptions!$G73,INDEX(Assumptions!$G$67:$L$67,,BP$11)*BP$37)*BP$15</f>
        <v>352314.06656888861</v>
      </c>
      <c r="BQ66" s="290" cm="1">
        <f t="array" ref="BQ66">IF(BQ$11=1,Assumptions!$G73,INDEX(Assumptions!$G$67:$L$67,,BQ$11)*BQ$37)*BQ$15</f>
        <v>375356.15106742497</v>
      </c>
      <c r="BR66" s="290" cm="1">
        <f t="array" ref="BR66">IF(BR$11=1,Assumptions!$G73,INDEX(Assumptions!$G$67:$L$67,,BR$11)*BR$37)*BR$15</f>
        <v>398398.23556596134</v>
      </c>
      <c r="BS66" s="290" cm="1">
        <f t="array" ref="BS66">IF(BS$11=1,Assumptions!$G73,INDEX(Assumptions!$G$67:$L$67,,BS$11)*BS$37)*BS$15</f>
        <v>421440.32006449753</v>
      </c>
      <c r="BT66" s="290" cm="1">
        <f t="array" ref="BT66">IF(BT$11=1,Assumptions!$G73,INDEX(Assumptions!$G$67:$L$67,,BT$11)*BT$37)*BT$15</f>
        <v>444482.40456303395</v>
      </c>
      <c r="BU66" s="290" cm="1">
        <f t="array" ref="BU66">IF(BU$11=1,Assumptions!$G73,INDEX(Assumptions!$G$67:$L$67,,BU$11)*BU$37)*BU$15</f>
        <v>588755.61424407549</v>
      </c>
      <c r="BV66" s="290" cm="1">
        <f t="array" ref="BV66">IF(BV$11=1,Assumptions!$G73,INDEX(Assumptions!$G$67:$L$67,,BV$11)*BV$37)*BV$15</f>
        <v>645357.0799149063</v>
      </c>
      <c r="BW66" s="290" cm="1">
        <f t="array" ref="BW66">IF(BW$11=1,Assumptions!$G73,INDEX(Assumptions!$G$67:$L$67,,BW$11)*BW$37)*BW$15</f>
        <v>701958.5455857371</v>
      </c>
      <c r="BX66" s="290" cm="1">
        <f t="array" ref="BX66">IF(BX$11=1,Assumptions!$G73,INDEX(Assumptions!$G$67:$L$67,,BX$11)*BX$37)*BX$15</f>
        <v>758560.0112565679</v>
      </c>
      <c r="BY66" s="290" cm="1">
        <f t="array" ref="BY66">IF(BY$11=1,Assumptions!$G73,INDEX(Assumptions!$G$67:$L$67,,BY$11)*BY$37)*BY$15</f>
        <v>815161.47692739859</v>
      </c>
      <c r="BZ66" s="290" cm="1">
        <f t="array" ref="BZ66">IF(BZ$11=1,Assumptions!$G73,INDEX(Assumptions!$G$67:$L$67,,BZ$11)*BZ$37)*BZ$15</f>
        <v>871762.94259822927</v>
      </c>
      <c r="CA66" s="290" cm="1">
        <f t="array" ref="CA66">IF(CA$11=1,Assumptions!$G73,INDEX(Assumptions!$G$67:$L$67,,CA$11)*CA$37)*CA$15</f>
        <v>928364.40826905996</v>
      </c>
      <c r="CB66" s="290" cm="1">
        <f t="array" ref="CB66">IF(CB$11=1,Assumptions!$G73,INDEX(Assumptions!$G$67:$L$67,,CB$11)*CB$37)*CB$15</f>
        <v>984965.87393989088</v>
      </c>
      <c r="CC66" s="290" cm="1">
        <f t="array" ref="CC66">IF(CC$11=1,Assumptions!$G73,INDEX(Assumptions!$G$67:$L$67,,CC$11)*CC$37)*CC$15</f>
        <v>1041567.3396107217</v>
      </c>
      <c r="CD66" s="290" cm="1">
        <f t="array" ref="CD66">IF(CD$11=1,Assumptions!$G73,INDEX(Assumptions!$G$67:$L$67,,CD$11)*CD$37)*CD$15</f>
        <v>1098168.8052815525</v>
      </c>
      <c r="CE66" s="290" cm="1">
        <f t="array" ref="CE66">IF(CE$11=1,Assumptions!$G73,INDEX(Assumptions!$G$67:$L$67,,CE$11)*CE$37)*CE$15</f>
        <v>1154770.2709523828</v>
      </c>
      <c r="CF66" s="290" cm="1">
        <f t="array" ref="CF66">IF(CF$11=1,Assumptions!$G73,INDEX(Assumptions!$G$67:$L$67,,CF$11)*CF$37)*CF$15</f>
        <v>1211371.7366232139</v>
      </c>
    </row>
    <row r="67" spans="5:84" outlineLevel="1">
      <c r="E67" s="64" t="str">
        <f>Assumptions!E74</f>
        <v>Miscellaneous</v>
      </c>
      <c r="L67" s="167"/>
      <c r="M67" s="290" cm="1">
        <f t="array" ref="M67">IF(M$11=1,Assumptions!$G74,INDEX(Assumptions!$G$67:$L$67,,M$11)*M$37)*M$15</f>
        <v>0</v>
      </c>
      <c r="N67" s="290" cm="1">
        <f t="array" ref="N67">IF(N$11=1,Assumptions!$G74,INDEX(Assumptions!$G$67:$L$67,,N$11)*N$37)*N$15</f>
        <v>0</v>
      </c>
      <c r="O67" s="290" cm="1">
        <f t="array" ref="O67">IF(O$11=1,Assumptions!$G74,INDEX(Assumptions!$G$67:$L$67,,O$11)*O$37)*O$15</f>
        <v>0</v>
      </c>
      <c r="P67" s="290" cm="1">
        <f t="array" ref="P67">IF(P$11=1,Assumptions!$G74,INDEX(Assumptions!$G$67:$L$67,,P$11)*P$37)*P$15</f>
        <v>0</v>
      </c>
      <c r="Q67" s="290" cm="1">
        <f t="array" ref="Q67">IF(Q$11=1,Assumptions!$G74,INDEX(Assumptions!$G$67:$L$67,,Q$11)*Q$37)*Q$15</f>
        <v>0</v>
      </c>
      <c r="R67" s="290" cm="1">
        <f t="array" ref="R67">IF(R$11=1,Assumptions!$G74,INDEX(Assumptions!$G$67:$L$67,,R$11)*R$37)*R$15</f>
        <v>300</v>
      </c>
      <c r="S67" s="290" cm="1">
        <f t="array" ref="S67">IF(S$11=1,Assumptions!$G74,INDEX(Assumptions!$G$67:$L$67,,S$11)*S$37)*S$15</f>
        <v>300</v>
      </c>
      <c r="T67" s="290" cm="1">
        <f t="array" ref="T67">IF(T$11=1,Assumptions!$G74,INDEX(Assumptions!$G$67:$L$67,,T$11)*T$37)*T$15</f>
        <v>300</v>
      </c>
      <c r="U67" s="290" cm="1">
        <f t="array" ref="U67">IF(U$11=1,Assumptions!$G74,INDEX(Assumptions!$G$67:$L$67,,U$11)*U$37)*U$15</f>
        <v>300</v>
      </c>
      <c r="V67" s="290" cm="1">
        <f t="array" ref="V67">IF(V$11=1,Assumptions!$G74,INDEX(Assumptions!$G$67:$L$67,,V$11)*V$37)*V$15</f>
        <v>300</v>
      </c>
      <c r="W67" s="290" cm="1">
        <f t="array" ref="W67">IF(W$11=1,Assumptions!$G74,INDEX(Assumptions!$G$67:$L$67,,W$11)*W$37)*W$15</f>
        <v>300</v>
      </c>
      <c r="X67" s="290" cm="1">
        <f t="array" ref="X67">IF(X$11=1,Assumptions!$G74,INDEX(Assumptions!$G$67:$L$67,,X$11)*X$37)*X$15</f>
        <v>300</v>
      </c>
      <c r="Y67" s="290" cm="1">
        <f t="array" ref="Y67">IF(Y$11=1,Assumptions!$G74,INDEX(Assumptions!$G$67:$L$67,,Y$11)*Y$37)*Y$15</f>
        <v>319.95764166513845</v>
      </c>
      <c r="Z67" s="290" cm="1">
        <f t="array" ref="Z67">IF(Z$11=1,Assumptions!$G74,INDEX(Assumptions!$G$67:$L$67,,Z$11)*Z$37)*Z$15</f>
        <v>427.58660168714471</v>
      </c>
      <c r="AA67" s="290" cm="1">
        <f t="array" ref="AA67">IF(AA$11=1,Assumptions!$G74,INDEX(Assumptions!$G$67:$L$67,,AA$11)*AA$37)*AA$15</f>
        <v>535.21556170915096</v>
      </c>
      <c r="AB67" s="290" cm="1">
        <f t="array" ref="AB67">IF(AB$11=1,Assumptions!$G74,INDEX(Assumptions!$G$67:$L$67,,AB$11)*AB$37)*AB$15</f>
        <v>642.8445217311571</v>
      </c>
      <c r="AC67" s="290" cm="1">
        <f t="array" ref="AC67">IF(AC$11=1,Assumptions!$G74,INDEX(Assumptions!$G$67:$L$67,,AC$11)*AC$37)*AC$15</f>
        <v>750.47348175316324</v>
      </c>
      <c r="AD67" s="290" cm="1">
        <f t="array" ref="AD67">IF(AD$11=1,Assumptions!$G74,INDEX(Assumptions!$G$67:$L$67,,AD$11)*AD$37)*AD$15</f>
        <v>911.02244177516957</v>
      </c>
      <c r="AE67" s="290" cm="1">
        <f t="array" ref="AE67">IF(AE$11=1,Assumptions!$G74,INDEX(Assumptions!$G$67:$L$67,,AE$11)*AE$37)*AE$15</f>
        <v>1024.5314017971759</v>
      </c>
      <c r="AF67" s="290" cm="1">
        <f t="array" ref="AF67">IF(AF$11=1,Assumptions!$G74,INDEX(Assumptions!$G$67:$L$67,,AF$11)*AF$37)*AF$15</f>
        <v>1138.0403618191822</v>
      </c>
      <c r="AG67" s="290" cm="1">
        <f t="array" ref="AG67">IF(AG$11=1,Assumptions!$G74,INDEX(Assumptions!$G$67:$L$67,,AG$11)*AG$37)*AG$15</f>
        <v>1251.5493218411884</v>
      </c>
      <c r="AH67" s="290" cm="1">
        <f t="array" ref="AH67">IF(AH$11=1,Assumptions!$G74,INDEX(Assumptions!$G$67:$L$67,,AH$11)*AH$37)*AH$15</f>
        <v>1365.0582818631947</v>
      </c>
      <c r="AI67" s="290" cm="1">
        <f t="array" ref="AI67">IF(AI$11=1,Assumptions!$G74,INDEX(Assumptions!$G$67:$L$67,,AI$11)*AI$37)*AI$15</f>
        <v>1478.5672418852012</v>
      </c>
      <c r="AJ67" s="290" cm="1">
        <f t="array" ref="AJ67">IF(AJ$11=1,Assumptions!$G74,INDEX(Assumptions!$G$67:$L$67,,AJ$11)*AJ$37)*AJ$15</f>
        <v>1592.0762019072072</v>
      </c>
      <c r="AK67" s="290" cm="1">
        <f t="array" ref="AK67">IF(AK$11=1,Assumptions!$G74,INDEX(Assumptions!$G$67:$L$67,,AK$11)*AK$37)*AK$15</f>
        <v>4784.3307602455634</v>
      </c>
      <c r="AL67" s="290" cm="1">
        <f t="array" ref="AL67">IF(AL$11=1,Assumptions!$G74,INDEX(Assumptions!$G$67:$L$67,,AL$11)*AL$37)*AL$15</f>
        <v>5801.4550308523949</v>
      </c>
      <c r="AM67" s="290" cm="1">
        <f t="array" ref="AM67">IF(AM$11=1,Assumptions!$G74,INDEX(Assumptions!$G$67:$L$67,,AM$11)*AM$37)*AM$15</f>
        <v>6818.5793014592246</v>
      </c>
      <c r="AN67" s="290" cm="1">
        <f t="array" ref="AN67">IF(AN$11=1,Assumptions!$G74,INDEX(Assumptions!$G$67:$L$67,,AN$11)*AN$37)*AN$15</f>
        <v>7835.703572066056</v>
      </c>
      <c r="AO67" s="290" cm="1">
        <f t="array" ref="AO67">IF(AO$11=1,Assumptions!$G74,INDEX(Assumptions!$G$67:$L$67,,AO$11)*AO$37)*AO$15</f>
        <v>8852.8278426728866</v>
      </c>
      <c r="AP67" s="290" cm="1">
        <f t="array" ref="AP67">IF(AP$11=1,Assumptions!$G74,INDEX(Assumptions!$G$67:$L$67,,AP$11)*AP$37)*AP$15</f>
        <v>9869.9521132797181</v>
      </c>
      <c r="AQ67" s="290" cm="1">
        <f t="array" ref="AQ67">IF(AQ$11=1,Assumptions!$G74,INDEX(Assumptions!$G$67:$L$67,,AQ$11)*AQ$37)*AQ$15</f>
        <v>10887.076383886548</v>
      </c>
      <c r="AR67" s="290" cm="1">
        <f t="array" ref="AR67">IF(AR$11=1,Assumptions!$G74,INDEX(Assumptions!$G$67:$L$67,,AR$11)*AR$37)*AR$15</f>
        <v>11904.200654493379</v>
      </c>
      <c r="AS67" s="290" cm="1">
        <f t="array" ref="AS67">IF(AS$11=1,Assumptions!$G74,INDEX(Assumptions!$G$67:$L$67,,AS$11)*AS$37)*AS$15</f>
        <v>12921.324925100211</v>
      </c>
      <c r="AT67" s="290" cm="1">
        <f t="array" ref="AT67">IF(AT$11=1,Assumptions!$G74,INDEX(Assumptions!$G$67:$L$67,,AT$11)*AT$37)*AT$15</f>
        <v>13938.449195707042</v>
      </c>
      <c r="AU67" s="290" cm="1">
        <f t="array" ref="AU67">IF(AU$11=1,Assumptions!$G74,INDEX(Assumptions!$G$67:$L$67,,AU$11)*AU$37)*AU$15</f>
        <v>14955.573466313872</v>
      </c>
      <c r="AV67" s="290" cm="1">
        <f t="array" ref="AV67">IF(AV$11=1,Assumptions!$G74,INDEX(Assumptions!$G$67:$L$67,,AV$11)*AV$37)*AV$15</f>
        <v>15972.697736920705</v>
      </c>
      <c r="AW67" s="290" cm="1">
        <f t="array" ref="AW67">IF(AW$11=1,Assumptions!$G74,INDEX(Assumptions!$G$67:$L$67,,AW$11)*AW$37)*AW$15</f>
        <v>25082.729847192652</v>
      </c>
      <c r="AX67" s="290" cm="1">
        <f t="array" ref="AX67">IF(AX$11=1,Assumptions!$G74,INDEX(Assumptions!$G$67:$L$67,,AX$11)*AX$37)*AX$15</f>
        <v>28930.27918664382</v>
      </c>
      <c r="AY67" s="290" cm="1">
        <f t="array" ref="AY67">IF(AY$11=1,Assumptions!$G74,INDEX(Assumptions!$G$67:$L$67,,AY$11)*AY$37)*AY$15</f>
        <v>32777.828526094985</v>
      </c>
      <c r="AZ67" s="290" cm="1">
        <f t="array" ref="AZ67">IF(AZ$11=1,Assumptions!$G74,INDEX(Assumptions!$G$67:$L$67,,AZ$11)*AZ$37)*AZ$15</f>
        <v>36625.377865546157</v>
      </c>
      <c r="BA67" s="290" cm="1">
        <f t="array" ref="BA67">IF(BA$11=1,Assumptions!$G74,INDEX(Assumptions!$G$67:$L$67,,BA$11)*BA$37)*BA$15</f>
        <v>40472.927204997322</v>
      </c>
      <c r="BB67" s="290" cm="1">
        <f t="array" ref="BB67">IF(BB$11=1,Assumptions!$G74,INDEX(Assumptions!$G$67:$L$67,,BB$11)*BB$37)*BB$15</f>
        <v>44320.476544448495</v>
      </c>
      <c r="BC67" s="290" cm="1">
        <f t="array" ref="BC67">IF(BC$11=1,Assumptions!$G74,INDEX(Assumptions!$G$67:$L$67,,BC$11)*BC$37)*BC$15</f>
        <v>48168.02588389966</v>
      </c>
      <c r="BD67" s="290" cm="1">
        <f t="array" ref="BD67">IF(BD$11=1,Assumptions!$G74,INDEX(Assumptions!$G$67:$L$67,,BD$11)*BD$37)*BD$15</f>
        <v>52015.575223350817</v>
      </c>
      <c r="BE67" s="290" cm="1">
        <f t="array" ref="BE67">IF(BE$11=1,Assumptions!$G74,INDEX(Assumptions!$G$67:$L$67,,BE$11)*BE$37)*BE$15</f>
        <v>55863.12456280199</v>
      </c>
      <c r="BF67" s="290" cm="1">
        <f t="array" ref="BF67">IF(BF$11=1,Assumptions!$G74,INDEX(Assumptions!$G$67:$L$67,,BF$11)*BF$37)*BF$15</f>
        <v>59710.673902253155</v>
      </c>
      <c r="BG67" s="290" cm="1">
        <f t="array" ref="BG67">IF(BG$11=1,Assumptions!$G74,INDEX(Assumptions!$G$67:$L$67,,BG$11)*BG$37)*BG$15</f>
        <v>63558.223241704341</v>
      </c>
      <c r="BH67" s="290" cm="1">
        <f t="array" ref="BH67">IF(BH$11=1,Assumptions!$G74,INDEX(Assumptions!$G$67:$L$67,,BH$11)*BH$37)*BH$15</f>
        <v>67405.772581155499</v>
      </c>
      <c r="BI67" s="290" cm="1">
        <f t="array" ref="BI67">IF(BI$11=1,Assumptions!$G74,INDEX(Assumptions!$G$67:$L$67,,BI$11)*BI$37)*BI$15</f>
        <v>191019.47507913422</v>
      </c>
      <c r="BJ67" s="290" cm="1">
        <f t="array" ref="BJ67">IF(BJ$11=1,Assumptions!$G74,INDEX(Assumptions!$G$67:$L$67,,BJ$11)*BJ$37)*BJ$15</f>
        <v>214061.55957767056</v>
      </c>
      <c r="BK67" s="290" cm="1">
        <f t="array" ref="BK67">IF(BK$11=1,Assumptions!$G74,INDEX(Assumptions!$G$67:$L$67,,BK$11)*BK$37)*BK$15</f>
        <v>237103.64407620687</v>
      </c>
      <c r="BL67" s="290" cm="1">
        <f t="array" ref="BL67">IF(BL$11=1,Assumptions!$G74,INDEX(Assumptions!$G$67:$L$67,,BL$11)*BL$37)*BL$15</f>
        <v>260145.7285747432</v>
      </c>
      <c r="BM67" s="290" cm="1">
        <f t="array" ref="BM67">IF(BM$11=1,Assumptions!$G74,INDEX(Assumptions!$G$67:$L$67,,BM$11)*BM$37)*BM$15</f>
        <v>283187.81307327957</v>
      </c>
      <c r="BN67" s="290" cm="1">
        <f t="array" ref="BN67">IF(BN$11=1,Assumptions!$G74,INDEX(Assumptions!$G$67:$L$67,,BN$11)*BN$37)*BN$15</f>
        <v>306229.89757181593</v>
      </c>
      <c r="BO67" s="290" cm="1">
        <f t="array" ref="BO67">IF(BO$11=1,Assumptions!$G74,INDEX(Assumptions!$G$67:$L$67,,BO$11)*BO$37)*BO$15</f>
        <v>329271.98207035224</v>
      </c>
      <c r="BP67" s="290" cm="1">
        <f t="array" ref="BP67">IF(BP$11=1,Assumptions!$G74,INDEX(Assumptions!$G$67:$L$67,,BP$11)*BP$37)*BP$15</f>
        <v>352314.06656888861</v>
      </c>
      <c r="BQ67" s="290" cm="1">
        <f t="array" ref="BQ67">IF(BQ$11=1,Assumptions!$G74,INDEX(Assumptions!$G$67:$L$67,,BQ$11)*BQ$37)*BQ$15</f>
        <v>375356.15106742497</v>
      </c>
      <c r="BR67" s="290" cm="1">
        <f t="array" ref="BR67">IF(BR$11=1,Assumptions!$G74,INDEX(Assumptions!$G$67:$L$67,,BR$11)*BR$37)*BR$15</f>
        <v>398398.23556596134</v>
      </c>
      <c r="BS67" s="290" cm="1">
        <f t="array" ref="BS67">IF(BS$11=1,Assumptions!$G74,INDEX(Assumptions!$G$67:$L$67,,BS$11)*BS$37)*BS$15</f>
        <v>421440.32006449753</v>
      </c>
      <c r="BT67" s="290" cm="1">
        <f t="array" ref="BT67">IF(BT$11=1,Assumptions!$G74,INDEX(Assumptions!$G$67:$L$67,,BT$11)*BT$37)*BT$15</f>
        <v>444482.40456303395</v>
      </c>
      <c r="BU67" s="290" cm="1">
        <f t="array" ref="BU67">IF(BU$11=1,Assumptions!$G74,INDEX(Assumptions!$G$67:$L$67,,BU$11)*BU$37)*BU$15</f>
        <v>588755.61424407549</v>
      </c>
      <c r="BV67" s="290" cm="1">
        <f t="array" ref="BV67">IF(BV$11=1,Assumptions!$G74,INDEX(Assumptions!$G$67:$L$67,,BV$11)*BV$37)*BV$15</f>
        <v>645357.0799149063</v>
      </c>
      <c r="BW67" s="290" cm="1">
        <f t="array" ref="BW67">IF(BW$11=1,Assumptions!$G74,INDEX(Assumptions!$G$67:$L$67,,BW$11)*BW$37)*BW$15</f>
        <v>701958.5455857371</v>
      </c>
      <c r="BX67" s="290" cm="1">
        <f t="array" ref="BX67">IF(BX$11=1,Assumptions!$G74,INDEX(Assumptions!$G$67:$L$67,,BX$11)*BX$37)*BX$15</f>
        <v>758560.0112565679</v>
      </c>
      <c r="BY67" s="290" cm="1">
        <f t="array" ref="BY67">IF(BY$11=1,Assumptions!$G74,INDEX(Assumptions!$G$67:$L$67,,BY$11)*BY$37)*BY$15</f>
        <v>815161.47692739859</v>
      </c>
      <c r="BZ67" s="290" cm="1">
        <f t="array" ref="BZ67">IF(BZ$11=1,Assumptions!$G74,INDEX(Assumptions!$G$67:$L$67,,BZ$11)*BZ$37)*BZ$15</f>
        <v>871762.94259822927</v>
      </c>
      <c r="CA67" s="290" cm="1">
        <f t="array" ref="CA67">IF(CA$11=1,Assumptions!$G74,INDEX(Assumptions!$G$67:$L$67,,CA$11)*CA$37)*CA$15</f>
        <v>928364.40826905996</v>
      </c>
      <c r="CB67" s="290" cm="1">
        <f t="array" ref="CB67">IF(CB$11=1,Assumptions!$G74,INDEX(Assumptions!$G$67:$L$67,,CB$11)*CB$37)*CB$15</f>
        <v>984965.87393989088</v>
      </c>
      <c r="CC67" s="290" cm="1">
        <f t="array" ref="CC67">IF(CC$11=1,Assumptions!$G74,INDEX(Assumptions!$G$67:$L$67,,CC$11)*CC$37)*CC$15</f>
        <v>1041567.3396107217</v>
      </c>
      <c r="CD67" s="290" cm="1">
        <f t="array" ref="CD67">IF(CD$11=1,Assumptions!$G74,INDEX(Assumptions!$G$67:$L$67,,CD$11)*CD$37)*CD$15</f>
        <v>1098168.8052815525</v>
      </c>
      <c r="CE67" s="290" cm="1">
        <f t="array" ref="CE67">IF(CE$11=1,Assumptions!$G74,INDEX(Assumptions!$G$67:$L$67,,CE$11)*CE$37)*CE$15</f>
        <v>1154770.2709523828</v>
      </c>
      <c r="CF67" s="290" cm="1">
        <f t="array" ref="CF67">IF(CF$11=1,Assumptions!$G74,INDEX(Assumptions!$G$67:$L$67,,CF$11)*CF$37)*CF$15</f>
        <v>1211371.7366232139</v>
      </c>
    </row>
    <row r="68" spans="5:84" outlineLevel="1">
      <c r="E68" s="64" t="str">
        <f>Assumptions!E75</f>
        <v>Office Space &amp; Rent</v>
      </c>
      <c r="L68" s="167"/>
      <c r="M68" s="290" cm="1">
        <f t="array" ref="M68">IF(M$11=1,Assumptions!$G75,INDEX(Assumptions!$G$67:$L$67,,M$11)*M$37)*M$15</f>
        <v>0</v>
      </c>
      <c r="N68" s="290" cm="1">
        <f t="array" ref="N68">IF(N$11=1,Assumptions!$G75,INDEX(Assumptions!$G$67:$L$67,,N$11)*N$37)*N$15</f>
        <v>0</v>
      </c>
      <c r="O68" s="290" cm="1">
        <f t="array" ref="O68">IF(O$11=1,Assumptions!$G75,INDEX(Assumptions!$G$67:$L$67,,O$11)*O$37)*O$15</f>
        <v>0</v>
      </c>
      <c r="P68" s="290" cm="1">
        <f t="array" ref="P68">IF(P$11=1,Assumptions!$G75,INDEX(Assumptions!$G$67:$L$67,,P$11)*P$37)*P$15</f>
        <v>0</v>
      </c>
      <c r="Q68" s="290" cm="1">
        <f t="array" ref="Q68">IF(Q$11=1,Assumptions!$G75,INDEX(Assumptions!$G$67:$L$67,,Q$11)*Q$37)*Q$15</f>
        <v>0</v>
      </c>
      <c r="R68" s="290" cm="1">
        <f t="array" ref="R68">IF(R$11=1,Assumptions!$G75,INDEX(Assumptions!$G$67:$L$67,,R$11)*R$37)*R$15</f>
        <v>1800</v>
      </c>
      <c r="S68" s="290" cm="1">
        <f t="array" ref="S68">IF(S$11=1,Assumptions!$G75,INDEX(Assumptions!$G$67:$L$67,,S$11)*S$37)*S$15</f>
        <v>1800</v>
      </c>
      <c r="T68" s="290" cm="1">
        <f t="array" ref="T68">IF(T$11=1,Assumptions!$G75,INDEX(Assumptions!$G$67:$L$67,,T$11)*T$37)*T$15</f>
        <v>1800</v>
      </c>
      <c r="U68" s="290" cm="1">
        <f t="array" ref="U68">IF(U$11=1,Assumptions!$G75,INDEX(Assumptions!$G$67:$L$67,,U$11)*U$37)*U$15</f>
        <v>1800</v>
      </c>
      <c r="V68" s="290" cm="1">
        <f t="array" ref="V68">IF(V$11=1,Assumptions!$G75,INDEX(Assumptions!$G$67:$L$67,,V$11)*V$37)*V$15</f>
        <v>1800</v>
      </c>
      <c r="W68" s="290" cm="1">
        <f t="array" ref="W68">IF(W$11=1,Assumptions!$G75,INDEX(Assumptions!$G$67:$L$67,,W$11)*W$37)*W$15</f>
        <v>1800</v>
      </c>
      <c r="X68" s="290" cm="1">
        <f t="array" ref="X68">IF(X$11=1,Assumptions!$G75,INDEX(Assumptions!$G$67:$L$67,,X$11)*X$37)*X$15</f>
        <v>1800</v>
      </c>
      <c r="Y68" s="290" cm="1">
        <f t="array" ref="Y68">IF(Y$11=1,Assumptions!$G75,INDEX(Assumptions!$G$67:$L$67,,Y$11)*Y$37)*Y$15</f>
        <v>319.95764166513845</v>
      </c>
      <c r="Z68" s="290" cm="1">
        <f t="array" ref="Z68">IF(Z$11=1,Assumptions!$G75,INDEX(Assumptions!$G$67:$L$67,,Z$11)*Z$37)*Z$15</f>
        <v>427.58660168714471</v>
      </c>
      <c r="AA68" s="290" cm="1">
        <f t="array" ref="AA68">IF(AA$11=1,Assumptions!$G75,INDEX(Assumptions!$G$67:$L$67,,AA$11)*AA$37)*AA$15</f>
        <v>535.21556170915096</v>
      </c>
      <c r="AB68" s="290" cm="1">
        <f t="array" ref="AB68">IF(AB$11=1,Assumptions!$G75,INDEX(Assumptions!$G$67:$L$67,,AB$11)*AB$37)*AB$15</f>
        <v>642.8445217311571</v>
      </c>
      <c r="AC68" s="290" cm="1">
        <f t="array" ref="AC68">IF(AC$11=1,Assumptions!$G75,INDEX(Assumptions!$G$67:$L$67,,AC$11)*AC$37)*AC$15</f>
        <v>750.47348175316324</v>
      </c>
      <c r="AD68" s="290" cm="1">
        <f t="array" ref="AD68">IF(AD$11=1,Assumptions!$G75,INDEX(Assumptions!$G$67:$L$67,,AD$11)*AD$37)*AD$15</f>
        <v>911.02244177516957</v>
      </c>
      <c r="AE68" s="290" cm="1">
        <f t="array" ref="AE68">IF(AE$11=1,Assumptions!$G75,INDEX(Assumptions!$G$67:$L$67,,AE$11)*AE$37)*AE$15</f>
        <v>1024.5314017971759</v>
      </c>
      <c r="AF68" s="290" cm="1">
        <f t="array" ref="AF68">IF(AF$11=1,Assumptions!$G75,INDEX(Assumptions!$G$67:$L$67,,AF$11)*AF$37)*AF$15</f>
        <v>1138.0403618191822</v>
      </c>
      <c r="AG68" s="290" cm="1">
        <f t="array" ref="AG68">IF(AG$11=1,Assumptions!$G75,INDEX(Assumptions!$G$67:$L$67,,AG$11)*AG$37)*AG$15</f>
        <v>1251.5493218411884</v>
      </c>
      <c r="AH68" s="290" cm="1">
        <f t="array" ref="AH68">IF(AH$11=1,Assumptions!$G75,INDEX(Assumptions!$G$67:$L$67,,AH$11)*AH$37)*AH$15</f>
        <v>1365.0582818631947</v>
      </c>
      <c r="AI68" s="290" cm="1">
        <f t="array" ref="AI68">IF(AI$11=1,Assumptions!$G75,INDEX(Assumptions!$G$67:$L$67,,AI$11)*AI$37)*AI$15</f>
        <v>1478.5672418852012</v>
      </c>
      <c r="AJ68" s="290" cm="1">
        <f t="array" ref="AJ68">IF(AJ$11=1,Assumptions!$G75,INDEX(Assumptions!$G$67:$L$67,,AJ$11)*AJ$37)*AJ$15</f>
        <v>1592.0762019072072</v>
      </c>
      <c r="AK68" s="290" cm="1">
        <f t="array" ref="AK68">IF(AK$11=1,Assumptions!$G75,INDEX(Assumptions!$G$67:$L$67,,AK$11)*AK$37)*AK$15</f>
        <v>4784.3307602455634</v>
      </c>
      <c r="AL68" s="290" cm="1">
        <f t="array" ref="AL68">IF(AL$11=1,Assumptions!$G75,INDEX(Assumptions!$G$67:$L$67,,AL$11)*AL$37)*AL$15</f>
        <v>5801.4550308523949</v>
      </c>
      <c r="AM68" s="290" cm="1">
        <f t="array" ref="AM68">IF(AM$11=1,Assumptions!$G75,INDEX(Assumptions!$G$67:$L$67,,AM$11)*AM$37)*AM$15</f>
        <v>6818.5793014592246</v>
      </c>
      <c r="AN68" s="290" cm="1">
        <f t="array" ref="AN68">IF(AN$11=1,Assumptions!$G75,INDEX(Assumptions!$G$67:$L$67,,AN$11)*AN$37)*AN$15</f>
        <v>7835.703572066056</v>
      </c>
      <c r="AO68" s="290" cm="1">
        <f t="array" ref="AO68">IF(AO$11=1,Assumptions!$G75,INDEX(Assumptions!$G$67:$L$67,,AO$11)*AO$37)*AO$15</f>
        <v>8852.8278426728866</v>
      </c>
      <c r="AP68" s="290" cm="1">
        <f t="array" ref="AP68">IF(AP$11=1,Assumptions!$G75,INDEX(Assumptions!$G$67:$L$67,,AP$11)*AP$37)*AP$15</f>
        <v>9869.9521132797181</v>
      </c>
      <c r="AQ68" s="290" cm="1">
        <f t="array" ref="AQ68">IF(AQ$11=1,Assumptions!$G75,INDEX(Assumptions!$G$67:$L$67,,AQ$11)*AQ$37)*AQ$15</f>
        <v>10887.076383886548</v>
      </c>
      <c r="AR68" s="290" cm="1">
        <f t="array" ref="AR68">IF(AR$11=1,Assumptions!$G75,INDEX(Assumptions!$G$67:$L$67,,AR$11)*AR$37)*AR$15</f>
        <v>11904.200654493379</v>
      </c>
      <c r="AS68" s="290" cm="1">
        <f t="array" ref="AS68">IF(AS$11=1,Assumptions!$G75,INDEX(Assumptions!$G$67:$L$67,,AS$11)*AS$37)*AS$15</f>
        <v>12921.324925100211</v>
      </c>
      <c r="AT68" s="290" cm="1">
        <f t="array" ref="AT68">IF(AT$11=1,Assumptions!$G75,INDEX(Assumptions!$G$67:$L$67,,AT$11)*AT$37)*AT$15</f>
        <v>13938.449195707042</v>
      </c>
      <c r="AU68" s="290" cm="1">
        <f t="array" ref="AU68">IF(AU$11=1,Assumptions!$G75,INDEX(Assumptions!$G$67:$L$67,,AU$11)*AU$37)*AU$15</f>
        <v>14955.573466313872</v>
      </c>
      <c r="AV68" s="290" cm="1">
        <f t="array" ref="AV68">IF(AV$11=1,Assumptions!$G75,INDEX(Assumptions!$G$67:$L$67,,AV$11)*AV$37)*AV$15</f>
        <v>15972.697736920705</v>
      </c>
      <c r="AW68" s="290" cm="1">
        <f t="array" ref="AW68">IF(AW$11=1,Assumptions!$G75,INDEX(Assumptions!$G$67:$L$67,,AW$11)*AW$37)*AW$15</f>
        <v>25082.729847192652</v>
      </c>
      <c r="AX68" s="290" cm="1">
        <f t="array" ref="AX68">IF(AX$11=1,Assumptions!$G75,INDEX(Assumptions!$G$67:$L$67,,AX$11)*AX$37)*AX$15</f>
        <v>28930.27918664382</v>
      </c>
      <c r="AY68" s="290" cm="1">
        <f t="array" ref="AY68">IF(AY$11=1,Assumptions!$G75,INDEX(Assumptions!$G$67:$L$67,,AY$11)*AY$37)*AY$15</f>
        <v>32777.828526094985</v>
      </c>
      <c r="AZ68" s="290" cm="1">
        <f t="array" ref="AZ68">IF(AZ$11=1,Assumptions!$G75,INDEX(Assumptions!$G$67:$L$67,,AZ$11)*AZ$37)*AZ$15</f>
        <v>36625.377865546157</v>
      </c>
      <c r="BA68" s="290" cm="1">
        <f t="array" ref="BA68">IF(BA$11=1,Assumptions!$G75,INDEX(Assumptions!$G$67:$L$67,,BA$11)*BA$37)*BA$15</f>
        <v>40472.927204997322</v>
      </c>
      <c r="BB68" s="290" cm="1">
        <f t="array" ref="BB68">IF(BB$11=1,Assumptions!$G75,INDEX(Assumptions!$G$67:$L$67,,BB$11)*BB$37)*BB$15</f>
        <v>44320.476544448495</v>
      </c>
      <c r="BC68" s="290" cm="1">
        <f t="array" ref="BC68">IF(BC$11=1,Assumptions!$G75,INDEX(Assumptions!$G$67:$L$67,,BC$11)*BC$37)*BC$15</f>
        <v>48168.02588389966</v>
      </c>
      <c r="BD68" s="290" cm="1">
        <f t="array" ref="BD68">IF(BD$11=1,Assumptions!$G75,INDEX(Assumptions!$G$67:$L$67,,BD$11)*BD$37)*BD$15</f>
        <v>52015.575223350817</v>
      </c>
      <c r="BE68" s="290" cm="1">
        <f t="array" ref="BE68">IF(BE$11=1,Assumptions!$G75,INDEX(Assumptions!$G$67:$L$67,,BE$11)*BE$37)*BE$15</f>
        <v>55863.12456280199</v>
      </c>
      <c r="BF68" s="290" cm="1">
        <f t="array" ref="BF68">IF(BF$11=1,Assumptions!$G75,INDEX(Assumptions!$G$67:$L$67,,BF$11)*BF$37)*BF$15</f>
        <v>59710.673902253155</v>
      </c>
      <c r="BG68" s="290" cm="1">
        <f t="array" ref="BG68">IF(BG$11=1,Assumptions!$G75,INDEX(Assumptions!$G$67:$L$67,,BG$11)*BG$37)*BG$15</f>
        <v>63558.223241704341</v>
      </c>
      <c r="BH68" s="290" cm="1">
        <f t="array" ref="BH68">IF(BH$11=1,Assumptions!$G75,INDEX(Assumptions!$G$67:$L$67,,BH$11)*BH$37)*BH$15</f>
        <v>67405.772581155499</v>
      </c>
      <c r="BI68" s="290" cm="1">
        <f t="array" ref="BI68">IF(BI$11=1,Assumptions!$G75,INDEX(Assumptions!$G$67:$L$67,,BI$11)*BI$37)*BI$15</f>
        <v>191019.47507913422</v>
      </c>
      <c r="BJ68" s="290" cm="1">
        <f t="array" ref="BJ68">IF(BJ$11=1,Assumptions!$G75,INDEX(Assumptions!$G$67:$L$67,,BJ$11)*BJ$37)*BJ$15</f>
        <v>214061.55957767056</v>
      </c>
      <c r="BK68" s="290" cm="1">
        <f t="array" ref="BK68">IF(BK$11=1,Assumptions!$G75,INDEX(Assumptions!$G$67:$L$67,,BK$11)*BK$37)*BK$15</f>
        <v>237103.64407620687</v>
      </c>
      <c r="BL68" s="290" cm="1">
        <f t="array" ref="BL68">IF(BL$11=1,Assumptions!$G75,INDEX(Assumptions!$G$67:$L$67,,BL$11)*BL$37)*BL$15</f>
        <v>260145.7285747432</v>
      </c>
      <c r="BM68" s="290" cm="1">
        <f t="array" ref="BM68">IF(BM$11=1,Assumptions!$G75,INDEX(Assumptions!$G$67:$L$67,,BM$11)*BM$37)*BM$15</f>
        <v>283187.81307327957</v>
      </c>
      <c r="BN68" s="290" cm="1">
        <f t="array" ref="BN68">IF(BN$11=1,Assumptions!$G75,INDEX(Assumptions!$G$67:$L$67,,BN$11)*BN$37)*BN$15</f>
        <v>306229.89757181593</v>
      </c>
      <c r="BO68" s="290" cm="1">
        <f t="array" ref="BO68">IF(BO$11=1,Assumptions!$G75,INDEX(Assumptions!$G$67:$L$67,,BO$11)*BO$37)*BO$15</f>
        <v>329271.98207035224</v>
      </c>
      <c r="BP68" s="290" cm="1">
        <f t="array" ref="BP68">IF(BP$11=1,Assumptions!$G75,INDEX(Assumptions!$G$67:$L$67,,BP$11)*BP$37)*BP$15</f>
        <v>352314.06656888861</v>
      </c>
      <c r="BQ68" s="290" cm="1">
        <f t="array" ref="BQ68">IF(BQ$11=1,Assumptions!$G75,INDEX(Assumptions!$G$67:$L$67,,BQ$11)*BQ$37)*BQ$15</f>
        <v>375356.15106742497</v>
      </c>
      <c r="BR68" s="290" cm="1">
        <f t="array" ref="BR68">IF(BR$11=1,Assumptions!$G75,INDEX(Assumptions!$G$67:$L$67,,BR$11)*BR$37)*BR$15</f>
        <v>398398.23556596134</v>
      </c>
      <c r="BS68" s="290" cm="1">
        <f t="array" ref="BS68">IF(BS$11=1,Assumptions!$G75,INDEX(Assumptions!$G$67:$L$67,,BS$11)*BS$37)*BS$15</f>
        <v>421440.32006449753</v>
      </c>
      <c r="BT68" s="290" cm="1">
        <f t="array" ref="BT68">IF(BT$11=1,Assumptions!$G75,INDEX(Assumptions!$G$67:$L$67,,BT$11)*BT$37)*BT$15</f>
        <v>444482.40456303395</v>
      </c>
      <c r="BU68" s="290" cm="1">
        <f t="array" ref="BU68">IF(BU$11=1,Assumptions!$G75,INDEX(Assumptions!$G$67:$L$67,,BU$11)*BU$37)*BU$15</f>
        <v>588755.61424407549</v>
      </c>
      <c r="BV68" s="290" cm="1">
        <f t="array" ref="BV68">IF(BV$11=1,Assumptions!$G75,INDEX(Assumptions!$G$67:$L$67,,BV$11)*BV$37)*BV$15</f>
        <v>645357.0799149063</v>
      </c>
      <c r="BW68" s="290" cm="1">
        <f t="array" ref="BW68">IF(BW$11=1,Assumptions!$G75,INDEX(Assumptions!$G$67:$L$67,,BW$11)*BW$37)*BW$15</f>
        <v>701958.5455857371</v>
      </c>
      <c r="BX68" s="290" cm="1">
        <f t="array" ref="BX68">IF(BX$11=1,Assumptions!$G75,INDEX(Assumptions!$G$67:$L$67,,BX$11)*BX$37)*BX$15</f>
        <v>758560.0112565679</v>
      </c>
      <c r="BY68" s="290" cm="1">
        <f t="array" ref="BY68">IF(BY$11=1,Assumptions!$G75,INDEX(Assumptions!$G$67:$L$67,,BY$11)*BY$37)*BY$15</f>
        <v>815161.47692739859</v>
      </c>
      <c r="BZ68" s="290" cm="1">
        <f t="array" ref="BZ68">IF(BZ$11=1,Assumptions!$G75,INDEX(Assumptions!$G$67:$L$67,,BZ$11)*BZ$37)*BZ$15</f>
        <v>871762.94259822927</v>
      </c>
      <c r="CA68" s="290" cm="1">
        <f t="array" ref="CA68">IF(CA$11=1,Assumptions!$G75,INDEX(Assumptions!$G$67:$L$67,,CA$11)*CA$37)*CA$15</f>
        <v>928364.40826905996</v>
      </c>
      <c r="CB68" s="290" cm="1">
        <f t="array" ref="CB68">IF(CB$11=1,Assumptions!$G75,INDEX(Assumptions!$G$67:$L$67,,CB$11)*CB$37)*CB$15</f>
        <v>984965.87393989088</v>
      </c>
      <c r="CC68" s="290" cm="1">
        <f t="array" ref="CC68">IF(CC$11=1,Assumptions!$G75,INDEX(Assumptions!$G$67:$L$67,,CC$11)*CC$37)*CC$15</f>
        <v>1041567.3396107217</v>
      </c>
      <c r="CD68" s="290" cm="1">
        <f t="array" ref="CD68">IF(CD$11=1,Assumptions!$G75,INDEX(Assumptions!$G$67:$L$67,,CD$11)*CD$37)*CD$15</f>
        <v>1098168.8052815525</v>
      </c>
      <c r="CE68" s="290" cm="1">
        <f t="array" ref="CE68">IF(CE$11=1,Assumptions!$G75,INDEX(Assumptions!$G$67:$L$67,,CE$11)*CE$37)*CE$15</f>
        <v>1154770.2709523828</v>
      </c>
      <c r="CF68" s="290" cm="1">
        <f t="array" ref="CF68">IF(CF$11=1,Assumptions!$G75,INDEX(Assumptions!$G$67:$L$67,,CF$11)*CF$37)*CF$15</f>
        <v>1211371.7366232139</v>
      </c>
    </row>
    <row r="69" spans="5:84" outlineLevel="1">
      <c r="E69" s="64" t="str">
        <f>Assumptions!E76</f>
        <v>Other</v>
      </c>
      <c r="L69" s="167"/>
      <c r="M69" s="290" cm="1">
        <f t="array" ref="M69">IF(M$11=1,Assumptions!$G76,INDEX(Assumptions!$G$67:$L$67,,M$11)*M$37)*M$15</f>
        <v>0</v>
      </c>
      <c r="N69" s="290" cm="1">
        <f t="array" ref="N69">IF(N$11=1,Assumptions!$G76,INDEX(Assumptions!$G$67:$L$67,,N$11)*N$37)*N$15</f>
        <v>0</v>
      </c>
      <c r="O69" s="290" cm="1">
        <f t="array" ref="O69">IF(O$11=1,Assumptions!$G76,INDEX(Assumptions!$G$67:$L$67,,O$11)*O$37)*O$15</f>
        <v>0</v>
      </c>
      <c r="P69" s="290" cm="1">
        <f t="array" ref="P69">IF(P$11=1,Assumptions!$G76,INDEX(Assumptions!$G$67:$L$67,,P$11)*P$37)*P$15</f>
        <v>0</v>
      </c>
      <c r="Q69" s="290" cm="1">
        <f t="array" ref="Q69">IF(Q$11=1,Assumptions!$G76,INDEX(Assumptions!$G$67:$L$67,,Q$11)*Q$37)*Q$15</f>
        <v>0</v>
      </c>
      <c r="R69" s="290" cm="1">
        <f t="array" ref="R69">IF(R$11=1,Assumptions!$G76,INDEX(Assumptions!$G$67:$L$67,,R$11)*R$37)*R$15</f>
        <v>400</v>
      </c>
      <c r="S69" s="290" cm="1">
        <f t="array" ref="S69">IF(S$11=1,Assumptions!$G76,INDEX(Assumptions!$G$67:$L$67,,S$11)*S$37)*S$15</f>
        <v>400</v>
      </c>
      <c r="T69" s="290" cm="1">
        <f t="array" ref="T69">IF(T$11=1,Assumptions!$G76,INDEX(Assumptions!$G$67:$L$67,,T$11)*T$37)*T$15</f>
        <v>400</v>
      </c>
      <c r="U69" s="290" cm="1">
        <f t="array" ref="U69">IF(U$11=1,Assumptions!$G76,INDEX(Assumptions!$G$67:$L$67,,U$11)*U$37)*U$15</f>
        <v>400</v>
      </c>
      <c r="V69" s="290" cm="1">
        <f t="array" ref="V69">IF(V$11=1,Assumptions!$G76,INDEX(Assumptions!$G$67:$L$67,,V$11)*V$37)*V$15</f>
        <v>400</v>
      </c>
      <c r="W69" s="290" cm="1">
        <f t="array" ref="W69">IF(W$11=1,Assumptions!$G76,INDEX(Assumptions!$G$67:$L$67,,W$11)*W$37)*W$15</f>
        <v>400</v>
      </c>
      <c r="X69" s="290" cm="1">
        <f t="array" ref="X69">IF(X$11=1,Assumptions!$G76,INDEX(Assumptions!$G$67:$L$67,,X$11)*X$37)*X$15</f>
        <v>400</v>
      </c>
      <c r="Y69" s="290" cm="1">
        <f t="array" ref="Y69">IF(Y$11=1,Assumptions!$G76,INDEX(Assumptions!$G$67:$L$67,,Y$11)*Y$37)*Y$15</f>
        <v>319.95764166513845</v>
      </c>
      <c r="Z69" s="290" cm="1">
        <f t="array" ref="Z69">IF(Z$11=1,Assumptions!$G76,INDEX(Assumptions!$G$67:$L$67,,Z$11)*Z$37)*Z$15</f>
        <v>427.58660168714471</v>
      </c>
      <c r="AA69" s="290" cm="1">
        <f t="array" ref="AA69">IF(AA$11=1,Assumptions!$G76,INDEX(Assumptions!$G$67:$L$67,,AA$11)*AA$37)*AA$15</f>
        <v>535.21556170915096</v>
      </c>
      <c r="AB69" s="290" cm="1">
        <f t="array" ref="AB69">IF(AB$11=1,Assumptions!$G76,INDEX(Assumptions!$G$67:$L$67,,AB$11)*AB$37)*AB$15</f>
        <v>642.8445217311571</v>
      </c>
      <c r="AC69" s="290" cm="1">
        <f t="array" ref="AC69">IF(AC$11=1,Assumptions!$G76,INDEX(Assumptions!$G$67:$L$67,,AC$11)*AC$37)*AC$15</f>
        <v>750.47348175316324</v>
      </c>
      <c r="AD69" s="290" cm="1">
        <f t="array" ref="AD69">IF(AD$11=1,Assumptions!$G76,INDEX(Assumptions!$G$67:$L$67,,AD$11)*AD$37)*AD$15</f>
        <v>911.02244177516957</v>
      </c>
      <c r="AE69" s="290" cm="1">
        <f t="array" ref="AE69">IF(AE$11=1,Assumptions!$G76,INDEX(Assumptions!$G$67:$L$67,,AE$11)*AE$37)*AE$15</f>
        <v>1024.5314017971759</v>
      </c>
      <c r="AF69" s="290" cm="1">
        <f t="array" ref="AF69">IF(AF$11=1,Assumptions!$G76,INDEX(Assumptions!$G$67:$L$67,,AF$11)*AF$37)*AF$15</f>
        <v>1138.0403618191822</v>
      </c>
      <c r="AG69" s="290" cm="1">
        <f t="array" ref="AG69">IF(AG$11=1,Assumptions!$G76,INDEX(Assumptions!$G$67:$L$67,,AG$11)*AG$37)*AG$15</f>
        <v>1251.5493218411884</v>
      </c>
      <c r="AH69" s="290" cm="1">
        <f t="array" ref="AH69">IF(AH$11=1,Assumptions!$G76,INDEX(Assumptions!$G$67:$L$67,,AH$11)*AH$37)*AH$15</f>
        <v>1365.0582818631947</v>
      </c>
      <c r="AI69" s="290" cm="1">
        <f t="array" ref="AI69">IF(AI$11=1,Assumptions!$G76,INDEX(Assumptions!$G$67:$L$67,,AI$11)*AI$37)*AI$15</f>
        <v>1478.5672418852012</v>
      </c>
      <c r="AJ69" s="290" cm="1">
        <f t="array" ref="AJ69">IF(AJ$11=1,Assumptions!$G76,INDEX(Assumptions!$G$67:$L$67,,AJ$11)*AJ$37)*AJ$15</f>
        <v>1592.0762019072072</v>
      </c>
      <c r="AK69" s="290" cm="1">
        <f t="array" ref="AK69">IF(AK$11=1,Assumptions!$G76,INDEX(Assumptions!$G$67:$L$67,,AK$11)*AK$37)*AK$15</f>
        <v>4784.3307602455634</v>
      </c>
      <c r="AL69" s="290" cm="1">
        <f t="array" ref="AL69">IF(AL$11=1,Assumptions!$G76,INDEX(Assumptions!$G$67:$L$67,,AL$11)*AL$37)*AL$15</f>
        <v>5801.4550308523949</v>
      </c>
      <c r="AM69" s="290" cm="1">
        <f t="array" ref="AM69">IF(AM$11=1,Assumptions!$G76,INDEX(Assumptions!$G$67:$L$67,,AM$11)*AM$37)*AM$15</f>
        <v>6818.5793014592246</v>
      </c>
      <c r="AN69" s="290" cm="1">
        <f t="array" ref="AN69">IF(AN$11=1,Assumptions!$G76,INDEX(Assumptions!$G$67:$L$67,,AN$11)*AN$37)*AN$15</f>
        <v>7835.703572066056</v>
      </c>
      <c r="AO69" s="290" cm="1">
        <f t="array" ref="AO69">IF(AO$11=1,Assumptions!$G76,INDEX(Assumptions!$G$67:$L$67,,AO$11)*AO$37)*AO$15</f>
        <v>8852.8278426728866</v>
      </c>
      <c r="AP69" s="290" cm="1">
        <f t="array" ref="AP69">IF(AP$11=1,Assumptions!$G76,INDEX(Assumptions!$G$67:$L$67,,AP$11)*AP$37)*AP$15</f>
        <v>9869.9521132797181</v>
      </c>
      <c r="AQ69" s="290" cm="1">
        <f t="array" ref="AQ69">IF(AQ$11=1,Assumptions!$G76,INDEX(Assumptions!$G$67:$L$67,,AQ$11)*AQ$37)*AQ$15</f>
        <v>10887.076383886548</v>
      </c>
      <c r="AR69" s="290" cm="1">
        <f t="array" ref="AR69">IF(AR$11=1,Assumptions!$G76,INDEX(Assumptions!$G$67:$L$67,,AR$11)*AR$37)*AR$15</f>
        <v>11904.200654493379</v>
      </c>
      <c r="AS69" s="290" cm="1">
        <f t="array" ref="AS69">IF(AS$11=1,Assumptions!$G76,INDEX(Assumptions!$G$67:$L$67,,AS$11)*AS$37)*AS$15</f>
        <v>12921.324925100211</v>
      </c>
      <c r="AT69" s="290" cm="1">
        <f t="array" ref="AT69">IF(AT$11=1,Assumptions!$G76,INDEX(Assumptions!$G$67:$L$67,,AT$11)*AT$37)*AT$15</f>
        <v>13938.449195707042</v>
      </c>
      <c r="AU69" s="290" cm="1">
        <f t="array" ref="AU69">IF(AU$11=1,Assumptions!$G76,INDEX(Assumptions!$G$67:$L$67,,AU$11)*AU$37)*AU$15</f>
        <v>14955.573466313872</v>
      </c>
      <c r="AV69" s="290" cm="1">
        <f t="array" ref="AV69">IF(AV$11=1,Assumptions!$G76,INDEX(Assumptions!$G$67:$L$67,,AV$11)*AV$37)*AV$15</f>
        <v>15972.697736920705</v>
      </c>
      <c r="AW69" s="290" cm="1">
        <f t="array" ref="AW69">IF(AW$11=1,Assumptions!$G76,INDEX(Assumptions!$G$67:$L$67,,AW$11)*AW$37)*AW$15</f>
        <v>25082.729847192652</v>
      </c>
      <c r="AX69" s="290" cm="1">
        <f t="array" ref="AX69">IF(AX$11=1,Assumptions!$G76,INDEX(Assumptions!$G$67:$L$67,,AX$11)*AX$37)*AX$15</f>
        <v>28930.27918664382</v>
      </c>
      <c r="AY69" s="290" cm="1">
        <f t="array" ref="AY69">IF(AY$11=1,Assumptions!$G76,INDEX(Assumptions!$G$67:$L$67,,AY$11)*AY$37)*AY$15</f>
        <v>32777.828526094985</v>
      </c>
      <c r="AZ69" s="290" cm="1">
        <f t="array" ref="AZ69">IF(AZ$11=1,Assumptions!$G76,INDEX(Assumptions!$G$67:$L$67,,AZ$11)*AZ$37)*AZ$15</f>
        <v>36625.377865546157</v>
      </c>
      <c r="BA69" s="290" cm="1">
        <f t="array" ref="BA69">IF(BA$11=1,Assumptions!$G76,INDEX(Assumptions!$G$67:$L$67,,BA$11)*BA$37)*BA$15</f>
        <v>40472.927204997322</v>
      </c>
      <c r="BB69" s="290" cm="1">
        <f t="array" ref="BB69">IF(BB$11=1,Assumptions!$G76,INDEX(Assumptions!$G$67:$L$67,,BB$11)*BB$37)*BB$15</f>
        <v>44320.476544448495</v>
      </c>
      <c r="BC69" s="290" cm="1">
        <f t="array" ref="BC69">IF(BC$11=1,Assumptions!$G76,INDEX(Assumptions!$G$67:$L$67,,BC$11)*BC$37)*BC$15</f>
        <v>48168.02588389966</v>
      </c>
      <c r="BD69" s="290" cm="1">
        <f t="array" ref="BD69">IF(BD$11=1,Assumptions!$G76,INDEX(Assumptions!$G$67:$L$67,,BD$11)*BD$37)*BD$15</f>
        <v>52015.575223350817</v>
      </c>
      <c r="BE69" s="290" cm="1">
        <f t="array" ref="BE69">IF(BE$11=1,Assumptions!$G76,INDEX(Assumptions!$G$67:$L$67,,BE$11)*BE$37)*BE$15</f>
        <v>55863.12456280199</v>
      </c>
      <c r="BF69" s="290" cm="1">
        <f t="array" ref="BF69">IF(BF$11=1,Assumptions!$G76,INDEX(Assumptions!$G$67:$L$67,,BF$11)*BF$37)*BF$15</f>
        <v>59710.673902253155</v>
      </c>
      <c r="BG69" s="290" cm="1">
        <f t="array" ref="BG69">IF(BG$11=1,Assumptions!$G76,INDEX(Assumptions!$G$67:$L$67,,BG$11)*BG$37)*BG$15</f>
        <v>63558.223241704341</v>
      </c>
      <c r="BH69" s="290" cm="1">
        <f t="array" ref="BH69">IF(BH$11=1,Assumptions!$G76,INDEX(Assumptions!$G$67:$L$67,,BH$11)*BH$37)*BH$15</f>
        <v>67405.772581155499</v>
      </c>
      <c r="BI69" s="290" cm="1">
        <f t="array" ref="BI69">IF(BI$11=1,Assumptions!$G76,INDEX(Assumptions!$G$67:$L$67,,BI$11)*BI$37)*BI$15</f>
        <v>191019.47507913422</v>
      </c>
      <c r="BJ69" s="290" cm="1">
        <f t="array" ref="BJ69">IF(BJ$11=1,Assumptions!$G76,INDEX(Assumptions!$G$67:$L$67,,BJ$11)*BJ$37)*BJ$15</f>
        <v>214061.55957767056</v>
      </c>
      <c r="BK69" s="290" cm="1">
        <f t="array" ref="BK69">IF(BK$11=1,Assumptions!$G76,INDEX(Assumptions!$G$67:$L$67,,BK$11)*BK$37)*BK$15</f>
        <v>237103.64407620687</v>
      </c>
      <c r="BL69" s="290" cm="1">
        <f t="array" ref="BL69">IF(BL$11=1,Assumptions!$G76,INDEX(Assumptions!$G$67:$L$67,,BL$11)*BL$37)*BL$15</f>
        <v>260145.7285747432</v>
      </c>
      <c r="BM69" s="290" cm="1">
        <f t="array" ref="BM69">IF(BM$11=1,Assumptions!$G76,INDEX(Assumptions!$G$67:$L$67,,BM$11)*BM$37)*BM$15</f>
        <v>283187.81307327957</v>
      </c>
      <c r="BN69" s="290" cm="1">
        <f t="array" ref="BN69">IF(BN$11=1,Assumptions!$G76,INDEX(Assumptions!$G$67:$L$67,,BN$11)*BN$37)*BN$15</f>
        <v>306229.89757181593</v>
      </c>
      <c r="BO69" s="290" cm="1">
        <f t="array" ref="BO69">IF(BO$11=1,Assumptions!$G76,INDEX(Assumptions!$G$67:$L$67,,BO$11)*BO$37)*BO$15</f>
        <v>329271.98207035224</v>
      </c>
      <c r="BP69" s="290" cm="1">
        <f t="array" ref="BP69">IF(BP$11=1,Assumptions!$G76,INDEX(Assumptions!$G$67:$L$67,,BP$11)*BP$37)*BP$15</f>
        <v>352314.06656888861</v>
      </c>
      <c r="BQ69" s="290" cm="1">
        <f t="array" ref="BQ69">IF(BQ$11=1,Assumptions!$G76,INDEX(Assumptions!$G$67:$L$67,,BQ$11)*BQ$37)*BQ$15</f>
        <v>375356.15106742497</v>
      </c>
      <c r="BR69" s="290" cm="1">
        <f t="array" ref="BR69">IF(BR$11=1,Assumptions!$G76,INDEX(Assumptions!$G$67:$L$67,,BR$11)*BR$37)*BR$15</f>
        <v>398398.23556596134</v>
      </c>
      <c r="BS69" s="290" cm="1">
        <f t="array" ref="BS69">IF(BS$11=1,Assumptions!$G76,INDEX(Assumptions!$G$67:$L$67,,BS$11)*BS$37)*BS$15</f>
        <v>421440.32006449753</v>
      </c>
      <c r="BT69" s="290" cm="1">
        <f t="array" ref="BT69">IF(BT$11=1,Assumptions!$G76,INDEX(Assumptions!$G$67:$L$67,,BT$11)*BT$37)*BT$15</f>
        <v>444482.40456303395</v>
      </c>
      <c r="BU69" s="290" cm="1">
        <f t="array" ref="BU69">IF(BU$11=1,Assumptions!$G76,INDEX(Assumptions!$G$67:$L$67,,BU$11)*BU$37)*BU$15</f>
        <v>588755.61424407549</v>
      </c>
      <c r="BV69" s="290" cm="1">
        <f t="array" ref="BV69">IF(BV$11=1,Assumptions!$G76,INDEX(Assumptions!$G$67:$L$67,,BV$11)*BV$37)*BV$15</f>
        <v>645357.0799149063</v>
      </c>
      <c r="BW69" s="290" cm="1">
        <f t="array" ref="BW69">IF(BW$11=1,Assumptions!$G76,INDEX(Assumptions!$G$67:$L$67,,BW$11)*BW$37)*BW$15</f>
        <v>701958.5455857371</v>
      </c>
      <c r="BX69" s="290" cm="1">
        <f t="array" ref="BX69">IF(BX$11=1,Assumptions!$G76,INDEX(Assumptions!$G$67:$L$67,,BX$11)*BX$37)*BX$15</f>
        <v>758560.0112565679</v>
      </c>
      <c r="BY69" s="290" cm="1">
        <f t="array" ref="BY69">IF(BY$11=1,Assumptions!$G76,INDEX(Assumptions!$G$67:$L$67,,BY$11)*BY$37)*BY$15</f>
        <v>815161.47692739859</v>
      </c>
      <c r="BZ69" s="290" cm="1">
        <f t="array" ref="BZ69">IF(BZ$11=1,Assumptions!$G76,INDEX(Assumptions!$G$67:$L$67,,BZ$11)*BZ$37)*BZ$15</f>
        <v>871762.94259822927</v>
      </c>
      <c r="CA69" s="290" cm="1">
        <f t="array" ref="CA69">IF(CA$11=1,Assumptions!$G76,INDEX(Assumptions!$G$67:$L$67,,CA$11)*CA$37)*CA$15</f>
        <v>928364.40826905996</v>
      </c>
      <c r="CB69" s="290" cm="1">
        <f t="array" ref="CB69">IF(CB$11=1,Assumptions!$G76,INDEX(Assumptions!$G$67:$L$67,,CB$11)*CB$37)*CB$15</f>
        <v>984965.87393989088</v>
      </c>
      <c r="CC69" s="290" cm="1">
        <f t="array" ref="CC69">IF(CC$11=1,Assumptions!$G76,INDEX(Assumptions!$G$67:$L$67,,CC$11)*CC$37)*CC$15</f>
        <v>1041567.3396107217</v>
      </c>
      <c r="CD69" s="290" cm="1">
        <f t="array" ref="CD69">IF(CD$11=1,Assumptions!$G76,INDEX(Assumptions!$G$67:$L$67,,CD$11)*CD$37)*CD$15</f>
        <v>1098168.8052815525</v>
      </c>
      <c r="CE69" s="290" cm="1">
        <f t="array" ref="CE69">IF(CE$11=1,Assumptions!$G76,INDEX(Assumptions!$G$67:$L$67,,CE$11)*CE$37)*CE$15</f>
        <v>1154770.2709523828</v>
      </c>
      <c r="CF69" s="290" cm="1">
        <f t="array" ref="CF69">IF(CF$11=1,Assumptions!$G76,INDEX(Assumptions!$G$67:$L$67,,CF$11)*CF$37)*CF$15</f>
        <v>1211371.7366232139</v>
      </c>
    </row>
    <row r="70" spans="5:84" outlineLevel="1">
      <c r="E70" s="64" t="str">
        <f>Assumptions!E77</f>
        <v>Professional Services</v>
      </c>
      <c r="L70" s="167"/>
      <c r="M70" s="290" cm="1">
        <f t="array" ref="M70">IF(M$11=1,Assumptions!$G77,INDEX(Assumptions!$G$67:$L$67,,M$11)*M$37)*M$15</f>
        <v>0</v>
      </c>
      <c r="N70" s="290" cm="1">
        <f t="array" ref="N70">IF(N$11=1,Assumptions!$G77,INDEX(Assumptions!$G$67:$L$67,,N$11)*N$37)*N$15</f>
        <v>0</v>
      </c>
      <c r="O70" s="290" cm="1">
        <f t="array" ref="O70">IF(O$11=1,Assumptions!$G77,INDEX(Assumptions!$G$67:$L$67,,O$11)*O$37)*O$15</f>
        <v>0</v>
      </c>
      <c r="P70" s="290" cm="1">
        <f t="array" ref="P70">IF(P$11=1,Assumptions!$G77,INDEX(Assumptions!$G$67:$L$67,,P$11)*P$37)*P$15</f>
        <v>0</v>
      </c>
      <c r="Q70" s="290" cm="1">
        <f t="array" ref="Q70">IF(Q$11=1,Assumptions!$G77,INDEX(Assumptions!$G$67:$L$67,,Q$11)*Q$37)*Q$15</f>
        <v>0</v>
      </c>
      <c r="R70" s="290" cm="1">
        <f t="array" ref="R70">IF(R$11=1,Assumptions!$G77,INDEX(Assumptions!$G$67:$L$67,,R$11)*R$37)*R$15</f>
        <v>2200</v>
      </c>
      <c r="S70" s="290" cm="1">
        <f t="array" ref="S70">IF(S$11=1,Assumptions!$G77,INDEX(Assumptions!$G$67:$L$67,,S$11)*S$37)*S$15</f>
        <v>2200</v>
      </c>
      <c r="T70" s="290" cm="1">
        <f t="array" ref="T70">IF(T$11=1,Assumptions!$G77,INDEX(Assumptions!$G$67:$L$67,,T$11)*T$37)*T$15</f>
        <v>2200</v>
      </c>
      <c r="U70" s="290" cm="1">
        <f t="array" ref="U70">IF(U$11=1,Assumptions!$G77,INDEX(Assumptions!$G$67:$L$67,,U$11)*U$37)*U$15</f>
        <v>2200</v>
      </c>
      <c r="V70" s="290" cm="1">
        <f t="array" ref="V70">IF(V$11=1,Assumptions!$G77,INDEX(Assumptions!$G$67:$L$67,,V$11)*V$37)*V$15</f>
        <v>2200</v>
      </c>
      <c r="W70" s="290" cm="1">
        <f t="array" ref="W70">IF(W$11=1,Assumptions!$G77,INDEX(Assumptions!$G$67:$L$67,,W$11)*W$37)*W$15</f>
        <v>2200</v>
      </c>
      <c r="X70" s="290" cm="1">
        <f t="array" ref="X70">IF(X$11=1,Assumptions!$G77,INDEX(Assumptions!$G$67:$L$67,,X$11)*X$37)*X$15</f>
        <v>2200</v>
      </c>
      <c r="Y70" s="290" cm="1">
        <f t="array" ref="Y70">IF(Y$11=1,Assumptions!$G77,INDEX(Assumptions!$G$67:$L$67,,Y$11)*Y$37)*Y$15</f>
        <v>319.95764166513845</v>
      </c>
      <c r="Z70" s="290" cm="1">
        <f t="array" ref="Z70">IF(Z$11=1,Assumptions!$G77,INDEX(Assumptions!$G$67:$L$67,,Z$11)*Z$37)*Z$15</f>
        <v>427.58660168714471</v>
      </c>
      <c r="AA70" s="290" cm="1">
        <f t="array" ref="AA70">IF(AA$11=1,Assumptions!$G77,INDEX(Assumptions!$G$67:$L$67,,AA$11)*AA$37)*AA$15</f>
        <v>535.21556170915096</v>
      </c>
      <c r="AB70" s="290" cm="1">
        <f t="array" ref="AB70">IF(AB$11=1,Assumptions!$G77,INDEX(Assumptions!$G$67:$L$67,,AB$11)*AB$37)*AB$15</f>
        <v>642.8445217311571</v>
      </c>
      <c r="AC70" s="290" cm="1">
        <f t="array" ref="AC70">IF(AC$11=1,Assumptions!$G77,INDEX(Assumptions!$G$67:$L$67,,AC$11)*AC$37)*AC$15</f>
        <v>750.47348175316324</v>
      </c>
      <c r="AD70" s="290" cm="1">
        <f t="array" ref="AD70">IF(AD$11=1,Assumptions!$G77,INDEX(Assumptions!$G$67:$L$67,,AD$11)*AD$37)*AD$15</f>
        <v>911.02244177516957</v>
      </c>
      <c r="AE70" s="290" cm="1">
        <f t="array" ref="AE70">IF(AE$11=1,Assumptions!$G77,INDEX(Assumptions!$G$67:$L$67,,AE$11)*AE$37)*AE$15</f>
        <v>1024.5314017971759</v>
      </c>
      <c r="AF70" s="290" cm="1">
        <f t="array" ref="AF70">IF(AF$11=1,Assumptions!$G77,INDEX(Assumptions!$G$67:$L$67,,AF$11)*AF$37)*AF$15</f>
        <v>1138.0403618191822</v>
      </c>
      <c r="AG70" s="290" cm="1">
        <f t="array" ref="AG70">IF(AG$11=1,Assumptions!$G77,INDEX(Assumptions!$G$67:$L$67,,AG$11)*AG$37)*AG$15</f>
        <v>1251.5493218411884</v>
      </c>
      <c r="AH70" s="290" cm="1">
        <f t="array" ref="AH70">IF(AH$11=1,Assumptions!$G77,INDEX(Assumptions!$G$67:$L$67,,AH$11)*AH$37)*AH$15</f>
        <v>1365.0582818631947</v>
      </c>
      <c r="AI70" s="290" cm="1">
        <f t="array" ref="AI70">IF(AI$11=1,Assumptions!$G77,INDEX(Assumptions!$G$67:$L$67,,AI$11)*AI$37)*AI$15</f>
        <v>1478.5672418852012</v>
      </c>
      <c r="AJ70" s="290" cm="1">
        <f t="array" ref="AJ70">IF(AJ$11=1,Assumptions!$G77,INDEX(Assumptions!$G$67:$L$67,,AJ$11)*AJ$37)*AJ$15</f>
        <v>1592.0762019072072</v>
      </c>
      <c r="AK70" s="290" cm="1">
        <f t="array" ref="AK70">IF(AK$11=1,Assumptions!$G77,INDEX(Assumptions!$G$67:$L$67,,AK$11)*AK$37)*AK$15</f>
        <v>4784.3307602455634</v>
      </c>
      <c r="AL70" s="290" cm="1">
        <f t="array" ref="AL70">IF(AL$11=1,Assumptions!$G77,INDEX(Assumptions!$G$67:$L$67,,AL$11)*AL$37)*AL$15</f>
        <v>5801.4550308523949</v>
      </c>
      <c r="AM70" s="290" cm="1">
        <f t="array" ref="AM70">IF(AM$11=1,Assumptions!$G77,INDEX(Assumptions!$G$67:$L$67,,AM$11)*AM$37)*AM$15</f>
        <v>6818.5793014592246</v>
      </c>
      <c r="AN70" s="290" cm="1">
        <f t="array" ref="AN70">IF(AN$11=1,Assumptions!$G77,INDEX(Assumptions!$G$67:$L$67,,AN$11)*AN$37)*AN$15</f>
        <v>7835.703572066056</v>
      </c>
      <c r="AO70" s="290" cm="1">
        <f t="array" ref="AO70">IF(AO$11=1,Assumptions!$G77,INDEX(Assumptions!$G$67:$L$67,,AO$11)*AO$37)*AO$15</f>
        <v>8852.8278426728866</v>
      </c>
      <c r="AP70" s="290" cm="1">
        <f t="array" ref="AP70">IF(AP$11=1,Assumptions!$G77,INDEX(Assumptions!$G$67:$L$67,,AP$11)*AP$37)*AP$15</f>
        <v>9869.9521132797181</v>
      </c>
      <c r="AQ70" s="290" cm="1">
        <f t="array" ref="AQ70">IF(AQ$11=1,Assumptions!$G77,INDEX(Assumptions!$G$67:$L$67,,AQ$11)*AQ$37)*AQ$15</f>
        <v>10887.076383886548</v>
      </c>
      <c r="AR70" s="290" cm="1">
        <f t="array" ref="AR70">IF(AR$11=1,Assumptions!$G77,INDEX(Assumptions!$G$67:$L$67,,AR$11)*AR$37)*AR$15</f>
        <v>11904.200654493379</v>
      </c>
      <c r="AS70" s="290" cm="1">
        <f t="array" ref="AS70">IF(AS$11=1,Assumptions!$G77,INDEX(Assumptions!$G$67:$L$67,,AS$11)*AS$37)*AS$15</f>
        <v>12921.324925100211</v>
      </c>
      <c r="AT70" s="290" cm="1">
        <f t="array" ref="AT70">IF(AT$11=1,Assumptions!$G77,INDEX(Assumptions!$G$67:$L$67,,AT$11)*AT$37)*AT$15</f>
        <v>13938.449195707042</v>
      </c>
      <c r="AU70" s="290" cm="1">
        <f t="array" ref="AU70">IF(AU$11=1,Assumptions!$G77,INDEX(Assumptions!$G$67:$L$67,,AU$11)*AU$37)*AU$15</f>
        <v>14955.573466313872</v>
      </c>
      <c r="AV70" s="290" cm="1">
        <f t="array" ref="AV70">IF(AV$11=1,Assumptions!$G77,INDEX(Assumptions!$G$67:$L$67,,AV$11)*AV$37)*AV$15</f>
        <v>15972.697736920705</v>
      </c>
      <c r="AW70" s="290" cm="1">
        <f t="array" ref="AW70">IF(AW$11=1,Assumptions!$G77,INDEX(Assumptions!$G$67:$L$67,,AW$11)*AW$37)*AW$15</f>
        <v>25082.729847192652</v>
      </c>
      <c r="AX70" s="290" cm="1">
        <f t="array" ref="AX70">IF(AX$11=1,Assumptions!$G77,INDEX(Assumptions!$G$67:$L$67,,AX$11)*AX$37)*AX$15</f>
        <v>28930.27918664382</v>
      </c>
      <c r="AY70" s="290" cm="1">
        <f t="array" ref="AY70">IF(AY$11=1,Assumptions!$G77,INDEX(Assumptions!$G$67:$L$67,,AY$11)*AY$37)*AY$15</f>
        <v>32777.828526094985</v>
      </c>
      <c r="AZ70" s="290" cm="1">
        <f t="array" ref="AZ70">IF(AZ$11=1,Assumptions!$G77,INDEX(Assumptions!$G$67:$L$67,,AZ$11)*AZ$37)*AZ$15</f>
        <v>36625.377865546157</v>
      </c>
      <c r="BA70" s="290" cm="1">
        <f t="array" ref="BA70">IF(BA$11=1,Assumptions!$G77,INDEX(Assumptions!$G$67:$L$67,,BA$11)*BA$37)*BA$15</f>
        <v>40472.927204997322</v>
      </c>
      <c r="BB70" s="290" cm="1">
        <f t="array" ref="BB70">IF(BB$11=1,Assumptions!$G77,INDEX(Assumptions!$G$67:$L$67,,BB$11)*BB$37)*BB$15</f>
        <v>44320.476544448495</v>
      </c>
      <c r="BC70" s="290" cm="1">
        <f t="array" ref="BC70">IF(BC$11=1,Assumptions!$G77,INDEX(Assumptions!$G$67:$L$67,,BC$11)*BC$37)*BC$15</f>
        <v>48168.02588389966</v>
      </c>
      <c r="BD70" s="290" cm="1">
        <f t="array" ref="BD70">IF(BD$11=1,Assumptions!$G77,INDEX(Assumptions!$G$67:$L$67,,BD$11)*BD$37)*BD$15</f>
        <v>52015.575223350817</v>
      </c>
      <c r="BE70" s="290" cm="1">
        <f t="array" ref="BE70">IF(BE$11=1,Assumptions!$G77,INDEX(Assumptions!$G$67:$L$67,,BE$11)*BE$37)*BE$15</f>
        <v>55863.12456280199</v>
      </c>
      <c r="BF70" s="290" cm="1">
        <f t="array" ref="BF70">IF(BF$11=1,Assumptions!$G77,INDEX(Assumptions!$G$67:$L$67,,BF$11)*BF$37)*BF$15</f>
        <v>59710.673902253155</v>
      </c>
      <c r="BG70" s="290" cm="1">
        <f t="array" ref="BG70">IF(BG$11=1,Assumptions!$G77,INDEX(Assumptions!$G$67:$L$67,,BG$11)*BG$37)*BG$15</f>
        <v>63558.223241704341</v>
      </c>
      <c r="BH70" s="290" cm="1">
        <f t="array" ref="BH70">IF(BH$11=1,Assumptions!$G77,INDEX(Assumptions!$G$67:$L$67,,BH$11)*BH$37)*BH$15</f>
        <v>67405.772581155499</v>
      </c>
      <c r="BI70" s="290" cm="1">
        <f t="array" ref="BI70">IF(BI$11=1,Assumptions!$G77,INDEX(Assumptions!$G$67:$L$67,,BI$11)*BI$37)*BI$15</f>
        <v>191019.47507913422</v>
      </c>
      <c r="BJ70" s="290" cm="1">
        <f t="array" ref="BJ70">IF(BJ$11=1,Assumptions!$G77,INDEX(Assumptions!$G$67:$L$67,,BJ$11)*BJ$37)*BJ$15</f>
        <v>214061.55957767056</v>
      </c>
      <c r="BK70" s="290" cm="1">
        <f t="array" ref="BK70">IF(BK$11=1,Assumptions!$G77,INDEX(Assumptions!$G$67:$L$67,,BK$11)*BK$37)*BK$15</f>
        <v>237103.64407620687</v>
      </c>
      <c r="BL70" s="290" cm="1">
        <f t="array" ref="BL70">IF(BL$11=1,Assumptions!$G77,INDEX(Assumptions!$G$67:$L$67,,BL$11)*BL$37)*BL$15</f>
        <v>260145.7285747432</v>
      </c>
      <c r="BM70" s="290" cm="1">
        <f t="array" ref="BM70">IF(BM$11=1,Assumptions!$G77,INDEX(Assumptions!$G$67:$L$67,,BM$11)*BM$37)*BM$15</f>
        <v>283187.81307327957</v>
      </c>
      <c r="BN70" s="290" cm="1">
        <f t="array" ref="BN70">IF(BN$11=1,Assumptions!$G77,INDEX(Assumptions!$G$67:$L$67,,BN$11)*BN$37)*BN$15</f>
        <v>306229.89757181593</v>
      </c>
      <c r="BO70" s="290" cm="1">
        <f t="array" ref="BO70">IF(BO$11=1,Assumptions!$G77,INDEX(Assumptions!$G$67:$L$67,,BO$11)*BO$37)*BO$15</f>
        <v>329271.98207035224</v>
      </c>
      <c r="BP70" s="290" cm="1">
        <f t="array" ref="BP70">IF(BP$11=1,Assumptions!$G77,INDEX(Assumptions!$G$67:$L$67,,BP$11)*BP$37)*BP$15</f>
        <v>352314.06656888861</v>
      </c>
      <c r="BQ70" s="290" cm="1">
        <f t="array" ref="BQ70">IF(BQ$11=1,Assumptions!$G77,INDEX(Assumptions!$G$67:$L$67,,BQ$11)*BQ$37)*BQ$15</f>
        <v>375356.15106742497</v>
      </c>
      <c r="BR70" s="290" cm="1">
        <f t="array" ref="BR70">IF(BR$11=1,Assumptions!$G77,INDEX(Assumptions!$G$67:$L$67,,BR$11)*BR$37)*BR$15</f>
        <v>398398.23556596134</v>
      </c>
      <c r="BS70" s="290" cm="1">
        <f t="array" ref="BS70">IF(BS$11=1,Assumptions!$G77,INDEX(Assumptions!$G$67:$L$67,,BS$11)*BS$37)*BS$15</f>
        <v>421440.32006449753</v>
      </c>
      <c r="BT70" s="290" cm="1">
        <f t="array" ref="BT70">IF(BT$11=1,Assumptions!$G77,INDEX(Assumptions!$G$67:$L$67,,BT$11)*BT$37)*BT$15</f>
        <v>444482.40456303395</v>
      </c>
      <c r="BU70" s="290" cm="1">
        <f t="array" ref="BU70">IF(BU$11=1,Assumptions!$G77,INDEX(Assumptions!$G$67:$L$67,,BU$11)*BU$37)*BU$15</f>
        <v>588755.61424407549</v>
      </c>
      <c r="BV70" s="290" cm="1">
        <f t="array" ref="BV70">IF(BV$11=1,Assumptions!$G77,INDEX(Assumptions!$G$67:$L$67,,BV$11)*BV$37)*BV$15</f>
        <v>645357.0799149063</v>
      </c>
      <c r="BW70" s="290" cm="1">
        <f t="array" ref="BW70">IF(BW$11=1,Assumptions!$G77,INDEX(Assumptions!$G$67:$L$67,,BW$11)*BW$37)*BW$15</f>
        <v>701958.5455857371</v>
      </c>
      <c r="BX70" s="290" cm="1">
        <f t="array" ref="BX70">IF(BX$11=1,Assumptions!$G77,INDEX(Assumptions!$G$67:$L$67,,BX$11)*BX$37)*BX$15</f>
        <v>758560.0112565679</v>
      </c>
      <c r="BY70" s="290" cm="1">
        <f t="array" ref="BY70">IF(BY$11=1,Assumptions!$G77,INDEX(Assumptions!$G$67:$L$67,,BY$11)*BY$37)*BY$15</f>
        <v>815161.47692739859</v>
      </c>
      <c r="BZ70" s="290" cm="1">
        <f t="array" ref="BZ70">IF(BZ$11=1,Assumptions!$G77,INDEX(Assumptions!$G$67:$L$67,,BZ$11)*BZ$37)*BZ$15</f>
        <v>871762.94259822927</v>
      </c>
      <c r="CA70" s="290" cm="1">
        <f t="array" ref="CA70">IF(CA$11=1,Assumptions!$G77,INDEX(Assumptions!$G$67:$L$67,,CA$11)*CA$37)*CA$15</f>
        <v>928364.40826905996</v>
      </c>
      <c r="CB70" s="290" cm="1">
        <f t="array" ref="CB70">IF(CB$11=1,Assumptions!$G77,INDEX(Assumptions!$G$67:$L$67,,CB$11)*CB$37)*CB$15</f>
        <v>984965.87393989088</v>
      </c>
      <c r="CC70" s="290" cm="1">
        <f t="array" ref="CC70">IF(CC$11=1,Assumptions!$G77,INDEX(Assumptions!$G$67:$L$67,,CC$11)*CC$37)*CC$15</f>
        <v>1041567.3396107217</v>
      </c>
      <c r="CD70" s="290" cm="1">
        <f t="array" ref="CD70">IF(CD$11=1,Assumptions!$G77,INDEX(Assumptions!$G$67:$L$67,,CD$11)*CD$37)*CD$15</f>
        <v>1098168.8052815525</v>
      </c>
      <c r="CE70" s="290" cm="1">
        <f t="array" ref="CE70">IF(CE$11=1,Assumptions!$G77,INDEX(Assumptions!$G$67:$L$67,,CE$11)*CE$37)*CE$15</f>
        <v>1154770.2709523828</v>
      </c>
      <c r="CF70" s="290" cm="1">
        <f t="array" ref="CF70">IF(CF$11=1,Assumptions!$G77,INDEX(Assumptions!$G$67:$L$67,,CF$11)*CF$37)*CF$15</f>
        <v>1211371.7366232139</v>
      </c>
    </row>
    <row r="71" spans="5:84" outlineLevel="1">
      <c r="E71" s="64" t="str">
        <f>Assumptions!E78</f>
        <v>Software</v>
      </c>
      <c r="L71" s="167"/>
      <c r="M71" s="290" cm="1">
        <f t="array" ref="M71">IF(M$11=1,Assumptions!$G78,INDEX(Assumptions!$G$67:$L$67,,M$11)*M$37)*M$15</f>
        <v>0</v>
      </c>
      <c r="N71" s="290" cm="1">
        <f t="array" ref="N71">IF(N$11=1,Assumptions!$G78,INDEX(Assumptions!$G$67:$L$67,,N$11)*N$37)*N$15</f>
        <v>0</v>
      </c>
      <c r="O71" s="290" cm="1">
        <f t="array" ref="O71">IF(O$11=1,Assumptions!$G78,INDEX(Assumptions!$G$67:$L$67,,O$11)*O$37)*O$15</f>
        <v>0</v>
      </c>
      <c r="P71" s="290" cm="1">
        <f t="array" ref="P71">IF(P$11=1,Assumptions!$G78,INDEX(Assumptions!$G$67:$L$67,,P$11)*P$37)*P$15</f>
        <v>0</v>
      </c>
      <c r="Q71" s="290" cm="1">
        <f t="array" ref="Q71">IF(Q$11=1,Assumptions!$G78,INDEX(Assumptions!$G$67:$L$67,,Q$11)*Q$37)*Q$15</f>
        <v>0</v>
      </c>
      <c r="R71" s="290" cm="1">
        <f t="array" ref="R71">IF(R$11=1,Assumptions!$G78,INDEX(Assumptions!$G$67:$L$67,,R$11)*R$37)*R$15</f>
        <v>1000</v>
      </c>
      <c r="S71" s="290" cm="1">
        <f t="array" ref="S71">IF(S$11=1,Assumptions!$G78,INDEX(Assumptions!$G$67:$L$67,,S$11)*S$37)*S$15</f>
        <v>1000</v>
      </c>
      <c r="T71" s="290" cm="1">
        <f t="array" ref="T71">IF(T$11=1,Assumptions!$G78,INDEX(Assumptions!$G$67:$L$67,,T$11)*T$37)*T$15</f>
        <v>1000</v>
      </c>
      <c r="U71" s="290" cm="1">
        <f t="array" ref="U71">IF(U$11=1,Assumptions!$G78,INDEX(Assumptions!$G$67:$L$67,,U$11)*U$37)*U$15</f>
        <v>1000</v>
      </c>
      <c r="V71" s="290" cm="1">
        <f t="array" ref="V71">IF(V$11=1,Assumptions!$G78,INDEX(Assumptions!$G$67:$L$67,,V$11)*V$37)*V$15</f>
        <v>1000</v>
      </c>
      <c r="W71" s="290" cm="1">
        <f t="array" ref="W71">IF(W$11=1,Assumptions!$G78,INDEX(Assumptions!$G$67:$L$67,,W$11)*W$37)*W$15</f>
        <v>1000</v>
      </c>
      <c r="X71" s="290" cm="1">
        <f t="array" ref="X71">IF(X$11=1,Assumptions!$G78,INDEX(Assumptions!$G$67:$L$67,,X$11)*X$37)*X$15</f>
        <v>1000</v>
      </c>
      <c r="Y71" s="290" cm="1">
        <f t="array" ref="Y71">IF(Y$11=1,Assumptions!$G78,INDEX(Assumptions!$G$67:$L$67,,Y$11)*Y$37)*Y$15</f>
        <v>319.95764166513845</v>
      </c>
      <c r="Z71" s="290" cm="1">
        <f t="array" ref="Z71">IF(Z$11=1,Assumptions!$G78,INDEX(Assumptions!$G$67:$L$67,,Z$11)*Z$37)*Z$15</f>
        <v>427.58660168714471</v>
      </c>
      <c r="AA71" s="290" cm="1">
        <f t="array" ref="AA71">IF(AA$11=1,Assumptions!$G78,INDEX(Assumptions!$G$67:$L$67,,AA$11)*AA$37)*AA$15</f>
        <v>535.21556170915096</v>
      </c>
      <c r="AB71" s="290" cm="1">
        <f t="array" ref="AB71">IF(AB$11=1,Assumptions!$G78,INDEX(Assumptions!$G$67:$L$67,,AB$11)*AB$37)*AB$15</f>
        <v>642.8445217311571</v>
      </c>
      <c r="AC71" s="290" cm="1">
        <f t="array" ref="AC71">IF(AC$11=1,Assumptions!$G78,INDEX(Assumptions!$G$67:$L$67,,AC$11)*AC$37)*AC$15</f>
        <v>750.47348175316324</v>
      </c>
      <c r="AD71" s="290" cm="1">
        <f t="array" ref="AD71">IF(AD$11=1,Assumptions!$G78,INDEX(Assumptions!$G$67:$L$67,,AD$11)*AD$37)*AD$15</f>
        <v>911.02244177516957</v>
      </c>
      <c r="AE71" s="290" cm="1">
        <f t="array" ref="AE71">IF(AE$11=1,Assumptions!$G78,INDEX(Assumptions!$G$67:$L$67,,AE$11)*AE$37)*AE$15</f>
        <v>1024.5314017971759</v>
      </c>
      <c r="AF71" s="290" cm="1">
        <f t="array" ref="AF71">IF(AF$11=1,Assumptions!$G78,INDEX(Assumptions!$G$67:$L$67,,AF$11)*AF$37)*AF$15</f>
        <v>1138.0403618191822</v>
      </c>
      <c r="AG71" s="290" cm="1">
        <f t="array" ref="AG71">IF(AG$11=1,Assumptions!$G78,INDEX(Assumptions!$G$67:$L$67,,AG$11)*AG$37)*AG$15</f>
        <v>1251.5493218411884</v>
      </c>
      <c r="AH71" s="290" cm="1">
        <f t="array" ref="AH71">IF(AH$11=1,Assumptions!$G78,INDEX(Assumptions!$G$67:$L$67,,AH$11)*AH$37)*AH$15</f>
        <v>1365.0582818631947</v>
      </c>
      <c r="AI71" s="290" cm="1">
        <f t="array" ref="AI71">IF(AI$11=1,Assumptions!$G78,INDEX(Assumptions!$G$67:$L$67,,AI$11)*AI$37)*AI$15</f>
        <v>1478.5672418852012</v>
      </c>
      <c r="AJ71" s="290" cm="1">
        <f t="array" ref="AJ71">IF(AJ$11=1,Assumptions!$G78,INDEX(Assumptions!$G$67:$L$67,,AJ$11)*AJ$37)*AJ$15</f>
        <v>1592.0762019072072</v>
      </c>
      <c r="AK71" s="290" cm="1">
        <f t="array" ref="AK71">IF(AK$11=1,Assumptions!$G78,INDEX(Assumptions!$G$67:$L$67,,AK$11)*AK$37)*AK$15</f>
        <v>4784.3307602455634</v>
      </c>
      <c r="AL71" s="290" cm="1">
        <f t="array" ref="AL71">IF(AL$11=1,Assumptions!$G78,INDEX(Assumptions!$G$67:$L$67,,AL$11)*AL$37)*AL$15</f>
        <v>5801.4550308523949</v>
      </c>
      <c r="AM71" s="290" cm="1">
        <f t="array" ref="AM71">IF(AM$11=1,Assumptions!$G78,INDEX(Assumptions!$G$67:$L$67,,AM$11)*AM$37)*AM$15</f>
        <v>6818.5793014592246</v>
      </c>
      <c r="AN71" s="290" cm="1">
        <f t="array" ref="AN71">IF(AN$11=1,Assumptions!$G78,INDEX(Assumptions!$G$67:$L$67,,AN$11)*AN$37)*AN$15</f>
        <v>7835.703572066056</v>
      </c>
      <c r="AO71" s="290" cm="1">
        <f t="array" ref="AO71">IF(AO$11=1,Assumptions!$G78,INDEX(Assumptions!$G$67:$L$67,,AO$11)*AO$37)*AO$15</f>
        <v>8852.8278426728866</v>
      </c>
      <c r="AP71" s="290" cm="1">
        <f t="array" ref="AP71">IF(AP$11=1,Assumptions!$G78,INDEX(Assumptions!$G$67:$L$67,,AP$11)*AP$37)*AP$15</f>
        <v>9869.9521132797181</v>
      </c>
      <c r="AQ71" s="290" cm="1">
        <f t="array" ref="AQ71">IF(AQ$11=1,Assumptions!$G78,INDEX(Assumptions!$G$67:$L$67,,AQ$11)*AQ$37)*AQ$15</f>
        <v>10887.076383886548</v>
      </c>
      <c r="AR71" s="290" cm="1">
        <f t="array" ref="AR71">IF(AR$11=1,Assumptions!$G78,INDEX(Assumptions!$G$67:$L$67,,AR$11)*AR$37)*AR$15</f>
        <v>11904.200654493379</v>
      </c>
      <c r="AS71" s="290" cm="1">
        <f t="array" ref="AS71">IF(AS$11=1,Assumptions!$G78,INDEX(Assumptions!$G$67:$L$67,,AS$11)*AS$37)*AS$15</f>
        <v>12921.324925100211</v>
      </c>
      <c r="AT71" s="290" cm="1">
        <f t="array" ref="AT71">IF(AT$11=1,Assumptions!$G78,INDEX(Assumptions!$G$67:$L$67,,AT$11)*AT$37)*AT$15</f>
        <v>13938.449195707042</v>
      </c>
      <c r="AU71" s="290" cm="1">
        <f t="array" ref="AU71">IF(AU$11=1,Assumptions!$G78,INDEX(Assumptions!$G$67:$L$67,,AU$11)*AU$37)*AU$15</f>
        <v>14955.573466313872</v>
      </c>
      <c r="AV71" s="290" cm="1">
        <f t="array" ref="AV71">IF(AV$11=1,Assumptions!$G78,INDEX(Assumptions!$G$67:$L$67,,AV$11)*AV$37)*AV$15</f>
        <v>15972.697736920705</v>
      </c>
      <c r="AW71" s="290" cm="1">
        <f t="array" ref="AW71">IF(AW$11=1,Assumptions!$G78,INDEX(Assumptions!$G$67:$L$67,,AW$11)*AW$37)*AW$15</f>
        <v>25082.729847192652</v>
      </c>
      <c r="AX71" s="290" cm="1">
        <f t="array" ref="AX71">IF(AX$11=1,Assumptions!$G78,INDEX(Assumptions!$G$67:$L$67,,AX$11)*AX$37)*AX$15</f>
        <v>28930.27918664382</v>
      </c>
      <c r="AY71" s="290" cm="1">
        <f t="array" ref="AY71">IF(AY$11=1,Assumptions!$G78,INDEX(Assumptions!$G$67:$L$67,,AY$11)*AY$37)*AY$15</f>
        <v>32777.828526094985</v>
      </c>
      <c r="AZ71" s="290" cm="1">
        <f t="array" ref="AZ71">IF(AZ$11=1,Assumptions!$G78,INDEX(Assumptions!$G$67:$L$67,,AZ$11)*AZ$37)*AZ$15</f>
        <v>36625.377865546157</v>
      </c>
      <c r="BA71" s="290" cm="1">
        <f t="array" ref="BA71">IF(BA$11=1,Assumptions!$G78,INDEX(Assumptions!$G$67:$L$67,,BA$11)*BA$37)*BA$15</f>
        <v>40472.927204997322</v>
      </c>
      <c r="BB71" s="290" cm="1">
        <f t="array" ref="BB71">IF(BB$11=1,Assumptions!$G78,INDEX(Assumptions!$G$67:$L$67,,BB$11)*BB$37)*BB$15</f>
        <v>44320.476544448495</v>
      </c>
      <c r="BC71" s="290" cm="1">
        <f t="array" ref="BC71">IF(BC$11=1,Assumptions!$G78,INDEX(Assumptions!$G$67:$L$67,,BC$11)*BC$37)*BC$15</f>
        <v>48168.02588389966</v>
      </c>
      <c r="BD71" s="290" cm="1">
        <f t="array" ref="BD71">IF(BD$11=1,Assumptions!$G78,INDEX(Assumptions!$G$67:$L$67,,BD$11)*BD$37)*BD$15</f>
        <v>52015.575223350817</v>
      </c>
      <c r="BE71" s="290" cm="1">
        <f t="array" ref="BE71">IF(BE$11=1,Assumptions!$G78,INDEX(Assumptions!$G$67:$L$67,,BE$11)*BE$37)*BE$15</f>
        <v>55863.12456280199</v>
      </c>
      <c r="BF71" s="290" cm="1">
        <f t="array" ref="BF71">IF(BF$11=1,Assumptions!$G78,INDEX(Assumptions!$G$67:$L$67,,BF$11)*BF$37)*BF$15</f>
        <v>59710.673902253155</v>
      </c>
      <c r="BG71" s="290" cm="1">
        <f t="array" ref="BG71">IF(BG$11=1,Assumptions!$G78,INDEX(Assumptions!$G$67:$L$67,,BG$11)*BG$37)*BG$15</f>
        <v>63558.223241704341</v>
      </c>
      <c r="BH71" s="290" cm="1">
        <f t="array" ref="BH71">IF(BH$11=1,Assumptions!$G78,INDEX(Assumptions!$G$67:$L$67,,BH$11)*BH$37)*BH$15</f>
        <v>67405.772581155499</v>
      </c>
      <c r="BI71" s="290" cm="1">
        <f t="array" ref="BI71">IF(BI$11=1,Assumptions!$G78,INDEX(Assumptions!$G$67:$L$67,,BI$11)*BI$37)*BI$15</f>
        <v>191019.47507913422</v>
      </c>
      <c r="BJ71" s="290" cm="1">
        <f t="array" ref="BJ71">IF(BJ$11=1,Assumptions!$G78,INDEX(Assumptions!$G$67:$L$67,,BJ$11)*BJ$37)*BJ$15</f>
        <v>214061.55957767056</v>
      </c>
      <c r="BK71" s="290" cm="1">
        <f t="array" ref="BK71">IF(BK$11=1,Assumptions!$G78,INDEX(Assumptions!$G$67:$L$67,,BK$11)*BK$37)*BK$15</f>
        <v>237103.64407620687</v>
      </c>
      <c r="BL71" s="290" cm="1">
        <f t="array" ref="BL71">IF(BL$11=1,Assumptions!$G78,INDEX(Assumptions!$G$67:$L$67,,BL$11)*BL$37)*BL$15</f>
        <v>260145.7285747432</v>
      </c>
      <c r="BM71" s="290" cm="1">
        <f t="array" ref="BM71">IF(BM$11=1,Assumptions!$G78,INDEX(Assumptions!$G$67:$L$67,,BM$11)*BM$37)*BM$15</f>
        <v>283187.81307327957</v>
      </c>
      <c r="BN71" s="290" cm="1">
        <f t="array" ref="BN71">IF(BN$11=1,Assumptions!$G78,INDEX(Assumptions!$G$67:$L$67,,BN$11)*BN$37)*BN$15</f>
        <v>306229.89757181593</v>
      </c>
      <c r="BO71" s="290" cm="1">
        <f t="array" ref="BO71">IF(BO$11=1,Assumptions!$G78,INDEX(Assumptions!$G$67:$L$67,,BO$11)*BO$37)*BO$15</f>
        <v>329271.98207035224</v>
      </c>
      <c r="BP71" s="290" cm="1">
        <f t="array" ref="BP71">IF(BP$11=1,Assumptions!$G78,INDEX(Assumptions!$G$67:$L$67,,BP$11)*BP$37)*BP$15</f>
        <v>352314.06656888861</v>
      </c>
      <c r="BQ71" s="290" cm="1">
        <f t="array" ref="BQ71">IF(BQ$11=1,Assumptions!$G78,INDEX(Assumptions!$G$67:$L$67,,BQ$11)*BQ$37)*BQ$15</f>
        <v>375356.15106742497</v>
      </c>
      <c r="BR71" s="290" cm="1">
        <f t="array" ref="BR71">IF(BR$11=1,Assumptions!$G78,INDEX(Assumptions!$G$67:$L$67,,BR$11)*BR$37)*BR$15</f>
        <v>398398.23556596134</v>
      </c>
      <c r="BS71" s="290" cm="1">
        <f t="array" ref="BS71">IF(BS$11=1,Assumptions!$G78,INDEX(Assumptions!$G$67:$L$67,,BS$11)*BS$37)*BS$15</f>
        <v>421440.32006449753</v>
      </c>
      <c r="BT71" s="290" cm="1">
        <f t="array" ref="BT71">IF(BT$11=1,Assumptions!$G78,INDEX(Assumptions!$G$67:$L$67,,BT$11)*BT$37)*BT$15</f>
        <v>444482.40456303395</v>
      </c>
      <c r="BU71" s="290" cm="1">
        <f t="array" ref="BU71">IF(BU$11=1,Assumptions!$G78,INDEX(Assumptions!$G$67:$L$67,,BU$11)*BU$37)*BU$15</f>
        <v>588755.61424407549</v>
      </c>
      <c r="BV71" s="290" cm="1">
        <f t="array" ref="BV71">IF(BV$11=1,Assumptions!$G78,INDEX(Assumptions!$G$67:$L$67,,BV$11)*BV$37)*BV$15</f>
        <v>645357.0799149063</v>
      </c>
      <c r="BW71" s="290" cm="1">
        <f t="array" ref="BW71">IF(BW$11=1,Assumptions!$G78,INDEX(Assumptions!$G$67:$L$67,,BW$11)*BW$37)*BW$15</f>
        <v>701958.5455857371</v>
      </c>
      <c r="BX71" s="290" cm="1">
        <f t="array" ref="BX71">IF(BX$11=1,Assumptions!$G78,INDEX(Assumptions!$G$67:$L$67,,BX$11)*BX$37)*BX$15</f>
        <v>758560.0112565679</v>
      </c>
      <c r="BY71" s="290" cm="1">
        <f t="array" ref="BY71">IF(BY$11=1,Assumptions!$G78,INDEX(Assumptions!$G$67:$L$67,,BY$11)*BY$37)*BY$15</f>
        <v>815161.47692739859</v>
      </c>
      <c r="BZ71" s="290" cm="1">
        <f t="array" ref="BZ71">IF(BZ$11=1,Assumptions!$G78,INDEX(Assumptions!$G$67:$L$67,,BZ$11)*BZ$37)*BZ$15</f>
        <v>871762.94259822927</v>
      </c>
      <c r="CA71" s="290" cm="1">
        <f t="array" ref="CA71">IF(CA$11=1,Assumptions!$G78,INDEX(Assumptions!$G$67:$L$67,,CA$11)*CA$37)*CA$15</f>
        <v>928364.40826905996</v>
      </c>
      <c r="CB71" s="290" cm="1">
        <f t="array" ref="CB71">IF(CB$11=1,Assumptions!$G78,INDEX(Assumptions!$G$67:$L$67,,CB$11)*CB$37)*CB$15</f>
        <v>984965.87393989088</v>
      </c>
      <c r="CC71" s="290" cm="1">
        <f t="array" ref="CC71">IF(CC$11=1,Assumptions!$G78,INDEX(Assumptions!$G$67:$L$67,,CC$11)*CC$37)*CC$15</f>
        <v>1041567.3396107217</v>
      </c>
      <c r="CD71" s="290" cm="1">
        <f t="array" ref="CD71">IF(CD$11=1,Assumptions!$G78,INDEX(Assumptions!$G$67:$L$67,,CD$11)*CD$37)*CD$15</f>
        <v>1098168.8052815525</v>
      </c>
      <c r="CE71" s="290" cm="1">
        <f t="array" ref="CE71">IF(CE$11=1,Assumptions!$G78,INDEX(Assumptions!$G$67:$L$67,,CE$11)*CE$37)*CE$15</f>
        <v>1154770.2709523828</v>
      </c>
      <c r="CF71" s="290" cm="1">
        <f t="array" ref="CF71">IF(CF$11=1,Assumptions!$G78,INDEX(Assumptions!$G$67:$L$67,,CF$11)*CF$37)*CF$15</f>
        <v>1211371.7366232139</v>
      </c>
    </row>
    <row r="72" spans="5:84" outlineLevel="1">
      <c r="E72" s="64" t="str">
        <f>Assumptions!E79</f>
        <v>Travel</v>
      </c>
      <c r="L72" s="167"/>
      <c r="M72" s="290" cm="1">
        <f t="array" ref="M72">IF(M$11=1,Assumptions!$G79,INDEX(Assumptions!$G$67:$L$67,,M$11)*M$37)*M$15</f>
        <v>0</v>
      </c>
      <c r="N72" s="290" cm="1">
        <f t="array" ref="N72">IF(N$11=1,Assumptions!$G79,INDEX(Assumptions!$G$67:$L$67,,N$11)*N$37)*N$15</f>
        <v>0</v>
      </c>
      <c r="O72" s="290" cm="1">
        <f t="array" ref="O72">IF(O$11=1,Assumptions!$G79,INDEX(Assumptions!$G$67:$L$67,,O$11)*O$37)*O$15</f>
        <v>0</v>
      </c>
      <c r="P72" s="290" cm="1">
        <f t="array" ref="P72">IF(P$11=1,Assumptions!$G79,INDEX(Assumptions!$G$67:$L$67,,P$11)*P$37)*P$15</f>
        <v>0</v>
      </c>
      <c r="Q72" s="290" cm="1">
        <f t="array" ref="Q72">IF(Q$11=1,Assumptions!$G79,INDEX(Assumptions!$G$67:$L$67,,Q$11)*Q$37)*Q$15</f>
        <v>0</v>
      </c>
      <c r="R72" s="290" cm="1">
        <f t="array" ref="R72">IF(R$11=1,Assumptions!$G79,INDEX(Assumptions!$G$67:$L$67,,R$11)*R$37)*R$15</f>
        <v>1100</v>
      </c>
      <c r="S72" s="290" cm="1">
        <f t="array" ref="S72">IF(S$11=1,Assumptions!$G79,INDEX(Assumptions!$G$67:$L$67,,S$11)*S$37)*S$15</f>
        <v>1100</v>
      </c>
      <c r="T72" s="290" cm="1">
        <f t="array" ref="T72">IF(T$11=1,Assumptions!$G79,INDEX(Assumptions!$G$67:$L$67,,T$11)*T$37)*T$15</f>
        <v>1100</v>
      </c>
      <c r="U72" s="290" cm="1">
        <f t="array" ref="U72">IF(U$11=1,Assumptions!$G79,INDEX(Assumptions!$G$67:$L$67,,U$11)*U$37)*U$15</f>
        <v>1100</v>
      </c>
      <c r="V72" s="290" cm="1">
        <f t="array" ref="V72">IF(V$11=1,Assumptions!$G79,INDEX(Assumptions!$G$67:$L$67,,V$11)*V$37)*V$15</f>
        <v>1100</v>
      </c>
      <c r="W72" s="290" cm="1">
        <f t="array" ref="W72">IF(W$11=1,Assumptions!$G79,INDEX(Assumptions!$G$67:$L$67,,W$11)*W$37)*W$15</f>
        <v>1100</v>
      </c>
      <c r="X72" s="290" cm="1">
        <f t="array" ref="X72">IF(X$11=1,Assumptions!$G79,INDEX(Assumptions!$G$67:$L$67,,X$11)*X$37)*X$15</f>
        <v>1100</v>
      </c>
      <c r="Y72" s="290" cm="1">
        <f t="array" ref="Y72">IF(Y$11=1,Assumptions!$G79,INDEX(Assumptions!$G$67:$L$67,,Y$11)*Y$37)*Y$15</f>
        <v>319.95764166513845</v>
      </c>
      <c r="Z72" s="290" cm="1">
        <f t="array" ref="Z72">IF(Z$11=1,Assumptions!$G79,INDEX(Assumptions!$G$67:$L$67,,Z$11)*Z$37)*Z$15</f>
        <v>427.58660168714471</v>
      </c>
      <c r="AA72" s="290" cm="1">
        <f t="array" ref="AA72">IF(AA$11=1,Assumptions!$G79,INDEX(Assumptions!$G$67:$L$67,,AA$11)*AA$37)*AA$15</f>
        <v>535.21556170915096</v>
      </c>
      <c r="AB72" s="290" cm="1">
        <f t="array" ref="AB72">IF(AB$11=1,Assumptions!$G79,INDEX(Assumptions!$G$67:$L$67,,AB$11)*AB$37)*AB$15</f>
        <v>642.8445217311571</v>
      </c>
      <c r="AC72" s="290" cm="1">
        <f t="array" ref="AC72">IF(AC$11=1,Assumptions!$G79,INDEX(Assumptions!$G$67:$L$67,,AC$11)*AC$37)*AC$15</f>
        <v>750.47348175316324</v>
      </c>
      <c r="AD72" s="290" cm="1">
        <f t="array" ref="AD72">IF(AD$11=1,Assumptions!$G79,INDEX(Assumptions!$G$67:$L$67,,AD$11)*AD$37)*AD$15</f>
        <v>911.02244177516957</v>
      </c>
      <c r="AE72" s="290" cm="1">
        <f t="array" ref="AE72">IF(AE$11=1,Assumptions!$G79,INDEX(Assumptions!$G$67:$L$67,,AE$11)*AE$37)*AE$15</f>
        <v>1024.5314017971759</v>
      </c>
      <c r="AF72" s="290" cm="1">
        <f t="array" ref="AF72">IF(AF$11=1,Assumptions!$G79,INDEX(Assumptions!$G$67:$L$67,,AF$11)*AF$37)*AF$15</f>
        <v>1138.0403618191822</v>
      </c>
      <c r="AG72" s="290" cm="1">
        <f t="array" ref="AG72">IF(AG$11=1,Assumptions!$G79,INDEX(Assumptions!$G$67:$L$67,,AG$11)*AG$37)*AG$15</f>
        <v>1251.5493218411884</v>
      </c>
      <c r="AH72" s="290" cm="1">
        <f t="array" ref="AH72">IF(AH$11=1,Assumptions!$G79,INDEX(Assumptions!$G$67:$L$67,,AH$11)*AH$37)*AH$15</f>
        <v>1365.0582818631947</v>
      </c>
      <c r="AI72" s="290" cm="1">
        <f t="array" ref="AI72">IF(AI$11=1,Assumptions!$G79,INDEX(Assumptions!$G$67:$L$67,,AI$11)*AI$37)*AI$15</f>
        <v>1478.5672418852012</v>
      </c>
      <c r="AJ72" s="290" cm="1">
        <f t="array" ref="AJ72">IF(AJ$11=1,Assumptions!$G79,INDEX(Assumptions!$G$67:$L$67,,AJ$11)*AJ$37)*AJ$15</f>
        <v>1592.0762019072072</v>
      </c>
      <c r="AK72" s="290" cm="1">
        <f t="array" ref="AK72">IF(AK$11=1,Assumptions!$G79,INDEX(Assumptions!$G$67:$L$67,,AK$11)*AK$37)*AK$15</f>
        <v>4784.3307602455634</v>
      </c>
      <c r="AL72" s="290" cm="1">
        <f t="array" ref="AL72">IF(AL$11=1,Assumptions!$G79,INDEX(Assumptions!$G$67:$L$67,,AL$11)*AL$37)*AL$15</f>
        <v>5801.4550308523949</v>
      </c>
      <c r="AM72" s="290" cm="1">
        <f t="array" ref="AM72">IF(AM$11=1,Assumptions!$G79,INDEX(Assumptions!$G$67:$L$67,,AM$11)*AM$37)*AM$15</f>
        <v>6818.5793014592246</v>
      </c>
      <c r="AN72" s="290" cm="1">
        <f t="array" ref="AN72">IF(AN$11=1,Assumptions!$G79,INDEX(Assumptions!$G$67:$L$67,,AN$11)*AN$37)*AN$15</f>
        <v>7835.703572066056</v>
      </c>
      <c r="AO72" s="290" cm="1">
        <f t="array" ref="AO72">IF(AO$11=1,Assumptions!$G79,INDEX(Assumptions!$G$67:$L$67,,AO$11)*AO$37)*AO$15</f>
        <v>8852.8278426728866</v>
      </c>
      <c r="AP72" s="290" cm="1">
        <f t="array" ref="AP72">IF(AP$11=1,Assumptions!$G79,INDEX(Assumptions!$G$67:$L$67,,AP$11)*AP$37)*AP$15</f>
        <v>9869.9521132797181</v>
      </c>
      <c r="AQ72" s="290" cm="1">
        <f t="array" ref="AQ72">IF(AQ$11=1,Assumptions!$G79,INDEX(Assumptions!$G$67:$L$67,,AQ$11)*AQ$37)*AQ$15</f>
        <v>10887.076383886548</v>
      </c>
      <c r="AR72" s="290" cm="1">
        <f t="array" ref="AR72">IF(AR$11=1,Assumptions!$G79,INDEX(Assumptions!$G$67:$L$67,,AR$11)*AR$37)*AR$15</f>
        <v>11904.200654493379</v>
      </c>
      <c r="AS72" s="290" cm="1">
        <f t="array" ref="AS72">IF(AS$11=1,Assumptions!$G79,INDEX(Assumptions!$G$67:$L$67,,AS$11)*AS$37)*AS$15</f>
        <v>12921.324925100211</v>
      </c>
      <c r="AT72" s="290" cm="1">
        <f t="array" ref="AT72">IF(AT$11=1,Assumptions!$G79,INDEX(Assumptions!$G$67:$L$67,,AT$11)*AT$37)*AT$15</f>
        <v>13938.449195707042</v>
      </c>
      <c r="AU72" s="290" cm="1">
        <f t="array" ref="AU72">IF(AU$11=1,Assumptions!$G79,INDEX(Assumptions!$G$67:$L$67,,AU$11)*AU$37)*AU$15</f>
        <v>14955.573466313872</v>
      </c>
      <c r="AV72" s="290" cm="1">
        <f t="array" ref="AV72">IF(AV$11=1,Assumptions!$G79,INDEX(Assumptions!$G$67:$L$67,,AV$11)*AV$37)*AV$15</f>
        <v>15972.697736920705</v>
      </c>
      <c r="AW72" s="290" cm="1">
        <f t="array" ref="AW72">IF(AW$11=1,Assumptions!$G79,INDEX(Assumptions!$G$67:$L$67,,AW$11)*AW$37)*AW$15</f>
        <v>25082.729847192652</v>
      </c>
      <c r="AX72" s="290" cm="1">
        <f t="array" ref="AX72">IF(AX$11=1,Assumptions!$G79,INDEX(Assumptions!$G$67:$L$67,,AX$11)*AX$37)*AX$15</f>
        <v>28930.27918664382</v>
      </c>
      <c r="AY72" s="290" cm="1">
        <f t="array" ref="AY72">IF(AY$11=1,Assumptions!$G79,INDEX(Assumptions!$G$67:$L$67,,AY$11)*AY$37)*AY$15</f>
        <v>32777.828526094985</v>
      </c>
      <c r="AZ72" s="290" cm="1">
        <f t="array" ref="AZ72">IF(AZ$11=1,Assumptions!$G79,INDEX(Assumptions!$G$67:$L$67,,AZ$11)*AZ$37)*AZ$15</f>
        <v>36625.377865546157</v>
      </c>
      <c r="BA72" s="290" cm="1">
        <f t="array" ref="BA72">IF(BA$11=1,Assumptions!$G79,INDEX(Assumptions!$G$67:$L$67,,BA$11)*BA$37)*BA$15</f>
        <v>40472.927204997322</v>
      </c>
      <c r="BB72" s="290" cm="1">
        <f t="array" ref="BB72">IF(BB$11=1,Assumptions!$G79,INDEX(Assumptions!$G$67:$L$67,,BB$11)*BB$37)*BB$15</f>
        <v>44320.476544448495</v>
      </c>
      <c r="BC72" s="290" cm="1">
        <f t="array" ref="BC72">IF(BC$11=1,Assumptions!$G79,INDEX(Assumptions!$G$67:$L$67,,BC$11)*BC$37)*BC$15</f>
        <v>48168.02588389966</v>
      </c>
      <c r="BD72" s="290" cm="1">
        <f t="array" ref="BD72">IF(BD$11=1,Assumptions!$G79,INDEX(Assumptions!$G$67:$L$67,,BD$11)*BD$37)*BD$15</f>
        <v>52015.575223350817</v>
      </c>
      <c r="BE72" s="290" cm="1">
        <f t="array" ref="BE72">IF(BE$11=1,Assumptions!$G79,INDEX(Assumptions!$G$67:$L$67,,BE$11)*BE$37)*BE$15</f>
        <v>55863.12456280199</v>
      </c>
      <c r="BF72" s="290" cm="1">
        <f t="array" ref="BF72">IF(BF$11=1,Assumptions!$G79,INDEX(Assumptions!$G$67:$L$67,,BF$11)*BF$37)*BF$15</f>
        <v>59710.673902253155</v>
      </c>
      <c r="BG72" s="290" cm="1">
        <f t="array" ref="BG72">IF(BG$11=1,Assumptions!$G79,INDEX(Assumptions!$G$67:$L$67,,BG$11)*BG$37)*BG$15</f>
        <v>63558.223241704341</v>
      </c>
      <c r="BH72" s="290" cm="1">
        <f t="array" ref="BH72">IF(BH$11=1,Assumptions!$G79,INDEX(Assumptions!$G$67:$L$67,,BH$11)*BH$37)*BH$15</f>
        <v>67405.772581155499</v>
      </c>
      <c r="BI72" s="290" cm="1">
        <f t="array" ref="BI72">IF(BI$11=1,Assumptions!$G79,INDEX(Assumptions!$G$67:$L$67,,BI$11)*BI$37)*BI$15</f>
        <v>191019.47507913422</v>
      </c>
      <c r="BJ72" s="290" cm="1">
        <f t="array" ref="BJ72">IF(BJ$11=1,Assumptions!$G79,INDEX(Assumptions!$G$67:$L$67,,BJ$11)*BJ$37)*BJ$15</f>
        <v>214061.55957767056</v>
      </c>
      <c r="BK72" s="290" cm="1">
        <f t="array" ref="BK72">IF(BK$11=1,Assumptions!$G79,INDEX(Assumptions!$G$67:$L$67,,BK$11)*BK$37)*BK$15</f>
        <v>237103.64407620687</v>
      </c>
      <c r="BL72" s="290" cm="1">
        <f t="array" ref="BL72">IF(BL$11=1,Assumptions!$G79,INDEX(Assumptions!$G$67:$L$67,,BL$11)*BL$37)*BL$15</f>
        <v>260145.7285747432</v>
      </c>
      <c r="BM72" s="290" cm="1">
        <f t="array" ref="BM72">IF(BM$11=1,Assumptions!$G79,INDEX(Assumptions!$G$67:$L$67,,BM$11)*BM$37)*BM$15</f>
        <v>283187.81307327957</v>
      </c>
      <c r="BN72" s="290" cm="1">
        <f t="array" ref="BN72">IF(BN$11=1,Assumptions!$G79,INDEX(Assumptions!$G$67:$L$67,,BN$11)*BN$37)*BN$15</f>
        <v>306229.89757181593</v>
      </c>
      <c r="BO72" s="290" cm="1">
        <f t="array" ref="BO72">IF(BO$11=1,Assumptions!$G79,INDEX(Assumptions!$G$67:$L$67,,BO$11)*BO$37)*BO$15</f>
        <v>329271.98207035224</v>
      </c>
      <c r="BP72" s="290" cm="1">
        <f t="array" ref="BP72">IF(BP$11=1,Assumptions!$G79,INDEX(Assumptions!$G$67:$L$67,,BP$11)*BP$37)*BP$15</f>
        <v>352314.06656888861</v>
      </c>
      <c r="BQ72" s="290" cm="1">
        <f t="array" ref="BQ72">IF(BQ$11=1,Assumptions!$G79,INDEX(Assumptions!$G$67:$L$67,,BQ$11)*BQ$37)*BQ$15</f>
        <v>375356.15106742497</v>
      </c>
      <c r="BR72" s="290" cm="1">
        <f t="array" ref="BR72">IF(BR$11=1,Assumptions!$G79,INDEX(Assumptions!$G$67:$L$67,,BR$11)*BR$37)*BR$15</f>
        <v>398398.23556596134</v>
      </c>
      <c r="BS72" s="290" cm="1">
        <f t="array" ref="BS72">IF(BS$11=1,Assumptions!$G79,INDEX(Assumptions!$G$67:$L$67,,BS$11)*BS$37)*BS$15</f>
        <v>421440.32006449753</v>
      </c>
      <c r="BT72" s="290" cm="1">
        <f t="array" ref="BT72">IF(BT$11=1,Assumptions!$G79,INDEX(Assumptions!$G$67:$L$67,,BT$11)*BT$37)*BT$15</f>
        <v>444482.40456303395</v>
      </c>
      <c r="BU72" s="290" cm="1">
        <f t="array" ref="BU72">IF(BU$11=1,Assumptions!$G79,INDEX(Assumptions!$G$67:$L$67,,BU$11)*BU$37)*BU$15</f>
        <v>588755.61424407549</v>
      </c>
      <c r="BV72" s="290" cm="1">
        <f t="array" ref="BV72">IF(BV$11=1,Assumptions!$G79,INDEX(Assumptions!$G$67:$L$67,,BV$11)*BV$37)*BV$15</f>
        <v>645357.0799149063</v>
      </c>
      <c r="BW72" s="290" cm="1">
        <f t="array" ref="BW72">IF(BW$11=1,Assumptions!$G79,INDEX(Assumptions!$G$67:$L$67,,BW$11)*BW$37)*BW$15</f>
        <v>701958.5455857371</v>
      </c>
      <c r="BX72" s="290" cm="1">
        <f t="array" ref="BX72">IF(BX$11=1,Assumptions!$G79,INDEX(Assumptions!$G$67:$L$67,,BX$11)*BX$37)*BX$15</f>
        <v>758560.0112565679</v>
      </c>
      <c r="BY72" s="290" cm="1">
        <f t="array" ref="BY72">IF(BY$11=1,Assumptions!$G79,INDEX(Assumptions!$G$67:$L$67,,BY$11)*BY$37)*BY$15</f>
        <v>815161.47692739859</v>
      </c>
      <c r="BZ72" s="290" cm="1">
        <f t="array" ref="BZ72">IF(BZ$11=1,Assumptions!$G79,INDEX(Assumptions!$G$67:$L$67,,BZ$11)*BZ$37)*BZ$15</f>
        <v>871762.94259822927</v>
      </c>
      <c r="CA72" s="290" cm="1">
        <f t="array" ref="CA72">IF(CA$11=1,Assumptions!$G79,INDEX(Assumptions!$G$67:$L$67,,CA$11)*CA$37)*CA$15</f>
        <v>928364.40826905996</v>
      </c>
      <c r="CB72" s="290" cm="1">
        <f t="array" ref="CB72">IF(CB$11=1,Assumptions!$G79,INDEX(Assumptions!$G$67:$L$67,,CB$11)*CB$37)*CB$15</f>
        <v>984965.87393989088</v>
      </c>
      <c r="CC72" s="290" cm="1">
        <f t="array" ref="CC72">IF(CC$11=1,Assumptions!$G79,INDEX(Assumptions!$G$67:$L$67,,CC$11)*CC$37)*CC$15</f>
        <v>1041567.3396107217</v>
      </c>
      <c r="CD72" s="290" cm="1">
        <f t="array" ref="CD72">IF(CD$11=1,Assumptions!$G79,INDEX(Assumptions!$G$67:$L$67,,CD$11)*CD$37)*CD$15</f>
        <v>1098168.8052815525</v>
      </c>
      <c r="CE72" s="290" cm="1">
        <f t="array" ref="CE72">IF(CE$11=1,Assumptions!$G79,INDEX(Assumptions!$G$67:$L$67,,CE$11)*CE$37)*CE$15</f>
        <v>1154770.2709523828</v>
      </c>
      <c r="CF72" s="290" cm="1">
        <f t="array" ref="CF72">IF(CF$11=1,Assumptions!$G79,INDEX(Assumptions!$G$67:$L$67,,CF$11)*CF$37)*CF$15</f>
        <v>1211371.7366232139</v>
      </c>
    </row>
    <row r="73" spans="5:84" outlineLevel="1">
      <c r="E73" s="64" t="str">
        <f>Assumptions!E80</f>
        <v>Utilities</v>
      </c>
      <c r="L73" s="167"/>
      <c r="M73" s="290" cm="1">
        <f t="array" ref="M73">IF(M$11=1,Assumptions!$G80,INDEX(Assumptions!$G$67:$L$67,,M$11)*M$37)*M$15</f>
        <v>0</v>
      </c>
      <c r="N73" s="290" cm="1">
        <f t="array" ref="N73">IF(N$11=1,Assumptions!$G80,INDEX(Assumptions!$G$67:$L$67,,N$11)*N$37)*N$15</f>
        <v>0</v>
      </c>
      <c r="O73" s="290" cm="1">
        <f t="array" ref="O73">IF(O$11=1,Assumptions!$G80,INDEX(Assumptions!$G$67:$L$67,,O$11)*O$37)*O$15</f>
        <v>0</v>
      </c>
      <c r="P73" s="290" cm="1">
        <f t="array" ref="P73">IF(P$11=1,Assumptions!$G80,INDEX(Assumptions!$G$67:$L$67,,P$11)*P$37)*P$15</f>
        <v>0</v>
      </c>
      <c r="Q73" s="290" cm="1">
        <f t="array" ref="Q73">IF(Q$11=1,Assumptions!$G80,INDEX(Assumptions!$G$67:$L$67,,Q$11)*Q$37)*Q$15</f>
        <v>0</v>
      </c>
      <c r="R73" s="290" cm="1">
        <f t="array" ref="R73">IF(R$11=1,Assumptions!$G80,INDEX(Assumptions!$G$67:$L$67,,R$11)*R$37)*R$15</f>
        <v>500</v>
      </c>
      <c r="S73" s="290" cm="1">
        <f t="array" ref="S73">IF(S$11=1,Assumptions!$G80,INDEX(Assumptions!$G$67:$L$67,,S$11)*S$37)*S$15</f>
        <v>500</v>
      </c>
      <c r="T73" s="290" cm="1">
        <f t="array" ref="T73">IF(T$11=1,Assumptions!$G80,INDEX(Assumptions!$G$67:$L$67,,T$11)*T$37)*T$15</f>
        <v>500</v>
      </c>
      <c r="U73" s="290" cm="1">
        <f t="array" ref="U73">IF(U$11=1,Assumptions!$G80,INDEX(Assumptions!$G$67:$L$67,,U$11)*U$37)*U$15</f>
        <v>500</v>
      </c>
      <c r="V73" s="290" cm="1">
        <f t="array" ref="V73">IF(V$11=1,Assumptions!$G80,INDEX(Assumptions!$G$67:$L$67,,V$11)*V$37)*V$15</f>
        <v>500</v>
      </c>
      <c r="W73" s="290" cm="1">
        <f t="array" ref="W73">IF(W$11=1,Assumptions!$G80,INDEX(Assumptions!$G$67:$L$67,,W$11)*W$37)*W$15</f>
        <v>500</v>
      </c>
      <c r="X73" s="290" cm="1">
        <f t="array" ref="X73">IF(X$11=1,Assumptions!$G80,INDEX(Assumptions!$G$67:$L$67,,X$11)*X$37)*X$15</f>
        <v>500</v>
      </c>
      <c r="Y73" s="290" cm="1">
        <f t="array" ref="Y73">IF(Y$11=1,Assumptions!$G80,INDEX(Assumptions!$G$67:$L$67,,Y$11)*Y$37)*Y$15</f>
        <v>319.95764166513845</v>
      </c>
      <c r="Z73" s="290" cm="1">
        <f t="array" ref="Z73">IF(Z$11=1,Assumptions!$G80,INDEX(Assumptions!$G$67:$L$67,,Z$11)*Z$37)*Z$15</f>
        <v>427.58660168714471</v>
      </c>
      <c r="AA73" s="290" cm="1">
        <f t="array" ref="AA73">IF(AA$11=1,Assumptions!$G80,INDEX(Assumptions!$G$67:$L$67,,AA$11)*AA$37)*AA$15</f>
        <v>535.21556170915096</v>
      </c>
      <c r="AB73" s="290" cm="1">
        <f t="array" ref="AB73">IF(AB$11=1,Assumptions!$G80,INDEX(Assumptions!$G$67:$L$67,,AB$11)*AB$37)*AB$15</f>
        <v>642.8445217311571</v>
      </c>
      <c r="AC73" s="290" cm="1">
        <f t="array" ref="AC73">IF(AC$11=1,Assumptions!$G80,INDEX(Assumptions!$G$67:$L$67,,AC$11)*AC$37)*AC$15</f>
        <v>750.47348175316324</v>
      </c>
      <c r="AD73" s="290" cm="1">
        <f t="array" ref="AD73">IF(AD$11=1,Assumptions!$G80,INDEX(Assumptions!$G$67:$L$67,,AD$11)*AD$37)*AD$15</f>
        <v>911.02244177516957</v>
      </c>
      <c r="AE73" s="290" cm="1">
        <f t="array" ref="AE73">IF(AE$11=1,Assumptions!$G80,INDEX(Assumptions!$G$67:$L$67,,AE$11)*AE$37)*AE$15</f>
        <v>1024.5314017971759</v>
      </c>
      <c r="AF73" s="290" cm="1">
        <f t="array" ref="AF73">IF(AF$11=1,Assumptions!$G80,INDEX(Assumptions!$G$67:$L$67,,AF$11)*AF$37)*AF$15</f>
        <v>1138.0403618191822</v>
      </c>
      <c r="AG73" s="290" cm="1">
        <f t="array" ref="AG73">IF(AG$11=1,Assumptions!$G80,INDEX(Assumptions!$G$67:$L$67,,AG$11)*AG$37)*AG$15</f>
        <v>1251.5493218411884</v>
      </c>
      <c r="AH73" s="290" cm="1">
        <f t="array" ref="AH73">IF(AH$11=1,Assumptions!$G80,INDEX(Assumptions!$G$67:$L$67,,AH$11)*AH$37)*AH$15</f>
        <v>1365.0582818631947</v>
      </c>
      <c r="AI73" s="290" cm="1">
        <f t="array" ref="AI73">IF(AI$11=1,Assumptions!$G80,INDEX(Assumptions!$G$67:$L$67,,AI$11)*AI$37)*AI$15</f>
        <v>1478.5672418852012</v>
      </c>
      <c r="AJ73" s="290" cm="1">
        <f t="array" ref="AJ73">IF(AJ$11=1,Assumptions!$G80,INDEX(Assumptions!$G$67:$L$67,,AJ$11)*AJ$37)*AJ$15</f>
        <v>1592.0762019072072</v>
      </c>
      <c r="AK73" s="290" cm="1">
        <f t="array" ref="AK73">IF(AK$11=1,Assumptions!$G80,INDEX(Assumptions!$G$67:$L$67,,AK$11)*AK$37)*AK$15</f>
        <v>4784.3307602455634</v>
      </c>
      <c r="AL73" s="290" cm="1">
        <f t="array" ref="AL73">IF(AL$11=1,Assumptions!$G80,INDEX(Assumptions!$G$67:$L$67,,AL$11)*AL$37)*AL$15</f>
        <v>5801.4550308523949</v>
      </c>
      <c r="AM73" s="290" cm="1">
        <f t="array" ref="AM73">IF(AM$11=1,Assumptions!$G80,INDEX(Assumptions!$G$67:$L$67,,AM$11)*AM$37)*AM$15</f>
        <v>6818.5793014592246</v>
      </c>
      <c r="AN73" s="290" cm="1">
        <f t="array" ref="AN73">IF(AN$11=1,Assumptions!$G80,INDEX(Assumptions!$G$67:$L$67,,AN$11)*AN$37)*AN$15</f>
        <v>7835.703572066056</v>
      </c>
      <c r="AO73" s="290" cm="1">
        <f t="array" ref="AO73">IF(AO$11=1,Assumptions!$G80,INDEX(Assumptions!$G$67:$L$67,,AO$11)*AO$37)*AO$15</f>
        <v>8852.8278426728866</v>
      </c>
      <c r="AP73" s="290" cm="1">
        <f t="array" ref="AP73">IF(AP$11=1,Assumptions!$G80,INDEX(Assumptions!$G$67:$L$67,,AP$11)*AP$37)*AP$15</f>
        <v>9869.9521132797181</v>
      </c>
      <c r="AQ73" s="290" cm="1">
        <f t="array" ref="AQ73">IF(AQ$11=1,Assumptions!$G80,INDEX(Assumptions!$G$67:$L$67,,AQ$11)*AQ$37)*AQ$15</f>
        <v>10887.076383886548</v>
      </c>
      <c r="AR73" s="290" cm="1">
        <f t="array" ref="AR73">IF(AR$11=1,Assumptions!$G80,INDEX(Assumptions!$G$67:$L$67,,AR$11)*AR$37)*AR$15</f>
        <v>11904.200654493379</v>
      </c>
      <c r="AS73" s="290" cm="1">
        <f t="array" ref="AS73">IF(AS$11=1,Assumptions!$G80,INDEX(Assumptions!$G$67:$L$67,,AS$11)*AS$37)*AS$15</f>
        <v>12921.324925100211</v>
      </c>
      <c r="AT73" s="290" cm="1">
        <f t="array" ref="AT73">IF(AT$11=1,Assumptions!$G80,INDEX(Assumptions!$G$67:$L$67,,AT$11)*AT$37)*AT$15</f>
        <v>13938.449195707042</v>
      </c>
      <c r="AU73" s="290" cm="1">
        <f t="array" ref="AU73">IF(AU$11=1,Assumptions!$G80,INDEX(Assumptions!$G$67:$L$67,,AU$11)*AU$37)*AU$15</f>
        <v>14955.573466313872</v>
      </c>
      <c r="AV73" s="290" cm="1">
        <f t="array" ref="AV73">IF(AV$11=1,Assumptions!$G80,INDEX(Assumptions!$G$67:$L$67,,AV$11)*AV$37)*AV$15</f>
        <v>15972.697736920705</v>
      </c>
      <c r="AW73" s="290" cm="1">
        <f t="array" ref="AW73">IF(AW$11=1,Assumptions!$G80,INDEX(Assumptions!$G$67:$L$67,,AW$11)*AW$37)*AW$15</f>
        <v>25082.729847192652</v>
      </c>
      <c r="AX73" s="290" cm="1">
        <f t="array" ref="AX73">IF(AX$11=1,Assumptions!$G80,INDEX(Assumptions!$G$67:$L$67,,AX$11)*AX$37)*AX$15</f>
        <v>28930.27918664382</v>
      </c>
      <c r="AY73" s="290" cm="1">
        <f t="array" ref="AY73">IF(AY$11=1,Assumptions!$G80,INDEX(Assumptions!$G$67:$L$67,,AY$11)*AY$37)*AY$15</f>
        <v>32777.828526094985</v>
      </c>
      <c r="AZ73" s="290" cm="1">
        <f t="array" ref="AZ73">IF(AZ$11=1,Assumptions!$G80,INDEX(Assumptions!$G$67:$L$67,,AZ$11)*AZ$37)*AZ$15</f>
        <v>36625.377865546157</v>
      </c>
      <c r="BA73" s="290" cm="1">
        <f t="array" ref="BA73">IF(BA$11=1,Assumptions!$G80,INDEX(Assumptions!$G$67:$L$67,,BA$11)*BA$37)*BA$15</f>
        <v>40472.927204997322</v>
      </c>
      <c r="BB73" s="290" cm="1">
        <f t="array" ref="BB73">IF(BB$11=1,Assumptions!$G80,INDEX(Assumptions!$G$67:$L$67,,BB$11)*BB$37)*BB$15</f>
        <v>44320.476544448495</v>
      </c>
      <c r="BC73" s="290" cm="1">
        <f t="array" ref="BC73">IF(BC$11=1,Assumptions!$G80,INDEX(Assumptions!$G$67:$L$67,,BC$11)*BC$37)*BC$15</f>
        <v>48168.02588389966</v>
      </c>
      <c r="BD73" s="290" cm="1">
        <f t="array" ref="BD73">IF(BD$11=1,Assumptions!$G80,INDEX(Assumptions!$G$67:$L$67,,BD$11)*BD$37)*BD$15</f>
        <v>52015.575223350817</v>
      </c>
      <c r="BE73" s="290" cm="1">
        <f t="array" ref="BE73">IF(BE$11=1,Assumptions!$G80,INDEX(Assumptions!$G$67:$L$67,,BE$11)*BE$37)*BE$15</f>
        <v>55863.12456280199</v>
      </c>
      <c r="BF73" s="290" cm="1">
        <f t="array" ref="BF73">IF(BF$11=1,Assumptions!$G80,INDEX(Assumptions!$G$67:$L$67,,BF$11)*BF$37)*BF$15</f>
        <v>59710.673902253155</v>
      </c>
      <c r="BG73" s="290" cm="1">
        <f t="array" ref="BG73">IF(BG$11=1,Assumptions!$G80,INDEX(Assumptions!$G$67:$L$67,,BG$11)*BG$37)*BG$15</f>
        <v>63558.223241704341</v>
      </c>
      <c r="BH73" s="290" cm="1">
        <f t="array" ref="BH73">IF(BH$11=1,Assumptions!$G80,INDEX(Assumptions!$G$67:$L$67,,BH$11)*BH$37)*BH$15</f>
        <v>67405.772581155499</v>
      </c>
      <c r="BI73" s="290" cm="1">
        <f t="array" ref="BI73">IF(BI$11=1,Assumptions!$G80,INDEX(Assumptions!$G$67:$L$67,,BI$11)*BI$37)*BI$15</f>
        <v>191019.47507913422</v>
      </c>
      <c r="BJ73" s="290" cm="1">
        <f t="array" ref="BJ73">IF(BJ$11=1,Assumptions!$G80,INDEX(Assumptions!$G$67:$L$67,,BJ$11)*BJ$37)*BJ$15</f>
        <v>214061.55957767056</v>
      </c>
      <c r="BK73" s="290" cm="1">
        <f t="array" ref="BK73">IF(BK$11=1,Assumptions!$G80,INDEX(Assumptions!$G$67:$L$67,,BK$11)*BK$37)*BK$15</f>
        <v>237103.64407620687</v>
      </c>
      <c r="BL73" s="290" cm="1">
        <f t="array" ref="BL73">IF(BL$11=1,Assumptions!$G80,INDEX(Assumptions!$G$67:$L$67,,BL$11)*BL$37)*BL$15</f>
        <v>260145.7285747432</v>
      </c>
      <c r="BM73" s="290" cm="1">
        <f t="array" ref="BM73">IF(BM$11=1,Assumptions!$G80,INDEX(Assumptions!$G$67:$L$67,,BM$11)*BM$37)*BM$15</f>
        <v>283187.81307327957</v>
      </c>
      <c r="BN73" s="290" cm="1">
        <f t="array" ref="BN73">IF(BN$11=1,Assumptions!$G80,INDEX(Assumptions!$G$67:$L$67,,BN$11)*BN$37)*BN$15</f>
        <v>306229.89757181593</v>
      </c>
      <c r="BO73" s="290" cm="1">
        <f t="array" ref="BO73">IF(BO$11=1,Assumptions!$G80,INDEX(Assumptions!$G$67:$L$67,,BO$11)*BO$37)*BO$15</f>
        <v>329271.98207035224</v>
      </c>
      <c r="BP73" s="290" cm="1">
        <f t="array" ref="BP73">IF(BP$11=1,Assumptions!$G80,INDEX(Assumptions!$G$67:$L$67,,BP$11)*BP$37)*BP$15</f>
        <v>352314.06656888861</v>
      </c>
      <c r="BQ73" s="290" cm="1">
        <f t="array" ref="BQ73">IF(BQ$11=1,Assumptions!$G80,INDEX(Assumptions!$G$67:$L$67,,BQ$11)*BQ$37)*BQ$15</f>
        <v>375356.15106742497</v>
      </c>
      <c r="BR73" s="290" cm="1">
        <f t="array" ref="BR73">IF(BR$11=1,Assumptions!$G80,INDEX(Assumptions!$G$67:$L$67,,BR$11)*BR$37)*BR$15</f>
        <v>398398.23556596134</v>
      </c>
      <c r="BS73" s="290" cm="1">
        <f t="array" ref="BS73">IF(BS$11=1,Assumptions!$G80,INDEX(Assumptions!$G$67:$L$67,,BS$11)*BS$37)*BS$15</f>
        <v>421440.32006449753</v>
      </c>
      <c r="BT73" s="290" cm="1">
        <f t="array" ref="BT73">IF(BT$11=1,Assumptions!$G80,INDEX(Assumptions!$G$67:$L$67,,BT$11)*BT$37)*BT$15</f>
        <v>444482.40456303395</v>
      </c>
      <c r="BU73" s="290" cm="1">
        <f t="array" ref="BU73">IF(BU$11=1,Assumptions!$G80,INDEX(Assumptions!$G$67:$L$67,,BU$11)*BU$37)*BU$15</f>
        <v>588755.61424407549</v>
      </c>
      <c r="BV73" s="290" cm="1">
        <f t="array" ref="BV73">IF(BV$11=1,Assumptions!$G80,INDEX(Assumptions!$G$67:$L$67,,BV$11)*BV$37)*BV$15</f>
        <v>645357.0799149063</v>
      </c>
      <c r="BW73" s="290" cm="1">
        <f t="array" ref="BW73">IF(BW$11=1,Assumptions!$G80,INDEX(Assumptions!$G$67:$L$67,,BW$11)*BW$37)*BW$15</f>
        <v>701958.5455857371</v>
      </c>
      <c r="BX73" s="290" cm="1">
        <f t="array" ref="BX73">IF(BX$11=1,Assumptions!$G80,INDEX(Assumptions!$G$67:$L$67,,BX$11)*BX$37)*BX$15</f>
        <v>758560.0112565679</v>
      </c>
      <c r="BY73" s="290" cm="1">
        <f t="array" ref="BY73">IF(BY$11=1,Assumptions!$G80,INDEX(Assumptions!$G$67:$L$67,,BY$11)*BY$37)*BY$15</f>
        <v>815161.47692739859</v>
      </c>
      <c r="BZ73" s="290" cm="1">
        <f t="array" ref="BZ73">IF(BZ$11=1,Assumptions!$G80,INDEX(Assumptions!$G$67:$L$67,,BZ$11)*BZ$37)*BZ$15</f>
        <v>871762.94259822927</v>
      </c>
      <c r="CA73" s="290" cm="1">
        <f t="array" ref="CA73">IF(CA$11=1,Assumptions!$G80,INDEX(Assumptions!$G$67:$L$67,,CA$11)*CA$37)*CA$15</f>
        <v>928364.40826905996</v>
      </c>
      <c r="CB73" s="290" cm="1">
        <f t="array" ref="CB73">IF(CB$11=1,Assumptions!$G80,INDEX(Assumptions!$G$67:$L$67,,CB$11)*CB$37)*CB$15</f>
        <v>984965.87393989088</v>
      </c>
      <c r="CC73" s="290" cm="1">
        <f t="array" ref="CC73">IF(CC$11=1,Assumptions!$G80,INDEX(Assumptions!$G$67:$L$67,,CC$11)*CC$37)*CC$15</f>
        <v>1041567.3396107217</v>
      </c>
      <c r="CD73" s="290" cm="1">
        <f t="array" ref="CD73">IF(CD$11=1,Assumptions!$G80,INDEX(Assumptions!$G$67:$L$67,,CD$11)*CD$37)*CD$15</f>
        <v>1098168.8052815525</v>
      </c>
      <c r="CE73" s="290" cm="1">
        <f t="array" ref="CE73">IF(CE$11=1,Assumptions!$G80,INDEX(Assumptions!$G$67:$L$67,,CE$11)*CE$37)*CE$15</f>
        <v>1154770.2709523828</v>
      </c>
      <c r="CF73" s="290" cm="1">
        <f t="array" ref="CF73">IF(CF$11=1,Assumptions!$G80,INDEX(Assumptions!$G$67:$L$67,,CF$11)*CF$37)*CF$15</f>
        <v>1211371.7366232139</v>
      </c>
    </row>
    <row r="74" spans="5:84" ht="13.8" outlineLevel="1" thickBot="1">
      <c r="E74" s="73" t="s">
        <v>181</v>
      </c>
      <c r="L74" s="167"/>
      <c r="M74" s="291">
        <f t="shared" ref="M74:AJ74" si="108">SUM(M53:M73)</f>
        <v>0</v>
      </c>
      <c r="N74" s="291">
        <f t="shared" si="108"/>
        <v>0</v>
      </c>
      <c r="O74" s="291">
        <f t="shared" si="108"/>
        <v>0</v>
      </c>
      <c r="P74" s="291">
        <f t="shared" si="108"/>
        <v>0</v>
      </c>
      <c r="Q74" s="291">
        <f t="shared" si="108"/>
        <v>0</v>
      </c>
      <c r="R74" s="291">
        <f t="shared" si="108"/>
        <v>51300</v>
      </c>
      <c r="S74" s="291">
        <f t="shared" si="108"/>
        <v>51300</v>
      </c>
      <c r="T74" s="291">
        <f t="shared" si="108"/>
        <v>51300</v>
      </c>
      <c r="U74" s="291">
        <f t="shared" si="108"/>
        <v>51300</v>
      </c>
      <c r="V74" s="291">
        <f t="shared" si="108"/>
        <v>51300</v>
      </c>
      <c r="W74" s="291">
        <f t="shared" si="108"/>
        <v>51300</v>
      </c>
      <c r="X74" s="291">
        <f t="shared" si="108"/>
        <v>51300</v>
      </c>
      <c r="Y74" s="291">
        <f t="shared" si="108"/>
        <v>157912.44934164666</v>
      </c>
      <c r="Z74" s="291">
        <f t="shared" si="108"/>
        <v>159311.62582193303</v>
      </c>
      <c r="AA74" s="291">
        <f t="shared" si="108"/>
        <v>160710.80230221909</v>
      </c>
      <c r="AB74" s="291">
        <f t="shared" si="108"/>
        <v>162109.97878250515</v>
      </c>
      <c r="AC74" s="291">
        <f t="shared" si="108"/>
        <v>163509.1552627912</v>
      </c>
      <c r="AD74" s="291">
        <f t="shared" si="108"/>
        <v>165596.2917430771</v>
      </c>
      <c r="AE74" s="291">
        <f t="shared" si="108"/>
        <v>167071.90822336319</v>
      </c>
      <c r="AF74" s="291">
        <f t="shared" si="108"/>
        <v>168547.52470364931</v>
      </c>
      <c r="AG74" s="291">
        <f t="shared" si="108"/>
        <v>170023.14118393543</v>
      </c>
      <c r="AH74" s="291">
        <f t="shared" si="108"/>
        <v>171498.75766422154</v>
      </c>
      <c r="AI74" s="291">
        <f t="shared" si="108"/>
        <v>172974.37414450766</v>
      </c>
      <c r="AJ74" s="291">
        <f t="shared" si="108"/>
        <v>174449.99062479378</v>
      </c>
      <c r="AK74" s="291">
        <f t="shared" ref="AK74:BT74" si="109">SUM(AK53:AK73)</f>
        <v>277617.29988319229</v>
      </c>
      <c r="AL74" s="291">
        <f t="shared" si="109"/>
        <v>290839.91540108126</v>
      </c>
      <c r="AM74" s="291">
        <f t="shared" si="109"/>
        <v>304062.53091897006</v>
      </c>
      <c r="AN74" s="291">
        <f t="shared" si="109"/>
        <v>317285.14643685863</v>
      </c>
      <c r="AO74" s="291">
        <f t="shared" si="109"/>
        <v>330507.76195474743</v>
      </c>
      <c r="AP74" s="291">
        <f t="shared" si="109"/>
        <v>343730.37747263641</v>
      </c>
      <c r="AQ74" s="291">
        <f t="shared" si="109"/>
        <v>356952.99299052526</v>
      </c>
      <c r="AR74" s="291">
        <f t="shared" si="109"/>
        <v>370175.60850841372</v>
      </c>
      <c r="AS74" s="291">
        <f t="shared" si="109"/>
        <v>383398.22402630257</v>
      </c>
      <c r="AT74" s="291">
        <f t="shared" si="109"/>
        <v>396620.83954419155</v>
      </c>
      <c r="AU74" s="291">
        <f t="shared" si="109"/>
        <v>409843.45506208052</v>
      </c>
      <c r="AV74" s="291">
        <f t="shared" si="109"/>
        <v>423066.07057996944</v>
      </c>
      <c r="AW74" s="291">
        <f t="shared" si="109"/>
        <v>633164.48801350442</v>
      </c>
      <c r="AX74" s="291">
        <f t="shared" si="109"/>
        <v>683182.62942636956</v>
      </c>
      <c r="AY74" s="291">
        <f t="shared" si="109"/>
        <v>733200.77083923493</v>
      </c>
      <c r="AZ74" s="291">
        <f t="shared" si="109"/>
        <v>783218.91225209995</v>
      </c>
      <c r="BA74" s="291">
        <f t="shared" si="109"/>
        <v>833237.05366496497</v>
      </c>
      <c r="BB74" s="291">
        <f t="shared" si="109"/>
        <v>883255.19507783069</v>
      </c>
      <c r="BC74" s="291">
        <f t="shared" si="109"/>
        <v>933273.33649069548</v>
      </c>
      <c r="BD74" s="291">
        <f t="shared" si="109"/>
        <v>983291.47790356039</v>
      </c>
      <c r="BE74" s="291">
        <f t="shared" si="109"/>
        <v>1033309.6193164262</v>
      </c>
      <c r="BF74" s="291">
        <f t="shared" si="109"/>
        <v>1083327.760729291</v>
      </c>
      <c r="BG74" s="291">
        <f t="shared" si="109"/>
        <v>1133345.9021421559</v>
      </c>
      <c r="BH74" s="291">
        <f t="shared" si="109"/>
        <v>1183364.0435550215</v>
      </c>
      <c r="BI74" s="291">
        <f t="shared" si="109"/>
        <v>2942010.1760287439</v>
      </c>
      <c r="BJ74" s="291">
        <f t="shared" si="109"/>
        <v>3241557.2745097168</v>
      </c>
      <c r="BK74" s="291">
        <f t="shared" si="109"/>
        <v>3541104.3729906888</v>
      </c>
      <c r="BL74" s="291">
        <f t="shared" si="109"/>
        <v>3840651.4714716608</v>
      </c>
      <c r="BM74" s="291">
        <f t="shared" si="109"/>
        <v>4140198.5699526332</v>
      </c>
      <c r="BN74" s="291">
        <f t="shared" si="109"/>
        <v>4439745.6684336076</v>
      </c>
      <c r="BO74" s="291">
        <f t="shared" si="109"/>
        <v>4739292.76691458</v>
      </c>
      <c r="BP74" s="291">
        <f t="shared" si="109"/>
        <v>5038839.8653955525</v>
      </c>
      <c r="BQ74" s="291">
        <f t="shared" si="109"/>
        <v>5338386.963876524</v>
      </c>
      <c r="BR74" s="291">
        <f t="shared" si="109"/>
        <v>5637934.0623574974</v>
      </c>
      <c r="BS74" s="291">
        <f t="shared" si="109"/>
        <v>5937481.1608384671</v>
      </c>
      <c r="BT74" s="291">
        <f t="shared" si="109"/>
        <v>6237028.2593194414</v>
      </c>
      <c r="BU74" s="291">
        <f t="shared" ref="BU74:CF74" si="110">SUM(BU53:BU73)</f>
        <v>8384247.9851729814</v>
      </c>
      <c r="BV74" s="291">
        <f t="shared" si="110"/>
        <v>9120067.0388937816</v>
      </c>
      <c r="BW74" s="291">
        <f t="shared" si="110"/>
        <v>9855886.0926145781</v>
      </c>
      <c r="BX74" s="291">
        <f t="shared" si="110"/>
        <v>10591705.146335384</v>
      </c>
      <c r="BY74" s="291">
        <f t="shared" si="110"/>
        <v>11327524.20005618</v>
      </c>
      <c r="BZ74" s="291">
        <f t="shared" si="110"/>
        <v>12063343.253776981</v>
      </c>
      <c r="CA74" s="291">
        <f t="shared" si="110"/>
        <v>12799162.307497783</v>
      </c>
      <c r="CB74" s="291">
        <f t="shared" si="110"/>
        <v>13534981.361218577</v>
      </c>
      <c r="CC74" s="291">
        <f t="shared" si="110"/>
        <v>14270800.414939383</v>
      </c>
      <c r="CD74" s="291">
        <f t="shared" si="110"/>
        <v>15006619.468660187</v>
      </c>
      <c r="CE74" s="291">
        <f t="shared" si="110"/>
        <v>15742438.522380978</v>
      </c>
      <c r="CF74" s="291">
        <f t="shared" si="110"/>
        <v>16478257.576101784</v>
      </c>
    </row>
    <row r="75" spans="5:84" ht="13.8" thickTop="1"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</row>
    <row r="76" spans="5:84" ht="13.8" thickBot="1">
      <c r="E76" s="65" t="s">
        <v>191</v>
      </c>
      <c r="F76" s="65"/>
      <c r="G76" s="65"/>
      <c r="H76" s="65"/>
      <c r="I76" s="65"/>
      <c r="L76" s="88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2"/>
      <c r="BL76" s="172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172"/>
      <c r="CE76" s="172"/>
      <c r="CF76" s="172"/>
    </row>
    <row r="77" spans="5:84" ht="13.8" thickTop="1">
      <c r="F77" s="64" t="s">
        <v>192</v>
      </c>
      <c r="L77" s="88"/>
      <c r="M77" s="173">
        <f>M37*Assumptions!$H$133/Assumptions!$G$32</f>
        <v>0</v>
      </c>
      <c r="N77" s="173">
        <f>N37*Assumptions!$H$133/Assumptions!$G$32</f>
        <v>0</v>
      </c>
      <c r="O77" s="173">
        <f>O37*Assumptions!$H$133/Assumptions!$G$32</f>
        <v>0</v>
      </c>
      <c r="P77" s="173">
        <f>P37*Assumptions!$H$133/Assumptions!$G$32</f>
        <v>0</v>
      </c>
      <c r="Q77" s="173">
        <f>Q37*Assumptions!$H$133/Assumptions!$G$32</f>
        <v>0</v>
      </c>
      <c r="R77" s="173">
        <f>R37*Assumptions!$H$133/Assumptions!$G$32</f>
        <v>3.3271933341539612</v>
      </c>
      <c r="S77" s="173">
        <f>S37*Assumptions!$H$133/Assumptions!$G$32</f>
        <v>6.6543866683079225</v>
      </c>
      <c r="T77" s="173">
        <f>T37*Assumptions!$H$133/Assumptions!$G$32</f>
        <v>9.9815800024618859</v>
      </c>
      <c r="U77" s="173">
        <f>U37*Assumptions!$H$133/Assumptions!$G$32</f>
        <v>13.308773336615845</v>
      </c>
      <c r="V77" s="173">
        <f>V37*Assumptions!$H$133/Assumptions!$G$32</f>
        <v>16.635966670769811</v>
      </c>
      <c r="W77" s="173">
        <f>W37*Assumptions!$H$133/Assumptions!$G$32</f>
        <v>19.963160004923772</v>
      </c>
      <c r="X77" s="173">
        <f>X37*Assumptions!$H$133/Assumptions!$G$32</f>
        <v>23.290353339077733</v>
      </c>
      <c r="Y77" s="173">
        <f>Y37*Assumptions!$H$133/Assumptions!$G$32</f>
        <v>153.40434874355955</v>
      </c>
      <c r="Z77" s="173">
        <f>Z37*Assumptions!$H$133/Assumptions!$G$32</f>
        <v>205.00727478150773</v>
      </c>
      <c r="AA77" s="173">
        <f>AA37*Assumptions!$H$133/Assumptions!$G$32</f>
        <v>256.61020081945594</v>
      </c>
      <c r="AB77" s="173">
        <f>AB37*Assumptions!$H$133/Assumptions!$G$32</f>
        <v>308.21312685740406</v>
      </c>
      <c r="AC77" s="173">
        <f>AC37*Assumptions!$H$133/Assumptions!$G$32</f>
        <v>359.81605289535219</v>
      </c>
      <c r="AD77" s="173">
        <f>AD37*Assumptions!$H$133/Assumptions!$G$32</f>
        <v>436.79158167302649</v>
      </c>
      <c r="AE77" s="173">
        <f>AE37*Assumptions!$H$133/Assumptions!$G$32</f>
        <v>491.21368579316658</v>
      </c>
      <c r="AF77" s="173">
        <f>AF37*Assumptions!$H$133/Assumptions!$G$32</f>
        <v>545.63578991330655</v>
      </c>
      <c r="AG77" s="173">
        <f>AG37*Assumptions!$H$133/Assumptions!$G$32</f>
        <v>600.05789403344647</v>
      </c>
      <c r="AH77" s="173">
        <f>AH37*Assumptions!$H$133/Assumptions!$G$32</f>
        <v>654.47999815358651</v>
      </c>
      <c r="AI77" s="173">
        <f>AI37*Assumptions!$H$133/Assumptions!$G$32</f>
        <v>708.90210227372654</v>
      </c>
      <c r="AJ77" s="173">
        <f>AJ37*Assumptions!$H$133/Assumptions!$G$32</f>
        <v>763.32420639386635</v>
      </c>
      <c r="AK77" s="173">
        <f>AK37*Assumptions!$H$133/Assumptions!$G$32</f>
        <v>2293.8572138163659</v>
      </c>
      <c r="AL77" s="173">
        <f>AL37*Assumptions!$H$133/Assumptions!$G$32</f>
        <v>2781.5195353401891</v>
      </c>
      <c r="AM77" s="173">
        <f>AM37*Assumptions!$H$133/Assumptions!$G$32</f>
        <v>3269.1818568640119</v>
      </c>
      <c r="AN77" s="173">
        <f>AN37*Assumptions!$H$133/Assumptions!$G$32</f>
        <v>3756.8441783878352</v>
      </c>
      <c r="AO77" s="173">
        <f>AO37*Assumptions!$H$133/Assumptions!$G$32</f>
        <v>4244.5064999116576</v>
      </c>
      <c r="AP77" s="173">
        <f>AP37*Assumptions!$H$133/Assumptions!$G$32</f>
        <v>4732.1688214354808</v>
      </c>
      <c r="AQ77" s="173">
        <f>AQ37*Assumptions!$H$133/Assumptions!$G$32</f>
        <v>5219.8311429593032</v>
      </c>
      <c r="AR77" s="173">
        <f>AR37*Assumptions!$H$133/Assumptions!$G$32</f>
        <v>5707.4934644831264</v>
      </c>
      <c r="AS77" s="173">
        <f>AS37*Assumptions!$H$133/Assumptions!$G$32</f>
        <v>6195.1557860069497</v>
      </c>
      <c r="AT77" s="173">
        <f>AT37*Assumptions!$H$133/Assumptions!$G$32</f>
        <v>6682.818107530773</v>
      </c>
      <c r="AU77" s="173">
        <f>AU37*Assumptions!$H$133/Assumptions!$G$32</f>
        <v>7170.4804290545962</v>
      </c>
      <c r="AV77" s="173">
        <f>AV37*Assumptions!$H$133/Assumptions!$G$32</f>
        <v>7658.1427505784195</v>
      </c>
      <c r="AW77" s="173">
        <f>AW37*Assumptions!$H$133/Assumptions!$G$32</f>
        <v>12025.966365092369</v>
      </c>
      <c r="AX77" s="173">
        <f>AX37*Assumptions!$H$133/Assumptions!$G$32</f>
        <v>13870.68180181553</v>
      </c>
      <c r="AY77" s="173">
        <f>AY37*Assumptions!$H$133/Assumptions!$G$32</f>
        <v>15715.39723853869</v>
      </c>
      <c r="AZ77" s="173">
        <f>AZ37*Assumptions!$H$133/Assumptions!$G$32</f>
        <v>17560.112675261855</v>
      </c>
      <c r="BA77" s="173">
        <f>BA37*Assumptions!$H$133/Assumptions!$G$32</f>
        <v>19404.828111985018</v>
      </c>
      <c r="BB77" s="173">
        <f>BB37*Assumptions!$H$133/Assumptions!$G$32</f>
        <v>21249.543548708178</v>
      </c>
      <c r="BC77" s="173">
        <f>BC37*Assumptions!$H$133/Assumptions!$G$32</f>
        <v>23094.258985431345</v>
      </c>
      <c r="BD77" s="173">
        <f>BD37*Assumptions!$H$133/Assumptions!$G$32</f>
        <v>24938.974422154501</v>
      </c>
      <c r="BE77" s="173">
        <f>BE37*Assumptions!$H$133/Assumptions!$G$32</f>
        <v>26783.689858877664</v>
      </c>
      <c r="BF77" s="173">
        <f>BF37*Assumptions!$H$133/Assumptions!$G$32</f>
        <v>28628.405295600827</v>
      </c>
      <c r="BG77" s="173">
        <f>BG37*Assumptions!$H$133/Assumptions!$G$32</f>
        <v>30473.120732323998</v>
      </c>
      <c r="BH77" s="173">
        <f>BH37*Assumptions!$H$133/Assumptions!$G$32</f>
        <v>32317.836169047157</v>
      </c>
      <c r="BI77" s="173">
        <f>BI37*Assumptions!$H$133/Assumptions!$G$32</f>
        <v>45792.339916230805</v>
      </c>
      <c r="BJ77" s="173">
        <f>BJ37*Assumptions!$H$133/Assumptions!$G$32</f>
        <v>51316.127296016908</v>
      </c>
      <c r="BK77" s="173">
        <f>BK37*Assumptions!$H$133/Assumptions!$G$32</f>
        <v>56839.914675803011</v>
      </c>
      <c r="BL77" s="173">
        <f>BL37*Assumptions!$H$133/Assumptions!$G$32</f>
        <v>62363.702055589121</v>
      </c>
      <c r="BM77" s="173">
        <f>BM37*Assumptions!$H$133/Assumptions!$G$32</f>
        <v>67887.489435375232</v>
      </c>
      <c r="BN77" s="173">
        <f>BN37*Assumptions!$H$133/Assumptions!$G$32</f>
        <v>73411.276815161356</v>
      </c>
      <c r="BO77" s="173">
        <f>BO37*Assumptions!$H$133/Assumptions!$G$32</f>
        <v>78935.064194947467</v>
      </c>
      <c r="BP77" s="173">
        <f>BP37*Assumptions!$H$133/Assumptions!$G$32</f>
        <v>84458.851574733562</v>
      </c>
      <c r="BQ77" s="173">
        <f>BQ37*Assumptions!$H$133/Assumptions!$G$32</f>
        <v>89982.638954519673</v>
      </c>
      <c r="BR77" s="173">
        <f>BR37*Assumptions!$H$133/Assumptions!$G$32</f>
        <v>95506.426334305783</v>
      </c>
      <c r="BS77" s="173">
        <f>BS37*Assumptions!$H$133/Assumptions!$G$32</f>
        <v>101030.21371409186</v>
      </c>
      <c r="BT77" s="173">
        <f>BT37*Assumptions!$H$133/Assumptions!$G$32</f>
        <v>106554.00109387799</v>
      </c>
      <c r="BU77" s="173">
        <f>BU37*Assumptions!$H$133/Assumptions!$G$32</f>
        <v>141140.04451056605</v>
      </c>
      <c r="BV77" s="173">
        <f>BV37*Assumptions!$H$133/Assumptions!$G$32</f>
        <v>154708.88902069672</v>
      </c>
      <c r="BW77" s="173">
        <f>BW37*Assumptions!$H$133/Assumptions!$G$32</f>
        <v>168277.73353082739</v>
      </c>
      <c r="BX77" s="173">
        <f>BX37*Assumptions!$H$133/Assumptions!$G$32</f>
        <v>181846.57804095803</v>
      </c>
      <c r="BY77" s="173">
        <f>BY37*Assumptions!$H$133/Assumptions!$G$32</f>
        <v>195415.4225510887</v>
      </c>
      <c r="BZ77" s="173">
        <f>BZ37*Assumptions!$H$133/Assumptions!$G$32</f>
        <v>208984.26706121932</v>
      </c>
      <c r="CA77" s="173">
        <f>CA37*Assumptions!$H$133/Assumptions!$G$32</f>
        <v>222553.11157134999</v>
      </c>
      <c r="CB77" s="173">
        <f>CB37*Assumptions!$H$133/Assumptions!$G$32</f>
        <v>236121.95608148069</v>
      </c>
      <c r="CC77" s="173">
        <f>CC37*Assumptions!$H$133/Assumptions!$G$32</f>
        <v>249690.80059161133</v>
      </c>
      <c r="CD77" s="173">
        <f>CD37*Assumptions!$H$133/Assumptions!$G$32</f>
        <v>263259.645101742</v>
      </c>
      <c r="CE77" s="173">
        <f>CE37*Assumptions!$H$133/Assumptions!$G$32</f>
        <v>276828.48961187259</v>
      </c>
      <c r="CF77" s="173">
        <f>CF37*Assumptions!$H$133/Assumptions!$G$32</f>
        <v>290397.33412200329</v>
      </c>
    </row>
    <row r="78" spans="5:84">
      <c r="F78" s="64" t="s">
        <v>193</v>
      </c>
      <c r="L78" s="88"/>
      <c r="M78" s="173">
        <f>M49*Assumptions!$H$134/Assumptions!$G$32</f>
        <v>0</v>
      </c>
      <c r="N78" s="173">
        <f>N49*Assumptions!$H$134/Assumptions!$G$32</f>
        <v>0</v>
      </c>
      <c r="O78" s="173">
        <f>O49*Assumptions!$H$134/Assumptions!$G$32</f>
        <v>0</v>
      </c>
      <c r="P78" s="173">
        <f>P49*Assumptions!$H$134/Assumptions!$G$32</f>
        <v>0</v>
      </c>
      <c r="Q78" s="173">
        <f>Q49*Assumptions!$H$134/Assumptions!$G$32</f>
        <v>0</v>
      </c>
      <c r="R78" s="173">
        <f>R49*Assumptions!$H$134/Assumptions!$G$32</f>
        <v>1.164053370144372</v>
      </c>
      <c r="S78" s="173">
        <f>S49*Assumptions!$H$134/Assumptions!$G$32</f>
        <v>2.3281067402887441</v>
      </c>
      <c r="T78" s="173">
        <f>T49*Assumptions!$H$134/Assumptions!$G$32</f>
        <v>3.4921601104331161</v>
      </c>
      <c r="U78" s="173">
        <f>U49*Assumptions!$H$134/Assumptions!$G$32</f>
        <v>4.6562134805774882</v>
      </c>
      <c r="V78" s="173">
        <f>V49*Assumptions!$H$134/Assumptions!$G$32</f>
        <v>5.8202668507218611</v>
      </c>
      <c r="W78" s="173">
        <f>W49*Assumptions!$H$134/Assumptions!$G$32</f>
        <v>6.9843202208662323</v>
      </c>
      <c r="X78" s="173">
        <f>X49*Assumptions!$H$134/Assumptions!$G$32</f>
        <v>8.1483735910106034</v>
      </c>
      <c r="Y78" s="173">
        <f>Y49*Assumptions!$H$134/Assumptions!$G$32</f>
        <v>52.921995890159749</v>
      </c>
      <c r="Z78" s="173">
        <f>Z49*Assumptions!$H$134/Assumptions!$G$32</f>
        <v>70.69598246911967</v>
      </c>
      <c r="AA78" s="173">
        <f>AA49*Assumptions!$H$134/Assumptions!$G$32</f>
        <v>88.469969048079619</v>
      </c>
      <c r="AB78" s="173">
        <f>AB49*Assumptions!$H$134/Assumptions!$G$32</f>
        <v>106.24395562703951</v>
      </c>
      <c r="AC78" s="173">
        <f>AC49*Assumptions!$H$134/Assumptions!$G$32</f>
        <v>124.01794220599945</v>
      </c>
      <c r="AD78" s="173">
        <f>AD49*Assumptions!$H$134/Assumptions!$G$32</f>
        <v>148.31631234660321</v>
      </c>
      <c r="AE78" s="173">
        <f>AE49*Assumptions!$H$134/Assumptions!$G$32</f>
        <v>166.81523043241248</v>
      </c>
      <c r="AF78" s="173">
        <f>AF49*Assumptions!$H$134/Assumptions!$G$32</f>
        <v>185.31414851822171</v>
      </c>
      <c r="AG78" s="173">
        <f>AG49*Assumptions!$H$134/Assumptions!$G$32</f>
        <v>203.81306660403098</v>
      </c>
      <c r="AH78" s="173">
        <f>AH49*Assumptions!$H$134/Assumptions!$G$32</f>
        <v>222.31198468984022</v>
      </c>
      <c r="AI78" s="173">
        <f>AI49*Assumptions!$H$134/Assumptions!$G$32</f>
        <v>240.81090277564945</v>
      </c>
      <c r="AJ78" s="173">
        <f>AJ49*Assumptions!$H$134/Assumptions!$G$32</f>
        <v>259.30982086145872</v>
      </c>
      <c r="AK78" s="173">
        <f>AK49*Assumptions!$H$134/Assumptions!$G$32</f>
        <v>783.2290290814625</v>
      </c>
      <c r="AL78" s="173">
        <f>AL49*Assumptions!$H$134/Assumptions!$G$32</f>
        <v>949.9097310990237</v>
      </c>
      <c r="AM78" s="173">
        <f>AM49*Assumptions!$H$134/Assumptions!$G$32</f>
        <v>1116.590433116585</v>
      </c>
      <c r="AN78" s="173">
        <f>AN49*Assumptions!$H$134/Assumptions!$G$32</f>
        <v>1283.2711351341463</v>
      </c>
      <c r="AO78" s="173">
        <f>AO49*Assumptions!$H$134/Assumptions!$G$32</f>
        <v>1449.9518371517074</v>
      </c>
      <c r="AP78" s="173">
        <f>AP49*Assumptions!$H$134/Assumptions!$G$32</f>
        <v>1616.6325391692687</v>
      </c>
      <c r="AQ78" s="173">
        <f>AQ49*Assumptions!$H$134/Assumptions!$G$32</f>
        <v>1783.3132411868296</v>
      </c>
      <c r="AR78" s="173">
        <f>AR49*Assumptions!$H$134/Assumptions!$G$32</f>
        <v>1949.9939432043911</v>
      </c>
      <c r="AS78" s="173">
        <f>AS49*Assumptions!$H$134/Assumptions!$G$32</f>
        <v>2116.6746452219527</v>
      </c>
      <c r="AT78" s="173">
        <f>AT49*Assumptions!$H$134/Assumptions!$G$32</f>
        <v>2283.3553472395138</v>
      </c>
      <c r="AU78" s="173">
        <f>AU49*Assumptions!$H$134/Assumptions!$G$32</f>
        <v>2450.0360492570749</v>
      </c>
      <c r="AV78" s="173">
        <f>AV49*Assumptions!$H$134/Assumptions!$G$32</f>
        <v>2616.7167512746364</v>
      </c>
      <c r="AW78" s="173">
        <f>AW49*Assumptions!$H$134/Assumptions!$G$32</f>
        <v>4111.8925433741342</v>
      </c>
      <c r="AX78" s="173">
        <f>AX49*Assumptions!$H$134/Assumptions!$G$32</f>
        <v>4743.0447635578876</v>
      </c>
      <c r="AY78" s="173">
        <f>AY49*Assumptions!$H$134/Assumptions!$G$32</f>
        <v>5374.1969837416418</v>
      </c>
      <c r="AZ78" s="173">
        <f>AZ49*Assumptions!$H$134/Assumptions!$G$32</f>
        <v>6005.3492039253961</v>
      </c>
      <c r="BA78" s="173">
        <f>BA49*Assumptions!$H$134/Assumptions!$G$32</f>
        <v>6636.5014241091485</v>
      </c>
      <c r="BB78" s="173">
        <f>BB49*Assumptions!$H$134/Assumptions!$G$32</f>
        <v>7267.6536442929009</v>
      </c>
      <c r="BC78" s="173">
        <f>BC49*Assumptions!$H$134/Assumptions!$G$32</f>
        <v>7898.8058644766552</v>
      </c>
      <c r="BD78" s="173">
        <f>BD49*Assumptions!$H$134/Assumptions!$G$32</f>
        <v>8529.9580846604076</v>
      </c>
      <c r="BE78" s="173">
        <f>BE49*Assumptions!$H$134/Assumptions!$G$32</f>
        <v>9161.1103048441619</v>
      </c>
      <c r="BF78" s="173">
        <f>BF49*Assumptions!$H$134/Assumptions!$G$32</f>
        <v>9792.2625250279161</v>
      </c>
      <c r="BG78" s="173">
        <f>BG49*Assumptions!$H$134/Assumptions!$G$32</f>
        <v>10423.414745211672</v>
      </c>
      <c r="BH78" s="173">
        <f>BH49*Assumptions!$H$134/Assumptions!$G$32</f>
        <v>11054.566965395425</v>
      </c>
      <c r="BI78" s="173">
        <f>BI49*Assumptions!$H$134/Assumptions!$G$32</f>
        <v>15675.503759928839</v>
      </c>
      <c r="BJ78" s="173">
        <f>BJ49*Assumptions!$H$134/Assumptions!$G$32</f>
        <v>17567.010417342786</v>
      </c>
      <c r="BK78" s="173">
        <f>BK49*Assumptions!$H$134/Assumptions!$G$32</f>
        <v>19458.517074756728</v>
      </c>
      <c r="BL78" s="173">
        <f>BL49*Assumptions!$H$134/Assumptions!$G$32</f>
        <v>21350.023732170674</v>
      </c>
      <c r="BM78" s="173">
        <f>BM49*Assumptions!$H$134/Assumptions!$G$32</f>
        <v>23241.530389584615</v>
      </c>
      <c r="BN78" s="173">
        <f>BN49*Assumptions!$H$134/Assumptions!$G$32</f>
        <v>25133.037046998565</v>
      </c>
      <c r="BO78" s="173">
        <f>BO49*Assumptions!$H$134/Assumptions!$G$32</f>
        <v>27024.54370441251</v>
      </c>
      <c r="BP78" s="173">
        <f>BP49*Assumptions!$H$134/Assumptions!$G$32</f>
        <v>28916.050361826467</v>
      </c>
      <c r="BQ78" s="173">
        <f>BQ49*Assumptions!$H$134/Assumptions!$G$32</f>
        <v>30807.557019240408</v>
      </c>
      <c r="BR78" s="173">
        <f>BR49*Assumptions!$H$134/Assumptions!$G$32</f>
        <v>32699.063676654354</v>
      </c>
      <c r="BS78" s="173">
        <f>BS49*Assumptions!$H$134/Assumptions!$G$32</f>
        <v>34590.570334068289</v>
      </c>
      <c r="BT78" s="173">
        <f>BT49*Assumptions!$H$134/Assumptions!$G$32</f>
        <v>36482.076991482238</v>
      </c>
      <c r="BU78" s="173">
        <f>BU49*Assumptions!$H$134/Assumptions!$G$32</f>
        <v>48335.308006362371</v>
      </c>
      <c r="BV78" s="173">
        <f>BV49*Assumptions!$H$134/Assumptions!$G$32</f>
        <v>52982.64225327997</v>
      </c>
      <c r="BW78" s="173">
        <f>BW49*Assumptions!$H$134/Assumptions!$G$32</f>
        <v>57629.976500197561</v>
      </c>
      <c r="BX78" s="173">
        <f>BX49*Assumptions!$H$134/Assumptions!$G$32</f>
        <v>62277.31074711516</v>
      </c>
      <c r="BY78" s="173">
        <f>BY49*Assumptions!$H$134/Assumptions!$G$32</f>
        <v>66924.644994032758</v>
      </c>
      <c r="BZ78" s="173">
        <f>BZ49*Assumptions!$H$134/Assumptions!$G$32</f>
        <v>71571.979240950357</v>
      </c>
      <c r="CA78" s="173">
        <f>CA49*Assumptions!$H$134/Assumptions!$G$32</f>
        <v>76219.313487867927</v>
      </c>
      <c r="CB78" s="173">
        <f>CB49*Assumptions!$H$134/Assumptions!$G$32</f>
        <v>80866.64773478554</v>
      </c>
      <c r="CC78" s="173">
        <f>CC49*Assumptions!$H$134/Assumptions!$G$32</f>
        <v>85513.981981703153</v>
      </c>
      <c r="CD78" s="173">
        <f>CD49*Assumptions!$H$134/Assumptions!$G$32</f>
        <v>90161.316228620737</v>
      </c>
      <c r="CE78" s="173">
        <f>CE49*Assumptions!$H$134/Assumptions!$G$32</f>
        <v>94808.650475538321</v>
      </c>
      <c r="CF78" s="173">
        <f>CF49*Assumptions!$H$134/Assumptions!$G$32</f>
        <v>99455.984722455905</v>
      </c>
    </row>
    <row r="79" spans="5:84">
      <c r="F79" s="75" t="s">
        <v>181</v>
      </c>
      <c r="G79" s="75"/>
      <c r="H79" s="75"/>
      <c r="I79" s="75"/>
      <c r="L79" s="99">
        <f>L77-L78</f>
        <v>0</v>
      </c>
      <c r="M79" s="174">
        <f>M77-M78</f>
        <v>0</v>
      </c>
      <c r="N79" s="174">
        <f t="shared" ref="N79:AJ79" si="111">N77-N78</f>
        <v>0</v>
      </c>
      <c r="O79" s="174">
        <f t="shared" si="111"/>
        <v>0</v>
      </c>
      <c r="P79" s="174">
        <f t="shared" si="111"/>
        <v>0</v>
      </c>
      <c r="Q79" s="174">
        <f t="shared" si="111"/>
        <v>0</v>
      </c>
      <c r="R79" s="174">
        <f t="shared" si="111"/>
        <v>2.1631399640095892</v>
      </c>
      <c r="S79" s="174">
        <f t="shared" si="111"/>
        <v>4.3262799280191784</v>
      </c>
      <c r="T79" s="174">
        <f t="shared" si="111"/>
        <v>6.4894198920287698</v>
      </c>
      <c r="U79" s="174">
        <f t="shared" si="111"/>
        <v>8.6525598560383568</v>
      </c>
      <c r="V79" s="174">
        <f t="shared" si="111"/>
        <v>10.81569982004795</v>
      </c>
      <c r="W79" s="174">
        <f t="shared" si="111"/>
        <v>12.97883978405754</v>
      </c>
      <c r="X79" s="174">
        <f t="shared" si="111"/>
        <v>15.141979748067129</v>
      </c>
      <c r="Y79" s="174">
        <f t="shared" si="111"/>
        <v>100.4823528533998</v>
      </c>
      <c r="Z79" s="174">
        <f t="shared" si="111"/>
        <v>134.31129231238805</v>
      </c>
      <c r="AA79" s="174">
        <f t="shared" si="111"/>
        <v>168.14023177137631</v>
      </c>
      <c r="AB79" s="174">
        <f t="shared" si="111"/>
        <v>201.96917123036457</v>
      </c>
      <c r="AC79" s="174">
        <f t="shared" si="111"/>
        <v>235.79811068935274</v>
      </c>
      <c r="AD79" s="174">
        <f t="shared" si="111"/>
        <v>288.47526932642324</v>
      </c>
      <c r="AE79" s="174">
        <f t="shared" si="111"/>
        <v>324.3984553607541</v>
      </c>
      <c r="AF79" s="174">
        <f t="shared" si="111"/>
        <v>360.32164139508484</v>
      </c>
      <c r="AG79" s="174">
        <f t="shared" si="111"/>
        <v>396.24482742941552</v>
      </c>
      <c r="AH79" s="174">
        <f t="shared" si="111"/>
        <v>432.16801346374632</v>
      </c>
      <c r="AI79" s="174">
        <f t="shared" si="111"/>
        <v>468.09119949807712</v>
      </c>
      <c r="AJ79" s="174">
        <f t="shared" si="111"/>
        <v>504.01438553240763</v>
      </c>
      <c r="AK79" s="174">
        <f t="shared" ref="AK79:BT79" si="112">AK77-AK78</f>
        <v>1510.6281847349032</v>
      </c>
      <c r="AL79" s="174">
        <f t="shared" si="112"/>
        <v>1831.6098042411654</v>
      </c>
      <c r="AM79" s="174">
        <f t="shared" si="112"/>
        <v>2152.5914237474271</v>
      </c>
      <c r="AN79" s="174">
        <f t="shared" si="112"/>
        <v>2473.5730432536889</v>
      </c>
      <c r="AO79" s="174">
        <f t="shared" si="112"/>
        <v>2794.5546627599501</v>
      </c>
      <c r="AP79" s="174">
        <f t="shared" si="112"/>
        <v>3115.5362822662119</v>
      </c>
      <c r="AQ79" s="174">
        <f t="shared" si="112"/>
        <v>3436.5179017724736</v>
      </c>
      <c r="AR79" s="174">
        <f t="shared" si="112"/>
        <v>3757.4995212787353</v>
      </c>
      <c r="AS79" s="174">
        <f t="shared" si="112"/>
        <v>4078.481140784997</v>
      </c>
      <c r="AT79" s="174">
        <f t="shared" si="112"/>
        <v>4399.4627602912587</v>
      </c>
      <c r="AU79" s="174">
        <f t="shared" si="112"/>
        <v>4720.4443797975218</v>
      </c>
      <c r="AV79" s="174">
        <f t="shared" si="112"/>
        <v>5041.4259993037831</v>
      </c>
      <c r="AW79" s="174">
        <f t="shared" si="112"/>
        <v>7914.0738217182343</v>
      </c>
      <c r="AX79" s="174">
        <f t="shared" si="112"/>
        <v>9127.6370382576424</v>
      </c>
      <c r="AY79" s="174">
        <f t="shared" si="112"/>
        <v>10341.200254797048</v>
      </c>
      <c r="AZ79" s="174">
        <f t="shared" si="112"/>
        <v>11554.763471336459</v>
      </c>
      <c r="BA79" s="174">
        <f t="shared" si="112"/>
        <v>12768.32668787587</v>
      </c>
      <c r="BB79" s="174">
        <f t="shared" si="112"/>
        <v>13981.889904415277</v>
      </c>
      <c r="BC79" s="174">
        <f t="shared" si="112"/>
        <v>15195.453120954689</v>
      </c>
      <c r="BD79" s="174">
        <f t="shared" si="112"/>
        <v>16409.016337494093</v>
      </c>
      <c r="BE79" s="174">
        <f t="shared" si="112"/>
        <v>17622.579554033502</v>
      </c>
      <c r="BF79" s="174">
        <f t="shared" si="112"/>
        <v>18836.142770572911</v>
      </c>
      <c r="BG79" s="174">
        <f t="shared" si="112"/>
        <v>20049.705987112327</v>
      </c>
      <c r="BH79" s="174">
        <f t="shared" si="112"/>
        <v>21263.269203651733</v>
      </c>
      <c r="BI79" s="174">
        <f t="shared" si="112"/>
        <v>30116.836156301964</v>
      </c>
      <c r="BJ79" s="174">
        <f t="shared" si="112"/>
        <v>33749.116878674118</v>
      </c>
      <c r="BK79" s="174">
        <f t="shared" si="112"/>
        <v>37381.397601046279</v>
      </c>
      <c r="BL79" s="174">
        <f t="shared" si="112"/>
        <v>41013.678323418448</v>
      </c>
      <c r="BM79" s="174">
        <f t="shared" si="112"/>
        <v>44645.959045790616</v>
      </c>
      <c r="BN79" s="174">
        <f t="shared" si="112"/>
        <v>48278.239768162792</v>
      </c>
      <c r="BO79" s="174">
        <f t="shared" si="112"/>
        <v>51910.520490534953</v>
      </c>
      <c r="BP79" s="174">
        <f t="shared" si="112"/>
        <v>55542.801212907099</v>
      </c>
      <c r="BQ79" s="174">
        <f t="shared" si="112"/>
        <v>59175.081935279261</v>
      </c>
      <c r="BR79" s="174">
        <f t="shared" si="112"/>
        <v>62807.362657651429</v>
      </c>
      <c r="BS79" s="174">
        <f t="shared" si="112"/>
        <v>66439.643380023568</v>
      </c>
      <c r="BT79" s="174">
        <f t="shared" si="112"/>
        <v>70071.924102395744</v>
      </c>
      <c r="BU79" s="174">
        <f t="shared" ref="BU79:CF79" si="113">BU77-BU78</f>
        <v>92804.736504203669</v>
      </c>
      <c r="BV79" s="174">
        <f t="shared" si="113"/>
        <v>101726.24676741674</v>
      </c>
      <c r="BW79" s="174">
        <f t="shared" si="113"/>
        <v>110647.75703062983</v>
      </c>
      <c r="BX79" s="174">
        <f t="shared" si="113"/>
        <v>119569.26729384287</v>
      </c>
      <c r="BY79" s="174">
        <f t="shared" si="113"/>
        <v>128490.77755705595</v>
      </c>
      <c r="BZ79" s="174">
        <f t="shared" si="113"/>
        <v>137412.28782026895</v>
      </c>
      <c r="CA79" s="174">
        <f t="shared" si="113"/>
        <v>146333.79808348208</v>
      </c>
      <c r="CB79" s="174">
        <f t="shared" si="113"/>
        <v>155255.30834669515</v>
      </c>
      <c r="CC79" s="174">
        <f t="shared" si="113"/>
        <v>164176.81860990816</v>
      </c>
      <c r="CD79" s="174">
        <f t="shared" si="113"/>
        <v>173098.32887312127</v>
      </c>
      <c r="CE79" s="174">
        <f t="shared" si="113"/>
        <v>182019.83913633425</v>
      </c>
      <c r="CF79" s="174">
        <f t="shared" si="113"/>
        <v>190941.34939954738</v>
      </c>
    </row>
    <row r="80" spans="5:84">
      <c r="L80" s="88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  <c r="AV80" s="172"/>
      <c r="AW80" s="172"/>
      <c r="AX80" s="172"/>
      <c r="AY80" s="172"/>
      <c r="AZ80" s="172"/>
      <c r="BA80" s="172"/>
      <c r="BB80" s="172"/>
      <c r="BC80" s="172"/>
      <c r="BD80" s="172"/>
      <c r="BE80" s="172"/>
      <c r="BF80" s="172"/>
      <c r="BG80" s="172"/>
      <c r="BH80" s="172"/>
      <c r="BI80" s="172"/>
      <c r="BJ80" s="172"/>
      <c r="BK80" s="172"/>
      <c r="BL80" s="172"/>
      <c r="BM80" s="172"/>
      <c r="BN80" s="172"/>
      <c r="BO80" s="172"/>
      <c r="BP80" s="172"/>
      <c r="BQ80" s="172"/>
      <c r="BR80" s="172"/>
      <c r="BS80" s="172"/>
      <c r="BT80" s="172"/>
      <c r="BU80" s="172"/>
      <c r="BV80" s="172"/>
      <c r="BW80" s="172"/>
      <c r="BX80" s="172"/>
      <c r="BY80" s="172"/>
      <c r="BZ80" s="172"/>
      <c r="CA80" s="172"/>
      <c r="CB80" s="172"/>
      <c r="CC80" s="172"/>
      <c r="CD80" s="172"/>
      <c r="CE80" s="172"/>
      <c r="CF80" s="172"/>
    </row>
  </sheetData>
  <conditionalFormatting sqref="N15:CF16 M15:M17">
    <cfRule type="containsText" dxfId="8" priority="3" operator="containsText" text="false">
      <formula>NOT(ISERROR(SEARCH("false",M15)))</formula>
    </cfRule>
    <cfRule type="cellIs" dxfId="7" priority="4" operator="equal">
      <formula>TRUE</formula>
    </cfRule>
  </conditionalFormatting>
  <conditionalFormatting sqref="N16:CF17">
    <cfRule type="containsText" dxfId="6" priority="1" operator="containsText" text="false">
      <formula>NOT(ISERROR(SEARCH("false",N16)))</formula>
    </cfRule>
    <cfRule type="cellIs" dxfId="5" priority="2" operator="equal">
      <formula>TRUE</formula>
    </cfRule>
  </conditionalFormatting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9</xdr:col>
                    <xdr:colOff>7620</xdr:colOff>
                    <xdr:row>1</xdr:row>
                    <xdr:rowOff>7620</xdr:rowOff>
                  </from>
                  <to>
                    <xdr:col>10</xdr:col>
                    <xdr:colOff>525780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6734-1545-4045-80C0-4CC585DAA9E9}">
  <sheetPr>
    <tabColor theme="5" tint="0.39997558519241921"/>
  </sheetPr>
  <dimension ref="A1:BX113"/>
  <sheetViews>
    <sheetView showGridLines="0" zoomScale="70" zoomScaleNormal="70" workbookViewId="0">
      <pane xSplit="2" ySplit="5" topLeftCell="C24" activePane="bottomRight" state="frozen"/>
      <selection pane="topRight" activeCell="C91" sqref="C91"/>
      <selection pane="bottomLeft" activeCell="C91" sqref="C91"/>
      <selection pane="bottomRight" activeCell="A10" sqref="A10"/>
    </sheetView>
  </sheetViews>
  <sheetFormatPr defaultColWidth="0" defaultRowHeight="13.2" zeroHeight="1" outlineLevelRow="2"/>
  <cols>
    <col min="1" max="1" width="3.33203125" style="223" customWidth="1"/>
    <col min="2" max="2" width="41.44140625" style="223" bestFit="1" customWidth="1"/>
    <col min="3" max="3" width="12.77734375" style="223" bestFit="1" customWidth="1"/>
    <col min="4" max="75" width="15.44140625" style="223" customWidth="1"/>
    <col min="76" max="76" width="8.5546875" style="223" customWidth="1"/>
    <col min="77" max="16384" width="8.5546875" style="223" hidden="1"/>
  </cols>
  <sheetData>
    <row r="1" spans="2:76"/>
    <row r="2" spans="2:76" s="224" customFormat="1" ht="15.6">
      <c r="B2" s="416" t="str">
        <f>Cover!$D$3</f>
        <v>Canoja Technologies</v>
      </c>
      <c r="C2" s="416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  <c r="BG2" s="429"/>
      <c r="BH2" s="429"/>
      <c r="BI2" s="429"/>
      <c r="BJ2" s="429"/>
      <c r="BK2" s="429"/>
      <c r="BL2" s="429"/>
      <c r="BM2" s="429"/>
      <c r="BN2" s="429"/>
      <c r="BO2" s="429"/>
      <c r="BP2" s="429"/>
      <c r="BQ2" s="429"/>
      <c r="BR2" s="429"/>
      <c r="BS2" s="429"/>
      <c r="BT2" s="429"/>
      <c r="BU2" s="429"/>
      <c r="BV2" s="429"/>
      <c r="BW2" s="429"/>
      <c r="BX2" s="430"/>
    </row>
    <row r="3" spans="2:76" s="224" customFormat="1" ht="15.6">
      <c r="B3" s="419" t="s">
        <v>423</v>
      </c>
      <c r="C3" s="416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29"/>
      <c r="AI3" s="429"/>
      <c r="AJ3" s="429"/>
      <c r="AK3" s="429"/>
      <c r="AL3" s="429"/>
      <c r="AM3" s="429"/>
      <c r="AN3" s="429"/>
      <c r="AO3" s="429"/>
      <c r="AP3" s="429"/>
      <c r="AQ3" s="429"/>
      <c r="AR3" s="429"/>
      <c r="AS3" s="429"/>
      <c r="AT3" s="429"/>
      <c r="AU3" s="429"/>
      <c r="AV3" s="429"/>
      <c r="AW3" s="429"/>
      <c r="AX3" s="429"/>
      <c r="AY3" s="429"/>
      <c r="AZ3" s="429"/>
      <c r="BA3" s="429"/>
      <c r="BB3" s="429"/>
      <c r="BC3" s="429"/>
      <c r="BD3" s="429"/>
      <c r="BE3" s="429"/>
      <c r="BF3" s="429"/>
      <c r="BG3" s="429"/>
      <c r="BH3" s="429"/>
      <c r="BI3" s="429"/>
      <c r="BJ3" s="429"/>
      <c r="BK3" s="429"/>
      <c r="BL3" s="429"/>
      <c r="BM3" s="429"/>
      <c r="BN3" s="429"/>
      <c r="BO3" s="429"/>
      <c r="BP3" s="429"/>
      <c r="BQ3" s="429"/>
      <c r="BR3" s="429"/>
      <c r="BS3" s="429"/>
      <c r="BT3" s="429"/>
      <c r="BU3" s="429"/>
      <c r="BV3" s="429"/>
      <c r="BW3" s="429"/>
      <c r="BX3" s="430"/>
    </row>
    <row r="4" spans="2:76" s="224" customFormat="1" ht="15.6">
      <c r="B4" s="431" t="s">
        <v>390</v>
      </c>
      <c r="C4" s="416"/>
      <c r="D4" s="429">
        <v>1</v>
      </c>
      <c r="E4" s="429">
        <f>D4+1</f>
        <v>2</v>
      </c>
      <c r="F4" s="429">
        <f t="shared" ref="F4:BK4" si="0">E4+1</f>
        <v>3</v>
      </c>
      <c r="G4" s="429">
        <f t="shared" si="0"/>
        <v>4</v>
      </c>
      <c r="H4" s="429">
        <f t="shared" si="0"/>
        <v>5</v>
      </c>
      <c r="I4" s="429">
        <f t="shared" si="0"/>
        <v>6</v>
      </c>
      <c r="J4" s="429">
        <f t="shared" si="0"/>
        <v>7</v>
      </c>
      <c r="K4" s="429">
        <f t="shared" si="0"/>
        <v>8</v>
      </c>
      <c r="L4" s="429">
        <f t="shared" si="0"/>
        <v>9</v>
      </c>
      <c r="M4" s="429">
        <f t="shared" si="0"/>
        <v>10</v>
      </c>
      <c r="N4" s="429">
        <f t="shared" si="0"/>
        <v>11</v>
      </c>
      <c r="O4" s="429">
        <f t="shared" si="0"/>
        <v>12</v>
      </c>
      <c r="P4" s="429">
        <f t="shared" si="0"/>
        <v>13</v>
      </c>
      <c r="Q4" s="429">
        <f t="shared" si="0"/>
        <v>14</v>
      </c>
      <c r="R4" s="429">
        <f t="shared" si="0"/>
        <v>15</v>
      </c>
      <c r="S4" s="429">
        <f t="shared" si="0"/>
        <v>16</v>
      </c>
      <c r="T4" s="429">
        <f t="shared" si="0"/>
        <v>17</v>
      </c>
      <c r="U4" s="429">
        <f t="shared" si="0"/>
        <v>18</v>
      </c>
      <c r="V4" s="429">
        <f t="shared" si="0"/>
        <v>19</v>
      </c>
      <c r="W4" s="429">
        <f t="shared" si="0"/>
        <v>20</v>
      </c>
      <c r="X4" s="429">
        <f t="shared" si="0"/>
        <v>21</v>
      </c>
      <c r="Y4" s="429">
        <f t="shared" si="0"/>
        <v>22</v>
      </c>
      <c r="Z4" s="429">
        <f t="shared" si="0"/>
        <v>23</v>
      </c>
      <c r="AA4" s="429">
        <f t="shared" si="0"/>
        <v>24</v>
      </c>
      <c r="AB4" s="429">
        <f t="shared" si="0"/>
        <v>25</v>
      </c>
      <c r="AC4" s="429">
        <f t="shared" si="0"/>
        <v>26</v>
      </c>
      <c r="AD4" s="429">
        <f t="shared" si="0"/>
        <v>27</v>
      </c>
      <c r="AE4" s="429">
        <f t="shared" si="0"/>
        <v>28</v>
      </c>
      <c r="AF4" s="429">
        <f t="shared" si="0"/>
        <v>29</v>
      </c>
      <c r="AG4" s="429">
        <f t="shared" si="0"/>
        <v>30</v>
      </c>
      <c r="AH4" s="429">
        <f t="shared" si="0"/>
        <v>31</v>
      </c>
      <c r="AI4" s="429">
        <f t="shared" si="0"/>
        <v>32</v>
      </c>
      <c r="AJ4" s="429">
        <f t="shared" si="0"/>
        <v>33</v>
      </c>
      <c r="AK4" s="429">
        <f t="shared" si="0"/>
        <v>34</v>
      </c>
      <c r="AL4" s="429">
        <f t="shared" si="0"/>
        <v>35</v>
      </c>
      <c r="AM4" s="429">
        <f t="shared" si="0"/>
        <v>36</v>
      </c>
      <c r="AN4" s="429">
        <f t="shared" si="0"/>
        <v>37</v>
      </c>
      <c r="AO4" s="429">
        <f t="shared" si="0"/>
        <v>38</v>
      </c>
      <c r="AP4" s="429">
        <f t="shared" si="0"/>
        <v>39</v>
      </c>
      <c r="AQ4" s="429">
        <f t="shared" si="0"/>
        <v>40</v>
      </c>
      <c r="AR4" s="429">
        <f t="shared" si="0"/>
        <v>41</v>
      </c>
      <c r="AS4" s="429">
        <f t="shared" si="0"/>
        <v>42</v>
      </c>
      <c r="AT4" s="429">
        <f t="shared" si="0"/>
        <v>43</v>
      </c>
      <c r="AU4" s="429">
        <f t="shared" si="0"/>
        <v>44</v>
      </c>
      <c r="AV4" s="429">
        <f t="shared" si="0"/>
        <v>45</v>
      </c>
      <c r="AW4" s="429">
        <f t="shared" si="0"/>
        <v>46</v>
      </c>
      <c r="AX4" s="429">
        <f t="shared" si="0"/>
        <v>47</v>
      </c>
      <c r="AY4" s="429">
        <f t="shared" si="0"/>
        <v>48</v>
      </c>
      <c r="AZ4" s="429">
        <f t="shared" si="0"/>
        <v>49</v>
      </c>
      <c r="BA4" s="429">
        <f t="shared" si="0"/>
        <v>50</v>
      </c>
      <c r="BB4" s="429">
        <f t="shared" si="0"/>
        <v>51</v>
      </c>
      <c r="BC4" s="429">
        <f t="shared" si="0"/>
        <v>52</v>
      </c>
      <c r="BD4" s="429">
        <f t="shared" si="0"/>
        <v>53</v>
      </c>
      <c r="BE4" s="429">
        <f t="shared" si="0"/>
        <v>54</v>
      </c>
      <c r="BF4" s="429">
        <f t="shared" si="0"/>
        <v>55</v>
      </c>
      <c r="BG4" s="429">
        <f t="shared" si="0"/>
        <v>56</v>
      </c>
      <c r="BH4" s="429">
        <f t="shared" si="0"/>
        <v>57</v>
      </c>
      <c r="BI4" s="429">
        <f t="shared" si="0"/>
        <v>58</v>
      </c>
      <c r="BJ4" s="429">
        <f t="shared" si="0"/>
        <v>59</v>
      </c>
      <c r="BK4" s="429">
        <f t="shared" si="0"/>
        <v>60</v>
      </c>
      <c r="BL4" s="429">
        <f t="shared" ref="BL4" si="1">BK4+1</f>
        <v>61</v>
      </c>
      <c r="BM4" s="429">
        <f t="shared" ref="BM4" si="2">BL4+1</f>
        <v>62</v>
      </c>
      <c r="BN4" s="429">
        <f t="shared" ref="BN4" si="3">BM4+1</f>
        <v>63</v>
      </c>
      <c r="BO4" s="429">
        <f t="shared" ref="BO4" si="4">BN4+1</f>
        <v>64</v>
      </c>
      <c r="BP4" s="429">
        <f t="shared" ref="BP4" si="5">BO4+1</f>
        <v>65</v>
      </c>
      <c r="BQ4" s="429">
        <f t="shared" ref="BQ4" si="6">BP4+1</f>
        <v>66</v>
      </c>
      <c r="BR4" s="429">
        <f t="shared" ref="BR4" si="7">BQ4+1</f>
        <v>67</v>
      </c>
      <c r="BS4" s="429">
        <f t="shared" ref="BS4" si="8">BR4+1</f>
        <v>68</v>
      </c>
      <c r="BT4" s="429">
        <f t="shared" ref="BT4" si="9">BS4+1</f>
        <v>69</v>
      </c>
      <c r="BU4" s="429">
        <f t="shared" ref="BU4" si="10">BT4+1</f>
        <v>70</v>
      </c>
      <c r="BV4" s="429">
        <f t="shared" ref="BV4" si="11">BU4+1</f>
        <v>71</v>
      </c>
      <c r="BW4" s="429">
        <f t="shared" ref="BW4" si="12">BV4+1</f>
        <v>72</v>
      </c>
      <c r="BX4" s="430"/>
    </row>
    <row r="5" spans="2:76" s="225" customFormat="1" ht="15.6">
      <c r="B5" s="431" t="s">
        <v>58</v>
      </c>
      <c r="C5" s="416"/>
      <c r="D5" s="420">
        <f>_xlfn.XLOOKUP(D$4,Dates!$B$4:$B$75,Dates!$C$4:$C$75)</f>
        <v>45658</v>
      </c>
      <c r="E5" s="420">
        <f>_xlfn.XLOOKUP(E$4,Dates!$B$4:$B$75,Dates!$C$4:$C$75)</f>
        <v>45689</v>
      </c>
      <c r="F5" s="420">
        <f>_xlfn.XLOOKUP(F$4,Dates!$B$4:$B$75,Dates!$C$4:$C$75)</f>
        <v>45717</v>
      </c>
      <c r="G5" s="420">
        <f>_xlfn.XLOOKUP(G$4,Dates!$B$4:$B$75,Dates!$C$4:$C$75)</f>
        <v>45748</v>
      </c>
      <c r="H5" s="420">
        <f>_xlfn.XLOOKUP(H$4,Dates!$B$4:$B$75,Dates!$C$4:$C$75)</f>
        <v>45778</v>
      </c>
      <c r="I5" s="420">
        <f>_xlfn.XLOOKUP(I$4,Dates!$B$4:$B$75,Dates!$C$4:$C$75)</f>
        <v>45809</v>
      </c>
      <c r="J5" s="420">
        <f>_xlfn.XLOOKUP(J$4,Dates!$B$4:$B$75,Dates!$C$4:$C$75)</f>
        <v>45839</v>
      </c>
      <c r="K5" s="420">
        <f>_xlfn.XLOOKUP(K$4,Dates!$B$4:$B$75,Dates!$C$4:$C$75)</f>
        <v>45870</v>
      </c>
      <c r="L5" s="420">
        <f>_xlfn.XLOOKUP(L$4,Dates!$B$4:$B$75,Dates!$C$4:$C$75)</f>
        <v>45901</v>
      </c>
      <c r="M5" s="420">
        <f>_xlfn.XLOOKUP(M$4,Dates!$B$4:$B$75,Dates!$C$4:$C$75)</f>
        <v>45931</v>
      </c>
      <c r="N5" s="420">
        <f>_xlfn.XLOOKUP(N$4,Dates!$B$4:$B$75,Dates!$C$4:$C$75)</f>
        <v>45962</v>
      </c>
      <c r="O5" s="420">
        <f>_xlfn.XLOOKUP(O$4,Dates!$B$4:$B$75,Dates!$C$4:$C$75)</f>
        <v>45992</v>
      </c>
      <c r="P5" s="420">
        <f>_xlfn.XLOOKUP(P$4,Dates!$B$4:$B$75,Dates!$C$4:$C$75)</f>
        <v>46023</v>
      </c>
      <c r="Q5" s="420">
        <f>_xlfn.XLOOKUP(Q$4,Dates!$B$4:$B$75,Dates!$C$4:$C$75)</f>
        <v>46054</v>
      </c>
      <c r="R5" s="420">
        <f>_xlfn.XLOOKUP(R$4,Dates!$B$4:$B$75,Dates!$C$4:$C$75)</f>
        <v>46082</v>
      </c>
      <c r="S5" s="420">
        <f>_xlfn.XLOOKUP(S$4,Dates!$B$4:$B$75,Dates!$C$4:$C$75)</f>
        <v>46113</v>
      </c>
      <c r="T5" s="420">
        <f>_xlfn.XLOOKUP(T$4,Dates!$B$4:$B$75,Dates!$C$4:$C$75)</f>
        <v>46143</v>
      </c>
      <c r="U5" s="420">
        <f>_xlfn.XLOOKUP(U$4,Dates!$B$4:$B$75,Dates!$C$4:$C$75)</f>
        <v>46174</v>
      </c>
      <c r="V5" s="420">
        <f>_xlfn.XLOOKUP(V$4,Dates!$B$4:$B$75,Dates!$C$4:$C$75)</f>
        <v>46204</v>
      </c>
      <c r="W5" s="420">
        <f>_xlfn.XLOOKUP(W$4,Dates!$B$4:$B$75,Dates!$C$4:$C$75)</f>
        <v>46235</v>
      </c>
      <c r="X5" s="420">
        <f>_xlfn.XLOOKUP(X$4,Dates!$B$4:$B$75,Dates!$C$4:$C$75)</f>
        <v>46266</v>
      </c>
      <c r="Y5" s="420">
        <f>_xlfn.XLOOKUP(Y$4,Dates!$B$4:$B$75,Dates!$C$4:$C$75)</f>
        <v>46296</v>
      </c>
      <c r="Z5" s="420">
        <f>_xlfn.XLOOKUP(Z$4,Dates!$B$4:$B$75,Dates!$C$4:$C$75)</f>
        <v>46327</v>
      </c>
      <c r="AA5" s="420">
        <f>_xlfn.XLOOKUP(AA$4,Dates!$B$4:$B$75,Dates!$C$4:$C$75)</f>
        <v>46357</v>
      </c>
      <c r="AB5" s="420">
        <f>_xlfn.XLOOKUP(AB$4,Dates!$B$4:$B$75,Dates!$C$4:$C$75)</f>
        <v>46388</v>
      </c>
      <c r="AC5" s="420">
        <f>_xlfn.XLOOKUP(AC$4,Dates!$B$4:$B$75,Dates!$C$4:$C$75)</f>
        <v>46419</v>
      </c>
      <c r="AD5" s="420">
        <f>_xlfn.XLOOKUP(AD$4,Dates!$B$4:$B$75,Dates!$C$4:$C$75)</f>
        <v>46447</v>
      </c>
      <c r="AE5" s="420">
        <f>_xlfn.XLOOKUP(AE$4,Dates!$B$4:$B$75,Dates!$C$4:$C$75)</f>
        <v>46478</v>
      </c>
      <c r="AF5" s="420">
        <f>_xlfn.XLOOKUP(AF$4,Dates!$B$4:$B$75,Dates!$C$4:$C$75)</f>
        <v>46508</v>
      </c>
      <c r="AG5" s="420">
        <f>_xlfn.XLOOKUP(AG$4,Dates!$B$4:$B$75,Dates!$C$4:$C$75)</f>
        <v>46539</v>
      </c>
      <c r="AH5" s="420">
        <f>_xlfn.XLOOKUP(AH$4,Dates!$B$4:$B$75,Dates!$C$4:$C$75)</f>
        <v>46569</v>
      </c>
      <c r="AI5" s="420">
        <f>_xlfn.XLOOKUP(AI$4,Dates!$B$4:$B$75,Dates!$C$4:$C$75)</f>
        <v>46600</v>
      </c>
      <c r="AJ5" s="420">
        <f>_xlfn.XLOOKUP(AJ$4,Dates!$B$4:$B$75,Dates!$C$4:$C$75)</f>
        <v>46631</v>
      </c>
      <c r="AK5" s="420">
        <f>_xlfn.XLOOKUP(AK$4,Dates!$B$4:$B$75,Dates!$C$4:$C$75)</f>
        <v>46661</v>
      </c>
      <c r="AL5" s="420">
        <f>_xlfn.XLOOKUP(AL$4,Dates!$B$4:$B$75,Dates!$C$4:$C$75)</f>
        <v>46692</v>
      </c>
      <c r="AM5" s="420">
        <f>_xlfn.XLOOKUP(AM$4,Dates!$B$4:$B$75,Dates!$C$4:$C$75)</f>
        <v>46722</v>
      </c>
      <c r="AN5" s="420">
        <f>_xlfn.XLOOKUP(AN$4,Dates!$B$4:$B$75,Dates!$C$4:$C$75)</f>
        <v>46753</v>
      </c>
      <c r="AO5" s="420">
        <f>_xlfn.XLOOKUP(AO$4,Dates!$B$4:$B$75,Dates!$C$4:$C$75)</f>
        <v>46784</v>
      </c>
      <c r="AP5" s="420">
        <f>_xlfn.XLOOKUP(AP$4,Dates!$B$4:$B$75,Dates!$C$4:$C$75)</f>
        <v>46813</v>
      </c>
      <c r="AQ5" s="420">
        <f>_xlfn.XLOOKUP(AQ$4,Dates!$B$4:$B$75,Dates!$C$4:$C$75)</f>
        <v>46844</v>
      </c>
      <c r="AR5" s="420">
        <f>_xlfn.XLOOKUP(AR$4,Dates!$B$4:$B$75,Dates!$C$4:$C$75)</f>
        <v>46874</v>
      </c>
      <c r="AS5" s="420">
        <f>_xlfn.XLOOKUP(AS$4,Dates!$B$4:$B$75,Dates!$C$4:$C$75)</f>
        <v>46905</v>
      </c>
      <c r="AT5" s="420">
        <f>_xlfn.XLOOKUP(AT$4,Dates!$B$4:$B$75,Dates!$C$4:$C$75)</f>
        <v>46935</v>
      </c>
      <c r="AU5" s="420">
        <f>_xlfn.XLOOKUP(AU$4,Dates!$B$4:$B$75,Dates!$C$4:$C$75)</f>
        <v>46966</v>
      </c>
      <c r="AV5" s="420">
        <f>_xlfn.XLOOKUP(AV$4,Dates!$B$4:$B$75,Dates!$C$4:$C$75)</f>
        <v>46997</v>
      </c>
      <c r="AW5" s="420">
        <f>_xlfn.XLOOKUP(AW$4,Dates!$B$4:$B$75,Dates!$C$4:$C$75)</f>
        <v>47027</v>
      </c>
      <c r="AX5" s="420">
        <f>_xlfn.XLOOKUP(AX$4,Dates!$B$4:$B$75,Dates!$C$4:$C$75)</f>
        <v>47058</v>
      </c>
      <c r="AY5" s="420">
        <f>_xlfn.XLOOKUP(AY$4,Dates!$B$4:$B$75,Dates!$C$4:$C$75)</f>
        <v>47088</v>
      </c>
      <c r="AZ5" s="420">
        <f>_xlfn.XLOOKUP(AZ$4,Dates!$B$4:$B$75,Dates!$C$4:$C$75)</f>
        <v>47119</v>
      </c>
      <c r="BA5" s="420">
        <f>_xlfn.XLOOKUP(BA$4,Dates!$B$4:$B$75,Dates!$C$4:$C$75)</f>
        <v>47150</v>
      </c>
      <c r="BB5" s="420">
        <f>_xlfn.XLOOKUP(BB$4,Dates!$B$4:$B$75,Dates!$C$4:$C$75)</f>
        <v>47178</v>
      </c>
      <c r="BC5" s="420">
        <f>_xlfn.XLOOKUP(BC$4,Dates!$B$4:$B$75,Dates!$C$4:$C$75)</f>
        <v>47209</v>
      </c>
      <c r="BD5" s="420">
        <f>_xlfn.XLOOKUP(BD$4,Dates!$B$4:$B$75,Dates!$C$4:$C$75)</f>
        <v>47239</v>
      </c>
      <c r="BE5" s="420">
        <f>_xlfn.XLOOKUP(BE$4,Dates!$B$4:$B$75,Dates!$C$4:$C$75)</f>
        <v>47270</v>
      </c>
      <c r="BF5" s="420">
        <f>_xlfn.XLOOKUP(BF$4,Dates!$B$4:$B$75,Dates!$C$4:$C$75)</f>
        <v>47300</v>
      </c>
      <c r="BG5" s="420">
        <f>_xlfn.XLOOKUP(BG$4,Dates!$B$4:$B$75,Dates!$C$4:$C$75)</f>
        <v>47331</v>
      </c>
      <c r="BH5" s="420">
        <f>_xlfn.XLOOKUP(BH$4,Dates!$B$4:$B$75,Dates!$C$4:$C$75)</f>
        <v>47362</v>
      </c>
      <c r="BI5" s="420">
        <f>_xlfn.XLOOKUP(BI$4,Dates!$B$4:$B$75,Dates!$C$4:$C$75)</f>
        <v>47392</v>
      </c>
      <c r="BJ5" s="420">
        <f>_xlfn.XLOOKUP(BJ$4,Dates!$B$4:$B$75,Dates!$C$4:$C$75)</f>
        <v>47423</v>
      </c>
      <c r="BK5" s="420">
        <f>_xlfn.XLOOKUP(BK$4,Dates!$B$4:$B$75,Dates!$C$4:$C$75)</f>
        <v>47453</v>
      </c>
      <c r="BL5" s="420">
        <f>_xlfn.XLOOKUP(BL$4,Dates!$B$4:$B$75,Dates!$C$4:$C$75)</f>
        <v>47484</v>
      </c>
      <c r="BM5" s="420">
        <f>_xlfn.XLOOKUP(BM$4,Dates!$B$4:$B$75,Dates!$C$4:$C$75)</f>
        <v>47515</v>
      </c>
      <c r="BN5" s="420">
        <f>_xlfn.XLOOKUP(BN$4,Dates!$B$4:$B$75,Dates!$C$4:$C$75)</f>
        <v>47543</v>
      </c>
      <c r="BO5" s="420">
        <f>_xlfn.XLOOKUP(BO$4,Dates!$B$4:$B$75,Dates!$C$4:$C$75)</f>
        <v>47574</v>
      </c>
      <c r="BP5" s="420">
        <f>_xlfn.XLOOKUP(BP$4,Dates!$B$4:$B$75,Dates!$C$4:$C$75)</f>
        <v>47604</v>
      </c>
      <c r="BQ5" s="420">
        <f>_xlfn.XLOOKUP(BQ$4,Dates!$B$4:$B$75,Dates!$C$4:$C$75)</f>
        <v>47635</v>
      </c>
      <c r="BR5" s="420">
        <f>_xlfn.XLOOKUP(BR$4,Dates!$B$4:$B$75,Dates!$C$4:$C$75)</f>
        <v>47665</v>
      </c>
      <c r="BS5" s="420">
        <f>_xlfn.XLOOKUP(BS$4,Dates!$B$4:$B$75,Dates!$C$4:$C$75)</f>
        <v>47696</v>
      </c>
      <c r="BT5" s="420">
        <f>_xlfn.XLOOKUP(BT$4,Dates!$B$4:$B$75,Dates!$C$4:$C$75)</f>
        <v>47727</v>
      </c>
      <c r="BU5" s="420">
        <f>_xlfn.XLOOKUP(BU$4,Dates!$B$4:$B$75,Dates!$C$4:$C$75)</f>
        <v>47757</v>
      </c>
      <c r="BV5" s="420">
        <f>_xlfn.XLOOKUP(BV$4,Dates!$B$4:$B$75,Dates!$C$4:$C$75)</f>
        <v>47788</v>
      </c>
      <c r="BW5" s="420">
        <f>_xlfn.XLOOKUP(BW$4,Dates!$B$4:$B$75,Dates!$C$4:$C$75)</f>
        <v>47818</v>
      </c>
      <c r="BX5" s="432"/>
    </row>
    <row r="6" spans="2:76" s="225" customFormat="1" ht="15.6">
      <c r="B6" s="431" t="s">
        <v>59</v>
      </c>
      <c r="C6" s="416"/>
      <c r="D6" s="420">
        <f>EDATE(D5,1)-1</f>
        <v>45688</v>
      </c>
      <c r="E6" s="420">
        <f t="shared" ref="E6:BP6" si="13">EDATE(E5,1)-1</f>
        <v>45716</v>
      </c>
      <c r="F6" s="420">
        <f t="shared" si="13"/>
        <v>45747</v>
      </c>
      <c r="G6" s="420">
        <f t="shared" si="13"/>
        <v>45777</v>
      </c>
      <c r="H6" s="420">
        <f t="shared" si="13"/>
        <v>45808</v>
      </c>
      <c r="I6" s="420">
        <f t="shared" si="13"/>
        <v>45838</v>
      </c>
      <c r="J6" s="420">
        <f t="shared" si="13"/>
        <v>45869</v>
      </c>
      <c r="K6" s="420">
        <f t="shared" si="13"/>
        <v>45900</v>
      </c>
      <c r="L6" s="420">
        <f t="shared" si="13"/>
        <v>45930</v>
      </c>
      <c r="M6" s="420">
        <f t="shared" si="13"/>
        <v>45961</v>
      </c>
      <c r="N6" s="420">
        <f t="shared" si="13"/>
        <v>45991</v>
      </c>
      <c r="O6" s="420">
        <f t="shared" si="13"/>
        <v>46022</v>
      </c>
      <c r="P6" s="420">
        <f t="shared" si="13"/>
        <v>46053</v>
      </c>
      <c r="Q6" s="420">
        <f t="shared" si="13"/>
        <v>46081</v>
      </c>
      <c r="R6" s="420">
        <f t="shared" si="13"/>
        <v>46112</v>
      </c>
      <c r="S6" s="420">
        <f t="shared" si="13"/>
        <v>46142</v>
      </c>
      <c r="T6" s="420">
        <f t="shared" si="13"/>
        <v>46173</v>
      </c>
      <c r="U6" s="420">
        <f t="shared" si="13"/>
        <v>46203</v>
      </c>
      <c r="V6" s="420">
        <f t="shared" si="13"/>
        <v>46234</v>
      </c>
      <c r="W6" s="420">
        <f t="shared" si="13"/>
        <v>46265</v>
      </c>
      <c r="X6" s="420">
        <f t="shared" si="13"/>
        <v>46295</v>
      </c>
      <c r="Y6" s="420">
        <f t="shared" si="13"/>
        <v>46326</v>
      </c>
      <c r="Z6" s="420">
        <f t="shared" si="13"/>
        <v>46356</v>
      </c>
      <c r="AA6" s="420">
        <f t="shared" si="13"/>
        <v>46387</v>
      </c>
      <c r="AB6" s="420">
        <f t="shared" si="13"/>
        <v>46418</v>
      </c>
      <c r="AC6" s="420">
        <f t="shared" si="13"/>
        <v>46446</v>
      </c>
      <c r="AD6" s="420">
        <f t="shared" si="13"/>
        <v>46477</v>
      </c>
      <c r="AE6" s="420">
        <f t="shared" si="13"/>
        <v>46507</v>
      </c>
      <c r="AF6" s="420">
        <f t="shared" si="13"/>
        <v>46538</v>
      </c>
      <c r="AG6" s="420">
        <f t="shared" si="13"/>
        <v>46568</v>
      </c>
      <c r="AH6" s="420">
        <f t="shared" si="13"/>
        <v>46599</v>
      </c>
      <c r="AI6" s="420">
        <f t="shared" si="13"/>
        <v>46630</v>
      </c>
      <c r="AJ6" s="420">
        <f t="shared" si="13"/>
        <v>46660</v>
      </c>
      <c r="AK6" s="420">
        <f t="shared" si="13"/>
        <v>46691</v>
      </c>
      <c r="AL6" s="420">
        <f t="shared" si="13"/>
        <v>46721</v>
      </c>
      <c r="AM6" s="420">
        <f t="shared" si="13"/>
        <v>46752</v>
      </c>
      <c r="AN6" s="420">
        <f t="shared" si="13"/>
        <v>46783</v>
      </c>
      <c r="AO6" s="420">
        <f t="shared" si="13"/>
        <v>46812</v>
      </c>
      <c r="AP6" s="420">
        <f t="shared" si="13"/>
        <v>46843</v>
      </c>
      <c r="AQ6" s="420">
        <f t="shared" si="13"/>
        <v>46873</v>
      </c>
      <c r="AR6" s="420">
        <f t="shared" si="13"/>
        <v>46904</v>
      </c>
      <c r="AS6" s="420">
        <f t="shared" si="13"/>
        <v>46934</v>
      </c>
      <c r="AT6" s="420">
        <f t="shared" si="13"/>
        <v>46965</v>
      </c>
      <c r="AU6" s="420">
        <f t="shared" si="13"/>
        <v>46996</v>
      </c>
      <c r="AV6" s="420">
        <f t="shared" si="13"/>
        <v>47026</v>
      </c>
      <c r="AW6" s="420">
        <f t="shared" si="13"/>
        <v>47057</v>
      </c>
      <c r="AX6" s="420">
        <f t="shared" si="13"/>
        <v>47087</v>
      </c>
      <c r="AY6" s="420">
        <f t="shared" si="13"/>
        <v>47118</v>
      </c>
      <c r="AZ6" s="420">
        <f t="shared" si="13"/>
        <v>47149</v>
      </c>
      <c r="BA6" s="420">
        <f t="shared" si="13"/>
        <v>47177</v>
      </c>
      <c r="BB6" s="420">
        <f t="shared" si="13"/>
        <v>47208</v>
      </c>
      <c r="BC6" s="420">
        <f t="shared" si="13"/>
        <v>47238</v>
      </c>
      <c r="BD6" s="420">
        <f t="shared" si="13"/>
        <v>47269</v>
      </c>
      <c r="BE6" s="420">
        <f t="shared" si="13"/>
        <v>47299</v>
      </c>
      <c r="BF6" s="420">
        <f t="shared" si="13"/>
        <v>47330</v>
      </c>
      <c r="BG6" s="420">
        <f t="shared" si="13"/>
        <v>47361</v>
      </c>
      <c r="BH6" s="420">
        <f t="shared" si="13"/>
        <v>47391</v>
      </c>
      <c r="BI6" s="420">
        <f t="shared" si="13"/>
        <v>47422</v>
      </c>
      <c r="BJ6" s="420">
        <f t="shared" si="13"/>
        <v>47452</v>
      </c>
      <c r="BK6" s="420">
        <f t="shared" si="13"/>
        <v>47483</v>
      </c>
      <c r="BL6" s="420">
        <f t="shared" si="13"/>
        <v>47514</v>
      </c>
      <c r="BM6" s="420">
        <f t="shared" si="13"/>
        <v>47542</v>
      </c>
      <c r="BN6" s="420">
        <f t="shared" si="13"/>
        <v>47573</v>
      </c>
      <c r="BO6" s="420">
        <f t="shared" si="13"/>
        <v>47603</v>
      </c>
      <c r="BP6" s="420">
        <f t="shared" si="13"/>
        <v>47634</v>
      </c>
      <c r="BQ6" s="420">
        <f t="shared" ref="BQ6:BW6" si="14">EDATE(BQ5,1)-1</f>
        <v>47664</v>
      </c>
      <c r="BR6" s="420">
        <f t="shared" si="14"/>
        <v>47695</v>
      </c>
      <c r="BS6" s="420">
        <f t="shared" si="14"/>
        <v>47726</v>
      </c>
      <c r="BT6" s="420">
        <f t="shared" si="14"/>
        <v>47756</v>
      </c>
      <c r="BU6" s="420">
        <f t="shared" si="14"/>
        <v>47787</v>
      </c>
      <c r="BV6" s="420">
        <f t="shared" si="14"/>
        <v>47817</v>
      </c>
      <c r="BW6" s="420">
        <f t="shared" si="14"/>
        <v>47848</v>
      </c>
      <c r="BX6" s="432"/>
    </row>
    <row r="7" spans="2:76" s="225" customFormat="1" ht="15.6">
      <c r="B7" s="431" t="s">
        <v>238</v>
      </c>
      <c r="C7" s="416"/>
      <c r="D7" s="433">
        <v>1</v>
      </c>
      <c r="E7" s="433">
        <v>1</v>
      </c>
      <c r="F7" s="433">
        <v>1</v>
      </c>
      <c r="G7" s="433">
        <v>1</v>
      </c>
      <c r="H7" s="433">
        <v>1</v>
      </c>
      <c r="I7" s="433">
        <v>1</v>
      </c>
      <c r="J7" s="433">
        <v>1</v>
      </c>
      <c r="K7" s="433">
        <v>1</v>
      </c>
      <c r="L7" s="433">
        <v>1</v>
      </c>
      <c r="M7" s="433">
        <v>1</v>
      </c>
      <c r="N7" s="433">
        <v>1</v>
      </c>
      <c r="O7" s="433">
        <v>1</v>
      </c>
      <c r="P7" s="433">
        <v>1</v>
      </c>
      <c r="Q7" s="433">
        <v>1</v>
      </c>
      <c r="R7" s="433">
        <v>1</v>
      </c>
      <c r="S7" s="433">
        <v>1</v>
      </c>
      <c r="T7" s="433">
        <v>1</v>
      </c>
      <c r="U7" s="433">
        <v>1</v>
      </c>
      <c r="V7" s="433">
        <v>1</v>
      </c>
      <c r="W7" s="433">
        <v>1</v>
      </c>
      <c r="X7" s="433">
        <v>1</v>
      </c>
      <c r="Y7" s="433">
        <v>1</v>
      </c>
      <c r="Z7" s="433">
        <v>1</v>
      </c>
      <c r="AA7" s="433">
        <v>1</v>
      </c>
      <c r="AB7" s="433">
        <v>1</v>
      </c>
      <c r="AC7" s="433">
        <v>1</v>
      </c>
      <c r="AD7" s="433">
        <v>1</v>
      </c>
      <c r="AE7" s="433">
        <v>1</v>
      </c>
      <c r="AF7" s="433">
        <v>1</v>
      </c>
      <c r="AG7" s="433">
        <v>1</v>
      </c>
      <c r="AH7" s="433">
        <v>1</v>
      </c>
      <c r="AI7" s="433">
        <v>1</v>
      </c>
      <c r="AJ7" s="433">
        <v>1</v>
      </c>
      <c r="AK7" s="433">
        <v>1</v>
      </c>
      <c r="AL7" s="433">
        <v>1</v>
      </c>
      <c r="AM7" s="433">
        <v>1</v>
      </c>
      <c r="AN7" s="433">
        <v>1</v>
      </c>
      <c r="AO7" s="433">
        <v>1</v>
      </c>
      <c r="AP7" s="433">
        <v>1</v>
      </c>
      <c r="AQ7" s="433">
        <v>1</v>
      </c>
      <c r="AR7" s="433">
        <v>1</v>
      </c>
      <c r="AS7" s="433">
        <v>1</v>
      </c>
      <c r="AT7" s="433">
        <v>1</v>
      </c>
      <c r="AU7" s="433">
        <v>1</v>
      </c>
      <c r="AV7" s="433">
        <v>1</v>
      </c>
      <c r="AW7" s="433">
        <v>1</v>
      </c>
      <c r="AX7" s="433">
        <v>1</v>
      </c>
      <c r="AY7" s="433">
        <v>1</v>
      </c>
      <c r="AZ7" s="433">
        <v>1</v>
      </c>
      <c r="BA7" s="433">
        <v>1</v>
      </c>
      <c r="BB7" s="433">
        <v>1</v>
      </c>
      <c r="BC7" s="433">
        <v>1</v>
      </c>
      <c r="BD7" s="433">
        <v>1</v>
      </c>
      <c r="BE7" s="433">
        <v>1</v>
      </c>
      <c r="BF7" s="433">
        <v>1</v>
      </c>
      <c r="BG7" s="433">
        <v>1</v>
      </c>
      <c r="BH7" s="433">
        <v>1</v>
      </c>
      <c r="BI7" s="433">
        <v>1</v>
      </c>
      <c r="BJ7" s="433">
        <v>1</v>
      </c>
      <c r="BK7" s="433">
        <v>1</v>
      </c>
      <c r="BL7" s="433">
        <v>1</v>
      </c>
      <c r="BM7" s="433">
        <v>1</v>
      </c>
      <c r="BN7" s="433">
        <v>1</v>
      </c>
      <c r="BO7" s="433">
        <v>1</v>
      </c>
      <c r="BP7" s="433">
        <v>1</v>
      </c>
      <c r="BQ7" s="433">
        <v>1</v>
      </c>
      <c r="BR7" s="433">
        <v>1</v>
      </c>
      <c r="BS7" s="433">
        <v>1</v>
      </c>
      <c r="BT7" s="433">
        <v>1</v>
      </c>
      <c r="BU7" s="433">
        <v>1</v>
      </c>
      <c r="BV7" s="433">
        <v>1</v>
      </c>
      <c r="BW7" s="433">
        <v>1</v>
      </c>
      <c r="BX7" s="432"/>
    </row>
    <row r="8" spans="2:76" s="225" customFormat="1" ht="15.6">
      <c r="B8" s="431" t="s">
        <v>60</v>
      </c>
      <c r="C8" s="416"/>
      <c r="D8" s="433" t="str">
        <f>"Q"&amp;D7</f>
        <v>Q1</v>
      </c>
      <c r="E8" s="433" t="str">
        <f t="shared" ref="E8:BP8" si="15">"Q"&amp;E7</f>
        <v>Q1</v>
      </c>
      <c r="F8" s="433" t="str">
        <f t="shared" si="15"/>
        <v>Q1</v>
      </c>
      <c r="G8" s="433" t="str">
        <f t="shared" si="15"/>
        <v>Q1</v>
      </c>
      <c r="H8" s="433" t="str">
        <f t="shared" si="15"/>
        <v>Q1</v>
      </c>
      <c r="I8" s="433" t="str">
        <f t="shared" si="15"/>
        <v>Q1</v>
      </c>
      <c r="J8" s="433" t="str">
        <f t="shared" si="15"/>
        <v>Q1</v>
      </c>
      <c r="K8" s="433" t="str">
        <f t="shared" si="15"/>
        <v>Q1</v>
      </c>
      <c r="L8" s="433" t="str">
        <f t="shared" si="15"/>
        <v>Q1</v>
      </c>
      <c r="M8" s="433" t="str">
        <f t="shared" si="15"/>
        <v>Q1</v>
      </c>
      <c r="N8" s="433" t="str">
        <f t="shared" si="15"/>
        <v>Q1</v>
      </c>
      <c r="O8" s="433" t="str">
        <f t="shared" si="15"/>
        <v>Q1</v>
      </c>
      <c r="P8" s="433" t="str">
        <f t="shared" si="15"/>
        <v>Q1</v>
      </c>
      <c r="Q8" s="433" t="str">
        <f t="shared" si="15"/>
        <v>Q1</v>
      </c>
      <c r="R8" s="433" t="str">
        <f t="shared" si="15"/>
        <v>Q1</v>
      </c>
      <c r="S8" s="433" t="str">
        <f t="shared" si="15"/>
        <v>Q1</v>
      </c>
      <c r="T8" s="433" t="str">
        <f t="shared" si="15"/>
        <v>Q1</v>
      </c>
      <c r="U8" s="433" t="str">
        <f t="shared" si="15"/>
        <v>Q1</v>
      </c>
      <c r="V8" s="433" t="str">
        <f t="shared" si="15"/>
        <v>Q1</v>
      </c>
      <c r="W8" s="433" t="str">
        <f t="shared" si="15"/>
        <v>Q1</v>
      </c>
      <c r="X8" s="433" t="str">
        <f t="shared" si="15"/>
        <v>Q1</v>
      </c>
      <c r="Y8" s="433" t="str">
        <f t="shared" si="15"/>
        <v>Q1</v>
      </c>
      <c r="Z8" s="433" t="str">
        <f t="shared" si="15"/>
        <v>Q1</v>
      </c>
      <c r="AA8" s="433" t="str">
        <f t="shared" si="15"/>
        <v>Q1</v>
      </c>
      <c r="AB8" s="433" t="str">
        <f t="shared" si="15"/>
        <v>Q1</v>
      </c>
      <c r="AC8" s="433" t="str">
        <f t="shared" si="15"/>
        <v>Q1</v>
      </c>
      <c r="AD8" s="433" t="str">
        <f t="shared" si="15"/>
        <v>Q1</v>
      </c>
      <c r="AE8" s="433" t="str">
        <f t="shared" si="15"/>
        <v>Q1</v>
      </c>
      <c r="AF8" s="433" t="str">
        <f t="shared" si="15"/>
        <v>Q1</v>
      </c>
      <c r="AG8" s="433" t="str">
        <f t="shared" si="15"/>
        <v>Q1</v>
      </c>
      <c r="AH8" s="433" t="str">
        <f t="shared" si="15"/>
        <v>Q1</v>
      </c>
      <c r="AI8" s="433" t="str">
        <f t="shared" si="15"/>
        <v>Q1</v>
      </c>
      <c r="AJ8" s="433" t="str">
        <f t="shared" si="15"/>
        <v>Q1</v>
      </c>
      <c r="AK8" s="433" t="str">
        <f t="shared" si="15"/>
        <v>Q1</v>
      </c>
      <c r="AL8" s="433" t="str">
        <f t="shared" si="15"/>
        <v>Q1</v>
      </c>
      <c r="AM8" s="433" t="str">
        <f t="shared" si="15"/>
        <v>Q1</v>
      </c>
      <c r="AN8" s="433" t="str">
        <f t="shared" si="15"/>
        <v>Q1</v>
      </c>
      <c r="AO8" s="433" t="str">
        <f t="shared" si="15"/>
        <v>Q1</v>
      </c>
      <c r="AP8" s="433" t="str">
        <f t="shared" si="15"/>
        <v>Q1</v>
      </c>
      <c r="AQ8" s="433" t="str">
        <f t="shared" si="15"/>
        <v>Q1</v>
      </c>
      <c r="AR8" s="433" t="str">
        <f t="shared" si="15"/>
        <v>Q1</v>
      </c>
      <c r="AS8" s="433" t="str">
        <f t="shared" si="15"/>
        <v>Q1</v>
      </c>
      <c r="AT8" s="433" t="str">
        <f t="shared" si="15"/>
        <v>Q1</v>
      </c>
      <c r="AU8" s="433" t="str">
        <f t="shared" si="15"/>
        <v>Q1</v>
      </c>
      <c r="AV8" s="433" t="str">
        <f t="shared" si="15"/>
        <v>Q1</v>
      </c>
      <c r="AW8" s="433" t="str">
        <f t="shared" si="15"/>
        <v>Q1</v>
      </c>
      <c r="AX8" s="433" t="str">
        <f t="shared" si="15"/>
        <v>Q1</v>
      </c>
      <c r="AY8" s="433" t="str">
        <f t="shared" si="15"/>
        <v>Q1</v>
      </c>
      <c r="AZ8" s="433" t="str">
        <f t="shared" si="15"/>
        <v>Q1</v>
      </c>
      <c r="BA8" s="433" t="str">
        <f t="shared" si="15"/>
        <v>Q1</v>
      </c>
      <c r="BB8" s="433" t="str">
        <f t="shared" si="15"/>
        <v>Q1</v>
      </c>
      <c r="BC8" s="433" t="str">
        <f t="shared" si="15"/>
        <v>Q1</v>
      </c>
      <c r="BD8" s="433" t="str">
        <f t="shared" si="15"/>
        <v>Q1</v>
      </c>
      <c r="BE8" s="433" t="str">
        <f t="shared" si="15"/>
        <v>Q1</v>
      </c>
      <c r="BF8" s="433" t="str">
        <f t="shared" si="15"/>
        <v>Q1</v>
      </c>
      <c r="BG8" s="433" t="str">
        <f t="shared" si="15"/>
        <v>Q1</v>
      </c>
      <c r="BH8" s="433" t="str">
        <f t="shared" si="15"/>
        <v>Q1</v>
      </c>
      <c r="BI8" s="433" t="str">
        <f t="shared" si="15"/>
        <v>Q1</v>
      </c>
      <c r="BJ8" s="433" t="str">
        <f t="shared" si="15"/>
        <v>Q1</v>
      </c>
      <c r="BK8" s="433" t="str">
        <f t="shared" si="15"/>
        <v>Q1</v>
      </c>
      <c r="BL8" s="433" t="str">
        <f t="shared" si="15"/>
        <v>Q1</v>
      </c>
      <c r="BM8" s="433" t="str">
        <f t="shared" si="15"/>
        <v>Q1</v>
      </c>
      <c r="BN8" s="433" t="str">
        <f t="shared" si="15"/>
        <v>Q1</v>
      </c>
      <c r="BO8" s="433" t="str">
        <f t="shared" si="15"/>
        <v>Q1</v>
      </c>
      <c r="BP8" s="433" t="str">
        <f t="shared" si="15"/>
        <v>Q1</v>
      </c>
      <c r="BQ8" s="433" t="str">
        <f t="shared" ref="BQ8:BW8" si="16">"Q"&amp;BQ7</f>
        <v>Q1</v>
      </c>
      <c r="BR8" s="433" t="str">
        <f t="shared" si="16"/>
        <v>Q1</v>
      </c>
      <c r="BS8" s="433" t="str">
        <f t="shared" si="16"/>
        <v>Q1</v>
      </c>
      <c r="BT8" s="433" t="str">
        <f t="shared" si="16"/>
        <v>Q1</v>
      </c>
      <c r="BU8" s="433" t="str">
        <f t="shared" si="16"/>
        <v>Q1</v>
      </c>
      <c r="BV8" s="433" t="str">
        <f t="shared" si="16"/>
        <v>Q1</v>
      </c>
      <c r="BW8" s="433" t="str">
        <f t="shared" si="16"/>
        <v>Q1</v>
      </c>
      <c r="BX8" s="432"/>
    </row>
    <row r="9" spans="2:76" s="225" customFormat="1" ht="15.6">
      <c r="B9" s="431" t="s">
        <v>102</v>
      </c>
      <c r="C9" s="416"/>
      <c r="D9" s="433">
        <f>_xlfn.XLOOKUP(D4,Dates!$B$4:$B$75,Dates!$D$4:$D$75)</f>
        <v>1</v>
      </c>
      <c r="E9" s="433">
        <f>_xlfn.XLOOKUP(E4,Dates!$B$4:$B$75,Dates!$D$4:$D$75)</f>
        <v>1</v>
      </c>
      <c r="F9" s="433">
        <f>_xlfn.XLOOKUP(F4,Dates!$B$4:$B$75,Dates!$D$4:$D$75)</f>
        <v>1</v>
      </c>
      <c r="G9" s="433">
        <f>_xlfn.XLOOKUP(G4,Dates!$B$4:$B$75,Dates!$D$4:$D$75)</f>
        <v>1</v>
      </c>
      <c r="H9" s="433">
        <f>_xlfn.XLOOKUP(H4,Dates!$B$4:$B$75,Dates!$D$4:$D$75)</f>
        <v>1</v>
      </c>
      <c r="I9" s="433">
        <f>_xlfn.XLOOKUP(I4,Dates!$B$4:$B$75,Dates!$D$4:$D$75)</f>
        <v>1</v>
      </c>
      <c r="J9" s="433">
        <f>_xlfn.XLOOKUP(J4,Dates!$B$4:$B$75,Dates!$D$4:$D$75)</f>
        <v>1</v>
      </c>
      <c r="K9" s="433">
        <f>_xlfn.XLOOKUP(K4,Dates!$B$4:$B$75,Dates!$D$4:$D$75)</f>
        <v>1</v>
      </c>
      <c r="L9" s="433">
        <f>_xlfn.XLOOKUP(L4,Dates!$B$4:$B$75,Dates!$D$4:$D$75)</f>
        <v>1</v>
      </c>
      <c r="M9" s="433">
        <f>_xlfn.XLOOKUP(M4,Dates!$B$4:$B$75,Dates!$D$4:$D$75)</f>
        <v>1</v>
      </c>
      <c r="N9" s="433">
        <f>_xlfn.XLOOKUP(N4,Dates!$B$4:$B$75,Dates!$D$4:$D$75)</f>
        <v>1</v>
      </c>
      <c r="O9" s="433">
        <f>_xlfn.XLOOKUP(O4,Dates!$B$4:$B$75,Dates!$D$4:$D$75)</f>
        <v>1</v>
      </c>
      <c r="P9" s="433">
        <f>_xlfn.XLOOKUP(P4,Dates!$B$4:$B$75,Dates!$D$4:$D$75)</f>
        <v>2</v>
      </c>
      <c r="Q9" s="433">
        <f>_xlfn.XLOOKUP(Q4,Dates!$B$4:$B$75,Dates!$D$4:$D$75)</f>
        <v>2</v>
      </c>
      <c r="R9" s="433">
        <f>_xlfn.XLOOKUP(R4,Dates!$B$4:$B$75,Dates!$D$4:$D$75)</f>
        <v>2</v>
      </c>
      <c r="S9" s="433">
        <f>_xlfn.XLOOKUP(S4,Dates!$B$4:$B$75,Dates!$D$4:$D$75)</f>
        <v>2</v>
      </c>
      <c r="T9" s="433">
        <f>_xlfn.XLOOKUP(T4,Dates!$B$4:$B$75,Dates!$D$4:$D$75)</f>
        <v>2</v>
      </c>
      <c r="U9" s="433">
        <f>_xlfn.XLOOKUP(U4,Dates!$B$4:$B$75,Dates!$D$4:$D$75)</f>
        <v>2</v>
      </c>
      <c r="V9" s="433">
        <f>_xlfn.XLOOKUP(V4,Dates!$B$4:$B$75,Dates!$D$4:$D$75)</f>
        <v>2</v>
      </c>
      <c r="W9" s="433">
        <f>_xlfn.XLOOKUP(W4,Dates!$B$4:$B$75,Dates!$D$4:$D$75)</f>
        <v>2</v>
      </c>
      <c r="X9" s="433">
        <f>_xlfn.XLOOKUP(X4,Dates!$B$4:$B$75,Dates!$D$4:$D$75)</f>
        <v>2</v>
      </c>
      <c r="Y9" s="433">
        <f>_xlfn.XLOOKUP(Y4,Dates!$B$4:$B$75,Dates!$D$4:$D$75)</f>
        <v>2</v>
      </c>
      <c r="Z9" s="433">
        <f>_xlfn.XLOOKUP(Z4,Dates!$B$4:$B$75,Dates!$D$4:$D$75)</f>
        <v>2</v>
      </c>
      <c r="AA9" s="433">
        <f>_xlfn.XLOOKUP(AA4,Dates!$B$4:$B$75,Dates!$D$4:$D$75)</f>
        <v>2</v>
      </c>
      <c r="AB9" s="433">
        <f>_xlfn.XLOOKUP(AB4,Dates!$B$4:$B$75,Dates!$D$4:$D$75)</f>
        <v>3</v>
      </c>
      <c r="AC9" s="433">
        <f>_xlfn.XLOOKUP(AC4,Dates!$B$4:$B$75,Dates!$D$4:$D$75)</f>
        <v>3</v>
      </c>
      <c r="AD9" s="433">
        <f>_xlfn.XLOOKUP(AD4,Dates!$B$4:$B$75,Dates!$D$4:$D$75)</f>
        <v>3</v>
      </c>
      <c r="AE9" s="433">
        <f>_xlfn.XLOOKUP(AE4,Dates!$B$4:$B$75,Dates!$D$4:$D$75)</f>
        <v>3</v>
      </c>
      <c r="AF9" s="433">
        <f>_xlfn.XLOOKUP(AF4,Dates!$B$4:$B$75,Dates!$D$4:$D$75)</f>
        <v>3</v>
      </c>
      <c r="AG9" s="433">
        <f>_xlfn.XLOOKUP(AG4,Dates!$B$4:$B$75,Dates!$D$4:$D$75)</f>
        <v>3</v>
      </c>
      <c r="AH9" s="433">
        <f>_xlfn.XLOOKUP(AH4,Dates!$B$4:$B$75,Dates!$D$4:$D$75)</f>
        <v>3</v>
      </c>
      <c r="AI9" s="433">
        <f>_xlfn.XLOOKUP(AI4,Dates!$B$4:$B$75,Dates!$D$4:$D$75)</f>
        <v>3</v>
      </c>
      <c r="AJ9" s="433">
        <f>_xlfn.XLOOKUP(AJ4,Dates!$B$4:$B$75,Dates!$D$4:$D$75)</f>
        <v>3</v>
      </c>
      <c r="AK9" s="433">
        <f>_xlfn.XLOOKUP(AK4,Dates!$B$4:$B$75,Dates!$D$4:$D$75)</f>
        <v>3</v>
      </c>
      <c r="AL9" s="433">
        <f>_xlfn.XLOOKUP(AL4,Dates!$B$4:$B$75,Dates!$D$4:$D$75)</f>
        <v>3</v>
      </c>
      <c r="AM9" s="433">
        <f>_xlfn.XLOOKUP(AM4,Dates!$B$4:$B$75,Dates!$D$4:$D$75)</f>
        <v>3</v>
      </c>
      <c r="AN9" s="433">
        <f>_xlfn.XLOOKUP(AN4,Dates!$B$4:$B$75,Dates!$D$4:$D$75)</f>
        <v>4</v>
      </c>
      <c r="AO9" s="433">
        <f>_xlfn.XLOOKUP(AO4,Dates!$B$4:$B$75,Dates!$D$4:$D$75)</f>
        <v>4</v>
      </c>
      <c r="AP9" s="433">
        <f>_xlfn.XLOOKUP(AP4,Dates!$B$4:$B$75,Dates!$D$4:$D$75)</f>
        <v>4</v>
      </c>
      <c r="AQ9" s="433">
        <f>_xlfn.XLOOKUP(AQ4,Dates!$B$4:$B$75,Dates!$D$4:$D$75)</f>
        <v>4</v>
      </c>
      <c r="AR9" s="433">
        <f>_xlfn.XLOOKUP(AR4,Dates!$B$4:$B$75,Dates!$D$4:$D$75)</f>
        <v>4</v>
      </c>
      <c r="AS9" s="433">
        <f>_xlfn.XLOOKUP(AS4,Dates!$B$4:$B$75,Dates!$D$4:$D$75)</f>
        <v>4</v>
      </c>
      <c r="AT9" s="433">
        <f>_xlfn.XLOOKUP(AT4,Dates!$B$4:$B$75,Dates!$D$4:$D$75)</f>
        <v>4</v>
      </c>
      <c r="AU9" s="433">
        <f>_xlfn.XLOOKUP(AU4,Dates!$B$4:$B$75,Dates!$D$4:$D$75)</f>
        <v>4</v>
      </c>
      <c r="AV9" s="433">
        <f>_xlfn.XLOOKUP(AV4,Dates!$B$4:$B$75,Dates!$D$4:$D$75)</f>
        <v>4</v>
      </c>
      <c r="AW9" s="433">
        <f>_xlfn.XLOOKUP(AW4,Dates!$B$4:$B$75,Dates!$D$4:$D$75)</f>
        <v>4</v>
      </c>
      <c r="AX9" s="433">
        <f>_xlfn.XLOOKUP(AX4,Dates!$B$4:$B$75,Dates!$D$4:$D$75)</f>
        <v>4</v>
      </c>
      <c r="AY9" s="433">
        <f>_xlfn.XLOOKUP(AY4,Dates!$B$4:$B$75,Dates!$D$4:$D$75)</f>
        <v>4</v>
      </c>
      <c r="AZ9" s="433">
        <f>_xlfn.XLOOKUP(AZ4,Dates!$B$4:$B$75,Dates!$D$4:$D$75)</f>
        <v>5</v>
      </c>
      <c r="BA9" s="433">
        <f>_xlfn.XLOOKUP(BA4,Dates!$B$4:$B$75,Dates!$D$4:$D$75)</f>
        <v>5</v>
      </c>
      <c r="BB9" s="433">
        <f>_xlfn.XLOOKUP(BB4,Dates!$B$4:$B$75,Dates!$D$4:$D$75)</f>
        <v>5</v>
      </c>
      <c r="BC9" s="433">
        <f>_xlfn.XLOOKUP(BC4,Dates!$B$4:$B$75,Dates!$D$4:$D$75)</f>
        <v>5</v>
      </c>
      <c r="BD9" s="433">
        <f>_xlfn.XLOOKUP(BD4,Dates!$B$4:$B$75,Dates!$D$4:$D$75)</f>
        <v>5</v>
      </c>
      <c r="BE9" s="433">
        <f>_xlfn.XLOOKUP(BE4,Dates!$B$4:$B$75,Dates!$D$4:$D$75)</f>
        <v>5</v>
      </c>
      <c r="BF9" s="433">
        <f>_xlfn.XLOOKUP(BF4,Dates!$B$4:$B$75,Dates!$D$4:$D$75)</f>
        <v>5</v>
      </c>
      <c r="BG9" s="433">
        <f>_xlfn.XLOOKUP(BG4,Dates!$B$4:$B$75,Dates!$D$4:$D$75)</f>
        <v>5</v>
      </c>
      <c r="BH9" s="433">
        <f>_xlfn.XLOOKUP(BH4,Dates!$B$4:$B$75,Dates!$D$4:$D$75)</f>
        <v>5</v>
      </c>
      <c r="BI9" s="433">
        <f>_xlfn.XLOOKUP(BI4,Dates!$B$4:$B$75,Dates!$D$4:$D$75)</f>
        <v>5</v>
      </c>
      <c r="BJ9" s="433">
        <f>_xlfn.XLOOKUP(BJ4,Dates!$B$4:$B$75,Dates!$D$4:$D$75)</f>
        <v>5</v>
      </c>
      <c r="BK9" s="433">
        <f>_xlfn.XLOOKUP(BK4,Dates!$B$4:$B$75,Dates!$D$4:$D$75)</f>
        <v>5</v>
      </c>
      <c r="BL9" s="433">
        <f>_xlfn.XLOOKUP(BL4,Dates!$B$4:$B$75,Dates!$D$4:$D$75)</f>
        <v>6</v>
      </c>
      <c r="BM9" s="433">
        <f>_xlfn.XLOOKUP(BM4,Dates!$B$4:$B$75,Dates!$D$4:$D$75)</f>
        <v>6</v>
      </c>
      <c r="BN9" s="433">
        <f>_xlfn.XLOOKUP(BN4,Dates!$B$4:$B$75,Dates!$D$4:$D$75)</f>
        <v>6</v>
      </c>
      <c r="BO9" s="433">
        <f>_xlfn.XLOOKUP(BO4,Dates!$B$4:$B$75,Dates!$D$4:$D$75)</f>
        <v>6</v>
      </c>
      <c r="BP9" s="433">
        <f>_xlfn.XLOOKUP(BP4,Dates!$B$4:$B$75,Dates!$D$4:$D$75)</f>
        <v>6</v>
      </c>
      <c r="BQ9" s="433">
        <f>_xlfn.XLOOKUP(BQ4,Dates!$B$4:$B$75,Dates!$D$4:$D$75)</f>
        <v>6</v>
      </c>
      <c r="BR9" s="433">
        <f>_xlfn.XLOOKUP(BR4,Dates!$B$4:$B$75,Dates!$D$4:$D$75)</f>
        <v>6</v>
      </c>
      <c r="BS9" s="433">
        <f>_xlfn.XLOOKUP(BS4,Dates!$B$4:$B$75,Dates!$D$4:$D$75)</f>
        <v>6</v>
      </c>
      <c r="BT9" s="433">
        <f>_xlfn.XLOOKUP(BT4,Dates!$B$4:$B$75,Dates!$D$4:$D$75)</f>
        <v>6</v>
      </c>
      <c r="BU9" s="433">
        <f>_xlfn.XLOOKUP(BU4,Dates!$B$4:$B$75,Dates!$D$4:$D$75)</f>
        <v>6</v>
      </c>
      <c r="BV9" s="433">
        <f>_xlfn.XLOOKUP(BV4,Dates!$B$4:$B$75,Dates!$D$4:$D$75)</f>
        <v>6</v>
      </c>
      <c r="BW9" s="433">
        <f>_xlfn.XLOOKUP(BW4,Dates!$B$4:$B$75,Dates!$D$4:$D$75)</f>
        <v>6</v>
      </c>
      <c r="BX9" s="432"/>
    </row>
    <row r="10" spans="2:76" s="225" customFormat="1" ht="15.6">
      <c r="B10" s="431" t="s">
        <v>61</v>
      </c>
      <c r="C10" s="416"/>
      <c r="D10" s="434">
        <f t="shared" ref="D10:BO10" si="17">YEAR(D6)</f>
        <v>2025</v>
      </c>
      <c r="E10" s="434">
        <f t="shared" si="17"/>
        <v>2025</v>
      </c>
      <c r="F10" s="434">
        <f t="shared" si="17"/>
        <v>2025</v>
      </c>
      <c r="G10" s="434">
        <f t="shared" si="17"/>
        <v>2025</v>
      </c>
      <c r="H10" s="434">
        <f t="shared" si="17"/>
        <v>2025</v>
      </c>
      <c r="I10" s="434">
        <f t="shared" si="17"/>
        <v>2025</v>
      </c>
      <c r="J10" s="434">
        <f t="shared" si="17"/>
        <v>2025</v>
      </c>
      <c r="K10" s="434">
        <f t="shared" si="17"/>
        <v>2025</v>
      </c>
      <c r="L10" s="434">
        <f t="shared" si="17"/>
        <v>2025</v>
      </c>
      <c r="M10" s="434">
        <f t="shared" si="17"/>
        <v>2025</v>
      </c>
      <c r="N10" s="434">
        <f t="shared" si="17"/>
        <v>2025</v>
      </c>
      <c r="O10" s="434">
        <f t="shared" si="17"/>
        <v>2025</v>
      </c>
      <c r="P10" s="434">
        <f t="shared" si="17"/>
        <v>2026</v>
      </c>
      <c r="Q10" s="434">
        <f t="shared" si="17"/>
        <v>2026</v>
      </c>
      <c r="R10" s="434">
        <f t="shared" si="17"/>
        <v>2026</v>
      </c>
      <c r="S10" s="434">
        <f t="shared" si="17"/>
        <v>2026</v>
      </c>
      <c r="T10" s="434">
        <f t="shared" si="17"/>
        <v>2026</v>
      </c>
      <c r="U10" s="434">
        <f t="shared" si="17"/>
        <v>2026</v>
      </c>
      <c r="V10" s="434">
        <f t="shared" si="17"/>
        <v>2026</v>
      </c>
      <c r="W10" s="434">
        <f t="shared" si="17"/>
        <v>2026</v>
      </c>
      <c r="X10" s="434">
        <f t="shared" si="17"/>
        <v>2026</v>
      </c>
      <c r="Y10" s="434">
        <f t="shared" si="17"/>
        <v>2026</v>
      </c>
      <c r="Z10" s="434">
        <f t="shared" si="17"/>
        <v>2026</v>
      </c>
      <c r="AA10" s="434">
        <f t="shared" si="17"/>
        <v>2026</v>
      </c>
      <c r="AB10" s="434">
        <f t="shared" si="17"/>
        <v>2027</v>
      </c>
      <c r="AC10" s="434">
        <f t="shared" si="17"/>
        <v>2027</v>
      </c>
      <c r="AD10" s="434">
        <f t="shared" si="17"/>
        <v>2027</v>
      </c>
      <c r="AE10" s="434">
        <f t="shared" si="17"/>
        <v>2027</v>
      </c>
      <c r="AF10" s="434">
        <f t="shared" si="17"/>
        <v>2027</v>
      </c>
      <c r="AG10" s="434">
        <f t="shared" si="17"/>
        <v>2027</v>
      </c>
      <c r="AH10" s="434">
        <f t="shared" si="17"/>
        <v>2027</v>
      </c>
      <c r="AI10" s="434">
        <f t="shared" si="17"/>
        <v>2027</v>
      </c>
      <c r="AJ10" s="434">
        <f t="shared" si="17"/>
        <v>2027</v>
      </c>
      <c r="AK10" s="434">
        <f t="shared" si="17"/>
        <v>2027</v>
      </c>
      <c r="AL10" s="434">
        <f t="shared" si="17"/>
        <v>2027</v>
      </c>
      <c r="AM10" s="434">
        <f t="shared" si="17"/>
        <v>2027</v>
      </c>
      <c r="AN10" s="434">
        <f t="shared" si="17"/>
        <v>2028</v>
      </c>
      <c r="AO10" s="434">
        <f t="shared" si="17"/>
        <v>2028</v>
      </c>
      <c r="AP10" s="434">
        <f t="shared" si="17"/>
        <v>2028</v>
      </c>
      <c r="AQ10" s="434">
        <f t="shared" si="17"/>
        <v>2028</v>
      </c>
      <c r="AR10" s="434">
        <f t="shared" si="17"/>
        <v>2028</v>
      </c>
      <c r="AS10" s="434">
        <f t="shared" si="17"/>
        <v>2028</v>
      </c>
      <c r="AT10" s="434">
        <f t="shared" si="17"/>
        <v>2028</v>
      </c>
      <c r="AU10" s="434">
        <f t="shared" si="17"/>
        <v>2028</v>
      </c>
      <c r="AV10" s="434">
        <f t="shared" si="17"/>
        <v>2028</v>
      </c>
      <c r="AW10" s="434">
        <f t="shared" si="17"/>
        <v>2028</v>
      </c>
      <c r="AX10" s="434">
        <f t="shared" si="17"/>
        <v>2028</v>
      </c>
      <c r="AY10" s="434">
        <f t="shared" si="17"/>
        <v>2028</v>
      </c>
      <c r="AZ10" s="434">
        <f t="shared" si="17"/>
        <v>2029</v>
      </c>
      <c r="BA10" s="434">
        <f t="shared" si="17"/>
        <v>2029</v>
      </c>
      <c r="BB10" s="434">
        <f t="shared" si="17"/>
        <v>2029</v>
      </c>
      <c r="BC10" s="434">
        <f t="shared" si="17"/>
        <v>2029</v>
      </c>
      <c r="BD10" s="434">
        <f t="shared" si="17"/>
        <v>2029</v>
      </c>
      <c r="BE10" s="434">
        <f t="shared" si="17"/>
        <v>2029</v>
      </c>
      <c r="BF10" s="434">
        <f t="shared" si="17"/>
        <v>2029</v>
      </c>
      <c r="BG10" s="434">
        <f t="shared" si="17"/>
        <v>2029</v>
      </c>
      <c r="BH10" s="434">
        <f t="shared" si="17"/>
        <v>2029</v>
      </c>
      <c r="BI10" s="434">
        <f t="shared" si="17"/>
        <v>2029</v>
      </c>
      <c r="BJ10" s="434">
        <f t="shared" si="17"/>
        <v>2029</v>
      </c>
      <c r="BK10" s="434">
        <f t="shared" si="17"/>
        <v>2029</v>
      </c>
      <c r="BL10" s="434">
        <f t="shared" si="17"/>
        <v>2030</v>
      </c>
      <c r="BM10" s="434">
        <f t="shared" si="17"/>
        <v>2030</v>
      </c>
      <c r="BN10" s="434">
        <f t="shared" si="17"/>
        <v>2030</v>
      </c>
      <c r="BO10" s="434">
        <f t="shared" si="17"/>
        <v>2030</v>
      </c>
      <c r="BP10" s="434">
        <f t="shared" ref="BP10:BW10" si="18">YEAR(BP6)</f>
        <v>2030</v>
      </c>
      <c r="BQ10" s="434">
        <f t="shared" si="18"/>
        <v>2030</v>
      </c>
      <c r="BR10" s="434">
        <f t="shared" si="18"/>
        <v>2030</v>
      </c>
      <c r="BS10" s="434">
        <f t="shared" si="18"/>
        <v>2030</v>
      </c>
      <c r="BT10" s="434">
        <f t="shared" si="18"/>
        <v>2030</v>
      </c>
      <c r="BU10" s="434">
        <f t="shared" si="18"/>
        <v>2030</v>
      </c>
      <c r="BV10" s="434">
        <f t="shared" si="18"/>
        <v>2030</v>
      </c>
      <c r="BW10" s="434">
        <f t="shared" si="18"/>
        <v>2030</v>
      </c>
      <c r="BX10" s="432"/>
    </row>
    <row r="11" spans="2:76" s="225" customFormat="1"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</row>
    <row r="12" spans="2:76" s="225" customFormat="1"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</row>
    <row r="13" spans="2:76" ht="13.8" thickBot="1">
      <c r="B13" s="229" t="s">
        <v>103</v>
      </c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  <c r="AF13" s="229"/>
      <c r="AG13" s="229"/>
      <c r="AH13" s="229"/>
      <c r="AI13" s="229"/>
      <c r="AJ13" s="229"/>
      <c r="AK13" s="229"/>
      <c r="AL13" s="229"/>
      <c r="AM13" s="229"/>
      <c r="AN13" s="229"/>
      <c r="AO13" s="229"/>
      <c r="AP13" s="229"/>
      <c r="AQ13" s="229"/>
      <c r="AR13" s="229"/>
      <c r="AS13" s="229"/>
      <c r="AT13" s="229"/>
      <c r="AU13" s="229"/>
      <c r="AV13" s="229"/>
      <c r="AW13" s="229"/>
      <c r="AX13" s="229"/>
      <c r="AY13" s="229"/>
      <c r="AZ13" s="229"/>
      <c r="BA13" s="229"/>
      <c r="BB13" s="229"/>
      <c r="BC13" s="229"/>
      <c r="BD13" s="229"/>
      <c r="BE13" s="229"/>
      <c r="BF13" s="229"/>
      <c r="BG13" s="229"/>
      <c r="BH13" s="229"/>
      <c r="BI13" s="229"/>
      <c r="BJ13" s="229"/>
      <c r="BK13" s="229"/>
      <c r="BL13" s="229"/>
      <c r="BM13" s="229"/>
      <c r="BN13" s="229"/>
      <c r="BO13" s="229"/>
      <c r="BP13" s="229"/>
      <c r="BQ13" s="229"/>
      <c r="BR13" s="229"/>
      <c r="BS13" s="229"/>
      <c r="BT13" s="229"/>
      <c r="BU13" s="229"/>
      <c r="BV13" s="229"/>
      <c r="BW13" s="229"/>
    </row>
    <row r="14" spans="2:76" s="225" customFormat="1" ht="13.8" outlineLevel="1" thickTop="1">
      <c r="B14" s="68" t="s">
        <v>408</v>
      </c>
      <c r="D14" s="161" t="b">
        <f>Model!M15</f>
        <v>0</v>
      </c>
      <c r="E14" s="161" t="b">
        <f>Model!N15</f>
        <v>0</v>
      </c>
      <c r="F14" s="161" t="b">
        <f>Model!O15</f>
        <v>0</v>
      </c>
      <c r="G14" s="161" t="b">
        <f>Model!P15</f>
        <v>0</v>
      </c>
      <c r="H14" s="161" t="b">
        <f>Model!Q15</f>
        <v>0</v>
      </c>
      <c r="I14" s="161" t="b">
        <f>Model!R15</f>
        <v>1</v>
      </c>
      <c r="J14" s="161" t="b">
        <f>Model!S15</f>
        <v>1</v>
      </c>
      <c r="K14" s="161" t="b">
        <f>Model!T15</f>
        <v>1</v>
      </c>
      <c r="L14" s="161" t="b">
        <f>Model!U15</f>
        <v>1</v>
      </c>
      <c r="M14" s="161" t="b">
        <f>Model!V15</f>
        <v>1</v>
      </c>
      <c r="N14" s="161" t="b">
        <f>Model!W15</f>
        <v>1</v>
      </c>
      <c r="O14" s="161" t="b">
        <f>Model!X15</f>
        <v>1</v>
      </c>
      <c r="P14" s="161" t="b">
        <f>Model!Y15</f>
        <v>1</v>
      </c>
      <c r="Q14" s="161" t="b">
        <f>Model!Z15</f>
        <v>1</v>
      </c>
      <c r="R14" s="161" t="b">
        <f>Model!AA15</f>
        <v>1</v>
      </c>
      <c r="S14" s="161" t="b">
        <f>Model!AB15</f>
        <v>1</v>
      </c>
      <c r="T14" s="161" t="b">
        <f>Model!AC15</f>
        <v>1</v>
      </c>
      <c r="U14" s="161" t="b">
        <f>Model!AD15</f>
        <v>1</v>
      </c>
      <c r="V14" s="161" t="b">
        <f>Model!AE15</f>
        <v>1</v>
      </c>
      <c r="W14" s="161" t="b">
        <f>Model!AF15</f>
        <v>1</v>
      </c>
      <c r="X14" s="161" t="b">
        <f>Model!AG15</f>
        <v>1</v>
      </c>
      <c r="Y14" s="161" t="b">
        <f>Model!AH15</f>
        <v>1</v>
      </c>
      <c r="Z14" s="161" t="b">
        <f>Model!AI15</f>
        <v>1</v>
      </c>
      <c r="AA14" s="161" t="b">
        <f>Model!AJ15</f>
        <v>1</v>
      </c>
      <c r="AB14" s="161" t="b">
        <f>Model!AK15</f>
        <v>1</v>
      </c>
      <c r="AC14" s="161" t="b">
        <f>Model!AL15</f>
        <v>1</v>
      </c>
      <c r="AD14" s="161" t="b">
        <f>Model!AM15</f>
        <v>1</v>
      </c>
      <c r="AE14" s="161" t="b">
        <f>Model!AN15</f>
        <v>1</v>
      </c>
      <c r="AF14" s="161" t="b">
        <f>Model!AO15</f>
        <v>1</v>
      </c>
      <c r="AG14" s="161" t="b">
        <f>Model!AP15</f>
        <v>1</v>
      </c>
      <c r="AH14" s="161" t="b">
        <f>Model!AQ15</f>
        <v>1</v>
      </c>
      <c r="AI14" s="161" t="b">
        <f>Model!AR15</f>
        <v>1</v>
      </c>
      <c r="AJ14" s="161" t="b">
        <f>Model!AS15</f>
        <v>1</v>
      </c>
      <c r="AK14" s="161" t="b">
        <f>Model!AT15</f>
        <v>1</v>
      </c>
      <c r="AL14" s="161" t="b">
        <f>Model!AU15</f>
        <v>1</v>
      </c>
      <c r="AM14" s="161" t="b">
        <f>Model!AV15</f>
        <v>1</v>
      </c>
      <c r="AN14" s="161" t="b">
        <f>Model!AW15</f>
        <v>1</v>
      </c>
      <c r="AO14" s="161" t="b">
        <f>Model!AX15</f>
        <v>1</v>
      </c>
      <c r="AP14" s="161" t="b">
        <f>Model!AY15</f>
        <v>1</v>
      </c>
      <c r="AQ14" s="161" t="b">
        <f>Model!AZ15</f>
        <v>1</v>
      </c>
      <c r="AR14" s="161" t="b">
        <f>Model!BA15</f>
        <v>1</v>
      </c>
      <c r="AS14" s="161" t="b">
        <f>Model!BB15</f>
        <v>1</v>
      </c>
      <c r="AT14" s="161" t="b">
        <f>Model!BC15</f>
        <v>1</v>
      </c>
      <c r="AU14" s="161" t="b">
        <f>Model!BD15</f>
        <v>1</v>
      </c>
      <c r="AV14" s="161" t="b">
        <f>Model!BE15</f>
        <v>1</v>
      </c>
      <c r="AW14" s="161" t="b">
        <f>Model!BF15</f>
        <v>1</v>
      </c>
      <c r="AX14" s="161" t="b">
        <f>Model!BG15</f>
        <v>1</v>
      </c>
      <c r="AY14" s="161" t="b">
        <f>Model!BH15</f>
        <v>1</v>
      </c>
      <c r="AZ14" s="161" t="b">
        <f>Model!BI15</f>
        <v>1</v>
      </c>
      <c r="BA14" s="161" t="b">
        <f>Model!BJ15</f>
        <v>1</v>
      </c>
      <c r="BB14" s="161" t="b">
        <f>Model!BK15</f>
        <v>1</v>
      </c>
      <c r="BC14" s="161" t="b">
        <f>Model!BL15</f>
        <v>1</v>
      </c>
      <c r="BD14" s="161" t="b">
        <f>Model!BM15</f>
        <v>1</v>
      </c>
      <c r="BE14" s="161" t="b">
        <f>Model!BN15</f>
        <v>1</v>
      </c>
      <c r="BF14" s="161" t="b">
        <f>Model!BO15</f>
        <v>1</v>
      </c>
      <c r="BG14" s="161" t="b">
        <f>Model!BP15</f>
        <v>1</v>
      </c>
      <c r="BH14" s="161" t="b">
        <f>Model!BQ15</f>
        <v>1</v>
      </c>
      <c r="BI14" s="161" t="b">
        <f>Model!BR15</f>
        <v>1</v>
      </c>
      <c r="BJ14" s="161" t="b">
        <f>Model!BS15</f>
        <v>1</v>
      </c>
      <c r="BK14" s="161" t="b">
        <f>Model!BT15</f>
        <v>1</v>
      </c>
      <c r="BL14" s="161" t="b">
        <f>Model!BU15</f>
        <v>1</v>
      </c>
      <c r="BM14" s="161" t="b">
        <f>Model!BV15</f>
        <v>1</v>
      </c>
      <c r="BN14" s="161" t="b">
        <f>Model!BW15</f>
        <v>1</v>
      </c>
      <c r="BO14" s="161" t="b">
        <f>Model!BX15</f>
        <v>1</v>
      </c>
      <c r="BP14" s="161" t="b">
        <f>Model!BY15</f>
        <v>1</v>
      </c>
      <c r="BQ14" s="161" t="b">
        <f>Model!BZ15</f>
        <v>1</v>
      </c>
      <c r="BR14" s="161" t="b">
        <f>Model!CA15</f>
        <v>1</v>
      </c>
      <c r="BS14" s="161" t="b">
        <f>Model!CB15</f>
        <v>1</v>
      </c>
      <c r="BT14" s="161" t="b">
        <f>Model!CC15</f>
        <v>1</v>
      </c>
      <c r="BU14" s="161" t="b">
        <f>Model!CD15</f>
        <v>1</v>
      </c>
      <c r="BV14" s="161" t="b">
        <f>Model!CE15</f>
        <v>1</v>
      </c>
      <c r="BW14" s="161" t="b">
        <f>Model!CF15</f>
        <v>1</v>
      </c>
    </row>
    <row r="15" spans="2:76" s="225" customFormat="1" outlineLevel="1">
      <c r="B15" s="68" t="s">
        <v>406</v>
      </c>
      <c r="D15" s="161" t="b">
        <f>Model!M16</f>
        <v>0</v>
      </c>
      <c r="E15" s="161" t="b">
        <f>Model!N16</f>
        <v>0</v>
      </c>
      <c r="F15" s="161" t="b">
        <f>Model!O16</f>
        <v>0</v>
      </c>
      <c r="G15" s="161" t="b">
        <f>Model!P16</f>
        <v>0</v>
      </c>
      <c r="H15" s="161" t="b">
        <f>Model!Q16</f>
        <v>0</v>
      </c>
      <c r="I15" s="161" t="b">
        <f>Model!R16</f>
        <v>1</v>
      </c>
      <c r="J15" s="161" t="b">
        <f>Model!S16</f>
        <v>1</v>
      </c>
      <c r="K15" s="161" t="b">
        <f>Model!T16</f>
        <v>1</v>
      </c>
      <c r="L15" s="161" t="b">
        <f>Model!U16</f>
        <v>1</v>
      </c>
      <c r="M15" s="161" t="b">
        <f>Model!V16</f>
        <v>1</v>
      </c>
      <c r="N15" s="161" t="b">
        <f>Model!W16</f>
        <v>1</v>
      </c>
      <c r="O15" s="161" t="b">
        <f>Model!X16</f>
        <v>1</v>
      </c>
      <c r="P15" s="161" t="b">
        <f>Model!Y16</f>
        <v>1</v>
      </c>
      <c r="Q15" s="161" t="b">
        <f>Model!Z16</f>
        <v>1</v>
      </c>
      <c r="R15" s="161" t="b">
        <f>Model!AA16</f>
        <v>1</v>
      </c>
      <c r="S15" s="161" t="b">
        <f>Model!AB16</f>
        <v>1</v>
      </c>
      <c r="T15" s="161" t="b">
        <f>Model!AC16</f>
        <v>1</v>
      </c>
      <c r="U15" s="161" t="b">
        <f>Model!AD16</f>
        <v>0</v>
      </c>
      <c r="V15" s="161" t="b">
        <f>Model!AE16</f>
        <v>0</v>
      </c>
      <c r="W15" s="161" t="b">
        <f>Model!AF16</f>
        <v>0</v>
      </c>
      <c r="X15" s="161" t="b">
        <f>Model!AG16</f>
        <v>0</v>
      </c>
      <c r="Y15" s="161" t="b">
        <f>Model!AH16</f>
        <v>0</v>
      </c>
      <c r="Z15" s="161" t="b">
        <f>Model!AI16</f>
        <v>0</v>
      </c>
      <c r="AA15" s="161" t="b">
        <f>Model!AJ16</f>
        <v>0</v>
      </c>
      <c r="AB15" s="161" t="b">
        <f>Model!AK16</f>
        <v>0</v>
      </c>
      <c r="AC15" s="161" t="b">
        <f>Model!AL16</f>
        <v>0</v>
      </c>
      <c r="AD15" s="161" t="b">
        <f>Model!AM16</f>
        <v>0</v>
      </c>
      <c r="AE15" s="161" t="b">
        <f>Model!AN16</f>
        <v>0</v>
      </c>
      <c r="AF15" s="161" t="b">
        <f>Model!AO16</f>
        <v>0</v>
      </c>
      <c r="AG15" s="161" t="b">
        <f>Model!AP16</f>
        <v>0</v>
      </c>
      <c r="AH15" s="161" t="b">
        <f>Model!AQ16</f>
        <v>0</v>
      </c>
      <c r="AI15" s="161" t="b">
        <f>Model!AR16</f>
        <v>0</v>
      </c>
      <c r="AJ15" s="161" t="b">
        <f>Model!AS16</f>
        <v>0</v>
      </c>
      <c r="AK15" s="161" t="b">
        <f>Model!AT16</f>
        <v>0</v>
      </c>
      <c r="AL15" s="161" t="b">
        <f>Model!AU16</f>
        <v>0</v>
      </c>
      <c r="AM15" s="161" t="b">
        <f>Model!AV16</f>
        <v>0</v>
      </c>
      <c r="AN15" s="161" t="b">
        <f>Model!AW16</f>
        <v>0</v>
      </c>
      <c r="AO15" s="161" t="b">
        <f>Model!AX16</f>
        <v>0</v>
      </c>
      <c r="AP15" s="161" t="b">
        <f>Model!AY16</f>
        <v>0</v>
      </c>
      <c r="AQ15" s="161" t="b">
        <f>Model!AZ16</f>
        <v>0</v>
      </c>
      <c r="AR15" s="161" t="b">
        <f>Model!BA16</f>
        <v>0</v>
      </c>
      <c r="AS15" s="161" t="b">
        <f>Model!BB16</f>
        <v>0</v>
      </c>
      <c r="AT15" s="161" t="b">
        <f>Model!BC16</f>
        <v>0</v>
      </c>
      <c r="AU15" s="161" t="b">
        <f>Model!BD16</f>
        <v>0</v>
      </c>
      <c r="AV15" s="161" t="b">
        <f>Model!BE16</f>
        <v>0</v>
      </c>
      <c r="AW15" s="161" t="b">
        <f>Model!BF16</f>
        <v>0</v>
      </c>
      <c r="AX15" s="161" t="b">
        <f>Model!BG16</f>
        <v>0</v>
      </c>
      <c r="AY15" s="161" t="b">
        <f>Model!BH16</f>
        <v>0</v>
      </c>
      <c r="AZ15" s="161" t="b">
        <f>Model!BI16</f>
        <v>0</v>
      </c>
      <c r="BA15" s="161" t="b">
        <f>Model!BJ16</f>
        <v>0</v>
      </c>
      <c r="BB15" s="161" t="b">
        <f>Model!BK16</f>
        <v>0</v>
      </c>
      <c r="BC15" s="161" t="b">
        <f>Model!BL16</f>
        <v>0</v>
      </c>
      <c r="BD15" s="161" t="b">
        <f>Model!BM16</f>
        <v>0</v>
      </c>
      <c r="BE15" s="161" t="b">
        <f>Model!BN16</f>
        <v>0</v>
      </c>
      <c r="BF15" s="161" t="b">
        <f>Model!BO16</f>
        <v>0</v>
      </c>
      <c r="BG15" s="161" t="b">
        <f>Model!BP16</f>
        <v>0</v>
      </c>
      <c r="BH15" s="161" t="b">
        <f>Model!BQ16</f>
        <v>0</v>
      </c>
      <c r="BI15" s="161" t="b">
        <f>Model!BR16</f>
        <v>0</v>
      </c>
      <c r="BJ15" s="161" t="b">
        <f>Model!BS16</f>
        <v>0</v>
      </c>
      <c r="BK15" s="161" t="b">
        <f>Model!BT16</f>
        <v>0</v>
      </c>
      <c r="BL15" s="161" t="b">
        <f>Model!BU16</f>
        <v>0</v>
      </c>
      <c r="BM15" s="161" t="b">
        <f>Model!BV16</f>
        <v>0</v>
      </c>
      <c r="BN15" s="161" t="b">
        <f>Model!BW16</f>
        <v>0</v>
      </c>
      <c r="BO15" s="161" t="b">
        <f>Model!BX16</f>
        <v>0</v>
      </c>
      <c r="BP15" s="161" t="b">
        <f>Model!BY16</f>
        <v>0</v>
      </c>
      <c r="BQ15" s="161" t="b">
        <f>Model!BZ16</f>
        <v>0</v>
      </c>
      <c r="BR15" s="161" t="b">
        <f>Model!CA16</f>
        <v>0</v>
      </c>
      <c r="BS15" s="161" t="b">
        <f>Model!CB16</f>
        <v>0</v>
      </c>
      <c r="BT15" s="161" t="b">
        <f>Model!CC16</f>
        <v>0</v>
      </c>
      <c r="BU15" s="161" t="b">
        <f>Model!CD16</f>
        <v>0</v>
      </c>
      <c r="BV15" s="161" t="b">
        <f>Model!CE16</f>
        <v>0</v>
      </c>
      <c r="BW15" s="161" t="b">
        <f>Model!CF16</f>
        <v>0</v>
      </c>
    </row>
    <row r="16" spans="2:76" s="225" customFormat="1" outlineLevel="1">
      <c r="B16" s="68" t="s">
        <v>407</v>
      </c>
      <c r="D16" s="161" t="b">
        <f>Model!M17</f>
        <v>0</v>
      </c>
      <c r="E16" s="161" t="b">
        <f>Model!N17</f>
        <v>0</v>
      </c>
      <c r="F16" s="161" t="b">
        <f>Model!O17</f>
        <v>0</v>
      </c>
      <c r="G16" s="161" t="b">
        <f>Model!P17</f>
        <v>0</v>
      </c>
      <c r="H16" s="161" t="b">
        <f>Model!Q17</f>
        <v>0</v>
      </c>
      <c r="I16" s="161" t="b">
        <f>Model!R17</f>
        <v>0</v>
      </c>
      <c r="J16" s="161" t="b">
        <f>Model!S17</f>
        <v>0</v>
      </c>
      <c r="K16" s="161" t="b">
        <f>Model!T17</f>
        <v>0</v>
      </c>
      <c r="L16" s="161" t="b">
        <f>Model!U17</f>
        <v>0</v>
      </c>
      <c r="M16" s="161" t="b">
        <f>Model!V17</f>
        <v>0</v>
      </c>
      <c r="N16" s="161" t="b">
        <f>Model!W17</f>
        <v>0</v>
      </c>
      <c r="O16" s="161" t="b">
        <f>Model!X17</f>
        <v>0</v>
      </c>
      <c r="P16" s="161" t="b">
        <f>Model!Y17</f>
        <v>0</v>
      </c>
      <c r="Q16" s="161" t="b">
        <f>Model!Z17</f>
        <v>0</v>
      </c>
      <c r="R16" s="161" t="b">
        <f>Model!AA17</f>
        <v>0</v>
      </c>
      <c r="S16" s="161" t="b">
        <f>Model!AB17</f>
        <v>0</v>
      </c>
      <c r="T16" s="161" t="b">
        <f>Model!AC17</f>
        <v>0</v>
      </c>
      <c r="U16" s="161" t="b">
        <f>Model!AD17</f>
        <v>1</v>
      </c>
      <c r="V16" s="161" t="b">
        <f>Model!AE17</f>
        <v>1</v>
      </c>
      <c r="W16" s="161" t="b">
        <f>Model!AF17</f>
        <v>1</v>
      </c>
      <c r="X16" s="161" t="b">
        <f>Model!AG17</f>
        <v>1</v>
      </c>
      <c r="Y16" s="161" t="b">
        <f>Model!AH17</f>
        <v>1</v>
      </c>
      <c r="Z16" s="161" t="b">
        <f>Model!AI17</f>
        <v>1</v>
      </c>
      <c r="AA16" s="161" t="b">
        <f>Model!AJ17</f>
        <v>1</v>
      </c>
      <c r="AB16" s="161" t="b">
        <f>Model!AK17</f>
        <v>1</v>
      </c>
      <c r="AC16" s="161" t="b">
        <f>Model!AL17</f>
        <v>1</v>
      </c>
      <c r="AD16" s="161" t="b">
        <f>Model!AM17</f>
        <v>1</v>
      </c>
      <c r="AE16" s="161" t="b">
        <f>Model!AN17</f>
        <v>1</v>
      </c>
      <c r="AF16" s="161" t="b">
        <f>Model!AO17</f>
        <v>1</v>
      </c>
      <c r="AG16" s="161" t="b">
        <f>Model!AP17</f>
        <v>1</v>
      </c>
      <c r="AH16" s="161" t="b">
        <f>Model!AQ17</f>
        <v>1</v>
      </c>
      <c r="AI16" s="161" t="b">
        <f>Model!AR17</f>
        <v>1</v>
      </c>
      <c r="AJ16" s="161" t="b">
        <f>Model!AS17</f>
        <v>1</v>
      </c>
      <c r="AK16" s="161" t="b">
        <f>Model!AT17</f>
        <v>1</v>
      </c>
      <c r="AL16" s="161" t="b">
        <f>Model!AU17</f>
        <v>1</v>
      </c>
      <c r="AM16" s="161" t="b">
        <f>Model!AV17</f>
        <v>1</v>
      </c>
      <c r="AN16" s="161" t="b">
        <f>Model!AW17</f>
        <v>1</v>
      </c>
      <c r="AO16" s="161" t="b">
        <f>Model!AX17</f>
        <v>1</v>
      </c>
      <c r="AP16" s="161" t="b">
        <f>Model!AY17</f>
        <v>1</v>
      </c>
      <c r="AQ16" s="161" t="b">
        <f>Model!AZ17</f>
        <v>1</v>
      </c>
      <c r="AR16" s="161" t="b">
        <f>Model!BA17</f>
        <v>1</v>
      </c>
      <c r="AS16" s="161" t="b">
        <f>Model!BB17</f>
        <v>1</v>
      </c>
      <c r="AT16" s="161" t="b">
        <f>Model!BC17</f>
        <v>1</v>
      </c>
      <c r="AU16" s="161" t="b">
        <f>Model!BD17</f>
        <v>1</v>
      </c>
      <c r="AV16" s="161" t="b">
        <f>Model!BE17</f>
        <v>1</v>
      </c>
      <c r="AW16" s="161" t="b">
        <f>Model!BF17</f>
        <v>1</v>
      </c>
      <c r="AX16" s="161" t="b">
        <f>Model!BG17</f>
        <v>1</v>
      </c>
      <c r="AY16" s="161" t="b">
        <f>Model!BH17</f>
        <v>1</v>
      </c>
      <c r="AZ16" s="161" t="b">
        <f>Model!BI17</f>
        <v>1</v>
      </c>
      <c r="BA16" s="161" t="b">
        <f>Model!BJ17</f>
        <v>1</v>
      </c>
      <c r="BB16" s="161" t="b">
        <f>Model!BK17</f>
        <v>1</v>
      </c>
      <c r="BC16" s="161" t="b">
        <f>Model!BL17</f>
        <v>1</v>
      </c>
      <c r="BD16" s="161" t="b">
        <f>Model!BM17</f>
        <v>1</v>
      </c>
      <c r="BE16" s="161" t="b">
        <f>Model!BN17</f>
        <v>1</v>
      </c>
      <c r="BF16" s="161" t="b">
        <f>Model!BO17</f>
        <v>1</v>
      </c>
      <c r="BG16" s="161" t="b">
        <f>Model!BP17</f>
        <v>1</v>
      </c>
      <c r="BH16" s="161" t="b">
        <f>Model!BQ17</f>
        <v>1</v>
      </c>
      <c r="BI16" s="161" t="b">
        <f>Model!BR17</f>
        <v>1</v>
      </c>
      <c r="BJ16" s="161" t="b">
        <f>Model!BS17</f>
        <v>1</v>
      </c>
      <c r="BK16" s="161" t="b">
        <f>Model!BT17</f>
        <v>1</v>
      </c>
      <c r="BL16" s="161" t="b">
        <f>Model!BU17</f>
        <v>1</v>
      </c>
      <c r="BM16" s="161" t="b">
        <f>Model!BV17</f>
        <v>1</v>
      </c>
      <c r="BN16" s="161" t="b">
        <f>Model!BW17</f>
        <v>1</v>
      </c>
      <c r="BO16" s="161" t="b">
        <f>Model!BX17</f>
        <v>1</v>
      </c>
      <c r="BP16" s="161" t="b">
        <f>Model!BY17</f>
        <v>1</v>
      </c>
      <c r="BQ16" s="161" t="b">
        <f>Model!BZ17</f>
        <v>1</v>
      </c>
      <c r="BR16" s="161" t="b">
        <f>Model!CA17</f>
        <v>1</v>
      </c>
      <c r="BS16" s="161" t="b">
        <f>Model!CB17</f>
        <v>1</v>
      </c>
      <c r="BT16" s="161" t="b">
        <f>Model!CC17</f>
        <v>1</v>
      </c>
      <c r="BU16" s="161" t="b">
        <f>Model!CD17</f>
        <v>1</v>
      </c>
      <c r="BV16" s="161" t="b">
        <f>Model!CE17</f>
        <v>1</v>
      </c>
      <c r="BW16" s="161" t="b">
        <f>Model!CF17</f>
        <v>1</v>
      </c>
    </row>
    <row r="17" spans="1:75" s="225" customFormat="1" ht="15.6">
      <c r="B17" s="191"/>
      <c r="D17" s="139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</row>
    <row r="18" spans="1:75" s="226" customFormat="1">
      <c r="A18" s="225"/>
      <c r="B18" s="227" t="s">
        <v>243</v>
      </c>
      <c r="C18" s="225"/>
      <c r="D18" s="287">
        <f>'Revenue Assumptions'!N31</f>
        <v>0</v>
      </c>
      <c r="E18" s="287">
        <f>'Revenue Assumptions'!O31</f>
        <v>0</v>
      </c>
      <c r="F18" s="287">
        <f>'Revenue Assumptions'!P31</f>
        <v>0</v>
      </c>
      <c r="G18" s="287">
        <f>'Revenue Assumptions'!Q31</f>
        <v>0</v>
      </c>
      <c r="H18" s="287">
        <f>'Revenue Assumptions'!R31</f>
        <v>0</v>
      </c>
      <c r="I18" s="287">
        <f>'Revenue Assumptions'!S31</f>
        <v>3.4231921266581087</v>
      </c>
      <c r="J18" s="287">
        <f>'Revenue Assumptions'!T31</f>
        <v>3.4231921266581087</v>
      </c>
      <c r="K18" s="287">
        <f>'Revenue Assumptions'!U31</f>
        <v>3.4231921266581087</v>
      </c>
      <c r="L18" s="287">
        <f>'Revenue Assumptions'!V31</f>
        <v>3.4231921266581087</v>
      </c>
      <c r="M18" s="287">
        <f>'Revenue Assumptions'!W31</f>
        <v>3.4231921266581087</v>
      </c>
      <c r="N18" s="287">
        <f>'Revenue Assumptions'!X31</f>
        <v>3.4231921266581087</v>
      </c>
      <c r="O18" s="287">
        <f>'Revenue Assumptions'!Y31</f>
        <v>3.4231921266581087</v>
      </c>
      <c r="P18" s="287">
        <f>'Revenue Assumptions'!Z31</f>
        <v>6.5203659555392548</v>
      </c>
      <c r="Q18" s="287">
        <f>'Revenue Assumptions'!AA31</f>
        <v>6.5203659555392548</v>
      </c>
      <c r="R18" s="287">
        <f>'Revenue Assumptions'!AB31</f>
        <v>6.5203659555392548</v>
      </c>
      <c r="S18" s="287">
        <f>'Revenue Assumptions'!AC31</f>
        <v>6.5203659555392548</v>
      </c>
      <c r="T18" s="287">
        <f>'Revenue Assumptions'!AD31</f>
        <v>6.5203659555392548</v>
      </c>
      <c r="U18" s="287">
        <f>'Revenue Assumptions'!AE31</f>
        <v>6.5203659555392548</v>
      </c>
      <c r="V18" s="287">
        <f>'Revenue Assumptions'!AF31</f>
        <v>6.5203659555392548</v>
      </c>
      <c r="W18" s="287">
        <f>'Revenue Assumptions'!AG31</f>
        <v>6.5203659555392548</v>
      </c>
      <c r="X18" s="287">
        <f>'Revenue Assumptions'!AH31</f>
        <v>6.5203659555392548</v>
      </c>
      <c r="Y18" s="287">
        <f>'Revenue Assumptions'!AI31</f>
        <v>6.5203659555392548</v>
      </c>
      <c r="Z18" s="287">
        <f>'Revenue Assumptions'!AJ31</f>
        <v>6.5203659555392548</v>
      </c>
      <c r="AA18" s="287">
        <f>'Revenue Assumptions'!AK31</f>
        <v>6.5203659555392548</v>
      </c>
      <c r="AB18" s="287">
        <f>'Revenue Assumptions'!AL31</f>
        <v>15.524680846522038</v>
      </c>
      <c r="AC18" s="287">
        <f>'Revenue Assumptions'!AM31</f>
        <v>15.524680846522038</v>
      </c>
      <c r="AD18" s="287">
        <f>'Revenue Assumptions'!AN31</f>
        <v>15.524680846522038</v>
      </c>
      <c r="AE18" s="287">
        <f>'Revenue Assumptions'!AO31</f>
        <v>15.524680846522038</v>
      </c>
      <c r="AF18" s="287">
        <f>'Revenue Assumptions'!AP31</f>
        <v>15.524680846522038</v>
      </c>
      <c r="AG18" s="287">
        <f>'Revenue Assumptions'!AQ31</f>
        <v>15.524680846522038</v>
      </c>
      <c r="AH18" s="287">
        <f>'Revenue Assumptions'!AR31</f>
        <v>15.524680846522038</v>
      </c>
      <c r="AI18" s="287">
        <f>'Revenue Assumptions'!AS31</f>
        <v>15.524680846522038</v>
      </c>
      <c r="AJ18" s="287">
        <f>'Revenue Assumptions'!AT31</f>
        <v>15.524680846522038</v>
      </c>
      <c r="AK18" s="287">
        <f>'Revenue Assumptions'!AU31</f>
        <v>15.524680846522038</v>
      </c>
      <c r="AL18" s="287">
        <f>'Revenue Assumptions'!AV31</f>
        <v>15.524680846522038</v>
      </c>
      <c r="AM18" s="287">
        <f>'Revenue Assumptions'!AW31</f>
        <v>15.524680846522038</v>
      </c>
      <c r="AN18" s="287">
        <f>'Revenue Assumptions'!AX31</f>
        <v>35.484984792050369</v>
      </c>
      <c r="AO18" s="287">
        <f>'Revenue Assumptions'!AY31</f>
        <v>35.484984792050369</v>
      </c>
      <c r="AP18" s="287">
        <f>'Revenue Assumptions'!AZ31</f>
        <v>35.484984792050369</v>
      </c>
      <c r="AQ18" s="287">
        <f>'Revenue Assumptions'!BA31</f>
        <v>35.484984792050369</v>
      </c>
      <c r="AR18" s="287">
        <f>'Revenue Assumptions'!BB31</f>
        <v>35.484984792050369</v>
      </c>
      <c r="AS18" s="287">
        <f>'Revenue Assumptions'!BC31</f>
        <v>35.484984792050369</v>
      </c>
      <c r="AT18" s="287">
        <f>'Revenue Assumptions'!BD31</f>
        <v>35.484984792050369</v>
      </c>
      <c r="AU18" s="287">
        <f>'Revenue Assumptions'!BE31</f>
        <v>35.484984792050369</v>
      </c>
      <c r="AV18" s="287">
        <f>'Revenue Assumptions'!BF31</f>
        <v>35.484984792050369</v>
      </c>
      <c r="AW18" s="287">
        <f>'Revenue Assumptions'!BG31</f>
        <v>35.484984792050369</v>
      </c>
      <c r="AX18" s="287">
        <f>'Revenue Assumptions'!BH31</f>
        <v>35.484984792050369</v>
      </c>
      <c r="AY18" s="287">
        <f>'Revenue Assumptions'!BI31</f>
        <v>35.484984792050369</v>
      </c>
      <c r="AZ18" s="287">
        <f>'Revenue Assumptions'!BJ31</f>
        <v>73.2229844915325</v>
      </c>
      <c r="BA18" s="287">
        <f>'Revenue Assumptions'!BK31</f>
        <v>73.2229844915325</v>
      </c>
      <c r="BB18" s="287">
        <f>'Revenue Assumptions'!BL31</f>
        <v>73.2229844915325</v>
      </c>
      <c r="BC18" s="287">
        <f>'Revenue Assumptions'!BM31</f>
        <v>73.2229844915325</v>
      </c>
      <c r="BD18" s="287">
        <f>'Revenue Assumptions'!BN31</f>
        <v>73.2229844915325</v>
      </c>
      <c r="BE18" s="287">
        <f>'Revenue Assumptions'!BO31</f>
        <v>73.2229844915325</v>
      </c>
      <c r="BF18" s="287">
        <f>'Revenue Assumptions'!BP31</f>
        <v>73.2229844915325</v>
      </c>
      <c r="BG18" s="287">
        <f>'Revenue Assumptions'!BQ31</f>
        <v>73.2229844915325</v>
      </c>
      <c r="BH18" s="287">
        <f>'Revenue Assumptions'!BR31</f>
        <v>73.2229844915325</v>
      </c>
      <c r="BI18" s="287">
        <f>'Revenue Assumptions'!BS31</f>
        <v>73.2229844915325</v>
      </c>
      <c r="BJ18" s="287">
        <f>'Revenue Assumptions'!BT31</f>
        <v>73.2229844915325</v>
      </c>
      <c r="BK18" s="287">
        <f>'Revenue Assumptions'!BU31</f>
        <v>73.2229844915325</v>
      </c>
      <c r="BL18" s="287">
        <f>'Revenue Assumptions'!BV31</f>
        <v>150.20099382878465</v>
      </c>
      <c r="BM18" s="287">
        <f>'Revenue Assumptions'!BW31</f>
        <v>150.20099382878465</v>
      </c>
      <c r="BN18" s="287">
        <f>'Revenue Assumptions'!BX31</f>
        <v>150.20099382878465</v>
      </c>
      <c r="BO18" s="287">
        <f>'Revenue Assumptions'!BY31</f>
        <v>150.20099382878465</v>
      </c>
      <c r="BP18" s="287">
        <f>'Revenue Assumptions'!BZ31</f>
        <v>150.20099382878465</v>
      </c>
      <c r="BQ18" s="287">
        <f>'Revenue Assumptions'!CA31</f>
        <v>150.20099382878465</v>
      </c>
      <c r="BR18" s="287">
        <f>'Revenue Assumptions'!CB31</f>
        <v>150.20099382878465</v>
      </c>
      <c r="BS18" s="287">
        <f>'Revenue Assumptions'!CC31</f>
        <v>150.20099382878465</v>
      </c>
      <c r="BT18" s="287">
        <f>'Revenue Assumptions'!CD31</f>
        <v>150.20099382878465</v>
      </c>
      <c r="BU18" s="287">
        <f>'Revenue Assumptions'!CE31</f>
        <v>150.20099382878465</v>
      </c>
      <c r="BV18" s="287">
        <f>'Revenue Assumptions'!CF31</f>
        <v>150.20099382878465</v>
      </c>
      <c r="BW18" s="287">
        <f>'Revenue Assumptions'!CG31</f>
        <v>150.20099382878465</v>
      </c>
    </row>
    <row r="19" spans="1:75" s="226" customFormat="1">
      <c r="A19" s="225"/>
      <c r="B19" s="227" t="s">
        <v>302</v>
      </c>
      <c r="C19" s="228"/>
      <c r="D19" s="287">
        <f>'Revenue Assumptions'!N38</f>
        <v>0</v>
      </c>
      <c r="E19" s="287">
        <f>'Revenue Assumptions'!O38</f>
        <v>0</v>
      </c>
      <c r="F19" s="287">
        <f>'Revenue Assumptions'!P38</f>
        <v>0</v>
      </c>
      <c r="G19" s="287">
        <f>'Revenue Assumptions'!Q38</f>
        <v>0</v>
      </c>
      <c r="H19" s="287">
        <f>'Revenue Assumptions'!R38</f>
        <v>0</v>
      </c>
      <c r="I19" s="287">
        <f>'Revenue Assumptions'!S38</f>
        <v>51.428571428571431</v>
      </c>
      <c r="J19" s="287">
        <f>'Revenue Assumptions'!T38</f>
        <v>51.428571428571431</v>
      </c>
      <c r="K19" s="287">
        <f>'Revenue Assumptions'!U38</f>
        <v>51.428571428571431</v>
      </c>
      <c r="L19" s="287">
        <f>'Revenue Assumptions'!V38</f>
        <v>51.428571428571431</v>
      </c>
      <c r="M19" s="287">
        <f>'Revenue Assumptions'!W38</f>
        <v>51.428571428571431</v>
      </c>
      <c r="N19" s="287">
        <f>'Revenue Assumptions'!X38</f>
        <v>51.428571428571431</v>
      </c>
      <c r="O19" s="287">
        <f>'Revenue Assumptions'!Y38</f>
        <v>51.428571428571431</v>
      </c>
      <c r="P19" s="287">
        <f>'Revenue Assumptions'!Z38</f>
        <v>97.959183673469383</v>
      </c>
      <c r="Q19" s="287">
        <f>'Revenue Assumptions'!AA38</f>
        <v>97.959183673469383</v>
      </c>
      <c r="R19" s="287">
        <f>'Revenue Assumptions'!AB38</f>
        <v>97.959183673469383</v>
      </c>
      <c r="S19" s="287">
        <f>'Revenue Assumptions'!AC38</f>
        <v>97.959183673469383</v>
      </c>
      <c r="T19" s="287">
        <f>'Revenue Assumptions'!AD38</f>
        <v>97.959183673469383</v>
      </c>
      <c r="U19" s="287">
        <f>'Revenue Assumptions'!AE38</f>
        <v>97.959183673469383</v>
      </c>
      <c r="V19" s="287">
        <f>'Revenue Assumptions'!AF38</f>
        <v>97.959183673469383</v>
      </c>
      <c r="W19" s="287">
        <f>'Revenue Assumptions'!AG38</f>
        <v>97.959183673469383</v>
      </c>
      <c r="X19" s="287">
        <f>'Revenue Assumptions'!AH38</f>
        <v>97.959183673469383</v>
      </c>
      <c r="Y19" s="287">
        <f>'Revenue Assumptions'!AI38</f>
        <v>97.959183673469383</v>
      </c>
      <c r="Z19" s="287">
        <f>'Revenue Assumptions'!AJ38</f>
        <v>97.959183673469383</v>
      </c>
      <c r="AA19" s="287">
        <f>'Revenue Assumptions'!AK38</f>
        <v>97.959183673469383</v>
      </c>
      <c r="AB19" s="287">
        <f>'Revenue Assumptions'!AL38</f>
        <v>233.23615160349851</v>
      </c>
      <c r="AC19" s="287">
        <f>'Revenue Assumptions'!AM38</f>
        <v>233.23615160349851</v>
      </c>
      <c r="AD19" s="287">
        <f>'Revenue Assumptions'!AN38</f>
        <v>233.23615160349851</v>
      </c>
      <c r="AE19" s="287">
        <f>'Revenue Assumptions'!AO38</f>
        <v>233.23615160349851</v>
      </c>
      <c r="AF19" s="287">
        <f>'Revenue Assumptions'!AP38</f>
        <v>233.23615160349851</v>
      </c>
      <c r="AG19" s="287">
        <f>'Revenue Assumptions'!AQ38</f>
        <v>233.23615160349851</v>
      </c>
      <c r="AH19" s="287">
        <f>'Revenue Assumptions'!AR38</f>
        <v>233.23615160349851</v>
      </c>
      <c r="AI19" s="287">
        <f>'Revenue Assumptions'!AS38</f>
        <v>233.23615160349851</v>
      </c>
      <c r="AJ19" s="287">
        <f>'Revenue Assumptions'!AT38</f>
        <v>233.23615160349851</v>
      </c>
      <c r="AK19" s="287">
        <f>'Revenue Assumptions'!AU38</f>
        <v>233.23615160349851</v>
      </c>
      <c r="AL19" s="287">
        <f>'Revenue Assumptions'!AV38</f>
        <v>233.23615160349851</v>
      </c>
      <c r="AM19" s="287">
        <f>'Revenue Assumptions'!AW38</f>
        <v>233.23615160349851</v>
      </c>
      <c r="AN19" s="287">
        <f>'Revenue Assumptions'!AX38</f>
        <v>533.11120366513933</v>
      </c>
      <c r="AO19" s="287">
        <f>'Revenue Assumptions'!AY38</f>
        <v>533.11120366513933</v>
      </c>
      <c r="AP19" s="287">
        <f>'Revenue Assumptions'!AZ38</f>
        <v>533.11120366513933</v>
      </c>
      <c r="AQ19" s="287">
        <f>'Revenue Assumptions'!BA38</f>
        <v>533.11120366513933</v>
      </c>
      <c r="AR19" s="287">
        <f>'Revenue Assumptions'!BB38</f>
        <v>533.11120366513933</v>
      </c>
      <c r="AS19" s="287">
        <f>'Revenue Assumptions'!BC38</f>
        <v>533.11120366513933</v>
      </c>
      <c r="AT19" s="287">
        <f>'Revenue Assumptions'!BD38</f>
        <v>533.11120366513933</v>
      </c>
      <c r="AU19" s="287">
        <f>'Revenue Assumptions'!BE38</f>
        <v>533.11120366513933</v>
      </c>
      <c r="AV19" s="287">
        <f>'Revenue Assumptions'!BF38</f>
        <v>533.11120366513933</v>
      </c>
      <c r="AW19" s="287">
        <f>'Revenue Assumptions'!BG38</f>
        <v>533.11120366513933</v>
      </c>
      <c r="AX19" s="287">
        <f>'Revenue Assumptions'!BH38</f>
        <v>533.11120366513933</v>
      </c>
      <c r="AY19" s="287">
        <f>'Revenue Assumptions'!BI38</f>
        <v>533.11120366513933</v>
      </c>
      <c r="AZ19" s="287">
        <f>'Revenue Assumptions'!BJ38</f>
        <v>1100.0707377217163</v>
      </c>
      <c r="BA19" s="287">
        <f>'Revenue Assumptions'!BK38</f>
        <v>1100.0707377217163</v>
      </c>
      <c r="BB19" s="287">
        <f>'Revenue Assumptions'!BL38</f>
        <v>1100.0707377217163</v>
      </c>
      <c r="BC19" s="287">
        <f>'Revenue Assumptions'!BM38</f>
        <v>1100.0707377217163</v>
      </c>
      <c r="BD19" s="287">
        <f>'Revenue Assumptions'!BN38</f>
        <v>1100.0707377217163</v>
      </c>
      <c r="BE19" s="287">
        <f>'Revenue Assumptions'!BO38</f>
        <v>1100.0707377217163</v>
      </c>
      <c r="BF19" s="287">
        <f>'Revenue Assumptions'!BP38</f>
        <v>1100.0707377217163</v>
      </c>
      <c r="BG19" s="287">
        <f>'Revenue Assumptions'!BQ38</f>
        <v>1100.0707377217163</v>
      </c>
      <c r="BH19" s="287">
        <f>'Revenue Assumptions'!BR38</f>
        <v>1100.0707377217163</v>
      </c>
      <c r="BI19" s="287">
        <f>'Revenue Assumptions'!BS38</f>
        <v>1100.0707377217163</v>
      </c>
      <c r="BJ19" s="287">
        <f>'Revenue Assumptions'!BT38</f>
        <v>1100.0707377217163</v>
      </c>
      <c r="BK19" s="287">
        <f>'Revenue Assumptions'!BU38</f>
        <v>1100.0707377217163</v>
      </c>
      <c r="BL19" s="287">
        <f>'Revenue Assumptions'!BV38</f>
        <v>2256.5553594291619</v>
      </c>
      <c r="BM19" s="287">
        <f>'Revenue Assumptions'!BW38</f>
        <v>2256.5553594291619</v>
      </c>
      <c r="BN19" s="287">
        <f>'Revenue Assumptions'!BX38</f>
        <v>2256.5553594291619</v>
      </c>
      <c r="BO19" s="287">
        <f>'Revenue Assumptions'!BY38</f>
        <v>2256.5553594291619</v>
      </c>
      <c r="BP19" s="287">
        <f>'Revenue Assumptions'!BZ38</f>
        <v>2256.5553594291619</v>
      </c>
      <c r="BQ19" s="287">
        <f>'Revenue Assumptions'!CA38</f>
        <v>2256.5553594291619</v>
      </c>
      <c r="BR19" s="287">
        <f>'Revenue Assumptions'!CB38</f>
        <v>2256.5553594291619</v>
      </c>
      <c r="BS19" s="287">
        <f>'Revenue Assumptions'!CC38</f>
        <v>2256.5553594291619</v>
      </c>
      <c r="BT19" s="287">
        <f>'Revenue Assumptions'!CD38</f>
        <v>2256.5553594291619</v>
      </c>
      <c r="BU19" s="287">
        <f>'Revenue Assumptions'!CE38</f>
        <v>2256.5553594291619</v>
      </c>
      <c r="BV19" s="287">
        <f>'Revenue Assumptions'!CF38</f>
        <v>2256.5553594291619</v>
      </c>
      <c r="BW19" s="287">
        <f>'Revenue Assumptions'!CG38</f>
        <v>2256.5553594291619</v>
      </c>
    </row>
    <row r="20" spans="1:75" s="226" customFormat="1">
      <c r="A20" s="225"/>
      <c r="B20" s="227" t="s">
        <v>122</v>
      </c>
      <c r="C20" s="228"/>
      <c r="D20" s="287">
        <f>'Revenue Assumptions'!N74</f>
        <v>0</v>
      </c>
      <c r="E20" s="287">
        <f>'Revenue Assumptions'!O74</f>
        <v>0</v>
      </c>
      <c r="F20" s="287">
        <f>'Revenue Assumptions'!P74</f>
        <v>0</v>
      </c>
      <c r="G20" s="287">
        <f>'Revenue Assumptions'!Q74</f>
        <v>0</v>
      </c>
      <c r="H20" s="287">
        <f>'Revenue Assumptions'!R74</f>
        <v>0</v>
      </c>
      <c r="I20" s="287">
        <f>'Revenue Assumptions'!S74</f>
        <v>0</v>
      </c>
      <c r="J20" s="287">
        <f>'Revenue Assumptions'!T74</f>
        <v>0</v>
      </c>
      <c r="K20" s="287">
        <f>'Revenue Assumptions'!U74</f>
        <v>0</v>
      </c>
      <c r="L20" s="287">
        <f>'Revenue Assumptions'!V74</f>
        <v>0</v>
      </c>
      <c r="M20" s="287">
        <f>'Revenue Assumptions'!W74</f>
        <v>0</v>
      </c>
      <c r="N20" s="287">
        <f>'Revenue Assumptions'!X74</f>
        <v>0</v>
      </c>
      <c r="O20" s="287">
        <f>'Revenue Assumptions'!Y74</f>
        <v>0</v>
      </c>
      <c r="P20" s="287">
        <f>'Revenue Assumptions'!Z74</f>
        <v>0</v>
      </c>
      <c r="Q20" s="287">
        <f>'Revenue Assumptions'!AA74</f>
        <v>0</v>
      </c>
      <c r="R20" s="287">
        <f>'Revenue Assumptions'!AB74</f>
        <v>0</v>
      </c>
      <c r="S20" s="287">
        <f>'Revenue Assumptions'!AC74</f>
        <v>0</v>
      </c>
      <c r="T20" s="287">
        <f>'Revenue Assumptions'!AD74</f>
        <v>0</v>
      </c>
      <c r="U20" s="287">
        <f>'Revenue Assumptions'!AE74</f>
        <v>88.2</v>
      </c>
      <c r="V20" s="287">
        <f>'Revenue Assumptions'!AF74</f>
        <v>98</v>
      </c>
      <c r="W20" s="287">
        <f>'Revenue Assumptions'!AG74</f>
        <v>107.80000000000001</v>
      </c>
      <c r="X20" s="287">
        <f>'Revenue Assumptions'!AH74</f>
        <v>117.60000000000001</v>
      </c>
      <c r="Y20" s="287">
        <f>'Revenue Assumptions'!AI74</f>
        <v>127.4</v>
      </c>
      <c r="Z20" s="287">
        <f>'Revenue Assumptions'!AJ74</f>
        <v>137.20000000000002</v>
      </c>
      <c r="AA20" s="287">
        <f>'Revenue Assumptions'!AK74</f>
        <v>147</v>
      </c>
      <c r="AB20" s="287">
        <f>'Revenue Assumptions'!AL74</f>
        <v>175</v>
      </c>
      <c r="AC20" s="287">
        <f>'Revenue Assumptions'!AM74</f>
        <v>203</v>
      </c>
      <c r="AD20" s="287">
        <f>'Revenue Assumptions'!AN74</f>
        <v>231</v>
      </c>
      <c r="AE20" s="287">
        <f>'Revenue Assumptions'!AO74</f>
        <v>259</v>
      </c>
      <c r="AF20" s="287">
        <f>'Revenue Assumptions'!AP74</f>
        <v>287</v>
      </c>
      <c r="AG20" s="287">
        <f>'Revenue Assumptions'!AQ74</f>
        <v>315</v>
      </c>
      <c r="AH20" s="287">
        <f>'Revenue Assumptions'!AR74</f>
        <v>343</v>
      </c>
      <c r="AI20" s="287">
        <f>'Revenue Assumptions'!AS74</f>
        <v>371</v>
      </c>
      <c r="AJ20" s="287">
        <f>'Revenue Assumptions'!AT74</f>
        <v>399</v>
      </c>
      <c r="AK20" s="287">
        <f>'Revenue Assumptions'!AU74</f>
        <v>427</v>
      </c>
      <c r="AL20" s="287">
        <f>'Revenue Assumptions'!AV74</f>
        <v>455</v>
      </c>
      <c r="AM20" s="287">
        <f>'Revenue Assumptions'!AW74</f>
        <v>483</v>
      </c>
      <c r="AN20" s="287">
        <f>'Revenue Assumptions'!AX74</f>
        <v>547</v>
      </c>
      <c r="AO20" s="287">
        <f>'Revenue Assumptions'!AY74</f>
        <v>611</v>
      </c>
      <c r="AP20" s="287">
        <f>'Revenue Assumptions'!AZ74</f>
        <v>675</v>
      </c>
      <c r="AQ20" s="287">
        <f>'Revenue Assumptions'!BA74</f>
        <v>739</v>
      </c>
      <c r="AR20" s="287">
        <f>'Revenue Assumptions'!BB74</f>
        <v>803</v>
      </c>
      <c r="AS20" s="287">
        <f>'Revenue Assumptions'!BC74</f>
        <v>867</v>
      </c>
      <c r="AT20" s="287">
        <f>'Revenue Assumptions'!BD74</f>
        <v>931</v>
      </c>
      <c r="AU20" s="287">
        <f>'Revenue Assumptions'!BE74</f>
        <v>995</v>
      </c>
      <c r="AV20" s="287">
        <f>'Revenue Assumptions'!BF74</f>
        <v>1059</v>
      </c>
      <c r="AW20" s="287">
        <f>'Revenue Assumptions'!BG74</f>
        <v>1123</v>
      </c>
      <c r="AX20" s="287">
        <f>'Revenue Assumptions'!BH74</f>
        <v>1187</v>
      </c>
      <c r="AY20" s="287">
        <f>'Revenue Assumptions'!BI74</f>
        <v>1251</v>
      </c>
      <c r="AZ20" s="287">
        <f>'Revenue Assumptions'!BJ74</f>
        <v>1383.2</v>
      </c>
      <c r="BA20" s="287">
        <f>'Revenue Assumptions'!BK74</f>
        <v>1515.4</v>
      </c>
      <c r="BB20" s="287">
        <f>'Revenue Assumptions'!BL74</f>
        <v>1647.6000000000001</v>
      </c>
      <c r="BC20" s="287">
        <f>'Revenue Assumptions'!BM74</f>
        <v>1779.8000000000002</v>
      </c>
      <c r="BD20" s="287">
        <f>'Revenue Assumptions'!BN74</f>
        <v>1912</v>
      </c>
      <c r="BE20" s="287">
        <f>'Revenue Assumptions'!BO74</f>
        <v>2044.2</v>
      </c>
      <c r="BF20" s="287">
        <f>'Revenue Assumptions'!BP74</f>
        <v>2176.4</v>
      </c>
      <c r="BG20" s="287">
        <f>'Revenue Assumptions'!BQ74</f>
        <v>2308.6</v>
      </c>
      <c r="BH20" s="287">
        <f>'Revenue Assumptions'!BR74</f>
        <v>2440.8000000000002</v>
      </c>
      <c r="BI20" s="287">
        <f>'Revenue Assumptions'!BS74</f>
        <v>2573</v>
      </c>
      <c r="BJ20" s="287">
        <f>'Revenue Assumptions'!BT74</f>
        <v>2705.2000000000003</v>
      </c>
      <c r="BK20" s="287">
        <f>'Revenue Assumptions'!BU74</f>
        <v>2837.4</v>
      </c>
      <c r="BL20" s="287">
        <f>'Revenue Assumptions'!BV74</f>
        <v>3108.2000000000003</v>
      </c>
      <c r="BM20" s="287">
        <f>'Revenue Assumptions'!BW74</f>
        <v>3379</v>
      </c>
      <c r="BN20" s="287">
        <f>'Revenue Assumptions'!BX74</f>
        <v>3649.8</v>
      </c>
      <c r="BO20" s="287">
        <f>'Revenue Assumptions'!BY74</f>
        <v>3920.6000000000004</v>
      </c>
      <c r="BP20" s="287">
        <f>'Revenue Assumptions'!BZ74</f>
        <v>4191.4000000000005</v>
      </c>
      <c r="BQ20" s="287">
        <f>'Revenue Assumptions'!CA74</f>
        <v>4462.2</v>
      </c>
      <c r="BR20" s="287">
        <f>'Revenue Assumptions'!CB74</f>
        <v>4733</v>
      </c>
      <c r="BS20" s="287">
        <f>'Revenue Assumptions'!CC74</f>
        <v>5003.8</v>
      </c>
      <c r="BT20" s="287">
        <f>'Revenue Assumptions'!CD74</f>
        <v>5274.6</v>
      </c>
      <c r="BU20" s="287">
        <f>'Revenue Assumptions'!CE74</f>
        <v>5545.4000000000005</v>
      </c>
      <c r="BV20" s="287">
        <f>'Revenue Assumptions'!CF74</f>
        <v>5816.2000000000007</v>
      </c>
      <c r="BW20" s="287">
        <f>'Revenue Assumptions'!CG74</f>
        <v>6087</v>
      </c>
    </row>
    <row r="21" spans="1:75" s="225" customFormat="1">
      <c r="B21" s="227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</row>
    <row r="22" spans="1:75" ht="13.8" thickBot="1">
      <c r="B22" s="229" t="s">
        <v>194</v>
      </c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  <c r="AE22" s="229"/>
      <c r="AF22" s="229"/>
      <c r="AG22" s="229"/>
      <c r="AH22" s="229"/>
      <c r="AI22" s="229"/>
      <c r="AJ22" s="229"/>
      <c r="AK22" s="229"/>
      <c r="AL22" s="229"/>
      <c r="AM22" s="229"/>
      <c r="AN22" s="229"/>
      <c r="AO22" s="229"/>
      <c r="AP22" s="229"/>
      <c r="AQ22" s="229"/>
      <c r="AR22" s="229"/>
      <c r="AS22" s="229"/>
      <c r="AT22" s="229"/>
      <c r="AU22" s="229"/>
      <c r="AV22" s="229"/>
      <c r="AW22" s="229"/>
      <c r="AX22" s="229"/>
      <c r="AY22" s="229"/>
      <c r="AZ22" s="229"/>
      <c r="BA22" s="229"/>
      <c r="BB22" s="229"/>
      <c r="BC22" s="229"/>
      <c r="BD22" s="229"/>
      <c r="BE22" s="229"/>
      <c r="BF22" s="229"/>
      <c r="BG22" s="229"/>
      <c r="BH22" s="229"/>
      <c r="BI22" s="229"/>
      <c r="BJ22" s="229"/>
      <c r="BK22" s="229"/>
      <c r="BL22" s="229"/>
      <c r="BM22" s="229"/>
      <c r="BN22" s="229"/>
      <c r="BO22" s="229"/>
      <c r="BP22" s="229"/>
      <c r="BQ22" s="229"/>
      <c r="BR22" s="229"/>
      <c r="BS22" s="229"/>
      <c r="BT22" s="229"/>
      <c r="BU22" s="229"/>
      <c r="BV22" s="229"/>
      <c r="BW22" s="229"/>
    </row>
    <row r="23" spans="1:75" ht="13.8" outlineLevel="1" thickTop="1">
      <c r="B23" s="230" t="s">
        <v>179</v>
      </c>
    </row>
    <row r="24" spans="1:75" outlineLevel="1">
      <c r="B24" s="231" t="s">
        <v>54</v>
      </c>
      <c r="D24" s="285">
        <f>'Revenue Assumptions'!N86</f>
        <v>0</v>
      </c>
      <c r="E24" s="285">
        <f>'Revenue Assumptions'!O86</f>
        <v>0</v>
      </c>
      <c r="F24" s="285">
        <f>'Revenue Assumptions'!P86</f>
        <v>0</v>
      </c>
      <c r="G24" s="285">
        <f>'Revenue Assumptions'!Q86</f>
        <v>0</v>
      </c>
      <c r="H24" s="285">
        <f>'Revenue Assumptions'!R86</f>
        <v>0</v>
      </c>
      <c r="I24" s="285">
        <f>'Revenue Assumptions'!S86</f>
        <v>164.03936670945657</v>
      </c>
      <c r="J24" s="285">
        <f>'Revenue Assumptions'!T86</f>
        <v>328.07873341891315</v>
      </c>
      <c r="K24" s="285">
        <f>'Revenue Assumptions'!U86</f>
        <v>492.11810012836975</v>
      </c>
      <c r="L24" s="285">
        <f>'Revenue Assumptions'!V86</f>
        <v>656.15746683782629</v>
      </c>
      <c r="M24" s="285">
        <f>'Revenue Assumptions'!W86</f>
        <v>820.19683354728295</v>
      </c>
      <c r="N24" s="285">
        <f>'Revenue Assumptions'!X86</f>
        <v>984.23620025673949</v>
      </c>
      <c r="O24" s="285">
        <f>'Revenue Assumptions'!Y86</f>
        <v>1148.275566966196</v>
      </c>
      <c r="P24" s="285">
        <f>'Revenue Assumptions'!Z86</f>
        <v>7866.6410416284616</v>
      </c>
      <c r="Q24" s="285">
        <f>'Revenue Assumptions'!AA86</f>
        <v>10524.290042178618</v>
      </c>
      <c r="R24" s="285">
        <f>'Revenue Assumptions'!AB86</f>
        <v>13181.939042728773</v>
      </c>
      <c r="S24" s="285">
        <f>'Revenue Assumptions'!AC86</f>
        <v>15839.588043278927</v>
      </c>
      <c r="T24" s="285">
        <f>'Revenue Assumptions'!AD86</f>
        <v>18497.237043829082</v>
      </c>
      <c r="U24" s="285">
        <f>'Revenue Assumptions'!AE86</f>
        <v>21154.88604437924</v>
      </c>
      <c r="V24" s="285">
        <f>'Revenue Assumptions'!AF86</f>
        <v>23812.535044929398</v>
      </c>
      <c r="W24" s="285">
        <f>'Revenue Assumptions'!AG86</f>
        <v>26470.184045479553</v>
      </c>
      <c r="X24" s="285">
        <f>'Revenue Assumptions'!AH86</f>
        <v>29127.833046029711</v>
      </c>
      <c r="Y24" s="285">
        <f>'Revenue Assumptions'!AI86</f>
        <v>31785.482046579866</v>
      </c>
      <c r="Z24" s="285">
        <f>'Revenue Assumptions'!AJ86</f>
        <v>34443.131047130024</v>
      </c>
      <c r="AA24" s="285">
        <f>'Revenue Assumptions'!AK86</f>
        <v>37100.780047680179</v>
      </c>
      <c r="AB24" s="285">
        <f>'Revenue Assumptions'!AL86</f>
        <v>115670.76900613907</v>
      </c>
      <c r="AC24" s="285">
        <f>'Revenue Assumptions'!AM86</f>
        <v>140468.87577130986</v>
      </c>
      <c r="AD24" s="285">
        <f>'Revenue Assumptions'!AN86</f>
        <v>165266.98253648062</v>
      </c>
      <c r="AE24" s="285">
        <f>'Revenue Assumptions'!AO86</f>
        <v>190065.0893016514</v>
      </c>
      <c r="AF24" s="285">
        <f>'Revenue Assumptions'!AP86</f>
        <v>214863.19606682216</v>
      </c>
      <c r="AG24" s="285">
        <f>'Revenue Assumptions'!AQ86</f>
        <v>239661.30283199294</v>
      </c>
      <c r="AH24" s="285">
        <f>'Revenue Assumptions'!AR86</f>
        <v>264459.40959716367</v>
      </c>
      <c r="AI24" s="285">
        <f>'Revenue Assumptions'!AS86</f>
        <v>289257.51636233449</v>
      </c>
      <c r="AJ24" s="285">
        <f>'Revenue Assumptions'!AT86</f>
        <v>314055.62312750524</v>
      </c>
      <c r="AK24" s="285">
        <f>'Revenue Assumptions'!AU86</f>
        <v>338853.72989267606</v>
      </c>
      <c r="AL24" s="285">
        <f>'Revenue Assumptions'!AV86</f>
        <v>363651.83665784681</v>
      </c>
      <c r="AM24" s="285">
        <f>'Revenue Assumptions'!AW86</f>
        <v>388449.94342301763</v>
      </c>
      <c r="AN24" s="285">
        <f>'Revenue Assumptions'!AX86</f>
        <v>612504.37117981631</v>
      </c>
      <c r="AO24" s="285">
        <f>'Revenue Assumptions'!AY86</f>
        <v>706989.10466609546</v>
      </c>
      <c r="AP24" s="285">
        <f>'Revenue Assumptions'!AZ86</f>
        <v>801473.83815237461</v>
      </c>
      <c r="AQ24" s="285">
        <f>'Revenue Assumptions'!BA86</f>
        <v>895958.57163865387</v>
      </c>
      <c r="AR24" s="285">
        <f>'Revenue Assumptions'!BB86</f>
        <v>990443.30512493302</v>
      </c>
      <c r="AS24" s="285">
        <f>'Revenue Assumptions'!BC86</f>
        <v>1084928.0386112123</v>
      </c>
      <c r="AT24" s="285">
        <f>'Revenue Assumptions'!BD86</f>
        <v>1179412.7720974914</v>
      </c>
      <c r="AU24" s="285">
        <f>'Revenue Assumptions'!BE86</f>
        <v>1273897.5055837703</v>
      </c>
      <c r="AV24" s="285">
        <f>'Revenue Assumptions'!BF86</f>
        <v>1368382.2390700497</v>
      </c>
      <c r="AW24" s="285">
        <f>'Revenue Assumptions'!BG86</f>
        <v>1462866.9725563289</v>
      </c>
      <c r="AX24" s="285">
        <f>'Revenue Assumptions'!BH86</f>
        <v>1557351.7060426085</v>
      </c>
      <c r="AY24" s="285">
        <f>'Revenue Assumptions'!BI86</f>
        <v>1651836.4395288876</v>
      </c>
      <c r="AZ24" s="285">
        <f>'Revenue Assumptions'!BJ86</f>
        <v>2349359.6384891775</v>
      </c>
      <c r="BA24" s="285">
        <f>'Revenue Assumptions'!BK86</f>
        <v>2633717.1447208817</v>
      </c>
      <c r="BB24" s="285">
        <f>'Revenue Assumptions'!BL86</f>
        <v>2918074.650952586</v>
      </c>
      <c r="BC24" s="285">
        <f>'Revenue Assumptions'!BM86</f>
        <v>3202432.1571842902</v>
      </c>
      <c r="BD24" s="285">
        <f>'Revenue Assumptions'!BN86</f>
        <v>3486789.6634159945</v>
      </c>
      <c r="BE24" s="285">
        <f>'Revenue Assumptions'!BO86</f>
        <v>3771147.1696476988</v>
      </c>
      <c r="BF24" s="285">
        <f>'Revenue Assumptions'!BP86</f>
        <v>4055504.675879403</v>
      </c>
      <c r="BG24" s="285">
        <f>'Revenue Assumptions'!BQ86</f>
        <v>4339862.1821111077</v>
      </c>
      <c r="BH24" s="285">
        <f>'Revenue Assumptions'!BR86</f>
        <v>4624219.6883428115</v>
      </c>
      <c r="BI24" s="285">
        <f>'Revenue Assumptions'!BS86</f>
        <v>4908577.1945745163</v>
      </c>
      <c r="BJ24" s="285">
        <f>'Revenue Assumptions'!BT86</f>
        <v>5192934.7008062191</v>
      </c>
      <c r="BK24" s="285">
        <f>'Revenue Assumptions'!BU86</f>
        <v>5477292.2070379239</v>
      </c>
      <c r="BL24" s="285">
        <f>'Revenue Assumptions'!BV86</f>
        <v>7273192.6280509438</v>
      </c>
      <c r="BM24" s="285">
        <f>'Revenue Assumptions'!BW86</f>
        <v>7973196.248936329</v>
      </c>
      <c r="BN24" s="285">
        <f>'Revenue Assumptions'!BX86</f>
        <v>8673199.8698217124</v>
      </c>
      <c r="BO24" s="285">
        <f>'Revenue Assumptions'!BY86</f>
        <v>9373203.4907070976</v>
      </c>
      <c r="BP24" s="285">
        <f>'Revenue Assumptions'!BZ86</f>
        <v>10073207.111592483</v>
      </c>
      <c r="BQ24" s="285">
        <f>'Revenue Assumptions'!CA86</f>
        <v>10773210.732477866</v>
      </c>
      <c r="BR24" s="285">
        <f>'Revenue Assumptions'!CB86</f>
        <v>11473214.353363249</v>
      </c>
      <c r="BS24" s="285">
        <f>'Revenue Assumptions'!CC86</f>
        <v>12173217.974248635</v>
      </c>
      <c r="BT24" s="285">
        <f>'Revenue Assumptions'!CD86</f>
        <v>12873221.59513402</v>
      </c>
      <c r="BU24" s="285">
        <f>'Revenue Assumptions'!CE86</f>
        <v>13573225.216019405</v>
      </c>
      <c r="BV24" s="285">
        <f>'Revenue Assumptions'!CF86</f>
        <v>14273228.836904787</v>
      </c>
      <c r="BW24" s="285">
        <f>'Revenue Assumptions'!CG86</f>
        <v>14973232.457790172</v>
      </c>
    </row>
    <row r="25" spans="1:75" outlineLevel="1">
      <c r="B25" s="231" t="s">
        <v>55</v>
      </c>
      <c r="D25" s="285">
        <f>'Revenue Assumptions'!N96</f>
        <v>0</v>
      </c>
      <c r="E25" s="285">
        <f>'Revenue Assumptions'!O96</f>
        <v>0</v>
      </c>
      <c r="F25" s="285">
        <f>'Revenue Assumptions'!P96</f>
        <v>0</v>
      </c>
      <c r="G25" s="285">
        <f>'Revenue Assumptions'!Q96</f>
        <v>0</v>
      </c>
      <c r="H25" s="285">
        <f>'Revenue Assumptions'!R96</f>
        <v>0</v>
      </c>
      <c r="I25" s="285">
        <f>'Revenue Assumptions'!S96</f>
        <v>9.4500000000000011</v>
      </c>
      <c r="J25" s="285">
        <f>'Revenue Assumptions'!T96</f>
        <v>18.900000000000002</v>
      </c>
      <c r="K25" s="285">
        <f>'Revenue Assumptions'!U96</f>
        <v>28.35</v>
      </c>
      <c r="L25" s="285">
        <f>'Revenue Assumptions'!V96</f>
        <v>37.800000000000004</v>
      </c>
      <c r="M25" s="285">
        <f>'Revenue Assumptions'!W96</f>
        <v>47.25</v>
      </c>
      <c r="N25" s="285">
        <f>'Revenue Assumptions'!X96</f>
        <v>56.7</v>
      </c>
      <c r="O25" s="285">
        <f>'Revenue Assumptions'!Y96</f>
        <v>66.150000000000006</v>
      </c>
      <c r="P25" s="285">
        <f>'Revenue Assumptions'!Z96</f>
        <v>132.30000000000001</v>
      </c>
      <c r="Q25" s="285">
        <f>'Revenue Assumptions'!AA96</f>
        <v>165.375</v>
      </c>
      <c r="R25" s="285">
        <f>'Revenue Assumptions'!AB96</f>
        <v>198.45000000000002</v>
      </c>
      <c r="S25" s="285">
        <f>'Revenue Assumptions'!AC96</f>
        <v>231.52500000000001</v>
      </c>
      <c r="T25" s="285">
        <f>'Revenue Assumptions'!AD96</f>
        <v>264.60000000000002</v>
      </c>
      <c r="U25" s="285">
        <f>'Revenue Assumptions'!AE96</f>
        <v>297.67500000000001</v>
      </c>
      <c r="V25" s="285">
        <f>'Revenue Assumptions'!AF96</f>
        <v>330.75</v>
      </c>
      <c r="W25" s="285">
        <f>'Revenue Assumptions'!AG96</f>
        <v>363.82499999999999</v>
      </c>
      <c r="X25" s="285">
        <f>'Revenue Assumptions'!AH96</f>
        <v>396.90000000000003</v>
      </c>
      <c r="Y25" s="285">
        <f>'Revenue Assumptions'!AI96</f>
        <v>429.97500000000002</v>
      </c>
      <c r="Z25" s="285">
        <f>'Revenue Assumptions'!AJ96</f>
        <v>463.05</v>
      </c>
      <c r="AA25" s="285">
        <f>'Revenue Assumptions'!AK96</f>
        <v>496.125</v>
      </c>
      <c r="AB25" s="285">
        <f>'Revenue Assumptions'!AL96</f>
        <v>787.5</v>
      </c>
      <c r="AC25" s="285">
        <f>'Revenue Assumptions'!AM96</f>
        <v>913.5</v>
      </c>
      <c r="AD25" s="285">
        <f>'Revenue Assumptions'!AN96</f>
        <v>1039.5</v>
      </c>
      <c r="AE25" s="285">
        <f>'Revenue Assumptions'!AO96</f>
        <v>1165.5</v>
      </c>
      <c r="AF25" s="285">
        <f>'Revenue Assumptions'!AP96</f>
        <v>1291.5</v>
      </c>
      <c r="AG25" s="285">
        <f>'Revenue Assumptions'!AQ96</f>
        <v>1417.5</v>
      </c>
      <c r="AH25" s="285">
        <f>'Revenue Assumptions'!AR96</f>
        <v>1543.5</v>
      </c>
      <c r="AI25" s="285">
        <f>'Revenue Assumptions'!AS96</f>
        <v>1669.5</v>
      </c>
      <c r="AJ25" s="285">
        <f>'Revenue Assumptions'!AT96</f>
        <v>1795.5</v>
      </c>
      <c r="AK25" s="285">
        <f>'Revenue Assumptions'!AU96</f>
        <v>1921.5</v>
      </c>
      <c r="AL25" s="285">
        <f>'Revenue Assumptions'!AV96</f>
        <v>2047.5</v>
      </c>
      <c r="AM25" s="285">
        <f>'Revenue Assumptions'!AW96</f>
        <v>2173.5</v>
      </c>
      <c r="AN25" s="285">
        <f>'Revenue Assumptions'!AX96</f>
        <v>3076.875</v>
      </c>
      <c r="AO25" s="285">
        <f>'Revenue Assumptions'!AY96</f>
        <v>3436.875</v>
      </c>
      <c r="AP25" s="285">
        <f>'Revenue Assumptions'!AZ96</f>
        <v>3796.875</v>
      </c>
      <c r="AQ25" s="285">
        <f>'Revenue Assumptions'!BA96</f>
        <v>4156.875</v>
      </c>
      <c r="AR25" s="285">
        <f>'Revenue Assumptions'!BB96</f>
        <v>4516.875</v>
      </c>
      <c r="AS25" s="285">
        <f>'Revenue Assumptions'!BC96</f>
        <v>4876.875</v>
      </c>
      <c r="AT25" s="285">
        <f>'Revenue Assumptions'!BD96</f>
        <v>5236.875</v>
      </c>
      <c r="AU25" s="285">
        <f>'Revenue Assumptions'!BE96</f>
        <v>5596.875</v>
      </c>
      <c r="AV25" s="285">
        <f>'Revenue Assumptions'!BF96</f>
        <v>5956.875</v>
      </c>
      <c r="AW25" s="285">
        <f>'Revenue Assumptions'!BG96</f>
        <v>6316.875</v>
      </c>
      <c r="AX25" s="285">
        <f>'Revenue Assumptions'!BH96</f>
        <v>6676.875</v>
      </c>
      <c r="AY25" s="285">
        <f>'Revenue Assumptions'!BI96</f>
        <v>7036.875</v>
      </c>
      <c r="AZ25" s="285">
        <f>'Revenue Assumptions'!BJ96</f>
        <v>9336.6</v>
      </c>
      <c r="BA25" s="285">
        <f>'Revenue Assumptions'!BK96</f>
        <v>10228.950000000001</v>
      </c>
      <c r="BB25" s="285">
        <f>'Revenue Assumptions'!BL96</f>
        <v>11121.300000000001</v>
      </c>
      <c r="BC25" s="285">
        <f>'Revenue Assumptions'!BM96</f>
        <v>12013.65</v>
      </c>
      <c r="BD25" s="285">
        <f>'Revenue Assumptions'!BN96</f>
        <v>12906</v>
      </c>
      <c r="BE25" s="285">
        <f>'Revenue Assumptions'!BO96</f>
        <v>13798.35</v>
      </c>
      <c r="BF25" s="285">
        <f>'Revenue Assumptions'!BP96</f>
        <v>14690.7</v>
      </c>
      <c r="BG25" s="285">
        <f>'Revenue Assumptions'!BQ96</f>
        <v>15583.050000000001</v>
      </c>
      <c r="BH25" s="285">
        <f>'Revenue Assumptions'!BR96</f>
        <v>16475.400000000001</v>
      </c>
      <c r="BI25" s="285">
        <f>'Revenue Assumptions'!BS96</f>
        <v>17367.75</v>
      </c>
      <c r="BJ25" s="285">
        <f>'Revenue Assumptions'!BT96</f>
        <v>18260.100000000002</v>
      </c>
      <c r="BK25" s="285">
        <f>'Revenue Assumptions'!BU96</f>
        <v>19152.45</v>
      </c>
      <c r="BL25" s="285">
        <f>'Revenue Assumptions'!BV96</f>
        <v>20980.350000000002</v>
      </c>
      <c r="BM25" s="285">
        <f>'Revenue Assumptions'!BW96</f>
        <v>22808.25</v>
      </c>
      <c r="BN25" s="285">
        <f>'Revenue Assumptions'!BX96</f>
        <v>24636.15</v>
      </c>
      <c r="BO25" s="285">
        <f>'Revenue Assumptions'!BY96</f>
        <v>26464.05</v>
      </c>
      <c r="BP25" s="285">
        <f>'Revenue Assumptions'!BZ96</f>
        <v>28291.95</v>
      </c>
      <c r="BQ25" s="285">
        <f>'Revenue Assumptions'!CA96</f>
        <v>30119.850000000002</v>
      </c>
      <c r="BR25" s="285">
        <f>'Revenue Assumptions'!CB96</f>
        <v>31947.75</v>
      </c>
      <c r="BS25" s="285">
        <f>'Revenue Assumptions'!CC96</f>
        <v>33775.65</v>
      </c>
      <c r="BT25" s="285">
        <f>'Revenue Assumptions'!CD96</f>
        <v>35603.550000000003</v>
      </c>
      <c r="BU25" s="285">
        <f>'Revenue Assumptions'!CE96</f>
        <v>37431.450000000004</v>
      </c>
      <c r="BV25" s="285">
        <f>'Revenue Assumptions'!CF96</f>
        <v>39259.35</v>
      </c>
      <c r="BW25" s="285">
        <f>'Revenue Assumptions'!CG96</f>
        <v>41087.25</v>
      </c>
    </row>
    <row r="26" spans="1:75" outlineLevel="1">
      <c r="B26" s="231" t="s">
        <v>56</v>
      </c>
      <c r="D26" s="288">
        <f>'Revenue Assumptions'!N104</f>
        <v>0</v>
      </c>
      <c r="E26" s="288">
        <f>'Revenue Assumptions'!O104</f>
        <v>0</v>
      </c>
      <c r="F26" s="288">
        <f>'Revenue Assumptions'!P104</f>
        <v>0</v>
      </c>
      <c r="G26" s="288">
        <f>'Revenue Assumptions'!Q104</f>
        <v>0</v>
      </c>
      <c r="H26" s="288">
        <f>'Revenue Assumptions'!R104</f>
        <v>0</v>
      </c>
      <c r="I26" s="288">
        <f>'Revenue Assumptions'!S104</f>
        <v>0</v>
      </c>
      <c r="J26" s="288">
        <f>'Revenue Assumptions'!T104</f>
        <v>0</v>
      </c>
      <c r="K26" s="288">
        <f>'Revenue Assumptions'!U104</f>
        <v>0</v>
      </c>
      <c r="L26" s="288">
        <f>'Revenue Assumptions'!V104</f>
        <v>0</v>
      </c>
      <c r="M26" s="288">
        <f>'Revenue Assumptions'!W104</f>
        <v>0</v>
      </c>
      <c r="N26" s="288">
        <f>'Revenue Assumptions'!X104</f>
        <v>0</v>
      </c>
      <c r="O26" s="288">
        <f>'Revenue Assumptions'!Y104</f>
        <v>0</v>
      </c>
      <c r="P26" s="288">
        <f>'Revenue Assumptions'!Z104</f>
        <v>0</v>
      </c>
      <c r="Q26" s="288">
        <f>'Revenue Assumptions'!AA104</f>
        <v>0</v>
      </c>
      <c r="R26" s="288">
        <f>'Revenue Assumptions'!AB104</f>
        <v>0</v>
      </c>
      <c r="S26" s="288">
        <f>'Revenue Assumptions'!AC104</f>
        <v>0</v>
      </c>
      <c r="T26" s="288">
        <f>'Revenue Assumptions'!AD104</f>
        <v>0</v>
      </c>
      <c r="U26" s="288">
        <f>'Revenue Assumptions'!AE104</f>
        <v>1323.0000000000002</v>
      </c>
      <c r="V26" s="288">
        <f>'Revenue Assumptions'!AF104</f>
        <v>1470</v>
      </c>
      <c r="W26" s="288">
        <f>'Revenue Assumptions'!AG104</f>
        <v>1617.0000000000002</v>
      </c>
      <c r="X26" s="288">
        <f>'Revenue Assumptions'!AH104</f>
        <v>1764</v>
      </c>
      <c r="Y26" s="288">
        <f>'Revenue Assumptions'!AI104</f>
        <v>1911.0000000000005</v>
      </c>
      <c r="Z26" s="288">
        <f>'Revenue Assumptions'!AJ104</f>
        <v>2058</v>
      </c>
      <c r="AA26" s="288">
        <f>'Revenue Assumptions'!AK104</f>
        <v>2205</v>
      </c>
      <c r="AB26" s="288">
        <f>'Revenue Assumptions'!AL104</f>
        <v>3150</v>
      </c>
      <c r="AC26" s="288">
        <f>'Revenue Assumptions'!AM104</f>
        <v>3654</v>
      </c>
      <c r="AD26" s="288">
        <f>'Revenue Assumptions'!AN104</f>
        <v>4158</v>
      </c>
      <c r="AE26" s="288">
        <f>'Revenue Assumptions'!AO104</f>
        <v>4662</v>
      </c>
      <c r="AF26" s="288">
        <f>'Revenue Assumptions'!AP104</f>
        <v>5166</v>
      </c>
      <c r="AG26" s="288">
        <f>'Revenue Assumptions'!AQ104</f>
        <v>5670</v>
      </c>
      <c r="AH26" s="288">
        <f>'Revenue Assumptions'!AR104</f>
        <v>6174</v>
      </c>
      <c r="AI26" s="288">
        <f>'Revenue Assumptions'!AS104</f>
        <v>6678</v>
      </c>
      <c r="AJ26" s="288">
        <f>'Revenue Assumptions'!AT104</f>
        <v>7182</v>
      </c>
      <c r="AK26" s="288">
        <f>'Revenue Assumptions'!AU104</f>
        <v>7686</v>
      </c>
      <c r="AL26" s="288">
        <f>'Revenue Assumptions'!AV104</f>
        <v>8190</v>
      </c>
      <c r="AM26" s="288">
        <f>'Revenue Assumptions'!AW104</f>
        <v>8694</v>
      </c>
      <c r="AN26" s="288">
        <f>'Revenue Assumptions'!AX104</f>
        <v>11487</v>
      </c>
      <c r="AO26" s="288">
        <f>'Revenue Assumptions'!AY104</f>
        <v>12831</v>
      </c>
      <c r="AP26" s="288">
        <f>'Revenue Assumptions'!AZ104</f>
        <v>14175</v>
      </c>
      <c r="AQ26" s="288">
        <f>'Revenue Assumptions'!BA104</f>
        <v>15519</v>
      </c>
      <c r="AR26" s="288">
        <f>'Revenue Assumptions'!BB104</f>
        <v>16863</v>
      </c>
      <c r="AS26" s="288">
        <f>'Revenue Assumptions'!BC104</f>
        <v>18207</v>
      </c>
      <c r="AT26" s="288">
        <f>'Revenue Assumptions'!BD104</f>
        <v>19551</v>
      </c>
      <c r="AU26" s="288">
        <f>'Revenue Assumptions'!BE104</f>
        <v>20895</v>
      </c>
      <c r="AV26" s="288">
        <f>'Revenue Assumptions'!BF104</f>
        <v>22239</v>
      </c>
      <c r="AW26" s="288">
        <f>'Revenue Assumptions'!BG104</f>
        <v>23583</v>
      </c>
      <c r="AX26" s="288">
        <f>'Revenue Assumptions'!BH104</f>
        <v>24927</v>
      </c>
      <c r="AY26" s="288">
        <f>'Revenue Assumptions'!BI104</f>
        <v>26271</v>
      </c>
      <c r="AZ26" s="288">
        <f>'Revenue Assumptions'!BJ104</f>
        <v>29047.200000000001</v>
      </c>
      <c r="BA26" s="288">
        <f>'Revenue Assumptions'!BK104</f>
        <v>31823.400000000009</v>
      </c>
      <c r="BB26" s="288">
        <f>'Revenue Assumptions'!BL104</f>
        <v>34599.599999999999</v>
      </c>
      <c r="BC26" s="288">
        <f>'Revenue Assumptions'!BM104</f>
        <v>37375.80000000001</v>
      </c>
      <c r="BD26" s="288">
        <f>'Revenue Assumptions'!BN104</f>
        <v>40152</v>
      </c>
      <c r="BE26" s="288">
        <f>'Revenue Assumptions'!BO104</f>
        <v>42928.200000000004</v>
      </c>
      <c r="BF26" s="288">
        <f>'Revenue Assumptions'!BP104</f>
        <v>45704.400000000009</v>
      </c>
      <c r="BG26" s="288">
        <f>'Revenue Assumptions'!BQ104</f>
        <v>48480.6</v>
      </c>
      <c r="BH26" s="288">
        <f>'Revenue Assumptions'!BR104</f>
        <v>51256.80000000001</v>
      </c>
      <c r="BI26" s="288">
        <f>'Revenue Assumptions'!BS104</f>
        <v>54033</v>
      </c>
      <c r="BJ26" s="288">
        <f>'Revenue Assumptions'!BT104</f>
        <v>56809.200000000004</v>
      </c>
      <c r="BK26" s="288">
        <f>'Revenue Assumptions'!BU104</f>
        <v>59585.4</v>
      </c>
      <c r="BL26" s="288">
        <f>'Revenue Assumptions'!BV104</f>
        <v>65272.200000000004</v>
      </c>
      <c r="BM26" s="288">
        <f>'Revenue Assumptions'!BW104</f>
        <v>70959</v>
      </c>
      <c r="BN26" s="288">
        <f>'Revenue Assumptions'!BX104</f>
        <v>76645.800000000017</v>
      </c>
      <c r="BO26" s="288">
        <f>'Revenue Assumptions'!BY104</f>
        <v>82332.60000000002</v>
      </c>
      <c r="BP26" s="288">
        <f>'Revenue Assumptions'!BZ104</f>
        <v>88019.400000000009</v>
      </c>
      <c r="BQ26" s="288">
        <f>'Revenue Assumptions'!CA104</f>
        <v>93706.2</v>
      </c>
      <c r="BR26" s="288">
        <f>'Revenue Assumptions'!CB104</f>
        <v>99393</v>
      </c>
      <c r="BS26" s="288">
        <f>'Revenue Assumptions'!CC104</f>
        <v>105079.8</v>
      </c>
      <c r="BT26" s="288">
        <f>'Revenue Assumptions'!CD104</f>
        <v>110766.6</v>
      </c>
      <c r="BU26" s="288">
        <f>'Revenue Assumptions'!CE104</f>
        <v>116453.40000000001</v>
      </c>
      <c r="BV26" s="288">
        <f>'Revenue Assumptions'!CF104</f>
        <v>122140.20000000003</v>
      </c>
      <c r="BW26" s="288">
        <f>'Revenue Assumptions'!CG104</f>
        <v>127827</v>
      </c>
    </row>
    <row r="27" spans="1:75" ht="13.8" outlineLevel="1" thickBot="1">
      <c r="B27" s="231" t="s">
        <v>473</v>
      </c>
      <c r="D27" s="286">
        <f>'Revenue Assumptions'!N107</f>
        <v>0</v>
      </c>
      <c r="E27" s="286">
        <f>'Revenue Assumptions'!O107</f>
        <v>0</v>
      </c>
      <c r="F27" s="286">
        <f>'Revenue Assumptions'!P107</f>
        <v>0</v>
      </c>
      <c r="G27" s="286">
        <f>'Revenue Assumptions'!Q107</f>
        <v>0</v>
      </c>
      <c r="H27" s="286">
        <f>'Revenue Assumptions'!R107</f>
        <v>0</v>
      </c>
      <c r="I27" s="286">
        <f>'Revenue Assumptions'!S107</f>
        <v>0</v>
      </c>
      <c r="J27" s="286">
        <f>'Revenue Assumptions'!T107</f>
        <v>0</v>
      </c>
      <c r="K27" s="286">
        <f>'Revenue Assumptions'!U107</f>
        <v>0</v>
      </c>
      <c r="L27" s="286">
        <f>'Revenue Assumptions'!V107</f>
        <v>0</v>
      </c>
      <c r="M27" s="286">
        <f>'Revenue Assumptions'!W107</f>
        <v>0</v>
      </c>
      <c r="N27" s="286">
        <f>'Revenue Assumptions'!X107</f>
        <v>0</v>
      </c>
      <c r="O27" s="286">
        <f>'Revenue Assumptions'!Y107</f>
        <v>0</v>
      </c>
      <c r="P27" s="286">
        <f>'Revenue Assumptions'!Z107</f>
        <v>0</v>
      </c>
      <c r="Q27" s="286">
        <f>'Revenue Assumptions'!AA107</f>
        <v>0</v>
      </c>
      <c r="R27" s="286">
        <f>'Revenue Assumptions'!AB107</f>
        <v>0</v>
      </c>
      <c r="S27" s="286">
        <f>'Revenue Assumptions'!AC107</f>
        <v>0</v>
      </c>
      <c r="T27" s="286">
        <f>'Revenue Assumptions'!AD107</f>
        <v>0</v>
      </c>
      <c r="U27" s="286">
        <f>'Revenue Assumptions'!AE107</f>
        <v>2219.8617000000004</v>
      </c>
      <c r="V27" s="286">
        <f>'Revenue Assumptions'!AF107</f>
        <v>2466.5129999999999</v>
      </c>
      <c r="W27" s="286">
        <f>'Revenue Assumptions'!AG107</f>
        <v>2713.1643000000004</v>
      </c>
      <c r="X27" s="286">
        <f>'Revenue Assumptions'!AH107</f>
        <v>2959.8155999999999</v>
      </c>
      <c r="Y27" s="286">
        <f>'Revenue Assumptions'!AI107</f>
        <v>3206.4669000000004</v>
      </c>
      <c r="Z27" s="286">
        <f>'Revenue Assumptions'!AJ107</f>
        <v>3453.1182000000003</v>
      </c>
      <c r="AA27" s="286">
        <f>'Revenue Assumptions'!AK107</f>
        <v>3699.7694999999999</v>
      </c>
      <c r="AB27" s="286">
        <f>'Revenue Assumptions'!AL107</f>
        <v>4624.711875</v>
      </c>
      <c r="AC27" s="286">
        <f>'Revenue Assumptions'!AM107</f>
        <v>5364.6657750000004</v>
      </c>
      <c r="AD27" s="286">
        <f>'Revenue Assumptions'!AN107</f>
        <v>6104.6196749999999</v>
      </c>
      <c r="AE27" s="286">
        <f>'Revenue Assumptions'!AO107</f>
        <v>6844.5735750000003</v>
      </c>
      <c r="AF27" s="286">
        <f>'Revenue Assumptions'!AP107</f>
        <v>7584.5274749999999</v>
      </c>
      <c r="AG27" s="286">
        <f>'Revenue Assumptions'!AQ107</f>
        <v>8324.4813749999994</v>
      </c>
      <c r="AH27" s="286">
        <f>'Revenue Assumptions'!AR107</f>
        <v>9064.4352749999998</v>
      </c>
      <c r="AI27" s="286">
        <f>'Revenue Assumptions'!AS107</f>
        <v>9804.3891750000003</v>
      </c>
      <c r="AJ27" s="286">
        <f>'Revenue Assumptions'!AT107</f>
        <v>10544.343075000001</v>
      </c>
      <c r="AK27" s="286">
        <f>'Revenue Assumptions'!AU107</f>
        <v>11284.296975000001</v>
      </c>
      <c r="AL27" s="286">
        <f>'Revenue Assumptions'!AV107</f>
        <v>12024.250875</v>
      </c>
      <c r="AM27" s="286">
        <f>'Revenue Assumptions'!AW107</f>
        <v>12764.204775</v>
      </c>
      <c r="AN27" s="286">
        <f>'Revenue Assumptions'!AX107</f>
        <v>15178.304373749999</v>
      </c>
      <c r="AO27" s="286">
        <f>'Revenue Assumptions'!AY107</f>
        <v>16954.193733749999</v>
      </c>
      <c r="AP27" s="286">
        <f>'Revenue Assumptions'!AZ107</f>
        <v>18730.08309375</v>
      </c>
      <c r="AQ27" s="286">
        <f>'Revenue Assumptions'!BA107</f>
        <v>20505.972453750001</v>
      </c>
      <c r="AR27" s="286">
        <f>'Revenue Assumptions'!BB107</f>
        <v>22281.861813750002</v>
      </c>
      <c r="AS27" s="286">
        <f>'Revenue Assumptions'!BC107</f>
        <v>24057.751173749999</v>
      </c>
      <c r="AT27" s="286">
        <f>'Revenue Assumptions'!BD107</f>
        <v>25833.64053375</v>
      </c>
      <c r="AU27" s="286">
        <f>'Revenue Assumptions'!BE107</f>
        <v>27609.529893750001</v>
      </c>
      <c r="AV27" s="286">
        <f>'Revenue Assumptions'!BF107</f>
        <v>29385.419253749998</v>
      </c>
      <c r="AW27" s="286">
        <f>'Revenue Assumptions'!BG107</f>
        <v>31161.308613749999</v>
      </c>
      <c r="AX27" s="286">
        <f>'Revenue Assumptions'!BH107</f>
        <v>32937.197973750001</v>
      </c>
      <c r="AY27" s="286">
        <f>'Revenue Assumptions'!BI107</f>
        <v>34713.087333750002</v>
      </c>
      <c r="AZ27" s="286">
        <f>'Revenue Assumptions'!BJ107</f>
        <v>40300.479232650003</v>
      </c>
      <c r="BA27" s="286">
        <f>'Revenue Assumptions'!BK107</f>
        <v>44152.216764862511</v>
      </c>
      <c r="BB27" s="286">
        <f>'Revenue Assumptions'!BL107</f>
        <v>48003.954297075004</v>
      </c>
      <c r="BC27" s="286">
        <f>'Revenue Assumptions'!BM107</f>
        <v>51855.691829287505</v>
      </c>
      <c r="BD27" s="286">
        <f>'Revenue Assumptions'!BN107</f>
        <v>55707.429361499999</v>
      </c>
      <c r="BE27" s="286">
        <f>'Revenue Assumptions'!BO107</f>
        <v>59559.166893712507</v>
      </c>
      <c r="BF27" s="286">
        <f>'Revenue Assumptions'!BP107</f>
        <v>63410.904425925008</v>
      </c>
      <c r="BG27" s="286">
        <f>'Revenue Assumptions'!BQ107</f>
        <v>67262.641958137494</v>
      </c>
      <c r="BH27" s="286">
        <f>'Revenue Assumptions'!BR107</f>
        <v>71114.379490350009</v>
      </c>
      <c r="BI27" s="286">
        <f>'Revenue Assumptions'!BS107</f>
        <v>74966.117022562496</v>
      </c>
      <c r="BJ27" s="286">
        <f>'Revenue Assumptions'!BT107</f>
        <v>78817.854554775011</v>
      </c>
      <c r="BK27" s="286">
        <f>'Revenue Assumptions'!BU107</f>
        <v>82669.592086987512</v>
      </c>
      <c r="BL27" s="286">
        <f>'Revenue Assumptions'!BV107</f>
        <v>95087.512310923135</v>
      </c>
      <c r="BM27" s="286">
        <f>'Revenue Assumptions'!BW107</f>
        <v>103371.95293050937</v>
      </c>
      <c r="BN27" s="286">
        <f>'Revenue Assumptions'!BX107</f>
        <v>111656.39355009564</v>
      </c>
      <c r="BO27" s="286">
        <f>'Revenue Assumptions'!BY107</f>
        <v>119940.83416968188</v>
      </c>
      <c r="BP27" s="286">
        <f>'Revenue Assumptions'!BZ107</f>
        <v>128225.27478926814</v>
      </c>
      <c r="BQ27" s="286">
        <f>'Revenue Assumptions'!CA107</f>
        <v>136509.71540885436</v>
      </c>
      <c r="BR27" s="286">
        <f>'Revenue Assumptions'!CB107</f>
        <v>144794.15602844063</v>
      </c>
      <c r="BS27" s="286">
        <f>'Revenue Assumptions'!CC107</f>
        <v>153078.5966480269</v>
      </c>
      <c r="BT27" s="286">
        <f>'Revenue Assumptions'!CD107</f>
        <v>161363.03726761314</v>
      </c>
      <c r="BU27" s="286">
        <f>'Revenue Assumptions'!CE107</f>
        <v>169647.47788719938</v>
      </c>
      <c r="BV27" s="286">
        <f>'Revenue Assumptions'!CF107</f>
        <v>177931.91850678565</v>
      </c>
      <c r="BW27" s="286">
        <f>'Revenue Assumptions'!CG107</f>
        <v>186216.35912637188</v>
      </c>
    </row>
    <row r="28" spans="1:75">
      <c r="B28" s="230" t="s">
        <v>179</v>
      </c>
      <c r="C28" s="237"/>
      <c r="D28" s="238">
        <f>SUM(D24:D27)</f>
        <v>0</v>
      </c>
      <c r="E28" s="238">
        <f t="shared" ref="E28:BP28" si="19">SUM(E24:E27)</f>
        <v>0</v>
      </c>
      <c r="F28" s="238">
        <f t="shared" si="19"/>
        <v>0</v>
      </c>
      <c r="G28" s="238">
        <f t="shared" si="19"/>
        <v>0</v>
      </c>
      <c r="H28" s="238">
        <f t="shared" si="19"/>
        <v>0</v>
      </c>
      <c r="I28" s="238">
        <f t="shared" si="19"/>
        <v>173.48936670945656</v>
      </c>
      <c r="J28" s="238">
        <f t="shared" si="19"/>
        <v>346.97873341891312</v>
      </c>
      <c r="K28" s="238">
        <f t="shared" si="19"/>
        <v>520.46810012836977</v>
      </c>
      <c r="L28" s="238">
        <f t="shared" si="19"/>
        <v>693.95746683782625</v>
      </c>
      <c r="M28" s="238">
        <f t="shared" si="19"/>
        <v>867.44683354728295</v>
      </c>
      <c r="N28" s="238">
        <f t="shared" si="19"/>
        <v>1040.9362002567395</v>
      </c>
      <c r="O28" s="238">
        <f t="shared" si="19"/>
        <v>1214.4255669661961</v>
      </c>
      <c r="P28" s="238">
        <f t="shared" si="19"/>
        <v>7998.9410416284618</v>
      </c>
      <c r="Q28" s="238">
        <f t="shared" si="19"/>
        <v>10689.665042178618</v>
      </c>
      <c r="R28" s="238">
        <f t="shared" si="19"/>
        <v>13380.389042728773</v>
      </c>
      <c r="S28" s="238">
        <f t="shared" si="19"/>
        <v>16071.113043278927</v>
      </c>
      <c r="T28" s="238">
        <f t="shared" si="19"/>
        <v>18761.83704382908</v>
      </c>
      <c r="U28" s="238">
        <f t="shared" si="19"/>
        <v>24995.422744379241</v>
      </c>
      <c r="V28" s="238">
        <f t="shared" si="19"/>
        <v>28079.798044929397</v>
      </c>
      <c r="W28" s="238">
        <f t="shared" si="19"/>
        <v>31164.173345479554</v>
      </c>
      <c r="X28" s="238">
        <f t="shared" si="19"/>
        <v>34248.548646029711</v>
      </c>
      <c r="Y28" s="238">
        <f t="shared" si="19"/>
        <v>37332.923946579867</v>
      </c>
      <c r="Z28" s="238">
        <f t="shared" si="19"/>
        <v>40417.299247130024</v>
      </c>
      <c r="AA28" s="238">
        <f t="shared" si="19"/>
        <v>43501.674547680181</v>
      </c>
      <c r="AB28" s="238">
        <f t="shared" si="19"/>
        <v>124232.98088113907</v>
      </c>
      <c r="AC28" s="238">
        <f t="shared" si="19"/>
        <v>150401.04154630986</v>
      </c>
      <c r="AD28" s="238">
        <f t="shared" si="19"/>
        <v>176569.10221148061</v>
      </c>
      <c r="AE28" s="238">
        <f t="shared" si="19"/>
        <v>202737.16287665139</v>
      </c>
      <c r="AF28" s="238">
        <f t="shared" si="19"/>
        <v>228905.22354182217</v>
      </c>
      <c r="AG28" s="238">
        <f t="shared" si="19"/>
        <v>255073.28420699295</v>
      </c>
      <c r="AH28" s="238">
        <f t="shared" si="19"/>
        <v>281241.34487216367</v>
      </c>
      <c r="AI28" s="238">
        <f t="shared" si="19"/>
        <v>307409.4055373345</v>
      </c>
      <c r="AJ28" s="238">
        <f t="shared" si="19"/>
        <v>333577.46620250522</v>
      </c>
      <c r="AK28" s="238">
        <f t="shared" si="19"/>
        <v>359745.52686767606</v>
      </c>
      <c r="AL28" s="238">
        <f t="shared" si="19"/>
        <v>385913.58753284684</v>
      </c>
      <c r="AM28" s="238">
        <f t="shared" si="19"/>
        <v>412081.64819801762</v>
      </c>
      <c r="AN28" s="238">
        <f t="shared" si="19"/>
        <v>642246.55055356631</v>
      </c>
      <c r="AO28" s="238">
        <f t="shared" si="19"/>
        <v>740211.17339984549</v>
      </c>
      <c r="AP28" s="238">
        <f t="shared" si="19"/>
        <v>838175.79624612466</v>
      </c>
      <c r="AQ28" s="238">
        <f t="shared" si="19"/>
        <v>936140.41909240384</v>
      </c>
      <c r="AR28" s="238">
        <f t="shared" si="19"/>
        <v>1034105.041938683</v>
      </c>
      <c r="AS28" s="238">
        <f t="shared" si="19"/>
        <v>1132069.6647849623</v>
      </c>
      <c r="AT28" s="238">
        <f t="shared" si="19"/>
        <v>1230034.2876312414</v>
      </c>
      <c r="AU28" s="238">
        <f t="shared" si="19"/>
        <v>1327998.9104775204</v>
      </c>
      <c r="AV28" s="238">
        <f t="shared" si="19"/>
        <v>1425963.5333237997</v>
      </c>
      <c r="AW28" s="238">
        <f t="shared" si="19"/>
        <v>1523928.1561700788</v>
      </c>
      <c r="AX28" s="238">
        <f t="shared" si="19"/>
        <v>1621892.7790163585</v>
      </c>
      <c r="AY28" s="238">
        <f t="shared" si="19"/>
        <v>1719857.4018626376</v>
      </c>
      <c r="AZ28" s="238">
        <f t="shared" si="19"/>
        <v>2428043.9177218275</v>
      </c>
      <c r="BA28" s="238">
        <f t="shared" si="19"/>
        <v>2719921.7114857445</v>
      </c>
      <c r="BB28" s="238">
        <f t="shared" si="19"/>
        <v>3011799.5052496609</v>
      </c>
      <c r="BC28" s="238">
        <f t="shared" si="19"/>
        <v>3303677.2990135774</v>
      </c>
      <c r="BD28" s="238">
        <f t="shared" si="19"/>
        <v>3595555.0927774943</v>
      </c>
      <c r="BE28" s="238">
        <f t="shared" si="19"/>
        <v>3887432.8865414117</v>
      </c>
      <c r="BF28" s="238">
        <f t="shared" si="19"/>
        <v>4179310.6803053282</v>
      </c>
      <c r="BG28" s="238">
        <f t="shared" si="19"/>
        <v>4471188.4740692442</v>
      </c>
      <c r="BH28" s="238">
        <f t="shared" si="19"/>
        <v>4763066.2678331621</v>
      </c>
      <c r="BI28" s="238">
        <f t="shared" si="19"/>
        <v>5054944.061597079</v>
      </c>
      <c r="BJ28" s="238">
        <f t="shared" si="19"/>
        <v>5346821.8553609941</v>
      </c>
      <c r="BK28" s="238">
        <f t="shared" si="19"/>
        <v>5638699.649124912</v>
      </c>
      <c r="BL28" s="238">
        <f t="shared" si="19"/>
        <v>7454532.6903618667</v>
      </c>
      <c r="BM28" s="238">
        <f t="shared" si="19"/>
        <v>8170335.4518668381</v>
      </c>
      <c r="BN28" s="238">
        <f t="shared" si="19"/>
        <v>8886138.2133718096</v>
      </c>
      <c r="BO28" s="238">
        <f t="shared" si="19"/>
        <v>9601940.9748767801</v>
      </c>
      <c r="BP28" s="238">
        <f t="shared" si="19"/>
        <v>10317743.736381751</v>
      </c>
      <c r="BQ28" s="238">
        <f t="shared" ref="BQ28:BW28" si="20">SUM(BQ24:BQ27)</f>
        <v>11033546.497886719</v>
      </c>
      <c r="BR28" s="238">
        <f t="shared" si="20"/>
        <v>11749349.25939169</v>
      </c>
      <c r="BS28" s="238">
        <f t="shared" si="20"/>
        <v>12465152.020896662</v>
      </c>
      <c r="BT28" s="238">
        <f t="shared" si="20"/>
        <v>13180954.782401633</v>
      </c>
      <c r="BU28" s="238">
        <f t="shared" si="20"/>
        <v>13896757.543906605</v>
      </c>
      <c r="BV28" s="238">
        <f t="shared" si="20"/>
        <v>14612560.305411572</v>
      </c>
      <c r="BW28" s="238">
        <f t="shared" si="20"/>
        <v>15328363.066916544</v>
      </c>
    </row>
    <row r="29" spans="1:75" outlineLevel="1">
      <c r="B29" s="227" t="s">
        <v>266</v>
      </c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4"/>
      <c r="BC29" s="234"/>
      <c r="BD29" s="234"/>
      <c r="BE29" s="234"/>
      <c r="BF29" s="234"/>
      <c r="BG29" s="234"/>
      <c r="BH29" s="234"/>
      <c r="BI29" s="234"/>
      <c r="BJ29" s="234"/>
      <c r="BK29" s="234"/>
      <c r="BL29" s="234"/>
      <c r="BM29" s="234"/>
      <c r="BN29" s="234"/>
      <c r="BO29" s="234"/>
      <c r="BP29" s="234"/>
      <c r="BQ29" s="234"/>
      <c r="BR29" s="234"/>
      <c r="BS29" s="234"/>
      <c r="BT29" s="234"/>
      <c r="BU29" s="234"/>
      <c r="BV29" s="234"/>
      <c r="BW29" s="234"/>
    </row>
    <row r="30" spans="1:75" outlineLevel="1">
      <c r="B30" s="231" t="s">
        <v>136</v>
      </c>
      <c r="D30" s="282">
        <f>'Revenue Assumptions'!N114</f>
        <v>0</v>
      </c>
      <c r="E30" s="282">
        <f>'Revenue Assumptions'!O114</f>
        <v>0</v>
      </c>
      <c r="F30" s="282">
        <f>'Revenue Assumptions'!P114</f>
        <v>0</v>
      </c>
      <c r="G30" s="282">
        <f>'Revenue Assumptions'!Q114</f>
        <v>0</v>
      </c>
      <c r="H30" s="282">
        <f>'Revenue Assumptions'!R114</f>
        <v>0</v>
      </c>
      <c r="I30" s="282">
        <f>'Revenue Assumptions'!S114</f>
        <v>5.2046810012836966</v>
      </c>
      <c r="J30" s="282">
        <f>'Revenue Assumptions'!T114</f>
        <v>10.409362002567393</v>
      </c>
      <c r="K30" s="282">
        <f>'Revenue Assumptions'!U114</f>
        <v>15.614043003851092</v>
      </c>
      <c r="L30" s="282">
        <f>'Revenue Assumptions'!V114</f>
        <v>20.818724005134786</v>
      </c>
      <c r="M30" s="282">
        <f>'Revenue Assumptions'!W114</f>
        <v>26.023405006418489</v>
      </c>
      <c r="N30" s="282">
        <f>'Revenue Assumptions'!X114</f>
        <v>31.228086007702185</v>
      </c>
      <c r="O30" s="282">
        <f>'Revenue Assumptions'!Y114</f>
        <v>36.432767008985884</v>
      </c>
      <c r="P30" s="282">
        <f>'Revenue Assumptions'!Z114</f>
        <v>239.96823124885384</v>
      </c>
      <c r="Q30" s="282">
        <f>'Revenue Assumptions'!AA114</f>
        <v>320.6899512653585</v>
      </c>
      <c r="R30" s="282">
        <f>'Revenue Assumptions'!AB114</f>
        <v>401.41167128186316</v>
      </c>
      <c r="S30" s="282">
        <f>'Revenue Assumptions'!AC114</f>
        <v>482.13339129836777</v>
      </c>
      <c r="T30" s="282">
        <f>'Revenue Assumptions'!AD114</f>
        <v>562.85511131487237</v>
      </c>
      <c r="U30" s="282">
        <f>'Revenue Assumptions'!AE114</f>
        <v>683.26683133137715</v>
      </c>
      <c r="V30" s="282">
        <f>'Revenue Assumptions'!AF114</f>
        <v>768.39855134788195</v>
      </c>
      <c r="W30" s="282">
        <f>'Revenue Assumptions'!AG114</f>
        <v>853.53027136438652</v>
      </c>
      <c r="X30" s="282">
        <f>'Revenue Assumptions'!AH114</f>
        <v>938.66199138089132</v>
      </c>
      <c r="Y30" s="282">
        <f>'Revenue Assumptions'!AI114</f>
        <v>1023.793711397396</v>
      </c>
      <c r="Z30" s="282">
        <f>'Revenue Assumptions'!AJ114</f>
        <v>1108.9254314139007</v>
      </c>
      <c r="AA30" s="282">
        <f>'Revenue Assumptions'!AK114</f>
        <v>1194.0571514304054</v>
      </c>
      <c r="AB30" s="282">
        <f>'Revenue Assumptions'!AL114</f>
        <v>3588.2480701841723</v>
      </c>
      <c r="AC30" s="282">
        <f>'Revenue Assumptions'!AM114</f>
        <v>4351.0912731392955</v>
      </c>
      <c r="AD30" s="282">
        <f>'Revenue Assumptions'!AN114</f>
        <v>5113.9344760944186</v>
      </c>
      <c r="AE30" s="282">
        <f>'Revenue Assumptions'!AO114</f>
        <v>5876.7776790495418</v>
      </c>
      <c r="AF30" s="282">
        <f>'Revenue Assumptions'!AP114</f>
        <v>6639.6208820046641</v>
      </c>
      <c r="AG30" s="282">
        <f>'Revenue Assumptions'!AQ114</f>
        <v>7402.4640849597881</v>
      </c>
      <c r="AH30" s="282">
        <f>'Revenue Assumptions'!AR114</f>
        <v>8165.3072879149095</v>
      </c>
      <c r="AI30" s="282">
        <f>'Revenue Assumptions'!AS114</f>
        <v>8928.1504908700335</v>
      </c>
      <c r="AJ30" s="282">
        <f>'Revenue Assumptions'!AT114</f>
        <v>9690.9936938251576</v>
      </c>
      <c r="AK30" s="282">
        <f>'Revenue Assumptions'!AU114</f>
        <v>10453.836896780282</v>
      </c>
      <c r="AL30" s="282">
        <f>'Revenue Assumptions'!AV114</f>
        <v>11216.680099735404</v>
      </c>
      <c r="AM30" s="282">
        <f>'Revenue Assumptions'!AW114</f>
        <v>11979.523302690528</v>
      </c>
      <c r="AN30" s="282">
        <f>'Revenue Assumptions'!AX114</f>
        <v>18812.04738539449</v>
      </c>
      <c r="AO30" s="282">
        <f>'Revenue Assumptions'!AY114</f>
        <v>21697.709389982861</v>
      </c>
      <c r="AP30" s="282">
        <f>'Revenue Assumptions'!AZ114</f>
        <v>24583.371394571237</v>
      </c>
      <c r="AQ30" s="282">
        <f>'Revenue Assumptions'!BA114</f>
        <v>27469.033399159616</v>
      </c>
      <c r="AR30" s="282">
        <f>'Revenue Assumptions'!BB114</f>
        <v>30354.695403747988</v>
      </c>
      <c r="AS30" s="282">
        <f>'Revenue Assumptions'!BC114</f>
        <v>33240.357408336364</v>
      </c>
      <c r="AT30" s="282">
        <f>'Revenue Assumptions'!BD114</f>
        <v>36126.019412924739</v>
      </c>
      <c r="AU30" s="282">
        <f>'Revenue Assumptions'!BE114</f>
        <v>39011.681417513108</v>
      </c>
      <c r="AV30" s="282">
        <f>'Revenue Assumptions'!BF114</f>
        <v>41897.34342210149</v>
      </c>
      <c r="AW30" s="282">
        <f>'Revenue Assumptions'!BG114</f>
        <v>44783.005426689866</v>
      </c>
      <c r="AX30" s="282">
        <f>'Revenue Assumptions'!BH114</f>
        <v>47668.667431278256</v>
      </c>
      <c r="AY30" s="282">
        <f>'Revenue Assumptions'!BI114</f>
        <v>50554.329435866624</v>
      </c>
      <c r="AZ30" s="282">
        <f>'Revenue Assumptions'!BJ114</f>
        <v>71632.303154675319</v>
      </c>
      <c r="BA30" s="282">
        <f>'Revenue Assumptions'!BK114</f>
        <v>80273.084841626449</v>
      </c>
      <c r="BB30" s="282">
        <f>'Revenue Assumptions'!BL114</f>
        <v>88913.866528577579</v>
      </c>
      <c r="BC30" s="282">
        <f>'Revenue Assumptions'!BM114</f>
        <v>97554.648215528709</v>
      </c>
      <c r="BD30" s="282">
        <f>'Revenue Assumptions'!BN114</f>
        <v>106195.42990247982</v>
      </c>
      <c r="BE30" s="282">
        <f>'Revenue Assumptions'!BO114</f>
        <v>114836.21158943095</v>
      </c>
      <c r="BF30" s="282">
        <f>'Revenue Assumptions'!BP114</f>
        <v>123476.99327638208</v>
      </c>
      <c r="BG30" s="282">
        <f>'Revenue Assumptions'!BQ114</f>
        <v>132117.77496333324</v>
      </c>
      <c r="BH30" s="282">
        <f>'Revenue Assumptions'!BR114</f>
        <v>140758.55665028436</v>
      </c>
      <c r="BI30" s="282">
        <f>'Revenue Assumptions'!BS114</f>
        <v>149399.33833723547</v>
      </c>
      <c r="BJ30" s="282">
        <f>'Revenue Assumptions'!BT114</f>
        <v>158040.12002418656</v>
      </c>
      <c r="BK30" s="282">
        <f>'Revenue Assumptions'!BU114</f>
        <v>166680.9017111377</v>
      </c>
      <c r="BL30" s="282">
        <f>'Revenue Assumptions'!BV114</f>
        <v>220783.35534152831</v>
      </c>
      <c r="BM30" s="282">
        <f>'Revenue Assumptions'!BW114</f>
        <v>242008.90496808986</v>
      </c>
      <c r="BN30" s="282">
        <f>'Revenue Assumptions'!BX114</f>
        <v>263234.45459465135</v>
      </c>
      <c r="BO30" s="282">
        <f>'Revenue Assumptions'!BY114</f>
        <v>284460.00422121293</v>
      </c>
      <c r="BP30" s="282">
        <f>'Revenue Assumptions'!BZ114</f>
        <v>305685.55384777446</v>
      </c>
      <c r="BQ30" s="282">
        <f>'Revenue Assumptions'!CA114</f>
        <v>326911.10347433598</v>
      </c>
      <c r="BR30" s="282">
        <f>'Revenue Assumptions'!CB114</f>
        <v>348136.65310089744</v>
      </c>
      <c r="BS30" s="282">
        <f>'Revenue Assumptions'!CC114</f>
        <v>369362.20272745902</v>
      </c>
      <c r="BT30" s="282">
        <f>'Revenue Assumptions'!CD114</f>
        <v>390587.7523540206</v>
      </c>
      <c r="BU30" s="282">
        <f>'Revenue Assumptions'!CE114</f>
        <v>411813.30198058212</v>
      </c>
      <c r="BV30" s="282">
        <f>'Revenue Assumptions'!CF114</f>
        <v>433038.85160714359</v>
      </c>
      <c r="BW30" s="282">
        <f>'Revenue Assumptions'!CG114</f>
        <v>454264.40123370511</v>
      </c>
    </row>
    <row r="31" spans="1:75" outlineLevel="1">
      <c r="B31" s="231" t="s">
        <v>257</v>
      </c>
      <c r="D31" s="283">
        <f>'Revenue Assumptions'!N115</f>
        <v>0</v>
      </c>
      <c r="E31" s="283">
        <f>'Revenue Assumptions'!O115</f>
        <v>0</v>
      </c>
      <c r="F31" s="283">
        <f>'Revenue Assumptions'!P115</f>
        <v>0</v>
      </c>
      <c r="G31" s="283">
        <f>'Revenue Assumptions'!Q115</f>
        <v>0</v>
      </c>
      <c r="H31" s="283">
        <f>'Revenue Assumptions'!R115</f>
        <v>0</v>
      </c>
      <c r="I31" s="283">
        <f>'Revenue Assumptions'!S115</f>
        <v>0.28350000000000003</v>
      </c>
      <c r="J31" s="283">
        <f>'Revenue Assumptions'!T115</f>
        <v>0.56700000000000006</v>
      </c>
      <c r="K31" s="283">
        <f>'Revenue Assumptions'!U115</f>
        <v>0.85050000000000003</v>
      </c>
      <c r="L31" s="283">
        <f>'Revenue Assumptions'!V115</f>
        <v>1.1340000000000001</v>
      </c>
      <c r="M31" s="283">
        <f>'Revenue Assumptions'!W115</f>
        <v>1.4175</v>
      </c>
      <c r="N31" s="283">
        <f>'Revenue Assumptions'!X115</f>
        <v>1.7010000000000001</v>
      </c>
      <c r="O31" s="283">
        <f>'Revenue Assumptions'!Y115</f>
        <v>1.9845000000000002</v>
      </c>
      <c r="P31" s="283">
        <f>'Revenue Assumptions'!Z115</f>
        <v>3.9690000000000003</v>
      </c>
      <c r="Q31" s="283">
        <f>'Revenue Assumptions'!AA115</f>
        <v>4.9612499999999997</v>
      </c>
      <c r="R31" s="283">
        <f>'Revenue Assumptions'!AB115</f>
        <v>5.9535</v>
      </c>
      <c r="S31" s="283">
        <f>'Revenue Assumptions'!AC115</f>
        <v>6.9457500000000003</v>
      </c>
      <c r="T31" s="283">
        <f>'Revenue Assumptions'!AD115</f>
        <v>7.9380000000000006</v>
      </c>
      <c r="U31" s="283">
        <f>'Revenue Assumptions'!AE115</f>
        <v>8.9302499999999991</v>
      </c>
      <c r="V31" s="283">
        <f>'Revenue Assumptions'!AF115</f>
        <v>9.9224999999999994</v>
      </c>
      <c r="W31" s="283">
        <f>'Revenue Assumptions'!AG115</f>
        <v>10.91475</v>
      </c>
      <c r="X31" s="283">
        <f>'Revenue Assumptions'!AH115</f>
        <v>11.907</v>
      </c>
      <c r="Y31" s="283">
        <f>'Revenue Assumptions'!AI115</f>
        <v>12.89925</v>
      </c>
      <c r="Z31" s="283">
        <f>'Revenue Assumptions'!AJ115</f>
        <v>13.891500000000001</v>
      </c>
      <c r="AA31" s="283">
        <f>'Revenue Assumptions'!AK115</f>
        <v>14.883749999999999</v>
      </c>
      <c r="AB31" s="283">
        <f>'Revenue Assumptions'!AL115</f>
        <v>23.625</v>
      </c>
      <c r="AC31" s="283">
        <f>'Revenue Assumptions'!AM115</f>
        <v>27.404999999999998</v>
      </c>
      <c r="AD31" s="283">
        <f>'Revenue Assumptions'!AN115</f>
        <v>31.184999999999999</v>
      </c>
      <c r="AE31" s="283">
        <f>'Revenue Assumptions'!AO115</f>
        <v>34.964999999999996</v>
      </c>
      <c r="AF31" s="283">
        <f>'Revenue Assumptions'!AP115</f>
        <v>38.744999999999997</v>
      </c>
      <c r="AG31" s="283">
        <f>'Revenue Assumptions'!AQ115</f>
        <v>42.524999999999999</v>
      </c>
      <c r="AH31" s="283">
        <f>'Revenue Assumptions'!AR115</f>
        <v>46.305</v>
      </c>
      <c r="AI31" s="283">
        <f>'Revenue Assumptions'!AS115</f>
        <v>50.085000000000001</v>
      </c>
      <c r="AJ31" s="283">
        <f>'Revenue Assumptions'!AT115</f>
        <v>53.864999999999995</v>
      </c>
      <c r="AK31" s="283">
        <f>'Revenue Assumptions'!AU115</f>
        <v>57.644999999999996</v>
      </c>
      <c r="AL31" s="283">
        <f>'Revenue Assumptions'!AV115</f>
        <v>61.424999999999997</v>
      </c>
      <c r="AM31" s="283">
        <f>'Revenue Assumptions'!AW115</f>
        <v>65.204999999999998</v>
      </c>
      <c r="AN31" s="283">
        <f>'Revenue Assumptions'!AX115</f>
        <v>92.306249999999991</v>
      </c>
      <c r="AO31" s="283">
        <f>'Revenue Assumptions'!AY115</f>
        <v>103.10625</v>
      </c>
      <c r="AP31" s="283">
        <f>'Revenue Assumptions'!AZ115</f>
        <v>113.90625</v>
      </c>
      <c r="AQ31" s="283">
        <f>'Revenue Assumptions'!BA115</f>
        <v>124.70625</v>
      </c>
      <c r="AR31" s="283">
        <f>'Revenue Assumptions'!BB115</f>
        <v>135.50624999999999</v>
      </c>
      <c r="AS31" s="283">
        <f>'Revenue Assumptions'!BC115</f>
        <v>146.30625000000001</v>
      </c>
      <c r="AT31" s="283">
        <f>'Revenue Assumptions'!BD115</f>
        <v>157.10624999999999</v>
      </c>
      <c r="AU31" s="283">
        <f>'Revenue Assumptions'!BE115</f>
        <v>167.90625</v>
      </c>
      <c r="AV31" s="283">
        <f>'Revenue Assumptions'!BF115</f>
        <v>178.70624999999998</v>
      </c>
      <c r="AW31" s="283">
        <f>'Revenue Assumptions'!BG115</f>
        <v>189.50624999999999</v>
      </c>
      <c r="AX31" s="283">
        <f>'Revenue Assumptions'!BH115</f>
        <v>200.30625000000001</v>
      </c>
      <c r="AY31" s="283">
        <f>'Revenue Assumptions'!BI115</f>
        <v>211.10624999999999</v>
      </c>
      <c r="AZ31" s="283">
        <f>'Revenue Assumptions'!BJ115</f>
        <v>280.09800000000001</v>
      </c>
      <c r="BA31" s="283">
        <f>'Revenue Assumptions'!BK115</f>
        <v>306.86849999999998</v>
      </c>
      <c r="BB31" s="283">
        <f>'Revenue Assumptions'!BL115</f>
        <v>333.63900000000001</v>
      </c>
      <c r="BC31" s="283">
        <f>'Revenue Assumptions'!BM115</f>
        <v>360.40949999999998</v>
      </c>
      <c r="BD31" s="283">
        <f>'Revenue Assumptions'!BN115</f>
        <v>387.18</v>
      </c>
      <c r="BE31" s="283">
        <f>'Revenue Assumptions'!BO115</f>
        <v>413.95049999999998</v>
      </c>
      <c r="BF31" s="283">
        <f>'Revenue Assumptions'!BP115</f>
        <v>440.721</v>
      </c>
      <c r="BG31" s="283">
        <f>'Revenue Assumptions'!BQ115</f>
        <v>467.49150000000003</v>
      </c>
      <c r="BH31" s="283">
        <f>'Revenue Assumptions'!BR115</f>
        <v>494.262</v>
      </c>
      <c r="BI31" s="283">
        <f>'Revenue Assumptions'!BS115</f>
        <v>521.03250000000003</v>
      </c>
      <c r="BJ31" s="283">
        <f>'Revenue Assumptions'!BT115</f>
        <v>547.803</v>
      </c>
      <c r="BK31" s="283">
        <f>'Revenue Assumptions'!BU115</f>
        <v>574.57349999999997</v>
      </c>
      <c r="BL31" s="283">
        <f>'Revenue Assumptions'!BV115</f>
        <v>629.41050000000007</v>
      </c>
      <c r="BM31" s="283">
        <f>'Revenue Assumptions'!BW115</f>
        <v>684.24749999999995</v>
      </c>
      <c r="BN31" s="283">
        <f>'Revenue Assumptions'!BX115</f>
        <v>739.08450000000005</v>
      </c>
      <c r="BO31" s="283">
        <f>'Revenue Assumptions'!BY115</f>
        <v>793.92149999999992</v>
      </c>
      <c r="BP31" s="283">
        <f>'Revenue Assumptions'!BZ115</f>
        <v>848.75850000000003</v>
      </c>
      <c r="BQ31" s="283">
        <f>'Revenue Assumptions'!CA115</f>
        <v>903.59550000000002</v>
      </c>
      <c r="BR31" s="283">
        <f>'Revenue Assumptions'!CB115</f>
        <v>958.4325</v>
      </c>
      <c r="BS31" s="283">
        <f>'Revenue Assumptions'!CC115</f>
        <v>1013.2695</v>
      </c>
      <c r="BT31" s="283">
        <f>'Revenue Assumptions'!CD115</f>
        <v>1068.1065000000001</v>
      </c>
      <c r="BU31" s="283">
        <f>'Revenue Assumptions'!CE115</f>
        <v>1122.9435000000001</v>
      </c>
      <c r="BV31" s="283">
        <f>'Revenue Assumptions'!CF115</f>
        <v>1177.7804999999998</v>
      </c>
      <c r="BW31" s="283">
        <f>'Revenue Assumptions'!CG115</f>
        <v>1232.6175000000001</v>
      </c>
    </row>
    <row r="32" spans="1:75" outlineLevel="1">
      <c r="B32" s="231" t="s">
        <v>139</v>
      </c>
      <c r="D32" s="283">
        <f>'Revenue Assumptions'!N116</f>
        <v>0</v>
      </c>
      <c r="E32" s="283">
        <f>'Revenue Assumptions'!O116</f>
        <v>0</v>
      </c>
      <c r="F32" s="283">
        <f>'Revenue Assumptions'!P116</f>
        <v>0</v>
      </c>
      <c r="G32" s="283">
        <f>'Revenue Assumptions'!Q116</f>
        <v>0</v>
      </c>
      <c r="H32" s="283">
        <f>'Revenue Assumptions'!R116</f>
        <v>0</v>
      </c>
      <c r="I32" s="283">
        <f>'Revenue Assumptions'!S116</f>
        <v>5.2046810012836966</v>
      </c>
      <c r="J32" s="283">
        <f>'Revenue Assumptions'!T116</f>
        <v>10.409362002567393</v>
      </c>
      <c r="K32" s="283">
        <f>'Revenue Assumptions'!U116</f>
        <v>15.614043003851092</v>
      </c>
      <c r="L32" s="283">
        <f>'Revenue Assumptions'!V116</f>
        <v>20.818724005134786</v>
      </c>
      <c r="M32" s="283">
        <f>'Revenue Assumptions'!W116</f>
        <v>26.023405006418489</v>
      </c>
      <c r="N32" s="283">
        <f>'Revenue Assumptions'!X116</f>
        <v>31.228086007702185</v>
      </c>
      <c r="O32" s="283">
        <f>'Revenue Assumptions'!Y116</f>
        <v>36.432767008985884</v>
      </c>
      <c r="P32" s="283">
        <f>'Revenue Assumptions'!Z116</f>
        <v>239.96823124885384</v>
      </c>
      <c r="Q32" s="283">
        <f>'Revenue Assumptions'!AA116</f>
        <v>320.6899512653585</v>
      </c>
      <c r="R32" s="283">
        <f>'Revenue Assumptions'!AB116</f>
        <v>401.41167128186316</v>
      </c>
      <c r="S32" s="283">
        <f>'Revenue Assumptions'!AC116</f>
        <v>482.13339129836777</v>
      </c>
      <c r="T32" s="283">
        <f>'Revenue Assumptions'!AD116</f>
        <v>562.85511131487237</v>
      </c>
      <c r="U32" s="283">
        <f>'Revenue Assumptions'!AE116</f>
        <v>683.26683133137715</v>
      </c>
      <c r="V32" s="283">
        <f>'Revenue Assumptions'!AF116</f>
        <v>768.39855134788195</v>
      </c>
      <c r="W32" s="283">
        <f>'Revenue Assumptions'!AG116</f>
        <v>853.53027136438652</v>
      </c>
      <c r="X32" s="283">
        <f>'Revenue Assumptions'!AH116</f>
        <v>938.66199138089132</v>
      </c>
      <c r="Y32" s="283">
        <f>'Revenue Assumptions'!AI116</f>
        <v>1023.793711397396</v>
      </c>
      <c r="Z32" s="283">
        <f>'Revenue Assumptions'!AJ116</f>
        <v>1108.9254314139007</v>
      </c>
      <c r="AA32" s="283">
        <f>'Revenue Assumptions'!AK116</f>
        <v>1194.0571514304054</v>
      </c>
      <c r="AB32" s="283">
        <f>'Revenue Assumptions'!AL116</f>
        <v>3588.2480701841723</v>
      </c>
      <c r="AC32" s="283">
        <f>'Revenue Assumptions'!AM116</f>
        <v>4351.0912731392955</v>
      </c>
      <c r="AD32" s="283">
        <f>'Revenue Assumptions'!AN116</f>
        <v>5113.9344760944186</v>
      </c>
      <c r="AE32" s="283">
        <f>'Revenue Assumptions'!AO116</f>
        <v>5876.7776790495418</v>
      </c>
      <c r="AF32" s="283">
        <f>'Revenue Assumptions'!AP116</f>
        <v>6639.6208820046641</v>
      </c>
      <c r="AG32" s="283">
        <f>'Revenue Assumptions'!AQ116</f>
        <v>7402.4640849597881</v>
      </c>
      <c r="AH32" s="283">
        <f>'Revenue Assumptions'!AR116</f>
        <v>8165.3072879149095</v>
      </c>
      <c r="AI32" s="283">
        <f>'Revenue Assumptions'!AS116</f>
        <v>8928.1504908700335</v>
      </c>
      <c r="AJ32" s="283">
        <f>'Revenue Assumptions'!AT116</f>
        <v>9690.9936938251576</v>
      </c>
      <c r="AK32" s="283">
        <f>'Revenue Assumptions'!AU116</f>
        <v>10453.836896780282</v>
      </c>
      <c r="AL32" s="283">
        <f>'Revenue Assumptions'!AV116</f>
        <v>11216.680099735404</v>
      </c>
      <c r="AM32" s="283">
        <f>'Revenue Assumptions'!AW116</f>
        <v>11979.523302690528</v>
      </c>
      <c r="AN32" s="283">
        <f>'Revenue Assumptions'!AX116</f>
        <v>18812.04738539449</v>
      </c>
      <c r="AO32" s="283">
        <f>'Revenue Assumptions'!AY116</f>
        <v>21697.709389982861</v>
      </c>
      <c r="AP32" s="283">
        <f>'Revenue Assumptions'!AZ116</f>
        <v>24583.371394571237</v>
      </c>
      <c r="AQ32" s="283">
        <f>'Revenue Assumptions'!BA116</f>
        <v>27469.033399159616</v>
      </c>
      <c r="AR32" s="283">
        <f>'Revenue Assumptions'!BB116</f>
        <v>30354.695403747988</v>
      </c>
      <c r="AS32" s="283">
        <f>'Revenue Assumptions'!BC116</f>
        <v>33240.357408336364</v>
      </c>
      <c r="AT32" s="283">
        <f>'Revenue Assumptions'!BD116</f>
        <v>36126.019412924739</v>
      </c>
      <c r="AU32" s="283">
        <f>'Revenue Assumptions'!BE116</f>
        <v>39011.681417513108</v>
      </c>
      <c r="AV32" s="283">
        <f>'Revenue Assumptions'!BF116</f>
        <v>41897.34342210149</v>
      </c>
      <c r="AW32" s="283">
        <f>'Revenue Assumptions'!BG116</f>
        <v>44783.005426689866</v>
      </c>
      <c r="AX32" s="283">
        <f>'Revenue Assumptions'!BH116</f>
        <v>47668.667431278256</v>
      </c>
      <c r="AY32" s="283">
        <f>'Revenue Assumptions'!BI116</f>
        <v>50554.329435866624</v>
      </c>
      <c r="AZ32" s="283">
        <f>'Revenue Assumptions'!BJ116</f>
        <v>71632.303154675319</v>
      </c>
      <c r="BA32" s="283">
        <f>'Revenue Assumptions'!BK116</f>
        <v>80273.084841626449</v>
      </c>
      <c r="BB32" s="283">
        <f>'Revenue Assumptions'!BL116</f>
        <v>88913.866528577579</v>
      </c>
      <c r="BC32" s="283">
        <f>'Revenue Assumptions'!BM116</f>
        <v>97554.648215528709</v>
      </c>
      <c r="BD32" s="283">
        <f>'Revenue Assumptions'!BN116</f>
        <v>106195.42990247982</v>
      </c>
      <c r="BE32" s="283">
        <f>'Revenue Assumptions'!BO116</f>
        <v>114836.21158943095</v>
      </c>
      <c r="BF32" s="283">
        <f>'Revenue Assumptions'!BP116</f>
        <v>123476.99327638208</v>
      </c>
      <c r="BG32" s="283">
        <f>'Revenue Assumptions'!BQ116</f>
        <v>132117.77496333324</v>
      </c>
      <c r="BH32" s="283">
        <f>'Revenue Assumptions'!BR116</f>
        <v>140758.55665028436</v>
      </c>
      <c r="BI32" s="283">
        <f>'Revenue Assumptions'!BS116</f>
        <v>149399.33833723547</v>
      </c>
      <c r="BJ32" s="283">
        <f>'Revenue Assumptions'!BT116</f>
        <v>158040.12002418656</v>
      </c>
      <c r="BK32" s="283">
        <f>'Revenue Assumptions'!BU116</f>
        <v>166680.9017111377</v>
      </c>
      <c r="BL32" s="283">
        <f>'Revenue Assumptions'!BV116</f>
        <v>220783.35534152831</v>
      </c>
      <c r="BM32" s="283">
        <f>'Revenue Assumptions'!BW116</f>
        <v>242008.90496808986</v>
      </c>
      <c r="BN32" s="283">
        <f>'Revenue Assumptions'!BX116</f>
        <v>263234.45459465135</v>
      </c>
      <c r="BO32" s="283">
        <f>'Revenue Assumptions'!BY116</f>
        <v>284460.00422121293</v>
      </c>
      <c r="BP32" s="283">
        <f>'Revenue Assumptions'!BZ116</f>
        <v>305685.55384777446</v>
      </c>
      <c r="BQ32" s="283">
        <f>'Revenue Assumptions'!CA116</f>
        <v>326911.10347433598</v>
      </c>
      <c r="BR32" s="283">
        <f>'Revenue Assumptions'!CB116</f>
        <v>348136.65310089744</v>
      </c>
      <c r="BS32" s="283">
        <f>'Revenue Assumptions'!CC116</f>
        <v>369362.20272745902</v>
      </c>
      <c r="BT32" s="283">
        <f>'Revenue Assumptions'!CD116</f>
        <v>390587.7523540206</v>
      </c>
      <c r="BU32" s="283">
        <f>'Revenue Assumptions'!CE116</f>
        <v>411813.30198058212</v>
      </c>
      <c r="BV32" s="283">
        <f>'Revenue Assumptions'!CF116</f>
        <v>433038.85160714359</v>
      </c>
      <c r="BW32" s="283">
        <f>'Revenue Assumptions'!CG116</f>
        <v>454264.40123370511</v>
      </c>
    </row>
    <row r="33" spans="2:75" outlineLevel="1">
      <c r="B33" s="231" t="s">
        <v>54</v>
      </c>
      <c r="D33" s="455">
        <f>'Revenue Assumptions'!N117</f>
        <v>0</v>
      </c>
      <c r="E33" s="455">
        <f>'Revenue Assumptions'!O117</f>
        <v>0</v>
      </c>
      <c r="F33" s="455">
        <f>'Revenue Assumptions'!P117</f>
        <v>0</v>
      </c>
      <c r="G33" s="455">
        <f>'Revenue Assumptions'!Q117</f>
        <v>0</v>
      </c>
      <c r="H33" s="455">
        <f>'Revenue Assumptions'!R117</f>
        <v>0</v>
      </c>
      <c r="I33" s="455">
        <f>'Revenue Assumptions'!S117</f>
        <v>3.4697873341891312</v>
      </c>
      <c r="J33" s="455">
        <f>'Revenue Assumptions'!T117</f>
        <v>6.9395746683782624</v>
      </c>
      <c r="K33" s="455">
        <f>'Revenue Assumptions'!U117</f>
        <v>10.409362002567395</v>
      </c>
      <c r="L33" s="455">
        <f>'Revenue Assumptions'!V117</f>
        <v>13.879149336756525</v>
      </c>
      <c r="M33" s="455">
        <f>'Revenue Assumptions'!W117</f>
        <v>17.348936670945658</v>
      </c>
      <c r="N33" s="455">
        <f>'Revenue Assumptions'!X117</f>
        <v>20.81872400513479</v>
      </c>
      <c r="O33" s="455">
        <f>'Revenue Assumptions'!Y117</f>
        <v>24.288511339323922</v>
      </c>
      <c r="P33" s="455">
        <f>'Revenue Assumptions'!Z117</f>
        <v>159.97882083256923</v>
      </c>
      <c r="Q33" s="455">
        <f>'Revenue Assumptions'!AA117</f>
        <v>213.79330084357235</v>
      </c>
      <c r="R33" s="455">
        <f>'Revenue Assumptions'!AB117</f>
        <v>267.60778085457548</v>
      </c>
      <c r="S33" s="455">
        <f>'Revenue Assumptions'!AC117</f>
        <v>321.42226086557855</v>
      </c>
      <c r="T33" s="455">
        <f>'Revenue Assumptions'!AD117</f>
        <v>375.23674087658162</v>
      </c>
      <c r="U33" s="455">
        <f>'Revenue Assumptions'!AE117</f>
        <v>429.0512208875848</v>
      </c>
      <c r="V33" s="455">
        <f>'Revenue Assumptions'!AF117</f>
        <v>482.86570089858799</v>
      </c>
      <c r="W33" s="455">
        <f>'Revenue Assumptions'!AG117</f>
        <v>536.68018090959106</v>
      </c>
      <c r="X33" s="455">
        <f>'Revenue Assumptions'!AH117</f>
        <v>590.49466092059424</v>
      </c>
      <c r="Y33" s="455">
        <f>'Revenue Assumptions'!AI117</f>
        <v>644.30914093159731</v>
      </c>
      <c r="Z33" s="455">
        <f>'Revenue Assumptions'!AJ117</f>
        <v>698.1236209426005</v>
      </c>
      <c r="AA33" s="455">
        <f>'Revenue Assumptions'!AK117</f>
        <v>751.93810095360357</v>
      </c>
      <c r="AB33" s="455">
        <f>'Revenue Assumptions'!AL117</f>
        <v>2329.1653801227817</v>
      </c>
      <c r="AC33" s="455">
        <f>'Revenue Assumptions'!AM117</f>
        <v>2827.6475154261971</v>
      </c>
      <c r="AD33" s="455">
        <f>'Revenue Assumptions'!AN117</f>
        <v>3326.1296507296124</v>
      </c>
      <c r="AE33" s="455">
        <f>'Revenue Assumptions'!AO117</f>
        <v>3824.6117860330282</v>
      </c>
      <c r="AF33" s="455">
        <f>'Revenue Assumptions'!AP117</f>
        <v>4323.0939213364436</v>
      </c>
      <c r="AG33" s="455">
        <f>'Revenue Assumptions'!AQ117</f>
        <v>4821.5760566398594</v>
      </c>
      <c r="AH33" s="455">
        <f>'Revenue Assumptions'!AR117</f>
        <v>5320.0581919432734</v>
      </c>
      <c r="AI33" s="455">
        <f>'Revenue Assumptions'!AS117</f>
        <v>5818.5403272466901</v>
      </c>
      <c r="AJ33" s="455">
        <f>'Revenue Assumptions'!AT117</f>
        <v>6317.022462550105</v>
      </c>
      <c r="AK33" s="455">
        <f>'Revenue Assumptions'!AU117</f>
        <v>6815.5045978535209</v>
      </c>
      <c r="AL33" s="455">
        <f>'Revenue Assumptions'!AV117</f>
        <v>7313.9867331569367</v>
      </c>
      <c r="AM33" s="455">
        <f>'Revenue Assumptions'!AW117</f>
        <v>7812.4688684603525</v>
      </c>
      <c r="AN33" s="455">
        <f>'Revenue Assumptions'!AX117</f>
        <v>12311.624923596326</v>
      </c>
      <c r="AO33" s="455">
        <f>'Revenue Assumptions'!AY117</f>
        <v>14208.519593321909</v>
      </c>
      <c r="AP33" s="455">
        <f>'Revenue Assumptions'!AZ117</f>
        <v>16105.414263047493</v>
      </c>
      <c r="AQ33" s="455">
        <f>'Revenue Assumptions'!BA117</f>
        <v>18002.308932773078</v>
      </c>
      <c r="AR33" s="455">
        <f>'Revenue Assumptions'!BB117</f>
        <v>19899.203602498659</v>
      </c>
      <c r="AS33" s="455">
        <f>'Revenue Assumptions'!BC117</f>
        <v>21796.098272224244</v>
      </c>
      <c r="AT33" s="455">
        <f>'Revenue Assumptions'!BD117</f>
        <v>23692.992941949829</v>
      </c>
      <c r="AU33" s="455">
        <f>'Revenue Assumptions'!BE117</f>
        <v>25589.887611675407</v>
      </c>
      <c r="AV33" s="455">
        <f>'Revenue Assumptions'!BF117</f>
        <v>27486.782281400996</v>
      </c>
      <c r="AW33" s="455">
        <f>'Revenue Assumptions'!BG117</f>
        <v>29383.676951126577</v>
      </c>
      <c r="AX33" s="455">
        <f>'Revenue Assumptions'!BH117</f>
        <v>31280.57162085217</v>
      </c>
      <c r="AY33" s="455">
        <f>'Revenue Assumptions'!BI117</f>
        <v>33177.466290577751</v>
      </c>
      <c r="AZ33" s="455">
        <f>'Revenue Assumptions'!BJ117</f>
        <v>47173.924769783553</v>
      </c>
      <c r="BA33" s="455">
        <f>'Revenue Assumptions'!BK117</f>
        <v>52878.921894417639</v>
      </c>
      <c r="BB33" s="455">
        <f>'Revenue Assumptions'!BL117</f>
        <v>58583.919019051718</v>
      </c>
      <c r="BC33" s="455">
        <f>'Revenue Assumptions'!BM117</f>
        <v>64288.916143685805</v>
      </c>
      <c r="BD33" s="455">
        <f>'Revenue Assumptions'!BN117</f>
        <v>69993.913268319884</v>
      </c>
      <c r="BE33" s="455">
        <f>'Revenue Assumptions'!BO117</f>
        <v>75698.910392953985</v>
      </c>
      <c r="BF33" s="455">
        <f>'Revenue Assumptions'!BP117</f>
        <v>81403.907517588072</v>
      </c>
      <c r="BG33" s="455">
        <f>'Revenue Assumptions'!BQ117</f>
        <v>87108.904642222158</v>
      </c>
      <c r="BH33" s="455">
        <f>'Revenue Assumptions'!BR117</f>
        <v>92813.901766856245</v>
      </c>
      <c r="BI33" s="455">
        <f>'Revenue Assumptions'!BS117</f>
        <v>98518.898891490331</v>
      </c>
      <c r="BJ33" s="455">
        <f>'Revenue Assumptions'!BT117</f>
        <v>104223.89601612437</v>
      </c>
      <c r="BK33" s="455">
        <f>'Revenue Assumptions'!BU117</f>
        <v>109928.89314075849</v>
      </c>
      <c r="BL33" s="455">
        <f>'Revenue Assumptions'!BV117</f>
        <v>145883.45956101888</v>
      </c>
      <c r="BM33" s="455">
        <f>'Revenue Assumptions'!BW117</f>
        <v>159920.08997872658</v>
      </c>
      <c r="BN33" s="455">
        <f>'Revenue Assumptions'!BX117</f>
        <v>173956.72039643425</v>
      </c>
      <c r="BO33" s="455">
        <f>'Revenue Assumptions'!BY117</f>
        <v>187993.35081414197</v>
      </c>
      <c r="BP33" s="455">
        <f>'Revenue Assumptions'!BZ117</f>
        <v>202029.98123184964</v>
      </c>
      <c r="BQ33" s="455">
        <f>'Revenue Assumptions'!CA117</f>
        <v>216066.61164955731</v>
      </c>
      <c r="BR33" s="455">
        <f>'Revenue Assumptions'!CB117</f>
        <v>230103.242067265</v>
      </c>
      <c r="BS33" s="455">
        <f>'Revenue Assumptions'!CC117</f>
        <v>244139.8724849727</v>
      </c>
      <c r="BT33" s="455">
        <f>'Revenue Assumptions'!CD117</f>
        <v>258176.50290268043</v>
      </c>
      <c r="BU33" s="455">
        <f>'Revenue Assumptions'!CE117</f>
        <v>272213.13332038809</v>
      </c>
      <c r="BV33" s="455">
        <f>'Revenue Assumptions'!CF117</f>
        <v>286249.7637380957</v>
      </c>
      <c r="BW33" s="455">
        <f>'Revenue Assumptions'!CG117</f>
        <v>300286.39415580343</v>
      </c>
    </row>
    <row r="34" spans="2:75" ht="13.8" outlineLevel="1" thickBot="1">
      <c r="B34" s="235" t="s">
        <v>473</v>
      </c>
      <c r="D34" s="284">
        <f>'Revenue Assumptions'!N106</f>
        <v>0</v>
      </c>
      <c r="E34" s="284">
        <f>'Revenue Assumptions'!O106</f>
        <v>0</v>
      </c>
      <c r="F34" s="284">
        <f>'Revenue Assumptions'!P106</f>
        <v>0</v>
      </c>
      <c r="G34" s="284">
        <f>'Revenue Assumptions'!Q106</f>
        <v>0</v>
      </c>
      <c r="H34" s="284">
        <f>'Revenue Assumptions'!R106</f>
        <v>0</v>
      </c>
      <c r="I34" s="284">
        <f>'Revenue Assumptions'!S106</f>
        <v>0</v>
      </c>
      <c r="J34" s="284">
        <f>'Revenue Assumptions'!T106</f>
        <v>0</v>
      </c>
      <c r="K34" s="284">
        <f>'Revenue Assumptions'!U106</f>
        <v>0</v>
      </c>
      <c r="L34" s="284">
        <f>'Revenue Assumptions'!V106</f>
        <v>0</v>
      </c>
      <c r="M34" s="284">
        <f>'Revenue Assumptions'!W106</f>
        <v>0</v>
      </c>
      <c r="N34" s="284">
        <f>'Revenue Assumptions'!X106</f>
        <v>0</v>
      </c>
      <c r="O34" s="284">
        <f>'Revenue Assumptions'!Y106</f>
        <v>0</v>
      </c>
      <c r="P34" s="284">
        <f>'Revenue Assumptions'!Z106</f>
        <v>0</v>
      </c>
      <c r="Q34" s="284">
        <f>'Revenue Assumptions'!AA106</f>
        <v>0</v>
      </c>
      <c r="R34" s="284">
        <f>'Revenue Assumptions'!AB106</f>
        <v>0</v>
      </c>
      <c r="S34" s="284">
        <f>'Revenue Assumptions'!AC106</f>
        <v>0</v>
      </c>
      <c r="T34" s="284">
        <f>'Revenue Assumptions'!AD106</f>
        <v>0</v>
      </c>
      <c r="U34" s="284">
        <f>'Revenue Assumptions'!AE106</f>
        <v>1386.3717000000001</v>
      </c>
      <c r="V34" s="284">
        <f>'Revenue Assumptions'!AF106</f>
        <v>1540.4130000000002</v>
      </c>
      <c r="W34" s="284">
        <f>'Revenue Assumptions'!AG106</f>
        <v>1694.4543000000003</v>
      </c>
      <c r="X34" s="284">
        <f>'Revenue Assumptions'!AH106</f>
        <v>1848.4956000000002</v>
      </c>
      <c r="Y34" s="284">
        <f>'Revenue Assumptions'!AI106</f>
        <v>2002.5369000000005</v>
      </c>
      <c r="Z34" s="284">
        <f>'Revenue Assumptions'!AJ106</f>
        <v>2156.5782000000004</v>
      </c>
      <c r="AA34" s="284">
        <f>'Revenue Assumptions'!AK106</f>
        <v>2310.6195000000002</v>
      </c>
      <c r="AB34" s="284">
        <f>'Revenue Assumptions'!AL106</f>
        <v>2888.2743750000004</v>
      </c>
      <c r="AC34" s="284">
        <f>'Revenue Assumptions'!AM106</f>
        <v>3350.3982750000005</v>
      </c>
      <c r="AD34" s="284">
        <f>'Revenue Assumptions'!AN106</f>
        <v>3812.5221750000005</v>
      </c>
      <c r="AE34" s="284">
        <f>'Revenue Assumptions'!AO106</f>
        <v>4274.6460750000006</v>
      </c>
      <c r="AF34" s="284">
        <f>'Revenue Assumptions'!AP106</f>
        <v>4736.7699750000011</v>
      </c>
      <c r="AG34" s="284">
        <f>'Revenue Assumptions'!AQ106</f>
        <v>5198.8938750000007</v>
      </c>
      <c r="AH34" s="284">
        <f>'Revenue Assumptions'!AR106</f>
        <v>5661.0177750000012</v>
      </c>
      <c r="AI34" s="284">
        <f>'Revenue Assumptions'!AS106</f>
        <v>6123.1416750000008</v>
      </c>
      <c r="AJ34" s="284">
        <f>'Revenue Assumptions'!AT106</f>
        <v>6585.2655750000013</v>
      </c>
      <c r="AK34" s="284">
        <f>'Revenue Assumptions'!AU106</f>
        <v>7047.3894750000009</v>
      </c>
      <c r="AL34" s="284">
        <f>'Revenue Assumptions'!AV106</f>
        <v>7509.5133750000014</v>
      </c>
      <c r="AM34" s="284">
        <f>'Revenue Assumptions'!AW106</f>
        <v>7971.6372750000019</v>
      </c>
      <c r="AN34" s="284">
        <f>'Revenue Assumptions'!AX106</f>
        <v>9479.3164987500022</v>
      </c>
      <c r="AO34" s="284">
        <f>'Revenue Assumptions'!AY106</f>
        <v>10588.413858750004</v>
      </c>
      <c r="AP34" s="284">
        <f>'Revenue Assumptions'!AZ106</f>
        <v>11697.511218750004</v>
      </c>
      <c r="AQ34" s="284">
        <f>'Revenue Assumptions'!BA106</f>
        <v>12806.608578750003</v>
      </c>
      <c r="AR34" s="284">
        <f>'Revenue Assumptions'!BB106</f>
        <v>13915.705938750005</v>
      </c>
      <c r="AS34" s="284">
        <f>'Revenue Assumptions'!BC106</f>
        <v>15024.803298750005</v>
      </c>
      <c r="AT34" s="284">
        <f>'Revenue Assumptions'!BD106</f>
        <v>16133.900658750004</v>
      </c>
      <c r="AU34" s="284">
        <f>'Revenue Assumptions'!BE106</f>
        <v>17242.998018750004</v>
      </c>
      <c r="AV34" s="284">
        <f>'Revenue Assumptions'!BF106</f>
        <v>18352.095378750004</v>
      </c>
      <c r="AW34" s="284">
        <f>'Revenue Assumptions'!BG106</f>
        <v>19461.192738750007</v>
      </c>
      <c r="AX34" s="284">
        <f>'Revenue Assumptions'!BH106</f>
        <v>20570.290098750007</v>
      </c>
      <c r="AY34" s="284">
        <f>'Revenue Assumptions'!BI106</f>
        <v>21679.387458750007</v>
      </c>
      <c r="AZ34" s="284">
        <f>'Revenue Assumptions'!BJ106</f>
        <v>25168.885027650009</v>
      </c>
      <c r="BA34" s="284">
        <f>'Revenue Assumptions'!BK106</f>
        <v>27574.413223612512</v>
      </c>
      <c r="BB34" s="284">
        <f>'Revenue Assumptions'!BL106</f>
        <v>29979.941419575011</v>
      </c>
      <c r="BC34" s="284">
        <f>'Revenue Assumptions'!BM106</f>
        <v>32385.469615537513</v>
      </c>
      <c r="BD34" s="284">
        <f>'Revenue Assumptions'!BN106</f>
        <v>34790.997811500012</v>
      </c>
      <c r="BE34" s="284">
        <f>'Revenue Assumptions'!BO106</f>
        <v>37196.526007462511</v>
      </c>
      <c r="BF34" s="284">
        <f>'Revenue Assumptions'!BP106</f>
        <v>39602.054203425017</v>
      </c>
      <c r="BG34" s="284">
        <f>'Revenue Assumptions'!BQ106</f>
        <v>42007.582399387509</v>
      </c>
      <c r="BH34" s="284">
        <f>'Revenue Assumptions'!BR106</f>
        <v>44413.110595350016</v>
      </c>
      <c r="BI34" s="284">
        <f>'Revenue Assumptions'!BS106</f>
        <v>46818.638791312515</v>
      </c>
      <c r="BJ34" s="284">
        <f>'Revenue Assumptions'!BT106</f>
        <v>49224.166987275021</v>
      </c>
      <c r="BK34" s="284">
        <f>'Revenue Assumptions'!BU106</f>
        <v>51629.69518323752</v>
      </c>
      <c r="BL34" s="284">
        <f>'Revenue Assumptions'!BV106</f>
        <v>59385.067137860642</v>
      </c>
      <c r="BM34" s="284">
        <f>'Revenue Assumptions'!BW106</f>
        <v>64558.954333321897</v>
      </c>
      <c r="BN34" s="284">
        <f>'Revenue Assumptions'!BX106</f>
        <v>69732.841528783159</v>
      </c>
      <c r="BO34" s="284">
        <f>'Revenue Assumptions'!BY106</f>
        <v>74906.7287242444</v>
      </c>
      <c r="BP34" s="284">
        <f>'Revenue Assumptions'!BZ106</f>
        <v>80080.615919705655</v>
      </c>
      <c r="BQ34" s="284">
        <f>'Revenue Assumptions'!CA106</f>
        <v>85254.503115166895</v>
      </c>
      <c r="BR34" s="284">
        <f>'Revenue Assumptions'!CB106</f>
        <v>90428.39031062815</v>
      </c>
      <c r="BS34" s="284">
        <f>'Revenue Assumptions'!CC106</f>
        <v>95602.277506089406</v>
      </c>
      <c r="BT34" s="284">
        <f>'Revenue Assumptions'!CD106</f>
        <v>100776.16470155066</v>
      </c>
      <c r="BU34" s="284">
        <f>'Revenue Assumptions'!CE106</f>
        <v>105950.05189701192</v>
      </c>
      <c r="BV34" s="284">
        <f>'Revenue Assumptions'!CF106</f>
        <v>111123.93909247317</v>
      </c>
      <c r="BW34" s="284">
        <f>'Revenue Assumptions'!CG106</f>
        <v>116297.82628793441</v>
      </c>
    </row>
    <row r="35" spans="2:75">
      <c r="B35" s="230" t="s">
        <v>266</v>
      </c>
      <c r="C35" s="237"/>
      <c r="D35" s="238">
        <f>SUM(D30:D34)</f>
        <v>0</v>
      </c>
      <c r="E35" s="238">
        <f t="shared" ref="E35:BP35" si="21">SUM(E30:E34)</f>
        <v>0</v>
      </c>
      <c r="F35" s="238">
        <f t="shared" si="21"/>
        <v>0</v>
      </c>
      <c r="G35" s="238">
        <f t="shared" si="21"/>
        <v>0</v>
      </c>
      <c r="H35" s="238">
        <f t="shared" si="21"/>
        <v>0</v>
      </c>
      <c r="I35" s="238">
        <f t="shared" si="21"/>
        <v>14.162649336756525</v>
      </c>
      <c r="J35" s="238">
        <f t="shared" si="21"/>
        <v>28.32529867351305</v>
      </c>
      <c r="K35" s="238">
        <f t="shared" si="21"/>
        <v>42.487948010269577</v>
      </c>
      <c r="L35" s="238">
        <f t="shared" si="21"/>
        <v>56.6505973470261</v>
      </c>
      <c r="M35" s="238">
        <f t="shared" si="21"/>
        <v>70.813246683782637</v>
      </c>
      <c r="N35" s="238">
        <f t="shared" si="21"/>
        <v>84.975896020539153</v>
      </c>
      <c r="O35" s="238">
        <f t="shared" si="21"/>
        <v>99.138545357295683</v>
      </c>
      <c r="P35" s="238">
        <f t="shared" si="21"/>
        <v>643.88428333027696</v>
      </c>
      <c r="Q35" s="238">
        <f t="shared" si="21"/>
        <v>860.13445337428925</v>
      </c>
      <c r="R35" s="238">
        <f t="shared" si="21"/>
        <v>1076.384623418302</v>
      </c>
      <c r="S35" s="238">
        <f t="shared" si="21"/>
        <v>1292.6347934623141</v>
      </c>
      <c r="T35" s="238">
        <f t="shared" si="21"/>
        <v>1508.8849635063266</v>
      </c>
      <c r="U35" s="238">
        <f t="shared" si="21"/>
        <v>3190.8868335503394</v>
      </c>
      <c r="V35" s="238">
        <f t="shared" si="21"/>
        <v>3569.9983035943524</v>
      </c>
      <c r="W35" s="238">
        <f t="shared" si="21"/>
        <v>3949.1097736383645</v>
      </c>
      <c r="X35" s="238">
        <f t="shared" si="21"/>
        <v>4328.2212436823775</v>
      </c>
      <c r="Y35" s="238">
        <f t="shared" si="21"/>
        <v>4707.3327137263896</v>
      </c>
      <c r="Z35" s="238">
        <f t="shared" si="21"/>
        <v>5086.4441837704017</v>
      </c>
      <c r="AA35" s="238">
        <f t="shared" si="21"/>
        <v>5465.5556538144147</v>
      </c>
      <c r="AB35" s="238">
        <f t="shared" si="21"/>
        <v>12417.560895491128</v>
      </c>
      <c r="AC35" s="238">
        <f t="shared" si="21"/>
        <v>14907.633336704788</v>
      </c>
      <c r="AD35" s="238">
        <f t="shared" si="21"/>
        <v>17397.705777918451</v>
      </c>
      <c r="AE35" s="238">
        <f t="shared" si="21"/>
        <v>19887.778219132113</v>
      </c>
      <c r="AF35" s="238">
        <f t="shared" si="21"/>
        <v>22377.850660345772</v>
      </c>
      <c r="AG35" s="238">
        <f t="shared" si="21"/>
        <v>24867.923101559438</v>
      </c>
      <c r="AH35" s="238">
        <f t="shared" si="21"/>
        <v>27357.995542773093</v>
      </c>
      <c r="AI35" s="238">
        <f t="shared" si="21"/>
        <v>29848.067983986759</v>
      </c>
      <c r="AJ35" s="238">
        <f t="shared" si="21"/>
        <v>32338.140425200425</v>
      </c>
      <c r="AK35" s="238">
        <f t="shared" si="21"/>
        <v>34828.212866414084</v>
      </c>
      <c r="AL35" s="238">
        <f t="shared" si="21"/>
        <v>37318.285307627746</v>
      </c>
      <c r="AM35" s="238">
        <f t="shared" si="21"/>
        <v>39808.357748841408</v>
      </c>
      <c r="AN35" s="238">
        <f t="shared" si="21"/>
        <v>59507.342443135305</v>
      </c>
      <c r="AO35" s="238">
        <f t="shared" si="21"/>
        <v>68295.458482037633</v>
      </c>
      <c r="AP35" s="238">
        <f t="shared" si="21"/>
        <v>77083.574520939976</v>
      </c>
      <c r="AQ35" s="238">
        <f t="shared" si="21"/>
        <v>85871.690559842318</v>
      </c>
      <c r="AR35" s="238">
        <f t="shared" si="21"/>
        <v>94659.806598744646</v>
      </c>
      <c r="AS35" s="238">
        <f t="shared" si="21"/>
        <v>103447.92263764697</v>
      </c>
      <c r="AT35" s="238">
        <f t="shared" si="21"/>
        <v>112236.0386765493</v>
      </c>
      <c r="AU35" s="238">
        <f t="shared" si="21"/>
        <v>121024.15471545163</v>
      </c>
      <c r="AV35" s="238">
        <f t="shared" si="21"/>
        <v>129812.27075435399</v>
      </c>
      <c r="AW35" s="238">
        <f t="shared" si="21"/>
        <v>138600.38679325633</v>
      </c>
      <c r="AX35" s="238">
        <f t="shared" si="21"/>
        <v>147388.50283215867</v>
      </c>
      <c r="AY35" s="238">
        <f t="shared" si="21"/>
        <v>156176.61887106101</v>
      </c>
      <c r="AZ35" s="238">
        <f t="shared" si="21"/>
        <v>215887.51410678422</v>
      </c>
      <c r="BA35" s="238">
        <f t="shared" si="21"/>
        <v>241306.37330128305</v>
      </c>
      <c r="BB35" s="238">
        <f t="shared" si="21"/>
        <v>266725.23249578185</v>
      </c>
      <c r="BC35" s="238">
        <f t="shared" si="21"/>
        <v>292144.09169028071</v>
      </c>
      <c r="BD35" s="238">
        <f t="shared" si="21"/>
        <v>317562.95088477957</v>
      </c>
      <c r="BE35" s="238">
        <f t="shared" si="21"/>
        <v>342981.81007927842</v>
      </c>
      <c r="BF35" s="238">
        <f t="shared" si="21"/>
        <v>368400.66927377722</v>
      </c>
      <c r="BG35" s="238">
        <f t="shared" si="21"/>
        <v>393819.52846827614</v>
      </c>
      <c r="BH35" s="238">
        <f t="shared" si="21"/>
        <v>419238.387662775</v>
      </c>
      <c r="BI35" s="238">
        <f t="shared" si="21"/>
        <v>444657.2468572738</v>
      </c>
      <c r="BJ35" s="238">
        <f t="shared" si="21"/>
        <v>470076.10605177248</v>
      </c>
      <c r="BK35" s="238">
        <f t="shared" si="21"/>
        <v>495494.96524627146</v>
      </c>
      <c r="BL35" s="238">
        <f t="shared" si="21"/>
        <v>647464.64788193617</v>
      </c>
      <c r="BM35" s="238">
        <f t="shared" si="21"/>
        <v>709181.10174822819</v>
      </c>
      <c r="BN35" s="238">
        <f t="shared" si="21"/>
        <v>770897.55561452021</v>
      </c>
      <c r="BO35" s="238">
        <f t="shared" si="21"/>
        <v>832614.00948081224</v>
      </c>
      <c r="BP35" s="238">
        <f t="shared" si="21"/>
        <v>894330.46334710415</v>
      </c>
      <c r="BQ35" s="238">
        <f t="shared" ref="BQ35:BW35" si="22">SUM(BQ30:BQ34)</f>
        <v>956046.91721339617</v>
      </c>
      <c r="BR35" s="238">
        <f t="shared" si="22"/>
        <v>1017763.371079688</v>
      </c>
      <c r="BS35" s="238">
        <f t="shared" si="22"/>
        <v>1079479.82494598</v>
      </c>
      <c r="BT35" s="238">
        <f t="shared" si="22"/>
        <v>1141196.2788122722</v>
      </c>
      <c r="BU35" s="238">
        <f t="shared" si="22"/>
        <v>1202912.7326785643</v>
      </c>
      <c r="BV35" s="238">
        <f t="shared" si="22"/>
        <v>1264629.1865448561</v>
      </c>
      <c r="BW35" s="238">
        <f t="shared" si="22"/>
        <v>1326345.6404111478</v>
      </c>
    </row>
    <row r="36" spans="2:75">
      <c r="B36" s="230" t="s">
        <v>267</v>
      </c>
      <c r="C36" s="237"/>
      <c r="D36" s="238">
        <f t="shared" ref="D36:AI36" si="23">D28-D35</f>
        <v>0</v>
      </c>
      <c r="E36" s="238">
        <f t="shared" si="23"/>
        <v>0</v>
      </c>
      <c r="F36" s="238">
        <f t="shared" si="23"/>
        <v>0</v>
      </c>
      <c r="G36" s="238">
        <f t="shared" si="23"/>
        <v>0</v>
      </c>
      <c r="H36" s="238">
        <f t="shared" si="23"/>
        <v>0</v>
      </c>
      <c r="I36" s="238">
        <f t="shared" si="23"/>
        <v>159.32671737270005</v>
      </c>
      <c r="J36" s="238">
        <f t="shared" si="23"/>
        <v>318.65343474540009</v>
      </c>
      <c r="K36" s="238">
        <f t="shared" si="23"/>
        <v>477.98015211810019</v>
      </c>
      <c r="L36" s="238">
        <f t="shared" si="23"/>
        <v>637.30686949080018</v>
      </c>
      <c r="M36" s="238">
        <f t="shared" si="23"/>
        <v>796.63358686350034</v>
      </c>
      <c r="N36" s="238">
        <f t="shared" si="23"/>
        <v>955.96030423620039</v>
      </c>
      <c r="O36" s="238">
        <f t="shared" si="23"/>
        <v>1115.2870216089004</v>
      </c>
      <c r="P36" s="238">
        <f t="shared" si="23"/>
        <v>7355.0567582981848</v>
      </c>
      <c r="Q36" s="238">
        <f t="shared" si="23"/>
        <v>9829.5305888043295</v>
      </c>
      <c r="R36" s="238">
        <f t="shared" si="23"/>
        <v>12304.004419310471</v>
      </c>
      <c r="S36" s="238">
        <f t="shared" si="23"/>
        <v>14778.478249816613</v>
      </c>
      <c r="T36" s="238">
        <f t="shared" si="23"/>
        <v>17252.952080322753</v>
      </c>
      <c r="U36" s="238">
        <f t="shared" si="23"/>
        <v>21804.535910828901</v>
      </c>
      <c r="V36" s="238">
        <f t="shared" si="23"/>
        <v>24509.799741335046</v>
      </c>
      <c r="W36" s="238">
        <f t="shared" si="23"/>
        <v>27215.06357184119</v>
      </c>
      <c r="X36" s="238">
        <f t="shared" si="23"/>
        <v>29920.327402347335</v>
      </c>
      <c r="Y36" s="238">
        <f t="shared" si="23"/>
        <v>32625.591232853476</v>
      </c>
      <c r="Z36" s="238">
        <f t="shared" si="23"/>
        <v>35330.855063359624</v>
      </c>
      <c r="AA36" s="238">
        <f t="shared" si="23"/>
        <v>38036.118893865765</v>
      </c>
      <c r="AB36" s="238">
        <f t="shared" si="23"/>
        <v>111815.41998564794</v>
      </c>
      <c r="AC36" s="238">
        <f t="shared" si="23"/>
        <v>135493.40820960508</v>
      </c>
      <c r="AD36" s="238">
        <f t="shared" si="23"/>
        <v>159171.39643356216</v>
      </c>
      <c r="AE36" s="238">
        <f t="shared" si="23"/>
        <v>182849.38465751929</v>
      </c>
      <c r="AF36" s="238">
        <f t="shared" si="23"/>
        <v>206527.37288147639</v>
      </c>
      <c r="AG36" s="238">
        <f t="shared" si="23"/>
        <v>230205.36110543352</v>
      </c>
      <c r="AH36" s="238">
        <f t="shared" si="23"/>
        <v>253883.34932939056</v>
      </c>
      <c r="AI36" s="238">
        <f t="shared" si="23"/>
        <v>277561.33755334775</v>
      </c>
      <c r="AJ36" s="238">
        <f t="shared" ref="AJ36:BO36" si="24">AJ28-AJ35</f>
        <v>301239.32577730482</v>
      </c>
      <c r="AK36" s="238">
        <f t="shared" si="24"/>
        <v>324917.31400126196</v>
      </c>
      <c r="AL36" s="238">
        <f t="shared" si="24"/>
        <v>348595.30222521909</v>
      </c>
      <c r="AM36" s="238">
        <f t="shared" si="24"/>
        <v>372273.29044917622</v>
      </c>
      <c r="AN36" s="238">
        <f t="shared" si="24"/>
        <v>582739.20811043098</v>
      </c>
      <c r="AO36" s="238">
        <f t="shared" si="24"/>
        <v>671915.71491780784</v>
      </c>
      <c r="AP36" s="238">
        <f t="shared" si="24"/>
        <v>761092.2217251847</v>
      </c>
      <c r="AQ36" s="238">
        <f t="shared" si="24"/>
        <v>850268.72853256157</v>
      </c>
      <c r="AR36" s="238">
        <f t="shared" si="24"/>
        <v>939445.23533993843</v>
      </c>
      <c r="AS36" s="238">
        <f t="shared" si="24"/>
        <v>1028621.7421473153</v>
      </c>
      <c r="AT36" s="238">
        <f t="shared" si="24"/>
        <v>1117798.2489546922</v>
      </c>
      <c r="AU36" s="238">
        <f t="shared" si="24"/>
        <v>1206974.7557620688</v>
      </c>
      <c r="AV36" s="238">
        <f t="shared" si="24"/>
        <v>1296151.2625694457</v>
      </c>
      <c r="AW36" s="238">
        <f t="shared" si="24"/>
        <v>1385327.7693768225</v>
      </c>
      <c r="AX36" s="238">
        <f t="shared" si="24"/>
        <v>1474504.2761841998</v>
      </c>
      <c r="AY36" s="238">
        <f t="shared" si="24"/>
        <v>1563680.7829915765</v>
      </c>
      <c r="AZ36" s="238">
        <f t="shared" si="24"/>
        <v>2212156.4036150435</v>
      </c>
      <c r="BA36" s="238">
        <f t="shared" si="24"/>
        <v>2478615.3381844615</v>
      </c>
      <c r="BB36" s="238">
        <f t="shared" si="24"/>
        <v>2745074.272753879</v>
      </c>
      <c r="BC36" s="238">
        <f t="shared" si="24"/>
        <v>3011533.2073232969</v>
      </c>
      <c r="BD36" s="238">
        <f t="shared" si="24"/>
        <v>3277992.1418927149</v>
      </c>
      <c r="BE36" s="238">
        <f t="shared" si="24"/>
        <v>3544451.0764621333</v>
      </c>
      <c r="BF36" s="238">
        <f t="shared" si="24"/>
        <v>3810910.0110315508</v>
      </c>
      <c r="BG36" s="238">
        <f t="shared" si="24"/>
        <v>4077368.9456009679</v>
      </c>
      <c r="BH36" s="238">
        <f t="shared" si="24"/>
        <v>4343827.8801703872</v>
      </c>
      <c r="BI36" s="238">
        <f t="shared" si="24"/>
        <v>4610286.8147398056</v>
      </c>
      <c r="BJ36" s="238">
        <f t="shared" si="24"/>
        <v>4876745.7493092213</v>
      </c>
      <c r="BK36" s="238">
        <f t="shared" si="24"/>
        <v>5143204.6838786406</v>
      </c>
      <c r="BL36" s="238">
        <f t="shared" si="24"/>
        <v>6807068.0424799304</v>
      </c>
      <c r="BM36" s="238">
        <f t="shared" si="24"/>
        <v>7461154.3501186101</v>
      </c>
      <c r="BN36" s="238">
        <f t="shared" si="24"/>
        <v>8115240.6577572897</v>
      </c>
      <c r="BO36" s="238">
        <f t="shared" si="24"/>
        <v>8769326.9653959684</v>
      </c>
      <c r="BP36" s="238">
        <f t="shared" ref="BP36:BW36" si="25">BP28-BP35</f>
        <v>9423413.2730346471</v>
      </c>
      <c r="BQ36" s="238">
        <f t="shared" si="25"/>
        <v>10077499.580673322</v>
      </c>
      <c r="BR36" s="238">
        <f t="shared" si="25"/>
        <v>10731585.888312001</v>
      </c>
      <c r="BS36" s="238">
        <f t="shared" si="25"/>
        <v>11385672.195950681</v>
      </c>
      <c r="BT36" s="238">
        <f t="shared" si="25"/>
        <v>12039758.50358936</v>
      </c>
      <c r="BU36" s="238">
        <f t="shared" si="25"/>
        <v>12693844.811228041</v>
      </c>
      <c r="BV36" s="238">
        <f t="shared" si="25"/>
        <v>13347931.118866716</v>
      </c>
      <c r="BW36" s="238">
        <f t="shared" si="25"/>
        <v>14002017.426505396</v>
      </c>
    </row>
    <row r="37" spans="2:75" outlineLevel="1">
      <c r="B37" s="227" t="s">
        <v>268</v>
      </c>
      <c r="D37" s="234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234"/>
      <c r="AE37" s="234"/>
      <c r="AF37" s="234"/>
      <c r="AG37" s="234"/>
      <c r="AH37" s="234"/>
      <c r="AI37" s="234"/>
      <c r="AJ37" s="234"/>
      <c r="AK37" s="234"/>
      <c r="AL37" s="234"/>
      <c r="AM37" s="234"/>
      <c r="AN37" s="234"/>
      <c r="AO37" s="234"/>
      <c r="AP37" s="234"/>
      <c r="AQ37" s="234"/>
      <c r="AR37" s="234"/>
      <c r="AS37" s="234"/>
      <c r="AT37" s="234"/>
      <c r="AU37" s="234"/>
      <c r="AV37" s="234"/>
      <c r="AW37" s="234"/>
      <c r="AX37" s="234"/>
      <c r="AY37" s="234"/>
      <c r="AZ37" s="234"/>
      <c r="BA37" s="234"/>
      <c r="BB37" s="234"/>
      <c r="BC37" s="234"/>
      <c r="BD37" s="234"/>
      <c r="BE37" s="234"/>
      <c r="BF37" s="234"/>
      <c r="BG37" s="234"/>
      <c r="BH37" s="234"/>
      <c r="BI37" s="234"/>
      <c r="BJ37" s="234"/>
      <c r="BK37" s="234"/>
      <c r="BL37" s="234"/>
      <c r="BM37" s="234"/>
      <c r="BN37" s="234"/>
      <c r="BO37" s="234"/>
      <c r="BP37" s="234"/>
      <c r="BQ37" s="234"/>
      <c r="BR37" s="234"/>
      <c r="BS37" s="234"/>
      <c r="BT37" s="234"/>
      <c r="BU37" s="234"/>
      <c r="BV37" s="234"/>
      <c r="BW37" s="234"/>
    </row>
    <row r="38" spans="2:75" outlineLevel="1">
      <c r="B38" s="239" t="str">
        <f>Model!E52</f>
        <v>Salaries</v>
      </c>
      <c r="D38" s="288">
        <f>SUM(Model!M53:M59)</f>
        <v>0</v>
      </c>
      <c r="E38" s="288">
        <f>SUM(Model!N53:N59)</f>
        <v>0</v>
      </c>
      <c r="F38" s="288">
        <f>SUM(Model!O53:O59)</f>
        <v>0</v>
      </c>
      <c r="G38" s="288">
        <f>SUM(Model!P53:P59)</f>
        <v>0</v>
      </c>
      <c r="H38" s="288">
        <f>SUM(Model!Q53:Q59)</f>
        <v>0</v>
      </c>
      <c r="I38" s="288">
        <f>SUM(Model!R53:R59)</f>
        <v>20500</v>
      </c>
      <c r="J38" s="288">
        <f>SUM(Model!S53:S59)</f>
        <v>20500</v>
      </c>
      <c r="K38" s="288">
        <f>SUM(Model!T53:T59)</f>
        <v>20500</v>
      </c>
      <c r="L38" s="288">
        <f>SUM(Model!U53:U59)</f>
        <v>20500</v>
      </c>
      <c r="M38" s="288">
        <f>SUM(Model!V53:V59)</f>
        <v>20500</v>
      </c>
      <c r="N38" s="288">
        <f>SUM(Model!W53:W59)</f>
        <v>20500</v>
      </c>
      <c r="O38" s="288">
        <f>SUM(Model!X53:X59)</f>
        <v>20500</v>
      </c>
      <c r="P38" s="288">
        <f>SUM(Model!Y53:Y59)</f>
        <v>123753</v>
      </c>
      <c r="Q38" s="288">
        <f>SUM(Model!Z53:Z59)</f>
        <v>123753</v>
      </c>
      <c r="R38" s="288">
        <f>SUM(Model!AA53:AA59)</f>
        <v>123753</v>
      </c>
      <c r="S38" s="288">
        <f>SUM(Model!AB53:AB59)</f>
        <v>123753</v>
      </c>
      <c r="T38" s="288">
        <f>SUM(Model!AC53:AC59)</f>
        <v>123753</v>
      </c>
      <c r="U38" s="288">
        <f>SUM(Model!AD53:AD59)</f>
        <v>123753</v>
      </c>
      <c r="V38" s="288">
        <f>SUM(Model!AE53:AE59)</f>
        <v>123753</v>
      </c>
      <c r="W38" s="288">
        <f>SUM(Model!AF53:AF59)</f>
        <v>123753</v>
      </c>
      <c r="X38" s="288">
        <f>SUM(Model!AG53:AG59)</f>
        <v>123753</v>
      </c>
      <c r="Y38" s="288">
        <f>SUM(Model!AH53:AH59)</f>
        <v>123753</v>
      </c>
      <c r="Z38" s="288">
        <f>SUM(Model!AI53:AI59)</f>
        <v>123753</v>
      </c>
      <c r="AA38" s="288">
        <f>SUM(Model!AJ53:AJ59)</f>
        <v>123753</v>
      </c>
      <c r="AB38" s="288">
        <f>SUM(Model!AK53:AK59)</f>
        <v>155421</v>
      </c>
      <c r="AC38" s="288">
        <f>SUM(Model!AL53:AL59)</f>
        <v>155421</v>
      </c>
      <c r="AD38" s="288">
        <f>SUM(Model!AM53:AM59)</f>
        <v>155421</v>
      </c>
      <c r="AE38" s="288">
        <f>SUM(Model!AN53:AN59)</f>
        <v>155421</v>
      </c>
      <c r="AF38" s="288">
        <f>SUM(Model!AO53:AO59)</f>
        <v>155421</v>
      </c>
      <c r="AG38" s="288">
        <f>SUM(Model!AP53:AP59)</f>
        <v>155421</v>
      </c>
      <c r="AH38" s="288">
        <f>SUM(Model!AQ53:AQ59)</f>
        <v>155421</v>
      </c>
      <c r="AI38" s="288">
        <f>SUM(Model!AR53:AR59)</f>
        <v>155421</v>
      </c>
      <c r="AJ38" s="288">
        <f>SUM(Model!AS53:AS59)</f>
        <v>155421</v>
      </c>
      <c r="AK38" s="288">
        <f>SUM(Model!AT53:AT59)</f>
        <v>155421</v>
      </c>
      <c r="AL38" s="288">
        <f>SUM(Model!AU53:AU59)</f>
        <v>155421</v>
      </c>
      <c r="AM38" s="288">
        <f>SUM(Model!AV53:AV59)</f>
        <v>155421</v>
      </c>
      <c r="AN38" s="288">
        <f>SUM(Model!AW53:AW59)</f>
        <v>187089</v>
      </c>
      <c r="AO38" s="288">
        <f>SUM(Model!AX53:AX59)</f>
        <v>187089</v>
      </c>
      <c r="AP38" s="288">
        <f>SUM(Model!AY53:AY59)</f>
        <v>187089</v>
      </c>
      <c r="AQ38" s="288">
        <f>SUM(Model!AZ53:AZ59)</f>
        <v>187089</v>
      </c>
      <c r="AR38" s="288">
        <f>SUM(Model!BA53:BA59)</f>
        <v>187089</v>
      </c>
      <c r="AS38" s="288">
        <f>SUM(Model!BB53:BB59)</f>
        <v>187089</v>
      </c>
      <c r="AT38" s="288">
        <f>SUM(Model!BC53:BC59)</f>
        <v>187089</v>
      </c>
      <c r="AU38" s="288">
        <f>SUM(Model!BD53:BD59)</f>
        <v>187089</v>
      </c>
      <c r="AV38" s="288">
        <f>SUM(Model!BE53:BE59)</f>
        <v>187089</v>
      </c>
      <c r="AW38" s="288">
        <f>SUM(Model!BF53:BF59)</f>
        <v>187089</v>
      </c>
      <c r="AX38" s="288">
        <f>SUM(Model!BG53:BG59)</f>
        <v>187089</v>
      </c>
      <c r="AY38" s="288">
        <f>SUM(Model!BH53:BH59)</f>
        <v>187089</v>
      </c>
      <c r="AZ38" s="288">
        <f>SUM(Model!BI53:BI59)</f>
        <v>218757</v>
      </c>
      <c r="BA38" s="288">
        <f>SUM(Model!BJ53:BJ59)</f>
        <v>218757</v>
      </c>
      <c r="BB38" s="288">
        <f>SUM(Model!BK53:BK59)</f>
        <v>218757</v>
      </c>
      <c r="BC38" s="288">
        <f>SUM(Model!BL53:BL59)</f>
        <v>218757</v>
      </c>
      <c r="BD38" s="288">
        <f>SUM(Model!BM53:BM59)</f>
        <v>218757</v>
      </c>
      <c r="BE38" s="288">
        <f>SUM(Model!BN53:BN59)</f>
        <v>218757</v>
      </c>
      <c r="BF38" s="288">
        <f>SUM(Model!BO53:BO59)</f>
        <v>218757</v>
      </c>
      <c r="BG38" s="288">
        <f>SUM(Model!BP53:BP59)</f>
        <v>218757</v>
      </c>
      <c r="BH38" s="288">
        <f>SUM(Model!BQ53:BQ59)</f>
        <v>218757</v>
      </c>
      <c r="BI38" s="288">
        <f>SUM(Model!BR53:BR59)</f>
        <v>218757</v>
      </c>
      <c r="BJ38" s="288">
        <f>SUM(Model!BS53:BS59)</f>
        <v>218757</v>
      </c>
      <c r="BK38" s="288">
        <f>SUM(Model!BT53:BT59)</f>
        <v>218757</v>
      </c>
      <c r="BL38" s="288">
        <f>SUM(Model!BU53:BU59)</f>
        <v>250425</v>
      </c>
      <c r="BM38" s="288">
        <f>SUM(Model!BV53:BV59)</f>
        <v>250425</v>
      </c>
      <c r="BN38" s="288">
        <f>SUM(Model!BW53:BW59)</f>
        <v>250425</v>
      </c>
      <c r="BO38" s="288">
        <f>SUM(Model!BX53:BX59)</f>
        <v>250425</v>
      </c>
      <c r="BP38" s="288">
        <f>SUM(Model!BY53:BY59)</f>
        <v>250425</v>
      </c>
      <c r="BQ38" s="288">
        <f>SUM(Model!BZ53:BZ59)</f>
        <v>250425</v>
      </c>
      <c r="BR38" s="288">
        <f>SUM(Model!CA53:CA59)</f>
        <v>250425</v>
      </c>
      <c r="BS38" s="288">
        <f>SUM(Model!CB53:CB59)</f>
        <v>250425</v>
      </c>
      <c r="BT38" s="288">
        <f>SUM(Model!CC53:CC59)</f>
        <v>250425</v>
      </c>
      <c r="BU38" s="288">
        <f>SUM(Model!CD53:CD59)</f>
        <v>250425</v>
      </c>
      <c r="BV38" s="288">
        <f>SUM(Model!CE53:CE59)</f>
        <v>250425</v>
      </c>
      <c r="BW38" s="288">
        <f>SUM(Model!CF53:CF59)</f>
        <v>250425</v>
      </c>
    </row>
    <row r="39" spans="2:75" outlineLevel="1">
      <c r="B39" s="239" t="str">
        <f>Model!E60</f>
        <v>Accounting &amp; Legal</v>
      </c>
      <c r="D39" s="288">
        <f>Model!M60</f>
        <v>0</v>
      </c>
      <c r="E39" s="288">
        <f>Model!N60</f>
        <v>0</v>
      </c>
      <c r="F39" s="288">
        <f>Model!O60</f>
        <v>0</v>
      </c>
      <c r="G39" s="288">
        <f>Model!P60</f>
        <v>0</v>
      </c>
      <c r="H39" s="288">
        <f>Model!Q60</f>
        <v>0</v>
      </c>
      <c r="I39" s="288">
        <f>Model!R60</f>
        <v>2600</v>
      </c>
      <c r="J39" s="288">
        <f>Model!S60</f>
        <v>2600</v>
      </c>
      <c r="K39" s="288">
        <f>Model!T60</f>
        <v>2600</v>
      </c>
      <c r="L39" s="288">
        <f>Model!U60</f>
        <v>2600</v>
      </c>
      <c r="M39" s="288">
        <f>Model!V60</f>
        <v>2600</v>
      </c>
      <c r="N39" s="288">
        <f>Model!W60</f>
        <v>2600</v>
      </c>
      <c r="O39" s="288">
        <f>Model!X60</f>
        <v>2600</v>
      </c>
      <c r="P39" s="288">
        <f>Model!Y60</f>
        <v>319.95764166513845</v>
      </c>
      <c r="Q39" s="288">
        <f>Model!Z60</f>
        <v>427.58660168714471</v>
      </c>
      <c r="R39" s="288">
        <f>Model!AA60</f>
        <v>535.21556170915096</v>
      </c>
      <c r="S39" s="288">
        <f>Model!AB60</f>
        <v>642.8445217311571</v>
      </c>
      <c r="T39" s="288">
        <f>Model!AC60</f>
        <v>750.47348175316324</v>
      </c>
      <c r="U39" s="288">
        <f>Model!AD60</f>
        <v>911.02244177516957</v>
      </c>
      <c r="V39" s="288">
        <f>Model!AE60</f>
        <v>1024.5314017971759</v>
      </c>
      <c r="W39" s="288">
        <f>Model!AF60</f>
        <v>1138.0403618191822</v>
      </c>
      <c r="X39" s="288">
        <f>Model!AG60</f>
        <v>1251.5493218411884</v>
      </c>
      <c r="Y39" s="288">
        <f>Model!AH60</f>
        <v>1365.0582818631947</v>
      </c>
      <c r="Z39" s="288">
        <f>Model!AI60</f>
        <v>1478.5672418852012</v>
      </c>
      <c r="AA39" s="288">
        <f>Model!AJ60</f>
        <v>1592.0762019072072</v>
      </c>
      <c r="AB39" s="288">
        <f>Model!AK60</f>
        <v>4784.3307602455634</v>
      </c>
      <c r="AC39" s="288">
        <f>Model!AL60</f>
        <v>5801.4550308523949</v>
      </c>
      <c r="AD39" s="288">
        <f>Model!AM60</f>
        <v>6818.5793014592246</v>
      </c>
      <c r="AE39" s="288">
        <f>Model!AN60</f>
        <v>7835.703572066056</v>
      </c>
      <c r="AF39" s="288">
        <f>Model!AO60</f>
        <v>8852.8278426728866</v>
      </c>
      <c r="AG39" s="288">
        <f>Model!AP60</f>
        <v>9869.9521132797181</v>
      </c>
      <c r="AH39" s="288">
        <f>Model!AQ60</f>
        <v>10887.076383886548</v>
      </c>
      <c r="AI39" s="288">
        <f>Model!AR60</f>
        <v>11904.200654493379</v>
      </c>
      <c r="AJ39" s="288">
        <f>Model!AS60</f>
        <v>12921.324925100211</v>
      </c>
      <c r="AK39" s="288">
        <f>Model!AT60</f>
        <v>13938.449195707042</v>
      </c>
      <c r="AL39" s="288">
        <f>Model!AU60</f>
        <v>14955.573466313872</v>
      </c>
      <c r="AM39" s="288">
        <f>Model!AV60</f>
        <v>15972.697736920705</v>
      </c>
      <c r="AN39" s="288">
        <f>Model!AW60</f>
        <v>25082.729847192652</v>
      </c>
      <c r="AO39" s="288">
        <f>Model!AX60</f>
        <v>28930.27918664382</v>
      </c>
      <c r="AP39" s="288">
        <f>Model!AY60</f>
        <v>32777.828526094985</v>
      </c>
      <c r="AQ39" s="288">
        <f>Model!AZ60</f>
        <v>36625.377865546157</v>
      </c>
      <c r="AR39" s="288">
        <f>Model!BA60</f>
        <v>40472.927204997322</v>
      </c>
      <c r="AS39" s="288">
        <f>Model!BB60</f>
        <v>44320.476544448495</v>
      </c>
      <c r="AT39" s="288">
        <f>Model!BC60</f>
        <v>48168.02588389966</v>
      </c>
      <c r="AU39" s="288">
        <f>Model!BD60</f>
        <v>52015.575223350817</v>
      </c>
      <c r="AV39" s="288">
        <f>Model!BE60</f>
        <v>55863.12456280199</v>
      </c>
      <c r="AW39" s="288">
        <f>Model!BF60</f>
        <v>59710.673902253155</v>
      </c>
      <c r="AX39" s="288">
        <f>Model!BG60</f>
        <v>63558.223241704341</v>
      </c>
      <c r="AY39" s="288">
        <f>Model!BH60</f>
        <v>67405.772581155499</v>
      </c>
      <c r="AZ39" s="288">
        <f>Model!BI60</f>
        <v>191019.47507913422</v>
      </c>
      <c r="BA39" s="288">
        <f>Model!BJ60</f>
        <v>214061.55957767056</v>
      </c>
      <c r="BB39" s="288">
        <f>Model!BK60</f>
        <v>237103.64407620687</v>
      </c>
      <c r="BC39" s="288">
        <f>Model!BL60</f>
        <v>260145.7285747432</v>
      </c>
      <c r="BD39" s="288">
        <f>Model!BM60</f>
        <v>283187.81307327957</v>
      </c>
      <c r="BE39" s="288">
        <f>Model!BN60</f>
        <v>306229.89757181593</v>
      </c>
      <c r="BF39" s="288">
        <f>Model!BO60</f>
        <v>329271.98207035224</v>
      </c>
      <c r="BG39" s="288">
        <f>Model!BP60</f>
        <v>352314.06656888861</v>
      </c>
      <c r="BH39" s="288">
        <f>Model!BQ60</f>
        <v>375356.15106742497</v>
      </c>
      <c r="BI39" s="288">
        <f>Model!BR60</f>
        <v>398398.23556596134</v>
      </c>
      <c r="BJ39" s="288">
        <f>Model!BS60</f>
        <v>421440.32006449753</v>
      </c>
      <c r="BK39" s="288">
        <f>Model!BT60</f>
        <v>444482.40456303395</v>
      </c>
      <c r="BL39" s="288">
        <f>Model!BU60</f>
        <v>588755.61424407549</v>
      </c>
      <c r="BM39" s="288">
        <f>Model!BV60</f>
        <v>645357.0799149063</v>
      </c>
      <c r="BN39" s="288">
        <f>Model!BW60</f>
        <v>701958.5455857371</v>
      </c>
      <c r="BO39" s="288">
        <f>Model!BX60</f>
        <v>758560.0112565679</v>
      </c>
      <c r="BP39" s="288">
        <f>Model!BY60</f>
        <v>815161.47692739859</v>
      </c>
      <c r="BQ39" s="288">
        <f>Model!BZ60</f>
        <v>871762.94259822927</v>
      </c>
      <c r="BR39" s="288">
        <f>Model!CA60</f>
        <v>928364.40826905996</v>
      </c>
      <c r="BS39" s="288">
        <f>Model!CB60</f>
        <v>984965.87393989088</v>
      </c>
      <c r="BT39" s="288">
        <f>Model!CC60</f>
        <v>1041567.3396107217</v>
      </c>
      <c r="BU39" s="288">
        <f>Model!CD60</f>
        <v>1098168.8052815525</v>
      </c>
      <c r="BV39" s="288">
        <f>Model!CE60</f>
        <v>1154770.2709523828</v>
      </c>
      <c r="BW39" s="288">
        <f>Model!CF60</f>
        <v>1211371.7366232139</v>
      </c>
    </row>
    <row r="40" spans="2:75" outlineLevel="1">
      <c r="B40" s="239" t="str">
        <f>Model!E61</f>
        <v>Administrative</v>
      </c>
      <c r="D40" s="288">
        <f>Model!M61</f>
        <v>0</v>
      </c>
      <c r="E40" s="288">
        <f>Model!N61</f>
        <v>0</v>
      </c>
      <c r="F40" s="288">
        <f>Model!O61</f>
        <v>0</v>
      </c>
      <c r="G40" s="288">
        <f>Model!P61</f>
        <v>0</v>
      </c>
      <c r="H40" s="288">
        <f>Model!Q61</f>
        <v>0</v>
      </c>
      <c r="I40" s="288">
        <f>Model!R61</f>
        <v>1000</v>
      </c>
      <c r="J40" s="288">
        <f>Model!S61</f>
        <v>1000</v>
      </c>
      <c r="K40" s="288">
        <f>Model!T61</f>
        <v>1000</v>
      </c>
      <c r="L40" s="288">
        <f>Model!U61</f>
        <v>1000</v>
      </c>
      <c r="M40" s="288">
        <f>Model!V61</f>
        <v>1000</v>
      </c>
      <c r="N40" s="288">
        <f>Model!W61</f>
        <v>1000</v>
      </c>
      <c r="O40" s="288">
        <f>Model!X61</f>
        <v>1000</v>
      </c>
      <c r="P40" s="288">
        <f>Model!Y61</f>
        <v>319.95764166513845</v>
      </c>
      <c r="Q40" s="288">
        <f>Model!Z61</f>
        <v>427.58660168714471</v>
      </c>
      <c r="R40" s="288">
        <f>Model!AA61</f>
        <v>535.21556170915096</v>
      </c>
      <c r="S40" s="288">
        <f>Model!AB61</f>
        <v>642.8445217311571</v>
      </c>
      <c r="T40" s="288">
        <f>Model!AC61</f>
        <v>750.47348175316324</v>
      </c>
      <c r="U40" s="288">
        <f>Model!AD61</f>
        <v>911.02244177516957</v>
      </c>
      <c r="V40" s="288">
        <f>Model!AE61</f>
        <v>1024.5314017971759</v>
      </c>
      <c r="W40" s="288">
        <f>Model!AF61</f>
        <v>1138.0403618191822</v>
      </c>
      <c r="X40" s="288">
        <f>Model!AG61</f>
        <v>1251.5493218411884</v>
      </c>
      <c r="Y40" s="288">
        <f>Model!AH61</f>
        <v>1365.0582818631947</v>
      </c>
      <c r="Z40" s="288">
        <f>Model!AI61</f>
        <v>1478.5672418852012</v>
      </c>
      <c r="AA40" s="288">
        <f>Model!AJ61</f>
        <v>1592.0762019072072</v>
      </c>
      <c r="AB40" s="288">
        <f>Model!AK61</f>
        <v>4784.3307602455634</v>
      </c>
      <c r="AC40" s="288">
        <f>Model!AL61</f>
        <v>5801.4550308523949</v>
      </c>
      <c r="AD40" s="288">
        <f>Model!AM61</f>
        <v>6818.5793014592246</v>
      </c>
      <c r="AE40" s="288">
        <f>Model!AN61</f>
        <v>7835.703572066056</v>
      </c>
      <c r="AF40" s="288">
        <f>Model!AO61</f>
        <v>8852.8278426728866</v>
      </c>
      <c r="AG40" s="288">
        <f>Model!AP61</f>
        <v>9869.9521132797181</v>
      </c>
      <c r="AH40" s="288">
        <f>Model!AQ61</f>
        <v>10887.076383886548</v>
      </c>
      <c r="AI40" s="288">
        <f>Model!AR61</f>
        <v>11904.200654493379</v>
      </c>
      <c r="AJ40" s="288">
        <f>Model!AS61</f>
        <v>12921.324925100211</v>
      </c>
      <c r="AK40" s="288">
        <f>Model!AT61</f>
        <v>13938.449195707042</v>
      </c>
      <c r="AL40" s="288">
        <f>Model!AU61</f>
        <v>14955.573466313872</v>
      </c>
      <c r="AM40" s="288">
        <f>Model!AV61</f>
        <v>15972.697736920705</v>
      </c>
      <c r="AN40" s="288">
        <f>Model!AW61</f>
        <v>25082.729847192652</v>
      </c>
      <c r="AO40" s="288">
        <f>Model!AX61</f>
        <v>28930.27918664382</v>
      </c>
      <c r="AP40" s="288">
        <f>Model!AY61</f>
        <v>32777.828526094985</v>
      </c>
      <c r="AQ40" s="288">
        <f>Model!AZ61</f>
        <v>36625.377865546157</v>
      </c>
      <c r="AR40" s="288">
        <f>Model!BA61</f>
        <v>40472.927204997322</v>
      </c>
      <c r="AS40" s="288">
        <f>Model!BB61</f>
        <v>44320.476544448495</v>
      </c>
      <c r="AT40" s="288">
        <f>Model!BC61</f>
        <v>48168.02588389966</v>
      </c>
      <c r="AU40" s="288">
        <f>Model!BD61</f>
        <v>52015.575223350817</v>
      </c>
      <c r="AV40" s="288">
        <f>Model!BE61</f>
        <v>55863.12456280199</v>
      </c>
      <c r="AW40" s="288">
        <f>Model!BF61</f>
        <v>59710.673902253155</v>
      </c>
      <c r="AX40" s="288">
        <f>Model!BG61</f>
        <v>63558.223241704341</v>
      </c>
      <c r="AY40" s="288">
        <f>Model!BH61</f>
        <v>67405.772581155499</v>
      </c>
      <c r="AZ40" s="288">
        <f>Model!BI61</f>
        <v>191019.47507913422</v>
      </c>
      <c r="BA40" s="288">
        <f>Model!BJ61</f>
        <v>214061.55957767056</v>
      </c>
      <c r="BB40" s="288">
        <f>Model!BK61</f>
        <v>237103.64407620687</v>
      </c>
      <c r="BC40" s="288">
        <f>Model!BL61</f>
        <v>260145.7285747432</v>
      </c>
      <c r="BD40" s="288">
        <f>Model!BM61</f>
        <v>283187.81307327957</v>
      </c>
      <c r="BE40" s="288">
        <f>Model!BN61</f>
        <v>306229.89757181593</v>
      </c>
      <c r="BF40" s="288">
        <f>Model!BO61</f>
        <v>329271.98207035224</v>
      </c>
      <c r="BG40" s="288">
        <f>Model!BP61</f>
        <v>352314.06656888861</v>
      </c>
      <c r="BH40" s="288">
        <f>Model!BQ61</f>
        <v>375356.15106742497</v>
      </c>
      <c r="BI40" s="288">
        <f>Model!BR61</f>
        <v>398398.23556596134</v>
      </c>
      <c r="BJ40" s="288">
        <f>Model!BS61</f>
        <v>421440.32006449753</v>
      </c>
      <c r="BK40" s="288">
        <f>Model!BT61</f>
        <v>444482.40456303395</v>
      </c>
      <c r="BL40" s="288">
        <f>Model!BU61</f>
        <v>588755.61424407549</v>
      </c>
      <c r="BM40" s="288">
        <f>Model!BV61</f>
        <v>645357.0799149063</v>
      </c>
      <c r="BN40" s="288">
        <f>Model!BW61</f>
        <v>701958.5455857371</v>
      </c>
      <c r="BO40" s="288">
        <f>Model!BX61</f>
        <v>758560.0112565679</v>
      </c>
      <c r="BP40" s="288">
        <f>Model!BY61</f>
        <v>815161.47692739859</v>
      </c>
      <c r="BQ40" s="288">
        <f>Model!BZ61</f>
        <v>871762.94259822927</v>
      </c>
      <c r="BR40" s="288">
        <f>Model!CA61</f>
        <v>928364.40826905996</v>
      </c>
      <c r="BS40" s="288">
        <f>Model!CB61</f>
        <v>984965.87393989088</v>
      </c>
      <c r="BT40" s="288">
        <f>Model!CC61</f>
        <v>1041567.3396107217</v>
      </c>
      <c r="BU40" s="288">
        <f>Model!CD61</f>
        <v>1098168.8052815525</v>
      </c>
      <c r="BV40" s="288">
        <f>Model!CE61</f>
        <v>1154770.2709523828</v>
      </c>
      <c r="BW40" s="288">
        <f>Model!CF61</f>
        <v>1211371.7366232139</v>
      </c>
    </row>
    <row r="41" spans="2:75" outlineLevel="1">
      <c r="B41" s="239" t="str">
        <f>Model!E62</f>
        <v>Advertising &amp; Marketing</v>
      </c>
      <c r="D41" s="288">
        <f>Model!M62</f>
        <v>0</v>
      </c>
      <c r="E41" s="288">
        <f>Model!N62</f>
        <v>0</v>
      </c>
      <c r="F41" s="288">
        <f>Model!O62</f>
        <v>0</v>
      </c>
      <c r="G41" s="288">
        <f>Model!P62</f>
        <v>0</v>
      </c>
      <c r="H41" s="288">
        <f>Model!Q62</f>
        <v>0</v>
      </c>
      <c r="I41" s="288">
        <f>Model!R62</f>
        <v>15000</v>
      </c>
      <c r="J41" s="288">
        <f>Model!S62</f>
        <v>15000</v>
      </c>
      <c r="K41" s="288">
        <f>Model!T62</f>
        <v>15000</v>
      </c>
      <c r="L41" s="288">
        <f>Model!U62</f>
        <v>15000</v>
      </c>
      <c r="M41" s="288">
        <f>Model!V62</f>
        <v>15000</v>
      </c>
      <c r="N41" s="288">
        <f>Model!W62</f>
        <v>15000</v>
      </c>
      <c r="O41" s="288">
        <f>Model!X62</f>
        <v>15000</v>
      </c>
      <c r="P41" s="288">
        <f>Model!Y62</f>
        <v>30000</v>
      </c>
      <c r="Q41" s="288">
        <f>Model!Z62</f>
        <v>30000</v>
      </c>
      <c r="R41" s="288">
        <f>Model!AA62</f>
        <v>30000</v>
      </c>
      <c r="S41" s="288">
        <f>Model!AB62</f>
        <v>30000</v>
      </c>
      <c r="T41" s="288">
        <f>Model!AC62</f>
        <v>30000</v>
      </c>
      <c r="U41" s="288">
        <f>Model!AD62</f>
        <v>30000</v>
      </c>
      <c r="V41" s="288">
        <f>Model!AE62</f>
        <v>30000</v>
      </c>
      <c r="W41" s="288">
        <f>Model!AF62</f>
        <v>30000</v>
      </c>
      <c r="X41" s="288">
        <f>Model!AG62</f>
        <v>30000</v>
      </c>
      <c r="Y41" s="288">
        <f>Model!AH62</f>
        <v>30000</v>
      </c>
      <c r="Z41" s="288">
        <f>Model!AI62</f>
        <v>30000</v>
      </c>
      <c r="AA41" s="288">
        <f>Model!AJ62</f>
        <v>30000</v>
      </c>
      <c r="AB41" s="288">
        <f>Model!AK62</f>
        <v>60000</v>
      </c>
      <c r="AC41" s="288">
        <f>Model!AL62</f>
        <v>60000</v>
      </c>
      <c r="AD41" s="288">
        <f>Model!AM62</f>
        <v>60000</v>
      </c>
      <c r="AE41" s="288">
        <f>Model!AN62</f>
        <v>60000</v>
      </c>
      <c r="AF41" s="288">
        <f>Model!AO62</f>
        <v>60000</v>
      </c>
      <c r="AG41" s="288">
        <f>Model!AP62</f>
        <v>60000</v>
      </c>
      <c r="AH41" s="288">
        <f>Model!AQ62</f>
        <v>60000</v>
      </c>
      <c r="AI41" s="288">
        <f>Model!AR62</f>
        <v>60000</v>
      </c>
      <c r="AJ41" s="288">
        <f>Model!AS62</f>
        <v>60000</v>
      </c>
      <c r="AK41" s="288">
        <f>Model!AT62</f>
        <v>60000</v>
      </c>
      <c r="AL41" s="288">
        <f>Model!AU62</f>
        <v>60000</v>
      </c>
      <c r="AM41" s="288">
        <f>Model!AV62</f>
        <v>60000</v>
      </c>
      <c r="AN41" s="288">
        <f>Model!AW62</f>
        <v>120000</v>
      </c>
      <c r="AO41" s="288">
        <f>Model!AX62</f>
        <v>120000</v>
      </c>
      <c r="AP41" s="288">
        <f>Model!AY62</f>
        <v>120000</v>
      </c>
      <c r="AQ41" s="288">
        <f>Model!AZ62</f>
        <v>120000</v>
      </c>
      <c r="AR41" s="288">
        <f>Model!BA62</f>
        <v>120000</v>
      </c>
      <c r="AS41" s="288">
        <f>Model!BB62</f>
        <v>120000</v>
      </c>
      <c r="AT41" s="288">
        <f>Model!BC62</f>
        <v>120000</v>
      </c>
      <c r="AU41" s="288">
        <f>Model!BD62</f>
        <v>120000</v>
      </c>
      <c r="AV41" s="288">
        <f>Model!BE62</f>
        <v>120000</v>
      </c>
      <c r="AW41" s="288">
        <f>Model!BF62</f>
        <v>120000</v>
      </c>
      <c r="AX41" s="288">
        <f>Model!BG62</f>
        <v>120000</v>
      </c>
      <c r="AY41" s="288">
        <f>Model!BH62</f>
        <v>120000</v>
      </c>
      <c r="AZ41" s="288">
        <f>Model!BI62</f>
        <v>240000</v>
      </c>
      <c r="BA41" s="288">
        <f>Model!BJ62</f>
        <v>240000</v>
      </c>
      <c r="BB41" s="288">
        <f>Model!BK62</f>
        <v>240000</v>
      </c>
      <c r="BC41" s="288">
        <f>Model!BL62</f>
        <v>240000</v>
      </c>
      <c r="BD41" s="288">
        <f>Model!BM62</f>
        <v>240000</v>
      </c>
      <c r="BE41" s="288">
        <f>Model!BN62</f>
        <v>240000</v>
      </c>
      <c r="BF41" s="288">
        <f>Model!BO62</f>
        <v>240000</v>
      </c>
      <c r="BG41" s="288">
        <f>Model!BP62</f>
        <v>240000</v>
      </c>
      <c r="BH41" s="288">
        <f>Model!BQ62</f>
        <v>240000</v>
      </c>
      <c r="BI41" s="288">
        <f>Model!BR62</f>
        <v>240000</v>
      </c>
      <c r="BJ41" s="288">
        <f>Model!BS62</f>
        <v>240000</v>
      </c>
      <c r="BK41" s="288">
        <f>Model!BT62</f>
        <v>240000</v>
      </c>
      <c r="BL41" s="288">
        <f>Model!BU62</f>
        <v>480000</v>
      </c>
      <c r="BM41" s="288">
        <f>Model!BV62</f>
        <v>480000</v>
      </c>
      <c r="BN41" s="288">
        <f>Model!BW62</f>
        <v>480000</v>
      </c>
      <c r="BO41" s="288">
        <f>Model!BX62</f>
        <v>480000</v>
      </c>
      <c r="BP41" s="288">
        <f>Model!BY62</f>
        <v>480000</v>
      </c>
      <c r="BQ41" s="288">
        <f>Model!BZ62</f>
        <v>480000</v>
      </c>
      <c r="BR41" s="288">
        <f>Model!CA62</f>
        <v>480000</v>
      </c>
      <c r="BS41" s="288">
        <f>Model!CB62</f>
        <v>480000</v>
      </c>
      <c r="BT41" s="288">
        <f>Model!CC62</f>
        <v>480000</v>
      </c>
      <c r="BU41" s="288">
        <f>Model!CD62</f>
        <v>480000</v>
      </c>
      <c r="BV41" s="288">
        <f>Model!CE62</f>
        <v>480000</v>
      </c>
      <c r="BW41" s="288">
        <f>Model!CF62</f>
        <v>480000</v>
      </c>
    </row>
    <row r="42" spans="2:75" outlineLevel="1">
      <c r="B42" s="239" t="str">
        <f>Model!E63</f>
        <v>Business Insurance</v>
      </c>
      <c r="D42" s="288">
        <f>Model!M63</f>
        <v>0</v>
      </c>
      <c r="E42" s="288">
        <f>Model!N63</f>
        <v>0</v>
      </c>
      <c r="F42" s="288">
        <f>Model!O63</f>
        <v>0</v>
      </c>
      <c r="G42" s="288">
        <f>Model!P63</f>
        <v>0</v>
      </c>
      <c r="H42" s="288">
        <f>Model!Q63</f>
        <v>0</v>
      </c>
      <c r="I42" s="288">
        <f>Model!R63</f>
        <v>800</v>
      </c>
      <c r="J42" s="288">
        <f>Model!S63</f>
        <v>800</v>
      </c>
      <c r="K42" s="288">
        <f>Model!T63</f>
        <v>800</v>
      </c>
      <c r="L42" s="288">
        <f>Model!U63</f>
        <v>800</v>
      </c>
      <c r="M42" s="288">
        <f>Model!V63</f>
        <v>800</v>
      </c>
      <c r="N42" s="288">
        <f>Model!W63</f>
        <v>800</v>
      </c>
      <c r="O42" s="288">
        <f>Model!X63</f>
        <v>800</v>
      </c>
      <c r="P42" s="288">
        <f>Model!Y63</f>
        <v>319.95764166513845</v>
      </c>
      <c r="Q42" s="288">
        <f>Model!Z63</f>
        <v>427.58660168714471</v>
      </c>
      <c r="R42" s="288">
        <f>Model!AA63</f>
        <v>535.21556170915096</v>
      </c>
      <c r="S42" s="288">
        <f>Model!AB63</f>
        <v>642.8445217311571</v>
      </c>
      <c r="T42" s="288">
        <f>Model!AC63</f>
        <v>750.47348175316324</v>
      </c>
      <c r="U42" s="288">
        <f>Model!AD63</f>
        <v>911.02244177516957</v>
      </c>
      <c r="V42" s="288">
        <f>Model!AE63</f>
        <v>1024.5314017971759</v>
      </c>
      <c r="W42" s="288">
        <f>Model!AF63</f>
        <v>1138.0403618191822</v>
      </c>
      <c r="X42" s="288">
        <f>Model!AG63</f>
        <v>1251.5493218411884</v>
      </c>
      <c r="Y42" s="288">
        <f>Model!AH63</f>
        <v>1365.0582818631947</v>
      </c>
      <c r="Z42" s="288">
        <f>Model!AI63</f>
        <v>1478.5672418852012</v>
      </c>
      <c r="AA42" s="288">
        <f>Model!AJ63</f>
        <v>1592.0762019072072</v>
      </c>
      <c r="AB42" s="288">
        <f>Model!AK63</f>
        <v>4784.3307602455634</v>
      </c>
      <c r="AC42" s="288">
        <f>Model!AL63</f>
        <v>5801.4550308523949</v>
      </c>
      <c r="AD42" s="288">
        <f>Model!AM63</f>
        <v>6818.5793014592246</v>
      </c>
      <c r="AE42" s="288">
        <f>Model!AN63</f>
        <v>7835.703572066056</v>
      </c>
      <c r="AF42" s="288">
        <f>Model!AO63</f>
        <v>8852.8278426728866</v>
      </c>
      <c r="AG42" s="288">
        <f>Model!AP63</f>
        <v>9869.9521132797181</v>
      </c>
      <c r="AH42" s="288">
        <f>Model!AQ63</f>
        <v>10887.076383886548</v>
      </c>
      <c r="AI42" s="288">
        <f>Model!AR63</f>
        <v>11904.200654493379</v>
      </c>
      <c r="AJ42" s="288">
        <f>Model!AS63</f>
        <v>12921.324925100211</v>
      </c>
      <c r="AK42" s="288">
        <f>Model!AT63</f>
        <v>13938.449195707042</v>
      </c>
      <c r="AL42" s="288">
        <f>Model!AU63</f>
        <v>14955.573466313872</v>
      </c>
      <c r="AM42" s="288">
        <f>Model!AV63</f>
        <v>15972.697736920705</v>
      </c>
      <c r="AN42" s="288">
        <f>Model!AW63</f>
        <v>25082.729847192652</v>
      </c>
      <c r="AO42" s="288">
        <f>Model!AX63</f>
        <v>28930.27918664382</v>
      </c>
      <c r="AP42" s="288">
        <f>Model!AY63</f>
        <v>32777.828526094985</v>
      </c>
      <c r="AQ42" s="288">
        <f>Model!AZ63</f>
        <v>36625.377865546157</v>
      </c>
      <c r="AR42" s="288">
        <f>Model!BA63</f>
        <v>40472.927204997322</v>
      </c>
      <c r="AS42" s="288">
        <f>Model!BB63</f>
        <v>44320.476544448495</v>
      </c>
      <c r="AT42" s="288">
        <f>Model!BC63</f>
        <v>48168.02588389966</v>
      </c>
      <c r="AU42" s="288">
        <f>Model!BD63</f>
        <v>52015.575223350817</v>
      </c>
      <c r="AV42" s="288">
        <f>Model!BE63</f>
        <v>55863.12456280199</v>
      </c>
      <c r="AW42" s="288">
        <f>Model!BF63</f>
        <v>59710.673902253155</v>
      </c>
      <c r="AX42" s="288">
        <f>Model!BG63</f>
        <v>63558.223241704341</v>
      </c>
      <c r="AY42" s="288">
        <f>Model!BH63</f>
        <v>67405.772581155499</v>
      </c>
      <c r="AZ42" s="288">
        <f>Model!BI63</f>
        <v>191019.47507913422</v>
      </c>
      <c r="BA42" s="288">
        <f>Model!BJ63</f>
        <v>214061.55957767056</v>
      </c>
      <c r="BB42" s="288">
        <f>Model!BK63</f>
        <v>237103.64407620687</v>
      </c>
      <c r="BC42" s="288">
        <f>Model!BL63</f>
        <v>260145.7285747432</v>
      </c>
      <c r="BD42" s="288">
        <f>Model!BM63</f>
        <v>283187.81307327957</v>
      </c>
      <c r="BE42" s="288">
        <f>Model!BN63</f>
        <v>306229.89757181593</v>
      </c>
      <c r="BF42" s="288">
        <f>Model!BO63</f>
        <v>329271.98207035224</v>
      </c>
      <c r="BG42" s="288">
        <f>Model!BP63</f>
        <v>352314.06656888861</v>
      </c>
      <c r="BH42" s="288">
        <f>Model!BQ63</f>
        <v>375356.15106742497</v>
      </c>
      <c r="BI42" s="288">
        <f>Model!BR63</f>
        <v>398398.23556596134</v>
      </c>
      <c r="BJ42" s="288">
        <f>Model!BS63</f>
        <v>421440.32006449753</v>
      </c>
      <c r="BK42" s="288">
        <f>Model!BT63</f>
        <v>444482.40456303395</v>
      </c>
      <c r="BL42" s="288">
        <f>Model!BU63</f>
        <v>588755.61424407549</v>
      </c>
      <c r="BM42" s="288">
        <f>Model!BV63</f>
        <v>645357.0799149063</v>
      </c>
      <c r="BN42" s="288">
        <f>Model!BW63</f>
        <v>701958.5455857371</v>
      </c>
      <c r="BO42" s="288">
        <f>Model!BX63</f>
        <v>758560.0112565679</v>
      </c>
      <c r="BP42" s="288">
        <f>Model!BY63</f>
        <v>815161.47692739859</v>
      </c>
      <c r="BQ42" s="288">
        <f>Model!BZ63</f>
        <v>871762.94259822927</v>
      </c>
      <c r="BR42" s="288">
        <f>Model!CA63</f>
        <v>928364.40826905996</v>
      </c>
      <c r="BS42" s="288">
        <f>Model!CB63</f>
        <v>984965.87393989088</v>
      </c>
      <c r="BT42" s="288">
        <f>Model!CC63</f>
        <v>1041567.3396107217</v>
      </c>
      <c r="BU42" s="288">
        <f>Model!CD63</f>
        <v>1098168.8052815525</v>
      </c>
      <c r="BV42" s="288">
        <f>Model!CE63</f>
        <v>1154770.2709523828</v>
      </c>
      <c r="BW42" s="288">
        <f>Model!CF63</f>
        <v>1211371.7366232139</v>
      </c>
    </row>
    <row r="43" spans="2:75" outlineLevel="1">
      <c r="B43" s="239" t="str">
        <f>Model!E64</f>
        <v>Contract Labor</v>
      </c>
      <c r="D43" s="288">
        <f>Model!M64</f>
        <v>0</v>
      </c>
      <c r="E43" s="288">
        <f>Model!N64</f>
        <v>0</v>
      </c>
      <c r="F43" s="288">
        <f>Model!O64</f>
        <v>0</v>
      </c>
      <c r="G43" s="288">
        <f>Model!P64</f>
        <v>0</v>
      </c>
      <c r="H43" s="288">
        <f>Model!Q64</f>
        <v>0</v>
      </c>
      <c r="I43" s="288">
        <f>Model!R64</f>
        <v>3500</v>
      </c>
      <c r="J43" s="288">
        <f>Model!S64</f>
        <v>3500</v>
      </c>
      <c r="K43" s="288">
        <f>Model!T64</f>
        <v>3500</v>
      </c>
      <c r="L43" s="288">
        <f>Model!U64</f>
        <v>3500</v>
      </c>
      <c r="M43" s="288">
        <f>Model!V64</f>
        <v>3500</v>
      </c>
      <c r="N43" s="288">
        <f>Model!W64</f>
        <v>3500</v>
      </c>
      <c r="O43" s="288">
        <f>Model!X64</f>
        <v>3500</v>
      </c>
      <c r="P43" s="288">
        <f>Model!Y64</f>
        <v>319.95764166513845</v>
      </c>
      <c r="Q43" s="288">
        <f>Model!Z64</f>
        <v>427.58660168714471</v>
      </c>
      <c r="R43" s="288">
        <f>Model!AA64</f>
        <v>535.21556170915096</v>
      </c>
      <c r="S43" s="288">
        <f>Model!AB64</f>
        <v>642.8445217311571</v>
      </c>
      <c r="T43" s="288">
        <f>Model!AC64</f>
        <v>750.47348175316324</v>
      </c>
      <c r="U43" s="288">
        <f>Model!AD64</f>
        <v>911.02244177516957</v>
      </c>
      <c r="V43" s="288">
        <f>Model!AE64</f>
        <v>1024.5314017971759</v>
      </c>
      <c r="W43" s="288">
        <f>Model!AF64</f>
        <v>1138.0403618191822</v>
      </c>
      <c r="X43" s="288">
        <f>Model!AG64</f>
        <v>1251.5493218411884</v>
      </c>
      <c r="Y43" s="288">
        <f>Model!AH64</f>
        <v>1365.0582818631947</v>
      </c>
      <c r="Z43" s="288">
        <f>Model!AI64</f>
        <v>1478.5672418852012</v>
      </c>
      <c r="AA43" s="288">
        <f>Model!AJ64</f>
        <v>1592.0762019072072</v>
      </c>
      <c r="AB43" s="288">
        <f>Model!AK64</f>
        <v>4784.3307602455634</v>
      </c>
      <c r="AC43" s="288">
        <f>Model!AL64</f>
        <v>5801.4550308523949</v>
      </c>
      <c r="AD43" s="288">
        <f>Model!AM64</f>
        <v>6818.5793014592246</v>
      </c>
      <c r="AE43" s="288">
        <f>Model!AN64</f>
        <v>7835.703572066056</v>
      </c>
      <c r="AF43" s="288">
        <f>Model!AO64</f>
        <v>8852.8278426728866</v>
      </c>
      <c r="AG43" s="288">
        <f>Model!AP64</f>
        <v>9869.9521132797181</v>
      </c>
      <c r="AH43" s="288">
        <f>Model!AQ64</f>
        <v>10887.076383886548</v>
      </c>
      <c r="AI43" s="288">
        <f>Model!AR64</f>
        <v>11904.200654493379</v>
      </c>
      <c r="AJ43" s="288">
        <f>Model!AS64</f>
        <v>12921.324925100211</v>
      </c>
      <c r="AK43" s="288">
        <f>Model!AT64</f>
        <v>13938.449195707042</v>
      </c>
      <c r="AL43" s="288">
        <f>Model!AU64</f>
        <v>14955.573466313872</v>
      </c>
      <c r="AM43" s="288">
        <f>Model!AV64</f>
        <v>15972.697736920705</v>
      </c>
      <c r="AN43" s="288">
        <f>Model!AW64</f>
        <v>25082.729847192652</v>
      </c>
      <c r="AO43" s="288">
        <f>Model!AX64</f>
        <v>28930.27918664382</v>
      </c>
      <c r="AP43" s="288">
        <f>Model!AY64</f>
        <v>32777.828526094985</v>
      </c>
      <c r="AQ43" s="288">
        <f>Model!AZ64</f>
        <v>36625.377865546157</v>
      </c>
      <c r="AR43" s="288">
        <f>Model!BA64</f>
        <v>40472.927204997322</v>
      </c>
      <c r="AS43" s="288">
        <f>Model!BB64</f>
        <v>44320.476544448495</v>
      </c>
      <c r="AT43" s="288">
        <f>Model!BC64</f>
        <v>48168.02588389966</v>
      </c>
      <c r="AU43" s="288">
        <f>Model!BD64</f>
        <v>52015.575223350817</v>
      </c>
      <c r="AV43" s="288">
        <f>Model!BE64</f>
        <v>55863.12456280199</v>
      </c>
      <c r="AW43" s="288">
        <f>Model!BF64</f>
        <v>59710.673902253155</v>
      </c>
      <c r="AX43" s="288">
        <f>Model!BG64</f>
        <v>63558.223241704341</v>
      </c>
      <c r="AY43" s="288">
        <f>Model!BH64</f>
        <v>67405.772581155499</v>
      </c>
      <c r="AZ43" s="288">
        <f>Model!BI64</f>
        <v>191019.47507913422</v>
      </c>
      <c r="BA43" s="288">
        <f>Model!BJ64</f>
        <v>214061.55957767056</v>
      </c>
      <c r="BB43" s="288">
        <f>Model!BK64</f>
        <v>237103.64407620687</v>
      </c>
      <c r="BC43" s="288">
        <f>Model!BL64</f>
        <v>260145.7285747432</v>
      </c>
      <c r="BD43" s="288">
        <f>Model!BM64</f>
        <v>283187.81307327957</v>
      </c>
      <c r="BE43" s="288">
        <f>Model!BN64</f>
        <v>306229.89757181593</v>
      </c>
      <c r="BF43" s="288">
        <f>Model!BO64</f>
        <v>329271.98207035224</v>
      </c>
      <c r="BG43" s="288">
        <f>Model!BP64</f>
        <v>352314.06656888861</v>
      </c>
      <c r="BH43" s="288">
        <f>Model!BQ64</f>
        <v>375356.15106742497</v>
      </c>
      <c r="BI43" s="288">
        <f>Model!BR64</f>
        <v>398398.23556596134</v>
      </c>
      <c r="BJ43" s="288">
        <f>Model!BS64</f>
        <v>421440.32006449753</v>
      </c>
      <c r="BK43" s="288">
        <f>Model!BT64</f>
        <v>444482.40456303395</v>
      </c>
      <c r="BL43" s="288">
        <f>Model!BU64</f>
        <v>588755.61424407549</v>
      </c>
      <c r="BM43" s="288">
        <f>Model!BV64</f>
        <v>645357.0799149063</v>
      </c>
      <c r="BN43" s="288">
        <f>Model!BW64</f>
        <v>701958.5455857371</v>
      </c>
      <c r="BO43" s="288">
        <f>Model!BX64</f>
        <v>758560.0112565679</v>
      </c>
      <c r="BP43" s="288">
        <f>Model!BY64</f>
        <v>815161.47692739859</v>
      </c>
      <c r="BQ43" s="288">
        <f>Model!BZ64</f>
        <v>871762.94259822927</v>
      </c>
      <c r="BR43" s="288">
        <f>Model!CA64</f>
        <v>928364.40826905996</v>
      </c>
      <c r="BS43" s="288">
        <f>Model!CB64</f>
        <v>984965.87393989088</v>
      </c>
      <c r="BT43" s="288">
        <f>Model!CC64</f>
        <v>1041567.3396107217</v>
      </c>
      <c r="BU43" s="288">
        <f>Model!CD64</f>
        <v>1098168.8052815525</v>
      </c>
      <c r="BV43" s="288">
        <f>Model!CE64</f>
        <v>1154770.2709523828</v>
      </c>
      <c r="BW43" s="288">
        <f>Model!CF64</f>
        <v>1211371.7366232139</v>
      </c>
    </row>
    <row r="44" spans="2:75" outlineLevel="1">
      <c r="B44" s="239" t="str">
        <f>Model!E65</f>
        <v>Dues &amp; Memberships</v>
      </c>
      <c r="D44" s="288">
        <f>Model!M65</f>
        <v>0</v>
      </c>
      <c r="E44" s="288">
        <f>Model!N65</f>
        <v>0</v>
      </c>
      <c r="F44" s="288">
        <f>Model!O65</f>
        <v>0</v>
      </c>
      <c r="G44" s="288">
        <f>Model!P65</f>
        <v>0</v>
      </c>
      <c r="H44" s="288">
        <f>Model!Q65</f>
        <v>0</v>
      </c>
      <c r="I44" s="288">
        <f>Model!R65</f>
        <v>200</v>
      </c>
      <c r="J44" s="288">
        <f>Model!S65</f>
        <v>200</v>
      </c>
      <c r="K44" s="288">
        <f>Model!T65</f>
        <v>200</v>
      </c>
      <c r="L44" s="288">
        <f>Model!U65</f>
        <v>200</v>
      </c>
      <c r="M44" s="288">
        <f>Model!V65</f>
        <v>200</v>
      </c>
      <c r="N44" s="288">
        <f>Model!W65</f>
        <v>200</v>
      </c>
      <c r="O44" s="288">
        <f>Model!X65</f>
        <v>200</v>
      </c>
      <c r="P44" s="288">
        <f>Model!Y65</f>
        <v>319.95764166513845</v>
      </c>
      <c r="Q44" s="288">
        <f>Model!Z65</f>
        <v>427.58660168714471</v>
      </c>
      <c r="R44" s="288">
        <f>Model!AA65</f>
        <v>535.21556170915096</v>
      </c>
      <c r="S44" s="288">
        <f>Model!AB65</f>
        <v>642.8445217311571</v>
      </c>
      <c r="T44" s="288">
        <f>Model!AC65</f>
        <v>750.47348175316324</v>
      </c>
      <c r="U44" s="288">
        <f>Model!AD65</f>
        <v>911.02244177516957</v>
      </c>
      <c r="V44" s="288">
        <f>Model!AE65</f>
        <v>1024.5314017971759</v>
      </c>
      <c r="W44" s="288">
        <f>Model!AF65</f>
        <v>1138.0403618191822</v>
      </c>
      <c r="X44" s="288">
        <f>Model!AG65</f>
        <v>1251.5493218411884</v>
      </c>
      <c r="Y44" s="288">
        <f>Model!AH65</f>
        <v>1365.0582818631947</v>
      </c>
      <c r="Z44" s="288">
        <f>Model!AI65</f>
        <v>1478.5672418852012</v>
      </c>
      <c r="AA44" s="288">
        <f>Model!AJ65</f>
        <v>1592.0762019072072</v>
      </c>
      <c r="AB44" s="288">
        <f>Model!AK65</f>
        <v>4784.3307602455634</v>
      </c>
      <c r="AC44" s="288">
        <f>Model!AL65</f>
        <v>5801.4550308523949</v>
      </c>
      <c r="AD44" s="288">
        <f>Model!AM65</f>
        <v>6818.5793014592246</v>
      </c>
      <c r="AE44" s="288">
        <f>Model!AN65</f>
        <v>7835.703572066056</v>
      </c>
      <c r="AF44" s="288">
        <f>Model!AO65</f>
        <v>8852.8278426728866</v>
      </c>
      <c r="AG44" s="288">
        <f>Model!AP65</f>
        <v>9869.9521132797181</v>
      </c>
      <c r="AH44" s="288">
        <f>Model!AQ65</f>
        <v>10887.076383886548</v>
      </c>
      <c r="AI44" s="288">
        <f>Model!AR65</f>
        <v>11904.200654493379</v>
      </c>
      <c r="AJ44" s="288">
        <f>Model!AS65</f>
        <v>12921.324925100211</v>
      </c>
      <c r="AK44" s="288">
        <f>Model!AT65</f>
        <v>13938.449195707042</v>
      </c>
      <c r="AL44" s="288">
        <f>Model!AU65</f>
        <v>14955.573466313872</v>
      </c>
      <c r="AM44" s="288">
        <f>Model!AV65</f>
        <v>15972.697736920705</v>
      </c>
      <c r="AN44" s="288">
        <f>Model!AW65</f>
        <v>25082.729847192652</v>
      </c>
      <c r="AO44" s="288">
        <f>Model!AX65</f>
        <v>28930.27918664382</v>
      </c>
      <c r="AP44" s="288">
        <f>Model!AY65</f>
        <v>32777.828526094985</v>
      </c>
      <c r="AQ44" s="288">
        <f>Model!AZ65</f>
        <v>36625.377865546157</v>
      </c>
      <c r="AR44" s="288">
        <f>Model!BA65</f>
        <v>40472.927204997322</v>
      </c>
      <c r="AS44" s="288">
        <f>Model!BB65</f>
        <v>44320.476544448495</v>
      </c>
      <c r="AT44" s="288">
        <f>Model!BC65</f>
        <v>48168.02588389966</v>
      </c>
      <c r="AU44" s="288">
        <f>Model!BD65</f>
        <v>52015.575223350817</v>
      </c>
      <c r="AV44" s="288">
        <f>Model!BE65</f>
        <v>55863.12456280199</v>
      </c>
      <c r="AW44" s="288">
        <f>Model!BF65</f>
        <v>59710.673902253155</v>
      </c>
      <c r="AX44" s="288">
        <f>Model!BG65</f>
        <v>63558.223241704341</v>
      </c>
      <c r="AY44" s="288">
        <f>Model!BH65</f>
        <v>67405.772581155499</v>
      </c>
      <c r="AZ44" s="288">
        <f>Model!BI65</f>
        <v>191019.47507913422</v>
      </c>
      <c r="BA44" s="288">
        <f>Model!BJ65</f>
        <v>214061.55957767056</v>
      </c>
      <c r="BB44" s="288">
        <f>Model!BK65</f>
        <v>237103.64407620687</v>
      </c>
      <c r="BC44" s="288">
        <f>Model!BL65</f>
        <v>260145.7285747432</v>
      </c>
      <c r="BD44" s="288">
        <f>Model!BM65</f>
        <v>283187.81307327957</v>
      </c>
      <c r="BE44" s="288">
        <f>Model!BN65</f>
        <v>306229.89757181593</v>
      </c>
      <c r="BF44" s="288">
        <f>Model!BO65</f>
        <v>329271.98207035224</v>
      </c>
      <c r="BG44" s="288">
        <f>Model!BP65</f>
        <v>352314.06656888861</v>
      </c>
      <c r="BH44" s="288">
        <f>Model!BQ65</f>
        <v>375356.15106742497</v>
      </c>
      <c r="BI44" s="288">
        <f>Model!BR65</f>
        <v>398398.23556596134</v>
      </c>
      <c r="BJ44" s="288">
        <f>Model!BS65</f>
        <v>421440.32006449753</v>
      </c>
      <c r="BK44" s="288">
        <f>Model!BT65</f>
        <v>444482.40456303395</v>
      </c>
      <c r="BL44" s="288">
        <f>Model!BU65</f>
        <v>588755.61424407549</v>
      </c>
      <c r="BM44" s="288">
        <f>Model!BV65</f>
        <v>645357.0799149063</v>
      </c>
      <c r="BN44" s="288">
        <f>Model!BW65</f>
        <v>701958.5455857371</v>
      </c>
      <c r="BO44" s="288">
        <f>Model!BX65</f>
        <v>758560.0112565679</v>
      </c>
      <c r="BP44" s="288">
        <f>Model!BY65</f>
        <v>815161.47692739859</v>
      </c>
      <c r="BQ44" s="288">
        <f>Model!BZ65</f>
        <v>871762.94259822927</v>
      </c>
      <c r="BR44" s="288">
        <f>Model!CA65</f>
        <v>928364.40826905996</v>
      </c>
      <c r="BS44" s="288">
        <f>Model!CB65</f>
        <v>984965.87393989088</v>
      </c>
      <c r="BT44" s="288">
        <f>Model!CC65</f>
        <v>1041567.3396107217</v>
      </c>
      <c r="BU44" s="288">
        <f>Model!CD65</f>
        <v>1098168.8052815525</v>
      </c>
      <c r="BV44" s="288">
        <f>Model!CE65</f>
        <v>1154770.2709523828</v>
      </c>
      <c r="BW44" s="288">
        <f>Model!CF65</f>
        <v>1211371.7366232139</v>
      </c>
    </row>
    <row r="45" spans="2:75" outlineLevel="1">
      <c r="B45" s="239" t="str">
        <f>Model!E66</f>
        <v>Meals &amp; Entertainment</v>
      </c>
      <c r="D45" s="288">
        <f>Model!M66</f>
        <v>0</v>
      </c>
      <c r="E45" s="288">
        <f>Model!N66</f>
        <v>0</v>
      </c>
      <c r="F45" s="288">
        <f>Model!O66</f>
        <v>0</v>
      </c>
      <c r="G45" s="288">
        <f>Model!P66</f>
        <v>0</v>
      </c>
      <c r="H45" s="288">
        <f>Model!Q66</f>
        <v>0</v>
      </c>
      <c r="I45" s="288">
        <f>Model!R66</f>
        <v>400</v>
      </c>
      <c r="J45" s="288">
        <f>Model!S66</f>
        <v>400</v>
      </c>
      <c r="K45" s="288">
        <f>Model!T66</f>
        <v>400</v>
      </c>
      <c r="L45" s="288">
        <f>Model!U66</f>
        <v>400</v>
      </c>
      <c r="M45" s="288">
        <f>Model!V66</f>
        <v>400</v>
      </c>
      <c r="N45" s="288">
        <f>Model!W66</f>
        <v>400</v>
      </c>
      <c r="O45" s="288">
        <f>Model!X66</f>
        <v>400</v>
      </c>
      <c r="P45" s="288">
        <f>Model!Y66</f>
        <v>319.95764166513845</v>
      </c>
      <c r="Q45" s="288">
        <f>Model!Z66</f>
        <v>427.58660168714471</v>
      </c>
      <c r="R45" s="288">
        <f>Model!AA66</f>
        <v>535.21556170915096</v>
      </c>
      <c r="S45" s="288">
        <f>Model!AB66</f>
        <v>642.8445217311571</v>
      </c>
      <c r="T45" s="288">
        <f>Model!AC66</f>
        <v>750.47348175316324</v>
      </c>
      <c r="U45" s="288">
        <f>Model!AD66</f>
        <v>911.02244177516957</v>
      </c>
      <c r="V45" s="288">
        <f>Model!AE66</f>
        <v>1024.5314017971759</v>
      </c>
      <c r="W45" s="288">
        <f>Model!AF66</f>
        <v>1138.0403618191822</v>
      </c>
      <c r="X45" s="288">
        <f>Model!AG66</f>
        <v>1251.5493218411884</v>
      </c>
      <c r="Y45" s="288">
        <f>Model!AH66</f>
        <v>1365.0582818631947</v>
      </c>
      <c r="Z45" s="288">
        <f>Model!AI66</f>
        <v>1478.5672418852012</v>
      </c>
      <c r="AA45" s="288">
        <f>Model!AJ66</f>
        <v>1592.0762019072072</v>
      </c>
      <c r="AB45" s="288">
        <f>Model!AK66</f>
        <v>4784.3307602455634</v>
      </c>
      <c r="AC45" s="288">
        <f>Model!AL66</f>
        <v>5801.4550308523949</v>
      </c>
      <c r="AD45" s="288">
        <f>Model!AM66</f>
        <v>6818.5793014592246</v>
      </c>
      <c r="AE45" s="288">
        <f>Model!AN66</f>
        <v>7835.703572066056</v>
      </c>
      <c r="AF45" s="288">
        <f>Model!AO66</f>
        <v>8852.8278426728866</v>
      </c>
      <c r="AG45" s="288">
        <f>Model!AP66</f>
        <v>9869.9521132797181</v>
      </c>
      <c r="AH45" s="288">
        <f>Model!AQ66</f>
        <v>10887.076383886548</v>
      </c>
      <c r="AI45" s="288">
        <f>Model!AR66</f>
        <v>11904.200654493379</v>
      </c>
      <c r="AJ45" s="288">
        <f>Model!AS66</f>
        <v>12921.324925100211</v>
      </c>
      <c r="AK45" s="288">
        <f>Model!AT66</f>
        <v>13938.449195707042</v>
      </c>
      <c r="AL45" s="288">
        <f>Model!AU66</f>
        <v>14955.573466313872</v>
      </c>
      <c r="AM45" s="288">
        <f>Model!AV66</f>
        <v>15972.697736920705</v>
      </c>
      <c r="AN45" s="288">
        <f>Model!AW66</f>
        <v>25082.729847192652</v>
      </c>
      <c r="AO45" s="288">
        <f>Model!AX66</f>
        <v>28930.27918664382</v>
      </c>
      <c r="AP45" s="288">
        <f>Model!AY66</f>
        <v>32777.828526094985</v>
      </c>
      <c r="AQ45" s="288">
        <f>Model!AZ66</f>
        <v>36625.377865546157</v>
      </c>
      <c r="AR45" s="288">
        <f>Model!BA66</f>
        <v>40472.927204997322</v>
      </c>
      <c r="AS45" s="288">
        <f>Model!BB66</f>
        <v>44320.476544448495</v>
      </c>
      <c r="AT45" s="288">
        <f>Model!BC66</f>
        <v>48168.02588389966</v>
      </c>
      <c r="AU45" s="288">
        <f>Model!BD66</f>
        <v>52015.575223350817</v>
      </c>
      <c r="AV45" s="288">
        <f>Model!BE66</f>
        <v>55863.12456280199</v>
      </c>
      <c r="AW45" s="288">
        <f>Model!BF66</f>
        <v>59710.673902253155</v>
      </c>
      <c r="AX45" s="288">
        <f>Model!BG66</f>
        <v>63558.223241704341</v>
      </c>
      <c r="AY45" s="288">
        <f>Model!BH66</f>
        <v>67405.772581155499</v>
      </c>
      <c r="AZ45" s="288">
        <f>Model!BI66</f>
        <v>191019.47507913422</v>
      </c>
      <c r="BA45" s="288">
        <f>Model!BJ66</f>
        <v>214061.55957767056</v>
      </c>
      <c r="BB45" s="288">
        <f>Model!BK66</f>
        <v>237103.64407620687</v>
      </c>
      <c r="BC45" s="288">
        <f>Model!BL66</f>
        <v>260145.7285747432</v>
      </c>
      <c r="BD45" s="288">
        <f>Model!BM66</f>
        <v>283187.81307327957</v>
      </c>
      <c r="BE45" s="288">
        <f>Model!BN66</f>
        <v>306229.89757181593</v>
      </c>
      <c r="BF45" s="288">
        <f>Model!BO66</f>
        <v>329271.98207035224</v>
      </c>
      <c r="BG45" s="288">
        <f>Model!BP66</f>
        <v>352314.06656888861</v>
      </c>
      <c r="BH45" s="288">
        <f>Model!BQ66</f>
        <v>375356.15106742497</v>
      </c>
      <c r="BI45" s="288">
        <f>Model!BR66</f>
        <v>398398.23556596134</v>
      </c>
      <c r="BJ45" s="288">
        <f>Model!BS66</f>
        <v>421440.32006449753</v>
      </c>
      <c r="BK45" s="288">
        <f>Model!BT66</f>
        <v>444482.40456303395</v>
      </c>
      <c r="BL45" s="288">
        <f>Model!BU66</f>
        <v>588755.61424407549</v>
      </c>
      <c r="BM45" s="288">
        <f>Model!BV66</f>
        <v>645357.0799149063</v>
      </c>
      <c r="BN45" s="288">
        <f>Model!BW66</f>
        <v>701958.5455857371</v>
      </c>
      <c r="BO45" s="288">
        <f>Model!BX66</f>
        <v>758560.0112565679</v>
      </c>
      <c r="BP45" s="288">
        <f>Model!BY66</f>
        <v>815161.47692739859</v>
      </c>
      <c r="BQ45" s="288">
        <f>Model!BZ66</f>
        <v>871762.94259822927</v>
      </c>
      <c r="BR45" s="288">
        <f>Model!CA66</f>
        <v>928364.40826905996</v>
      </c>
      <c r="BS45" s="288">
        <f>Model!CB66</f>
        <v>984965.87393989088</v>
      </c>
      <c r="BT45" s="288">
        <f>Model!CC66</f>
        <v>1041567.3396107217</v>
      </c>
      <c r="BU45" s="288">
        <f>Model!CD66</f>
        <v>1098168.8052815525</v>
      </c>
      <c r="BV45" s="288">
        <f>Model!CE66</f>
        <v>1154770.2709523828</v>
      </c>
      <c r="BW45" s="288">
        <f>Model!CF66</f>
        <v>1211371.7366232139</v>
      </c>
    </row>
    <row r="46" spans="2:75" ht="13.8" outlineLevel="1" thickBot="1">
      <c r="B46" s="239" t="str">
        <f>Model!E73</f>
        <v>Utilities</v>
      </c>
      <c r="D46" s="286">
        <f>Model!M73</f>
        <v>0</v>
      </c>
      <c r="E46" s="286">
        <f>Model!N73</f>
        <v>0</v>
      </c>
      <c r="F46" s="286">
        <f>Model!O73</f>
        <v>0</v>
      </c>
      <c r="G46" s="286">
        <f>Model!P73</f>
        <v>0</v>
      </c>
      <c r="H46" s="286">
        <f>Model!Q73</f>
        <v>0</v>
      </c>
      <c r="I46" s="286">
        <f>Model!R73</f>
        <v>500</v>
      </c>
      <c r="J46" s="286">
        <f>Model!S73</f>
        <v>500</v>
      </c>
      <c r="K46" s="286">
        <f>Model!T73</f>
        <v>500</v>
      </c>
      <c r="L46" s="286">
        <f>Model!U73</f>
        <v>500</v>
      </c>
      <c r="M46" s="286">
        <f>Model!V73</f>
        <v>500</v>
      </c>
      <c r="N46" s="286">
        <f>Model!W73</f>
        <v>500</v>
      </c>
      <c r="O46" s="286">
        <f>Model!X73</f>
        <v>500</v>
      </c>
      <c r="P46" s="286">
        <f>Model!Y73</f>
        <v>319.95764166513845</v>
      </c>
      <c r="Q46" s="286">
        <f>Model!Z73</f>
        <v>427.58660168714471</v>
      </c>
      <c r="R46" s="286">
        <f>Model!AA73</f>
        <v>535.21556170915096</v>
      </c>
      <c r="S46" s="286">
        <f>Model!AB73</f>
        <v>642.8445217311571</v>
      </c>
      <c r="T46" s="286">
        <f>Model!AC73</f>
        <v>750.47348175316324</v>
      </c>
      <c r="U46" s="286">
        <f>Model!AD73</f>
        <v>911.02244177516957</v>
      </c>
      <c r="V46" s="286">
        <f>Model!AE73</f>
        <v>1024.5314017971759</v>
      </c>
      <c r="W46" s="286">
        <f>Model!AF73</f>
        <v>1138.0403618191822</v>
      </c>
      <c r="X46" s="286">
        <f>Model!AG73</f>
        <v>1251.5493218411884</v>
      </c>
      <c r="Y46" s="286">
        <f>Model!AH73</f>
        <v>1365.0582818631947</v>
      </c>
      <c r="Z46" s="286">
        <f>Model!AI73</f>
        <v>1478.5672418852012</v>
      </c>
      <c r="AA46" s="286">
        <f>Model!AJ73</f>
        <v>1592.0762019072072</v>
      </c>
      <c r="AB46" s="286">
        <f>Model!AK73</f>
        <v>4784.3307602455634</v>
      </c>
      <c r="AC46" s="286">
        <f>Model!AL73</f>
        <v>5801.4550308523949</v>
      </c>
      <c r="AD46" s="286">
        <f>Model!AM73</f>
        <v>6818.5793014592246</v>
      </c>
      <c r="AE46" s="286">
        <f>Model!AN73</f>
        <v>7835.703572066056</v>
      </c>
      <c r="AF46" s="286">
        <f>Model!AO73</f>
        <v>8852.8278426728866</v>
      </c>
      <c r="AG46" s="286">
        <f>Model!AP73</f>
        <v>9869.9521132797181</v>
      </c>
      <c r="AH46" s="286">
        <f>Model!AQ73</f>
        <v>10887.076383886548</v>
      </c>
      <c r="AI46" s="286">
        <f>Model!AR73</f>
        <v>11904.200654493379</v>
      </c>
      <c r="AJ46" s="286">
        <f>Model!AS73</f>
        <v>12921.324925100211</v>
      </c>
      <c r="AK46" s="286">
        <f>Model!AT73</f>
        <v>13938.449195707042</v>
      </c>
      <c r="AL46" s="286">
        <f>Model!AU73</f>
        <v>14955.573466313872</v>
      </c>
      <c r="AM46" s="286">
        <f>Model!AV73</f>
        <v>15972.697736920705</v>
      </c>
      <c r="AN46" s="286">
        <f>Model!AW73</f>
        <v>25082.729847192652</v>
      </c>
      <c r="AO46" s="286">
        <f>Model!AX73</f>
        <v>28930.27918664382</v>
      </c>
      <c r="AP46" s="286">
        <f>Model!AY73</f>
        <v>32777.828526094985</v>
      </c>
      <c r="AQ46" s="286">
        <f>Model!AZ73</f>
        <v>36625.377865546157</v>
      </c>
      <c r="AR46" s="286">
        <f>Model!BA73</f>
        <v>40472.927204997322</v>
      </c>
      <c r="AS46" s="286">
        <f>Model!BB73</f>
        <v>44320.476544448495</v>
      </c>
      <c r="AT46" s="286">
        <f>Model!BC73</f>
        <v>48168.02588389966</v>
      </c>
      <c r="AU46" s="286">
        <f>Model!BD73</f>
        <v>52015.575223350817</v>
      </c>
      <c r="AV46" s="286">
        <f>Model!BE73</f>
        <v>55863.12456280199</v>
      </c>
      <c r="AW46" s="286">
        <f>Model!BF73</f>
        <v>59710.673902253155</v>
      </c>
      <c r="AX46" s="286">
        <f>Model!BG73</f>
        <v>63558.223241704341</v>
      </c>
      <c r="AY46" s="286">
        <f>Model!BH73</f>
        <v>67405.772581155499</v>
      </c>
      <c r="AZ46" s="286">
        <f>Model!BI73</f>
        <v>191019.47507913422</v>
      </c>
      <c r="BA46" s="286">
        <f>Model!BJ73</f>
        <v>214061.55957767056</v>
      </c>
      <c r="BB46" s="286">
        <f>Model!BK73</f>
        <v>237103.64407620687</v>
      </c>
      <c r="BC46" s="286">
        <f>Model!BL73</f>
        <v>260145.7285747432</v>
      </c>
      <c r="BD46" s="286">
        <f>Model!BM73</f>
        <v>283187.81307327957</v>
      </c>
      <c r="BE46" s="286">
        <f>Model!BN73</f>
        <v>306229.89757181593</v>
      </c>
      <c r="BF46" s="286">
        <f>Model!BO73</f>
        <v>329271.98207035224</v>
      </c>
      <c r="BG46" s="286">
        <f>Model!BP73</f>
        <v>352314.06656888861</v>
      </c>
      <c r="BH46" s="286">
        <f>Model!BQ73</f>
        <v>375356.15106742497</v>
      </c>
      <c r="BI46" s="286">
        <f>Model!BR73</f>
        <v>398398.23556596134</v>
      </c>
      <c r="BJ46" s="286">
        <f>Model!BS73</f>
        <v>421440.32006449753</v>
      </c>
      <c r="BK46" s="286">
        <f>Model!BT73</f>
        <v>444482.40456303395</v>
      </c>
      <c r="BL46" s="286">
        <f>Model!BU73</f>
        <v>588755.61424407549</v>
      </c>
      <c r="BM46" s="286">
        <f>Model!BV73</f>
        <v>645357.0799149063</v>
      </c>
      <c r="BN46" s="286">
        <f>Model!BW73</f>
        <v>701958.5455857371</v>
      </c>
      <c r="BO46" s="286">
        <f>Model!BX73</f>
        <v>758560.0112565679</v>
      </c>
      <c r="BP46" s="286">
        <f>Model!BY73</f>
        <v>815161.47692739859</v>
      </c>
      <c r="BQ46" s="286">
        <f>Model!BZ73</f>
        <v>871762.94259822927</v>
      </c>
      <c r="BR46" s="286">
        <f>Model!CA73</f>
        <v>928364.40826905996</v>
      </c>
      <c r="BS46" s="286">
        <f>Model!CB73</f>
        <v>984965.87393989088</v>
      </c>
      <c r="BT46" s="286">
        <f>Model!CC73</f>
        <v>1041567.3396107217</v>
      </c>
      <c r="BU46" s="286">
        <f>Model!CD73</f>
        <v>1098168.8052815525</v>
      </c>
      <c r="BV46" s="286">
        <f>Model!CE73</f>
        <v>1154770.2709523828</v>
      </c>
      <c r="BW46" s="286">
        <f>Model!CF73</f>
        <v>1211371.7366232139</v>
      </c>
    </row>
    <row r="47" spans="2:75" ht="13.8" thickBot="1">
      <c r="B47" s="240" t="s">
        <v>269</v>
      </c>
      <c r="D47" s="236">
        <f t="shared" ref="D47:AA47" si="26">+SUM(D38:D46)</f>
        <v>0</v>
      </c>
      <c r="E47" s="236">
        <f t="shared" si="26"/>
        <v>0</v>
      </c>
      <c r="F47" s="236">
        <f t="shared" si="26"/>
        <v>0</v>
      </c>
      <c r="G47" s="236">
        <f t="shared" si="26"/>
        <v>0</v>
      </c>
      <c r="H47" s="236">
        <f t="shared" si="26"/>
        <v>0</v>
      </c>
      <c r="I47" s="236">
        <f t="shared" si="26"/>
        <v>44500</v>
      </c>
      <c r="J47" s="236">
        <f t="shared" si="26"/>
        <v>44500</v>
      </c>
      <c r="K47" s="236">
        <f t="shared" si="26"/>
        <v>44500</v>
      </c>
      <c r="L47" s="236">
        <f t="shared" si="26"/>
        <v>44500</v>
      </c>
      <c r="M47" s="236">
        <f t="shared" si="26"/>
        <v>44500</v>
      </c>
      <c r="N47" s="236">
        <f t="shared" si="26"/>
        <v>44500</v>
      </c>
      <c r="O47" s="236">
        <f t="shared" si="26"/>
        <v>44500</v>
      </c>
      <c r="P47" s="236">
        <f t="shared" si="26"/>
        <v>155992.70349165591</v>
      </c>
      <c r="Q47" s="236">
        <f t="shared" si="26"/>
        <v>156746.10621181008</v>
      </c>
      <c r="R47" s="236">
        <f t="shared" si="26"/>
        <v>157499.50893196411</v>
      </c>
      <c r="S47" s="236">
        <f t="shared" si="26"/>
        <v>158252.91165211814</v>
      </c>
      <c r="T47" s="236">
        <f t="shared" si="26"/>
        <v>159006.31437227217</v>
      </c>
      <c r="U47" s="236">
        <f t="shared" si="26"/>
        <v>160130.15709242615</v>
      </c>
      <c r="V47" s="236">
        <f t="shared" si="26"/>
        <v>160924.71981258018</v>
      </c>
      <c r="W47" s="236">
        <f t="shared" si="26"/>
        <v>161719.28253273424</v>
      </c>
      <c r="X47" s="236">
        <f t="shared" si="26"/>
        <v>162513.84525288831</v>
      </c>
      <c r="Y47" s="236">
        <f t="shared" si="26"/>
        <v>163308.40797304237</v>
      </c>
      <c r="Z47" s="236">
        <f t="shared" si="26"/>
        <v>164102.97069319643</v>
      </c>
      <c r="AA47" s="236">
        <f t="shared" si="26"/>
        <v>164897.53341335049</v>
      </c>
      <c r="AB47" s="236">
        <f t="shared" ref="AB47:BW47" si="27">+SUM(AB38:AB46)</f>
        <v>248911.31532171892</v>
      </c>
      <c r="AC47" s="236">
        <f t="shared" si="27"/>
        <v>256031.18521596683</v>
      </c>
      <c r="AD47" s="236">
        <f t="shared" si="27"/>
        <v>263151.05511021457</v>
      </c>
      <c r="AE47" s="236">
        <f t="shared" si="27"/>
        <v>270270.92500446242</v>
      </c>
      <c r="AF47" s="236">
        <f t="shared" si="27"/>
        <v>277390.79489871016</v>
      </c>
      <c r="AG47" s="236">
        <f t="shared" si="27"/>
        <v>284510.66479295806</v>
      </c>
      <c r="AH47" s="236">
        <f t="shared" si="27"/>
        <v>291630.53468720586</v>
      </c>
      <c r="AI47" s="236">
        <f t="shared" si="27"/>
        <v>298750.40458145359</v>
      </c>
      <c r="AJ47" s="236">
        <f t="shared" si="27"/>
        <v>305870.27447570139</v>
      </c>
      <c r="AK47" s="236">
        <f t="shared" si="27"/>
        <v>312990.1443699493</v>
      </c>
      <c r="AL47" s="236">
        <f t="shared" si="27"/>
        <v>320110.01426419721</v>
      </c>
      <c r="AM47" s="236">
        <f t="shared" si="27"/>
        <v>327229.88415844506</v>
      </c>
      <c r="AN47" s="236">
        <f t="shared" si="27"/>
        <v>482668.10893034854</v>
      </c>
      <c r="AO47" s="236">
        <f t="shared" si="27"/>
        <v>509600.95430650684</v>
      </c>
      <c r="AP47" s="236">
        <f t="shared" si="27"/>
        <v>536533.7996826648</v>
      </c>
      <c r="AQ47" s="236">
        <f t="shared" si="27"/>
        <v>563466.64505882305</v>
      </c>
      <c r="AR47" s="236">
        <f t="shared" si="27"/>
        <v>590399.4904349813</v>
      </c>
      <c r="AS47" s="236">
        <f t="shared" si="27"/>
        <v>617332.33581113955</v>
      </c>
      <c r="AT47" s="236">
        <f t="shared" si="27"/>
        <v>644265.18118729757</v>
      </c>
      <c r="AU47" s="236">
        <f t="shared" si="27"/>
        <v>671198.0265634557</v>
      </c>
      <c r="AV47" s="236">
        <f t="shared" si="27"/>
        <v>698130.87193961407</v>
      </c>
      <c r="AW47" s="236">
        <f t="shared" si="27"/>
        <v>725063.71731577208</v>
      </c>
      <c r="AX47" s="236">
        <f t="shared" si="27"/>
        <v>751996.56269193022</v>
      </c>
      <c r="AY47" s="236">
        <f t="shared" si="27"/>
        <v>778929.40806808858</v>
      </c>
      <c r="AZ47" s="236">
        <f t="shared" si="27"/>
        <v>1795893.3255539392</v>
      </c>
      <c r="BA47" s="236">
        <f t="shared" si="27"/>
        <v>1957187.9170436943</v>
      </c>
      <c r="BB47" s="236">
        <f t="shared" si="27"/>
        <v>2118482.5085334484</v>
      </c>
      <c r="BC47" s="236">
        <f t="shared" si="27"/>
        <v>2279777.1000232026</v>
      </c>
      <c r="BD47" s="236">
        <f t="shared" si="27"/>
        <v>2441071.6915129572</v>
      </c>
      <c r="BE47" s="236">
        <f t="shared" si="27"/>
        <v>2602366.2830027114</v>
      </c>
      <c r="BF47" s="236">
        <f t="shared" si="27"/>
        <v>2763660.874492466</v>
      </c>
      <c r="BG47" s="236">
        <f t="shared" si="27"/>
        <v>2924955.4659822206</v>
      </c>
      <c r="BH47" s="236">
        <f t="shared" si="27"/>
        <v>3086250.0574719752</v>
      </c>
      <c r="BI47" s="236">
        <f t="shared" si="27"/>
        <v>3247544.6489617294</v>
      </c>
      <c r="BJ47" s="236">
        <f t="shared" si="27"/>
        <v>3408839.2404514831</v>
      </c>
      <c r="BK47" s="236">
        <f t="shared" si="27"/>
        <v>3570133.8319412377</v>
      </c>
      <c r="BL47" s="236">
        <f t="shared" si="27"/>
        <v>4851714.2997085284</v>
      </c>
      <c r="BM47" s="236">
        <f t="shared" si="27"/>
        <v>5247924.5594043434</v>
      </c>
      <c r="BN47" s="236">
        <f t="shared" si="27"/>
        <v>5644134.8191001583</v>
      </c>
      <c r="BO47" s="236">
        <f t="shared" si="27"/>
        <v>6040345.078795976</v>
      </c>
      <c r="BP47" s="236">
        <f t="shared" si="27"/>
        <v>6436555.3384917909</v>
      </c>
      <c r="BQ47" s="236">
        <f t="shared" si="27"/>
        <v>6832765.5981876049</v>
      </c>
      <c r="BR47" s="236">
        <f t="shared" si="27"/>
        <v>7228975.8578834189</v>
      </c>
      <c r="BS47" s="236">
        <f t="shared" si="27"/>
        <v>7625186.1175792348</v>
      </c>
      <c r="BT47" s="236">
        <f t="shared" si="27"/>
        <v>8021396.3772750525</v>
      </c>
      <c r="BU47" s="236">
        <f t="shared" si="27"/>
        <v>8417606.6369708665</v>
      </c>
      <c r="BV47" s="236">
        <f t="shared" si="27"/>
        <v>8813816.8966666795</v>
      </c>
      <c r="BW47" s="236">
        <f t="shared" si="27"/>
        <v>9210027.1563624963</v>
      </c>
    </row>
    <row r="48" spans="2:75">
      <c r="B48" s="230" t="s">
        <v>198</v>
      </c>
      <c r="D48" s="238">
        <f t="shared" ref="D48:AA48" si="28">+D36-D47</f>
        <v>0</v>
      </c>
      <c r="E48" s="238">
        <f t="shared" si="28"/>
        <v>0</v>
      </c>
      <c r="F48" s="238">
        <f t="shared" si="28"/>
        <v>0</v>
      </c>
      <c r="G48" s="238">
        <f t="shared" si="28"/>
        <v>0</v>
      </c>
      <c r="H48" s="238">
        <f t="shared" si="28"/>
        <v>0</v>
      </c>
      <c r="I48" s="238">
        <f t="shared" si="28"/>
        <v>-44340.6732826273</v>
      </c>
      <c r="J48" s="238">
        <f t="shared" si="28"/>
        <v>-44181.3465652546</v>
      </c>
      <c r="K48" s="238">
        <f t="shared" si="28"/>
        <v>-44022.0198478819</v>
      </c>
      <c r="L48" s="238">
        <f t="shared" si="28"/>
        <v>-43862.6931305092</v>
      </c>
      <c r="M48" s="238">
        <f t="shared" si="28"/>
        <v>-43703.3664131365</v>
      </c>
      <c r="N48" s="238">
        <f t="shared" si="28"/>
        <v>-43544.0396957638</v>
      </c>
      <c r="O48" s="238">
        <f t="shared" si="28"/>
        <v>-43384.7129783911</v>
      </c>
      <c r="P48" s="238">
        <f t="shared" si="28"/>
        <v>-148637.64673335772</v>
      </c>
      <c r="Q48" s="238">
        <f t="shared" si="28"/>
        <v>-146916.57562300575</v>
      </c>
      <c r="R48" s="238">
        <f t="shared" si="28"/>
        <v>-145195.50451265363</v>
      </c>
      <c r="S48" s="238">
        <f t="shared" si="28"/>
        <v>-143474.43340230154</v>
      </c>
      <c r="T48" s="238">
        <f t="shared" si="28"/>
        <v>-141753.36229194942</v>
      </c>
      <c r="U48" s="238">
        <f t="shared" si="28"/>
        <v>-138325.62118159723</v>
      </c>
      <c r="V48" s="238">
        <f t="shared" si="28"/>
        <v>-136414.92007124514</v>
      </c>
      <c r="W48" s="238">
        <f t="shared" si="28"/>
        <v>-134504.21896089305</v>
      </c>
      <c r="X48" s="238">
        <f t="shared" si="28"/>
        <v>-132593.51785054099</v>
      </c>
      <c r="Y48" s="238">
        <f t="shared" si="28"/>
        <v>-130682.81674018889</v>
      </c>
      <c r="Z48" s="238">
        <f t="shared" si="28"/>
        <v>-128772.1156298368</v>
      </c>
      <c r="AA48" s="238">
        <f t="shared" si="28"/>
        <v>-126861.41451948474</v>
      </c>
      <c r="AB48" s="238">
        <f t="shared" ref="AB48:BW48" si="29">+AB36-AB47</f>
        <v>-137095.89533607097</v>
      </c>
      <c r="AC48" s="238">
        <f t="shared" si="29"/>
        <v>-120537.77700636175</v>
      </c>
      <c r="AD48" s="238">
        <f t="shared" si="29"/>
        <v>-103979.65867665241</v>
      </c>
      <c r="AE48" s="238">
        <f t="shared" si="29"/>
        <v>-87421.540346943133</v>
      </c>
      <c r="AF48" s="238">
        <f t="shared" si="29"/>
        <v>-70863.422017233766</v>
      </c>
      <c r="AG48" s="238">
        <f t="shared" si="29"/>
        <v>-54305.303687524545</v>
      </c>
      <c r="AH48" s="238">
        <f t="shared" si="29"/>
        <v>-37747.185357815295</v>
      </c>
      <c r="AI48" s="238">
        <f t="shared" si="29"/>
        <v>-21189.067028105841</v>
      </c>
      <c r="AJ48" s="238">
        <f t="shared" si="29"/>
        <v>-4630.9486983965617</v>
      </c>
      <c r="AK48" s="238">
        <f t="shared" si="29"/>
        <v>11927.169631312659</v>
      </c>
      <c r="AL48" s="238">
        <f t="shared" si="29"/>
        <v>28485.287961021881</v>
      </c>
      <c r="AM48" s="238">
        <f t="shared" si="29"/>
        <v>45043.40629073116</v>
      </c>
      <c r="AN48" s="238">
        <f t="shared" si="29"/>
        <v>100071.09918008244</v>
      </c>
      <c r="AO48" s="238">
        <f t="shared" si="29"/>
        <v>162314.760611301</v>
      </c>
      <c r="AP48" s="238">
        <f t="shared" si="29"/>
        <v>224558.4220425199</v>
      </c>
      <c r="AQ48" s="238">
        <f t="shared" si="29"/>
        <v>286802.08347373852</v>
      </c>
      <c r="AR48" s="238">
        <f t="shared" si="29"/>
        <v>349045.74490495713</v>
      </c>
      <c r="AS48" s="238">
        <f t="shared" si="29"/>
        <v>411289.40633617574</v>
      </c>
      <c r="AT48" s="238">
        <f t="shared" si="29"/>
        <v>473533.06776739459</v>
      </c>
      <c r="AU48" s="238">
        <f t="shared" si="29"/>
        <v>535776.72919861309</v>
      </c>
      <c r="AV48" s="238">
        <f t="shared" si="29"/>
        <v>598020.39062983159</v>
      </c>
      <c r="AW48" s="238">
        <f t="shared" si="29"/>
        <v>660264.05206105043</v>
      </c>
      <c r="AX48" s="238">
        <f t="shared" si="29"/>
        <v>722507.71349226963</v>
      </c>
      <c r="AY48" s="238">
        <f t="shared" si="29"/>
        <v>784751.37492348789</v>
      </c>
      <c r="AZ48" s="238">
        <f t="shared" si="29"/>
        <v>416263.07806110429</v>
      </c>
      <c r="BA48" s="238">
        <f t="shared" si="29"/>
        <v>521427.42114076717</v>
      </c>
      <c r="BB48" s="238">
        <f t="shared" si="29"/>
        <v>626591.76422043052</v>
      </c>
      <c r="BC48" s="238">
        <f t="shared" si="29"/>
        <v>731756.10730009433</v>
      </c>
      <c r="BD48" s="238">
        <f t="shared" si="29"/>
        <v>836920.45037975768</v>
      </c>
      <c r="BE48" s="238">
        <f t="shared" si="29"/>
        <v>942084.79345942196</v>
      </c>
      <c r="BF48" s="238">
        <f t="shared" si="29"/>
        <v>1047249.1365390848</v>
      </c>
      <c r="BG48" s="238">
        <f t="shared" si="29"/>
        <v>1152413.4796187473</v>
      </c>
      <c r="BH48" s="238">
        <f t="shared" si="29"/>
        <v>1257577.822698412</v>
      </c>
      <c r="BI48" s="238">
        <f t="shared" si="29"/>
        <v>1362742.1657780763</v>
      </c>
      <c r="BJ48" s="238">
        <f t="shared" si="29"/>
        <v>1467906.5088577382</v>
      </c>
      <c r="BK48" s="238">
        <f t="shared" si="29"/>
        <v>1573070.851937403</v>
      </c>
      <c r="BL48" s="238">
        <f t="shared" si="29"/>
        <v>1955353.742771402</v>
      </c>
      <c r="BM48" s="238">
        <f t="shared" si="29"/>
        <v>2213229.7907142667</v>
      </c>
      <c r="BN48" s="238">
        <f t="shared" si="29"/>
        <v>2471105.8386571314</v>
      </c>
      <c r="BO48" s="238">
        <f t="shared" si="29"/>
        <v>2728981.8865999924</v>
      </c>
      <c r="BP48" s="238">
        <f t="shared" si="29"/>
        <v>2986857.9345428562</v>
      </c>
      <c r="BQ48" s="238">
        <f t="shared" si="29"/>
        <v>3244733.9824857172</v>
      </c>
      <c r="BR48" s="238">
        <f t="shared" si="29"/>
        <v>3502610.0304285819</v>
      </c>
      <c r="BS48" s="238">
        <f t="shared" si="29"/>
        <v>3760486.0783714466</v>
      </c>
      <c r="BT48" s="238">
        <f t="shared" si="29"/>
        <v>4018362.1263143076</v>
      </c>
      <c r="BU48" s="238">
        <f t="shared" si="29"/>
        <v>4276238.1742571741</v>
      </c>
      <c r="BV48" s="238">
        <f t="shared" si="29"/>
        <v>4534114.222200036</v>
      </c>
      <c r="BW48" s="238">
        <f t="shared" si="29"/>
        <v>4791990.2701428998</v>
      </c>
    </row>
    <row r="49" spans="2:75">
      <c r="B49" s="227" t="s">
        <v>452</v>
      </c>
      <c r="D49" s="279">
        <f>_xlfn.XLOOKUP(D5,PaymentSchedule[PAYMENT DATE],PaymentSchedule[INTEREST],0,0,1)</f>
        <v>0</v>
      </c>
      <c r="E49" s="279">
        <f>_xlfn.XLOOKUP(E5,PaymentSchedule[PAYMENT DATE],PaymentSchedule[INTEREST],0,0,1)</f>
        <v>0</v>
      </c>
      <c r="F49" s="279">
        <f>_xlfn.XLOOKUP(F5,PaymentSchedule[PAYMENT DATE],PaymentSchedule[INTEREST],0,0,1)</f>
        <v>0</v>
      </c>
      <c r="G49" s="279">
        <f>_xlfn.XLOOKUP(G5,PaymentSchedule[PAYMENT DATE],PaymentSchedule[INTEREST],0,0,1)</f>
        <v>0</v>
      </c>
      <c r="H49" s="279">
        <f>_xlfn.XLOOKUP(H5,PaymentSchedule[PAYMENT DATE],PaymentSchedule[INTEREST],0,0,1)</f>
        <v>0</v>
      </c>
      <c r="I49" s="279">
        <f>_xlfn.XLOOKUP(I5,PaymentSchedule[PAYMENT DATE],PaymentSchedule[INTEREST],0,0,1)</f>
        <v>0</v>
      </c>
      <c r="J49" s="279">
        <f>_xlfn.XLOOKUP(J5,PaymentSchedule[PAYMENT DATE],PaymentSchedule[INTEREST],0,0,1)</f>
        <v>0</v>
      </c>
      <c r="K49" s="279">
        <f>_xlfn.XLOOKUP(K5,PaymentSchedule[PAYMENT DATE],PaymentSchedule[INTEREST],0,0,1)</f>
        <v>0</v>
      </c>
      <c r="L49" s="279">
        <f>_xlfn.XLOOKUP(L5,PaymentSchedule[PAYMENT DATE],PaymentSchedule[INTEREST],0,0,1)</f>
        <v>0</v>
      </c>
      <c r="M49" s="279">
        <f>_xlfn.XLOOKUP(M5,PaymentSchedule[PAYMENT DATE],PaymentSchedule[INTEREST],0,0,1)</f>
        <v>0</v>
      </c>
      <c r="N49" s="279">
        <f>_xlfn.XLOOKUP(N5,PaymentSchedule[PAYMENT DATE],PaymentSchedule[INTEREST],0,0,1)</f>
        <v>0</v>
      </c>
      <c r="O49" s="279">
        <f>_xlfn.XLOOKUP(O5,PaymentSchedule[PAYMENT DATE],PaymentSchedule[INTEREST],0,0,1)</f>
        <v>0</v>
      </c>
      <c r="P49" s="279">
        <f>_xlfn.XLOOKUP(P5,PaymentSchedule[PAYMENT DATE],PaymentSchedule[INTEREST],0,0,1)</f>
        <v>0</v>
      </c>
      <c r="Q49" s="279">
        <f>_xlfn.XLOOKUP(Q5,PaymentSchedule[PAYMENT DATE],PaymentSchedule[INTEREST],0,0,1)</f>
        <v>0</v>
      </c>
      <c r="R49" s="279">
        <f>_xlfn.XLOOKUP(R5,PaymentSchedule[PAYMENT DATE],PaymentSchedule[INTEREST],0,0,1)</f>
        <v>0</v>
      </c>
      <c r="S49" s="279">
        <f>_xlfn.XLOOKUP(S5,PaymentSchedule[PAYMENT DATE],PaymentSchedule[INTEREST],0,0,1)</f>
        <v>0</v>
      </c>
      <c r="T49" s="279">
        <f>_xlfn.XLOOKUP(T5,PaymentSchedule[PAYMENT DATE],PaymentSchedule[INTEREST],0,0,1)</f>
        <v>0</v>
      </c>
      <c r="U49" s="279">
        <f>_xlfn.XLOOKUP(U5,PaymentSchedule[PAYMENT DATE],PaymentSchedule[INTEREST],0,0,1)</f>
        <v>0</v>
      </c>
      <c r="V49" s="279">
        <f>_xlfn.XLOOKUP(V5,PaymentSchedule[PAYMENT DATE],PaymentSchedule[INTEREST],0,0,1)</f>
        <v>0</v>
      </c>
      <c r="W49" s="279">
        <f>_xlfn.XLOOKUP(W5,PaymentSchedule[PAYMENT DATE],PaymentSchedule[INTEREST],0,0,1)</f>
        <v>0</v>
      </c>
      <c r="X49" s="279">
        <f>_xlfn.XLOOKUP(X5,PaymentSchedule[PAYMENT DATE],PaymentSchedule[INTEREST],0,0,1)</f>
        <v>5208.333333333333</v>
      </c>
      <c r="Y49" s="279">
        <f>_xlfn.XLOOKUP(Y5,PaymentSchedule[PAYMENT DATE],PaymentSchedule[INTEREST],0,0,1)</f>
        <v>5159.4035831512065</v>
      </c>
      <c r="Z49" s="279">
        <f>_xlfn.XLOOKUP(Z5,PaymentSchedule[PAYMENT DATE],PaymentSchedule[INTEREST],0,0,1)</f>
        <v>5109.964148071349</v>
      </c>
      <c r="AA49" s="279">
        <f>_xlfn.XLOOKUP(AA5,PaymentSchedule[PAYMENT DATE],PaymentSchedule[INTEREST],0,0,1)</f>
        <v>5060.0097188760756</v>
      </c>
      <c r="AB49" s="279">
        <f>_xlfn.XLOOKUP(AB5,PaymentSchedule[PAYMENT DATE],PaymentSchedule[INTEREST],0,0,1)</f>
        <v>5009.5349310433521</v>
      </c>
      <c r="AC49" s="279">
        <f>_xlfn.XLOOKUP(AC5,PaymentSchedule[PAYMENT DATE],PaymentSchedule[INTEREST],0,0,1)</f>
        <v>4958.534364170705</v>
      </c>
      <c r="AD49" s="279">
        <f>_xlfn.XLOOKUP(AD5,PaymentSchedule[PAYMENT DATE],PaymentSchedule[INTEREST],0,0,1)</f>
        <v>4907.0025413931344</v>
      </c>
      <c r="AE49" s="279">
        <f>_xlfn.XLOOKUP(AE5,PaymentSchedule[PAYMENT DATE],PaymentSchedule[INTEREST],0,0,1)</f>
        <v>4854.9339287949633</v>
      </c>
      <c r="AF49" s="279">
        <f>_xlfn.XLOOKUP(AF5,PaymentSchedule[PAYMENT DATE],PaymentSchedule[INTEREST],0,0,1)</f>
        <v>4802.3229348155619</v>
      </c>
      <c r="AG49" s="279">
        <f>_xlfn.XLOOKUP(AG5,PaymentSchedule[PAYMENT DATE],PaymentSchedule[INTEREST],0,0,1)</f>
        <v>4749.1639096488743</v>
      </c>
      <c r="AH49" s="279">
        <f>_xlfn.XLOOKUP(AH5,PaymentSchedule[PAYMENT DATE],PaymentSchedule[INTEREST],0,0,1)</f>
        <v>4695.4511446367014</v>
      </c>
      <c r="AI49" s="279">
        <f>_xlfn.XLOOKUP(AI5,PaymentSchedule[PAYMENT DATE],PaymentSchedule[INTEREST],0,0,1)</f>
        <v>4641.1788716556512</v>
      </c>
      <c r="AJ49" s="279">
        <f>_xlfn.XLOOKUP(AJ5,PaymentSchedule[PAYMENT DATE],PaymentSchedule[INTEREST],0,0,1)</f>
        <v>4586.3412624977145</v>
      </c>
      <c r="AK49" s="279">
        <f>_xlfn.XLOOKUP(AK5,PaymentSchedule[PAYMENT DATE],PaymentSchedule[INTEREST],0,0,1)</f>
        <v>4530.9324282443831</v>
      </c>
      <c r="AL49" s="279">
        <f>_xlfn.XLOOKUP(AL5,PaymentSchedule[PAYMENT DATE],PaymentSchedule[INTEREST],0,0,1)</f>
        <v>4474.9464186342457</v>
      </c>
      <c r="AM49" s="279">
        <f>_xlfn.XLOOKUP(AM5,PaymentSchedule[PAYMENT DATE],PaymentSchedule[INTEREST],0,0,1)</f>
        <v>4418.3772214240034</v>
      </c>
      <c r="AN49" s="279">
        <f>_xlfn.XLOOKUP(AN5,PaymentSchedule[PAYMENT DATE],PaymentSchedule[INTEREST],0,0,1)</f>
        <v>4361.2187617428208</v>
      </c>
      <c r="AO49" s="279">
        <f>_xlfn.XLOOKUP(AO5,PaymentSchedule[PAYMENT DATE],PaymentSchedule[INTEREST],0,0,1)</f>
        <v>4303.4649014399583</v>
      </c>
      <c r="AP49" s="279">
        <f>_xlfn.XLOOKUP(AP5,PaymentSchedule[PAYMENT DATE],PaymentSchedule[INTEREST],0,0,1)</f>
        <v>4245.1094384256085</v>
      </c>
      <c r="AQ49" s="279">
        <f>_xlfn.XLOOKUP(AQ5,PaymentSchedule[PAYMENT DATE],PaymentSchedule[INTEREST],0,0,1)</f>
        <v>4186.1461060048596</v>
      </c>
      <c r="AR49" s="279">
        <f>_xlfn.XLOOKUP(AR5,PaymentSchedule[PAYMENT DATE],PaymentSchedule[INTEREST],0,0,1)</f>
        <v>4126.5685722047274</v>
      </c>
      <c r="AS49" s="279">
        <f>_xlfn.XLOOKUP(AS5,PaymentSchedule[PAYMENT DATE],PaymentSchedule[INTEREST],0,0,1)</f>
        <v>4066.3704390941775</v>
      </c>
      <c r="AT49" s="279">
        <f>_xlfn.XLOOKUP(AT5,PaymentSchedule[PAYMENT DATE],PaymentSchedule[INTEREST],0,0,1)</f>
        <v>4005.5452420970596</v>
      </c>
      <c r="AU49" s="279">
        <f>_xlfn.XLOOKUP(AU5,PaymentSchedule[PAYMENT DATE],PaymentSchedule[INTEREST],0,0,1)</f>
        <v>3944.0864492978876</v>
      </c>
      <c r="AV49" s="279">
        <f>_xlfn.XLOOKUP(AV5,PaymentSchedule[PAYMENT DATE],PaymentSchedule[INTEREST],0,0,1)</f>
        <v>3881.9874607403913</v>
      </c>
      <c r="AW49" s="279">
        <f>_xlfn.XLOOKUP(AW5,PaymentSchedule[PAYMENT DATE],PaymentSchedule[INTEREST],0,0,1)</f>
        <v>3819.2416077187545</v>
      </c>
      <c r="AX49" s="279">
        <f>_xlfn.XLOOKUP(AX5,PaymentSchedule[PAYMENT DATE],PaymentSchedule[INTEREST],0,0,1)</f>
        <v>3755.8421520614756</v>
      </c>
      <c r="AY49" s="279">
        <f>_xlfn.XLOOKUP(AY5,PaymentSchedule[PAYMENT DATE],PaymentSchedule[INTEREST],0,0,1)</f>
        <v>3691.7822854077667</v>
      </c>
      <c r="AZ49" s="279">
        <f>_xlfn.XLOOKUP(AZ5,PaymentSchedule[PAYMENT DATE],PaymentSchedule[INTEREST],0,0,1)</f>
        <v>3627.0551284764151</v>
      </c>
      <c r="BA49" s="279">
        <f>_xlfn.XLOOKUP(BA5,PaymentSchedule[PAYMENT DATE],PaymentSchedule[INTEREST],0,0,1)</f>
        <v>3561.6537303270279</v>
      </c>
      <c r="BB49" s="279">
        <f>_xlfn.XLOOKUP(BB5,PaymentSchedule[PAYMENT DATE],PaymentSchedule[INTEREST],0,0,1)</f>
        <v>3495.571067613585</v>
      </c>
      <c r="BC49" s="279">
        <f>_xlfn.XLOOKUP(BC5,PaymentSchedule[PAYMENT DATE],PaymentSchedule[INTEREST],0,0,1)</f>
        <v>3428.8000438302106</v>
      </c>
      <c r="BD49" s="279">
        <f>_xlfn.XLOOKUP(BD5,PaymentSchedule[PAYMENT DATE],PaymentSchedule[INTEREST],0,0,1)</f>
        <v>3361.3334885490931</v>
      </c>
      <c r="BE49" s="279">
        <f>_xlfn.XLOOKUP(BE5,PaymentSchedule[PAYMENT DATE],PaymentSchedule[INTEREST],0,0,1)</f>
        <v>3293.1641566504632</v>
      </c>
      <c r="BF49" s="279">
        <f>_xlfn.XLOOKUP(BF5,PaymentSchedule[PAYMENT DATE],PaymentSchedule[INTEREST],0,0,1)</f>
        <v>3224.2847275445565</v>
      </c>
      <c r="BG49" s="279">
        <f>_xlfn.XLOOKUP(BG5,PaymentSchedule[PAYMENT DATE],PaymentSchedule[INTEREST],0,0,1)</f>
        <v>3154.6878043854631</v>
      </c>
      <c r="BH49" s="279">
        <f>_xlfn.XLOOKUP(BH5,PaymentSchedule[PAYMENT DATE],PaymentSchedule[INTEREST],0,0,1)</f>
        <v>3084.3659132767957</v>
      </c>
      <c r="BI49" s="279">
        <f>_xlfn.XLOOKUP(BI5,PaymentSchedule[PAYMENT DATE],PaymentSchedule[INTEREST],0,0,1)</f>
        <v>3013.3115024690796</v>
      </c>
      <c r="BJ49" s="279">
        <f>_xlfn.XLOOKUP(BJ5,PaymentSchedule[PAYMENT DATE],PaymentSchedule[INTEREST],0,0,1)</f>
        <v>2941.5169415487835</v>
      </c>
      <c r="BK49" s="279">
        <f>_xlfn.XLOOKUP(BK5,PaymentSchedule[PAYMENT DATE],PaymentSchedule[INTEREST],0,0,1)</f>
        <v>2868.9745206189004</v>
      </c>
      <c r="BL49" s="279">
        <f>_xlfn.XLOOKUP(BL5,PaymentSchedule[PAYMENT DATE],PaymentSchedule[INTEREST],0,0,1)</f>
        <v>2795.6764494709978</v>
      </c>
      <c r="BM49" s="279">
        <f>_xlfn.XLOOKUP(BM5,PaymentSchedule[PAYMENT DATE],PaymentSchedule[INTEREST],0,0,1)</f>
        <v>2721.614856748638</v>
      </c>
      <c r="BN49" s="279">
        <f>_xlfn.XLOOKUP(BN5,PaymentSchedule[PAYMENT DATE],PaymentSchedule[INTEREST],0,0,1)</f>
        <v>2646.7817891020873</v>
      </c>
      <c r="BO49" s="279">
        <f>_xlfn.XLOOKUP(BO5,PaymentSchedule[PAYMENT DATE],PaymentSchedule[INTEREST],0,0,1)</f>
        <v>2571.169210334218</v>
      </c>
      <c r="BP49" s="279">
        <f>_xlfn.XLOOKUP(BP5,PaymentSchedule[PAYMENT DATE],PaymentSchedule[INTEREST],0,0,1)</f>
        <v>2494.7690005375171</v>
      </c>
      <c r="BQ49" s="279">
        <f>_xlfn.XLOOKUP(BQ5,PaymentSchedule[PAYMENT DATE],PaymentSchedule[INTEREST],0,0,1)</f>
        <v>2417.5729552221001</v>
      </c>
      <c r="BR49" s="279">
        <f>_xlfn.XLOOKUP(BR5,PaymentSchedule[PAYMENT DATE],PaymentSchedule[INTEREST],0,0,1)</f>
        <v>2339.5727844346479</v>
      </c>
      <c r="BS49" s="279">
        <f>_xlfn.XLOOKUP(BS5,PaymentSchedule[PAYMENT DATE],PaymentSchedule[INTEREST],0,0,1)</f>
        <v>2260.7601118681596</v>
      </c>
      <c r="BT49" s="279">
        <f>_xlfn.XLOOKUP(BT5,PaymentSchedule[PAYMENT DATE],PaymentSchedule[INTEREST],0,0,1)</f>
        <v>2181.1264739624366</v>
      </c>
      <c r="BU49" s="279">
        <f>_xlfn.XLOOKUP(BU5,PaymentSchedule[PAYMENT DATE],PaymentSchedule[INTEREST],0,0,1)</f>
        <v>2100.6633189951963</v>
      </c>
      <c r="BV49" s="279">
        <f>_xlfn.XLOOKUP(BV5,PaymentSchedule[PAYMENT DATE],PaymentSchedule[INTEREST],0,0,1)</f>
        <v>2019.3620061637134</v>
      </c>
      <c r="BW49" s="279">
        <f>_xlfn.XLOOKUP(BW5,PaymentSchedule[PAYMENT DATE],PaymentSchedule[INTEREST],0,0,1)</f>
        <v>1937.2138046569028</v>
      </c>
    </row>
    <row r="50" spans="2:75" ht="13.8" thickBot="1">
      <c r="B50" s="241" t="s">
        <v>270</v>
      </c>
      <c r="D50" s="236">
        <f>D112</f>
        <v>0</v>
      </c>
      <c r="E50" s="236">
        <f t="shared" ref="E50:BP50" si="30">E112</f>
        <v>0</v>
      </c>
      <c r="F50" s="236">
        <f t="shared" si="30"/>
        <v>0</v>
      </c>
      <c r="G50" s="236">
        <f t="shared" si="30"/>
        <v>0</v>
      </c>
      <c r="H50" s="236">
        <f t="shared" si="30"/>
        <v>0</v>
      </c>
      <c r="I50" s="236">
        <f t="shared" si="30"/>
        <v>0</v>
      </c>
      <c r="J50" s="236">
        <f t="shared" si="30"/>
        <v>0</v>
      </c>
      <c r="K50" s="236">
        <f t="shared" si="30"/>
        <v>0</v>
      </c>
      <c r="L50" s="236">
        <f t="shared" si="30"/>
        <v>0</v>
      </c>
      <c r="M50" s="236">
        <f t="shared" si="30"/>
        <v>0</v>
      </c>
      <c r="N50" s="236">
        <f t="shared" si="30"/>
        <v>0</v>
      </c>
      <c r="O50" s="236">
        <f t="shared" si="30"/>
        <v>0</v>
      </c>
      <c r="P50" s="236">
        <f t="shared" si="30"/>
        <v>0</v>
      </c>
      <c r="Q50" s="236">
        <f t="shared" si="30"/>
        <v>0</v>
      </c>
      <c r="R50" s="236">
        <f t="shared" si="30"/>
        <v>0</v>
      </c>
      <c r="S50" s="236">
        <f t="shared" si="30"/>
        <v>0</v>
      </c>
      <c r="T50" s="236">
        <f t="shared" si="30"/>
        <v>0</v>
      </c>
      <c r="U50" s="236">
        <f t="shared" si="30"/>
        <v>0</v>
      </c>
      <c r="V50" s="236">
        <f t="shared" si="30"/>
        <v>0</v>
      </c>
      <c r="W50" s="236">
        <f t="shared" si="30"/>
        <v>0</v>
      </c>
      <c r="X50" s="236">
        <f t="shared" si="30"/>
        <v>0</v>
      </c>
      <c r="Y50" s="236">
        <f t="shared" si="30"/>
        <v>0</v>
      </c>
      <c r="Z50" s="236">
        <f t="shared" si="30"/>
        <v>0</v>
      </c>
      <c r="AA50" s="236">
        <f t="shared" si="30"/>
        <v>0</v>
      </c>
      <c r="AB50" s="236">
        <f t="shared" si="30"/>
        <v>0</v>
      </c>
      <c r="AC50" s="236">
        <f t="shared" si="30"/>
        <v>0</v>
      </c>
      <c r="AD50" s="236">
        <f t="shared" si="30"/>
        <v>0</v>
      </c>
      <c r="AE50" s="236">
        <f t="shared" si="30"/>
        <v>0</v>
      </c>
      <c r="AF50" s="236">
        <f t="shared" si="30"/>
        <v>0</v>
      </c>
      <c r="AG50" s="236">
        <f t="shared" si="30"/>
        <v>0</v>
      </c>
      <c r="AH50" s="236">
        <f t="shared" si="30"/>
        <v>0</v>
      </c>
      <c r="AI50" s="236">
        <f t="shared" si="30"/>
        <v>0</v>
      </c>
      <c r="AJ50" s="236">
        <f t="shared" si="30"/>
        <v>0</v>
      </c>
      <c r="AK50" s="236">
        <f t="shared" si="30"/>
        <v>0</v>
      </c>
      <c r="AL50" s="236">
        <f t="shared" si="30"/>
        <v>0</v>
      </c>
      <c r="AM50" s="236">
        <f t="shared" si="30"/>
        <v>0</v>
      </c>
      <c r="AN50" s="236">
        <f t="shared" si="30"/>
        <v>0</v>
      </c>
      <c r="AO50" s="236">
        <f t="shared" si="30"/>
        <v>0</v>
      </c>
      <c r="AP50" s="236">
        <f t="shared" si="30"/>
        <v>0</v>
      </c>
      <c r="AQ50" s="236">
        <f t="shared" si="30"/>
        <v>0</v>
      </c>
      <c r="AR50" s="236">
        <f t="shared" si="30"/>
        <v>0</v>
      </c>
      <c r="AS50" s="236">
        <f t="shared" si="30"/>
        <v>0</v>
      </c>
      <c r="AT50" s="236">
        <f t="shared" si="30"/>
        <v>0</v>
      </c>
      <c r="AU50" s="236">
        <f t="shared" si="30"/>
        <v>0</v>
      </c>
      <c r="AV50" s="236">
        <f t="shared" si="30"/>
        <v>89864.411792810861</v>
      </c>
      <c r="AW50" s="236">
        <f t="shared" si="30"/>
        <v>138655.45093282059</v>
      </c>
      <c r="AX50" s="236">
        <f t="shared" si="30"/>
        <v>151726.61983337661</v>
      </c>
      <c r="AY50" s="236">
        <f t="shared" si="30"/>
        <v>164797.78873393245</v>
      </c>
      <c r="AZ50" s="236">
        <f t="shared" si="30"/>
        <v>87415.24639283189</v>
      </c>
      <c r="BA50" s="236">
        <f t="shared" si="30"/>
        <v>109499.7584395611</v>
      </c>
      <c r="BB50" s="236">
        <f t="shared" si="30"/>
        <v>131584.27048629039</v>
      </c>
      <c r="BC50" s="236">
        <f t="shared" si="30"/>
        <v>153668.78253301981</v>
      </c>
      <c r="BD50" s="236">
        <f t="shared" si="30"/>
        <v>175753.29457974911</v>
      </c>
      <c r="BE50" s="236">
        <f t="shared" si="30"/>
        <v>197837.80662647862</v>
      </c>
      <c r="BF50" s="236">
        <f t="shared" si="30"/>
        <v>219922.3186732078</v>
      </c>
      <c r="BG50" s="236">
        <f t="shared" si="30"/>
        <v>242006.8307199369</v>
      </c>
      <c r="BH50" s="236">
        <f t="shared" si="30"/>
        <v>264091.34276666649</v>
      </c>
      <c r="BI50" s="236">
        <f t="shared" si="30"/>
        <v>286175.854813396</v>
      </c>
      <c r="BJ50" s="236">
        <f t="shared" si="30"/>
        <v>308260.36686012504</v>
      </c>
      <c r="BK50" s="236">
        <f t="shared" si="30"/>
        <v>330344.8789068546</v>
      </c>
      <c r="BL50" s="236">
        <f t="shared" si="30"/>
        <v>410624.28598199441</v>
      </c>
      <c r="BM50" s="236">
        <f t="shared" si="30"/>
        <v>464778.25604999601</v>
      </c>
      <c r="BN50" s="236">
        <f t="shared" si="30"/>
        <v>518932.2261179976</v>
      </c>
      <c r="BO50" s="236">
        <f t="shared" si="30"/>
        <v>573086.19618599839</v>
      </c>
      <c r="BP50" s="236">
        <f t="shared" si="30"/>
        <v>627240.16625399981</v>
      </c>
      <c r="BQ50" s="236">
        <f t="shared" ref="BQ50:BV50" si="31">BQ112</f>
        <v>681394.13632200053</v>
      </c>
      <c r="BR50" s="236">
        <f t="shared" si="31"/>
        <v>735548.10639000218</v>
      </c>
      <c r="BS50" s="236">
        <f t="shared" si="31"/>
        <v>789702.07645800372</v>
      </c>
      <c r="BT50" s="236">
        <f t="shared" si="31"/>
        <v>843856.04652600456</v>
      </c>
      <c r="BU50" s="236">
        <f t="shared" si="31"/>
        <v>898010.01659400656</v>
      </c>
      <c r="BV50" s="236">
        <f t="shared" si="31"/>
        <v>952163.98666200752</v>
      </c>
      <c r="BW50" s="236">
        <f>BW112</f>
        <v>1006317.9567300089</v>
      </c>
    </row>
    <row r="51" spans="2:75">
      <c r="B51" s="230" t="s">
        <v>271</v>
      </c>
      <c r="D51" s="238">
        <f t="shared" ref="D51:AI51" si="32">+D48-SUM(D49:D50)</f>
        <v>0</v>
      </c>
      <c r="E51" s="238">
        <f t="shared" si="32"/>
        <v>0</v>
      </c>
      <c r="F51" s="238">
        <f t="shared" si="32"/>
        <v>0</v>
      </c>
      <c r="G51" s="238">
        <f t="shared" si="32"/>
        <v>0</v>
      </c>
      <c r="H51" s="238">
        <f t="shared" si="32"/>
        <v>0</v>
      </c>
      <c r="I51" s="238">
        <f t="shared" si="32"/>
        <v>-44340.6732826273</v>
      </c>
      <c r="J51" s="238">
        <f t="shared" si="32"/>
        <v>-44181.3465652546</v>
      </c>
      <c r="K51" s="238">
        <f t="shared" si="32"/>
        <v>-44022.0198478819</v>
      </c>
      <c r="L51" s="238">
        <f t="shared" si="32"/>
        <v>-43862.6931305092</v>
      </c>
      <c r="M51" s="238">
        <f t="shared" si="32"/>
        <v>-43703.3664131365</v>
      </c>
      <c r="N51" s="238">
        <f t="shared" si="32"/>
        <v>-43544.0396957638</v>
      </c>
      <c r="O51" s="238">
        <f t="shared" si="32"/>
        <v>-43384.7129783911</v>
      </c>
      <c r="P51" s="238">
        <f t="shared" si="32"/>
        <v>-148637.64673335772</v>
      </c>
      <c r="Q51" s="238">
        <f t="shared" si="32"/>
        <v>-146916.57562300575</v>
      </c>
      <c r="R51" s="238">
        <f t="shared" si="32"/>
        <v>-145195.50451265363</v>
      </c>
      <c r="S51" s="238">
        <f t="shared" si="32"/>
        <v>-143474.43340230154</v>
      </c>
      <c r="T51" s="238">
        <f t="shared" si="32"/>
        <v>-141753.36229194942</v>
      </c>
      <c r="U51" s="238">
        <f t="shared" si="32"/>
        <v>-138325.62118159723</v>
      </c>
      <c r="V51" s="238">
        <f t="shared" si="32"/>
        <v>-136414.92007124514</v>
      </c>
      <c r="W51" s="238">
        <f t="shared" si="32"/>
        <v>-134504.21896089305</v>
      </c>
      <c r="X51" s="238">
        <f t="shared" si="32"/>
        <v>-137801.85118387433</v>
      </c>
      <c r="Y51" s="238">
        <f t="shared" si="32"/>
        <v>-135842.22032334009</v>
      </c>
      <c r="Z51" s="238">
        <f t="shared" si="32"/>
        <v>-133882.07977790816</v>
      </c>
      <c r="AA51" s="238">
        <f t="shared" si="32"/>
        <v>-131921.42423836081</v>
      </c>
      <c r="AB51" s="238">
        <f t="shared" si="32"/>
        <v>-142105.43026711431</v>
      </c>
      <c r="AC51" s="238">
        <f t="shared" si="32"/>
        <v>-125496.31137053245</v>
      </c>
      <c r="AD51" s="238">
        <f t="shared" si="32"/>
        <v>-108886.66121804554</v>
      </c>
      <c r="AE51" s="238">
        <f t="shared" si="32"/>
        <v>-92276.474275738103</v>
      </c>
      <c r="AF51" s="238">
        <f t="shared" si="32"/>
        <v>-75665.744952049325</v>
      </c>
      <c r="AG51" s="238">
        <f t="shared" si="32"/>
        <v>-59054.467597173418</v>
      </c>
      <c r="AH51" s="238">
        <f t="shared" si="32"/>
        <v>-42442.636502451998</v>
      </c>
      <c r="AI51" s="238">
        <f t="shared" si="32"/>
        <v>-25830.245899761492</v>
      </c>
      <c r="AJ51" s="238">
        <f t="shared" ref="AJ51:BO51" si="33">+AJ48-SUM(AJ49:AJ50)</f>
        <v>-9217.2899608942753</v>
      </c>
      <c r="AK51" s="238">
        <f t="shared" si="33"/>
        <v>7396.2372030682764</v>
      </c>
      <c r="AL51" s="238">
        <f t="shared" si="33"/>
        <v>24010.341542387636</v>
      </c>
      <c r="AM51" s="238">
        <f t="shared" si="33"/>
        <v>40625.029069307158</v>
      </c>
      <c r="AN51" s="238">
        <f t="shared" si="33"/>
        <v>95709.880418339628</v>
      </c>
      <c r="AO51" s="238">
        <f t="shared" si="33"/>
        <v>158011.29570986103</v>
      </c>
      <c r="AP51" s="238">
        <f t="shared" si="33"/>
        <v>220313.3126040943</v>
      </c>
      <c r="AQ51" s="238">
        <f t="shared" si="33"/>
        <v>282615.93736773368</v>
      </c>
      <c r="AR51" s="238">
        <f t="shared" si="33"/>
        <v>344919.17633275239</v>
      </c>
      <c r="AS51" s="238">
        <f t="shared" si="33"/>
        <v>407223.03589708154</v>
      </c>
      <c r="AT51" s="238">
        <f t="shared" si="33"/>
        <v>469527.52252529754</v>
      </c>
      <c r="AU51" s="238">
        <f t="shared" si="33"/>
        <v>531832.64274931524</v>
      </c>
      <c r="AV51" s="238">
        <f t="shared" si="33"/>
        <v>504273.99137628032</v>
      </c>
      <c r="AW51" s="238">
        <f t="shared" si="33"/>
        <v>517789.35952051112</v>
      </c>
      <c r="AX51" s="238">
        <f t="shared" si="33"/>
        <v>567025.2515068315</v>
      </c>
      <c r="AY51" s="238">
        <f t="shared" si="33"/>
        <v>616261.8039041477</v>
      </c>
      <c r="AZ51" s="238">
        <f t="shared" si="33"/>
        <v>325220.77653979597</v>
      </c>
      <c r="BA51" s="238">
        <f t="shared" si="33"/>
        <v>408366.00897087902</v>
      </c>
      <c r="BB51" s="238">
        <f t="shared" si="33"/>
        <v>491511.92266652652</v>
      </c>
      <c r="BC51" s="238">
        <f t="shared" si="33"/>
        <v>574658.52472324437</v>
      </c>
      <c r="BD51" s="238">
        <f t="shared" si="33"/>
        <v>657805.82231145946</v>
      </c>
      <c r="BE51" s="238">
        <f t="shared" si="33"/>
        <v>740953.82267629285</v>
      </c>
      <c r="BF51" s="238">
        <f t="shared" si="33"/>
        <v>824102.53313833242</v>
      </c>
      <c r="BG51" s="238">
        <f t="shared" si="33"/>
        <v>907251.96109442483</v>
      </c>
      <c r="BH51" s="238">
        <f t="shared" si="33"/>
        <v>990402.11401846865</v>
      </c>
      <c r="BI51" s="238">
        <f t="shared" si="33"/>
        <v>1073552.9994622113</v>
      </c>
      <c r="BJ51" s="238">
        <f t="shared" si="33"/>
        <v>1156704.6250560645</v>
      </c>
      <c r="BK51" s="238">
        <f t="shared" si="33"/>
        <v>1239856.9985099295</v>
      </c>
      <c r="BL51" s="238">
        <f t="shared" si="33"/>
        <v>1541933.7803399367</v>
      </c>
      <c r="BM51" s="238">
        <f t="shared" si="33"/>
        <v>1745729.9198075221</v>
      </c>
      <c r="BN51" s="238">
        <f t="shared" si="33"/>
        <v>1949526.8307500319</v>
      </c>
      <c r="BO51" s="238">
        <f t="shared" si="33"/>
        <v>2153324.5212036599</v>
      </c>
      <c r="BP51" s="238">
        <f t="shared" ref="BP51:BW51" si="34">+BP48-SUM(BP49:BP50)</f>
        <v>2357122.9992883187</v>
      </c>
      <c r="BQ51" s="238">
        <f t="shared" si="34"/>
        <v>2560922.2732084943</v>
      </c>
      <c r="BR51" s="238">
        <f t="shared" si="34"/>
        <v>2764722.3512541451</v>
      </c>
      <c r="BS51" s="238">
        <f t="shared" si="34"/>
        <v>2968523.2418015748</v>
      </c>
      <c r="BT51" s="238">
        <f t="shared" si="34"/>
        <v>3172324.9533143407</v>
      </c>
      <c r="BU51" s="238">
        <f t="shared" si="34"/>
        <v>3376127.4943441725</v>
      </c>
      <c r="BV51" s="238">
        <f t="shared" si="34"/>
        <v>3579930.873531865</v>
      </c>
      <c r="BW51" s="238">
        <f t="shared" si="34"/>
        <v>3783735.0996082341</v>
      </c>
    </row>
    <row r="52" spans="2:75"/>
    <row r="53" spans="2:75" ht="13.8" thickBot="1">
      <c r="B53" s="229" t="s">
        <v>272</v>
      </c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  <c r="AL53" s="229"/>
      <c r="AM53" s="229"/>
      <c r="AN53" s="229"/>
      <c r="AO53" s="229"/>
      <c r="AP53" s="229"/>
      <c r="AQ53" s="229"/>
      <c r="AR53" s="229"/>
      <c r="AS53" s="229"/>
      <c r="AT53" s="229"/>
      <c r="AU53" s="229"/>
      <c r="AV53" s="229"/>
      <c r="AW53" s="229"/>
      <c r="AX53" s="229"/>
      <c r="AY53" s="229"/>
      <c r="AZ53" s="229"/>
      <c r="BA53" s="229"/>
      <c r="BB53" s="229"/>
      <c r="BC53" s="229"/>
      <c r="BD53" s="229"/>
      <c r="BE53" s="229"/>
      <c r="BF53" s="229"/>
      <c r="BG53" s="229"/>
      <c r="BH53" s="229"/>
      <c r="BI53" s="229"/>
      <c r="BJ53" s="229"/>
      <c r="BK53" s="229"/>
      <c r="BL53" s="229"/>
      <c r="BM53" s="229"/>
      <c r="BN53" s="229"/>
      <c r="BO53" s="229"/>
      <c r="BP53" s="229"/>
      <c r="BQ53" s="229"/>
      <c r="BR53" s="229"/>
      <c r="BS53" s="229"/>
      <c r="BT53" s="229"/>
      <c r="BU53" s="229"/>
      <c r="BV53" s="229"/>
      <c r="BW53" s="229"/>
    </row>
    <row r="54" spans="2:75" ht="13.8" outlineLevel="1" thickTop="1">
      <c r="B54" s="230" t="s">
        <v>273</v>
      </c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7"/>
      <c r="AD54" s="237"/>
      <c r="AE54" s="237"/>
      <c r="AF54" s="237"/>
      <c r="AG54" s="237"/>
      <c r="AH54" s="237"/>
      <c r="AI54" s="237"/>
      <c r="AJ54" s="237"/>
      <c r="AK54" s="237"/>
      <c r="AL54" s="237"/>
      <c r="AM54" s="237"/>
      <c r="AN54" s="237"/>
      <c r="AO54" s="237"/>
      <c r="AP54" s="237"/>
      <c r="AQ54" s="237"/>
      <c r="AR54" s="237"/>
      <c r="AS54" s="237"/>
      <c r="AT54" s="237"/>
      <c r="AU54" s="237"/>
      <c r="AV54" s="237"/>
      <c r="AW54" s="237"/>
      <c r="AX54" s="237"/>
      <c r="AY54" s="237"/>
      <c r="AZ54" s="237"/>
      <c r="BA54" s="237"/>
      <c r="BB54" s="237"/>
      <c r="BC54" s="237"/>
      <c r="BD54" s="237"/>
      <c r="BE54" s="237"/>
      <c r="BF54" s="237"/>
      <c r="BG54" s="237"/>
      <c r="BH54" s="237"/>
      <c r="BI54" s="237"/>
      <c r="BJ54" s="237"/>
      <c r="BK54" s="237"/>
      <c r="BL54" s="237"/>
      <c r="BM54" s="237"/>
      <c r="BN54" s="237"/>
      <c r="BO54" s="237"/>
      <c r="BP54" s="237"/>
      <c r="BQ54" s="237"/>
      <c r="BR54" s="237"/>
      <c r="BS54" s="237"/>
      <c r="BT54" s="237"/>
      <c r="BU54" s="237"/>
      <c r="BV54" s="237"/>
      <c r="BW54" s="237"/>
    </row>
    <row r="55" spans="2:75" outlineLevel="1">
      <c r="B55" s="231" t="s">
        <v>274</v>
      </c>
    </row>
    <row r="56" spans="2:75" outlineLevel="1">
      <c r="B56" s="242" t="s">
        <v>275</v>
      </c>
      <c r="D56" s="243">
        <f t="shared" ref="D56:AA56" si="35">+D98</f>
        <v>0</v>
      </c>
      <c r="E56" s="243">
        <f t="shared" si="35"/>
        <v>0</v>
      </c>
      <c r="F56" s="243">
        <f t="shared" si="35"/>
        <v>0</v>
      </c>
      <c r="G56" s="243">
        <f t="shared" si="35"/>
        <v>0</v>
      </c>
      <c r="H56" s="243">
        <f t="shared" si="35"/>
        <v>0</v>
      </c>
      <c r="I56" s="243">
        <f t="shared" si="35"/>
        <v>-44342.83642259131</v>
      </c>
      <c r="J56" s="243">
        <f t="shared" si="35"/>
        <v>-88526.346127809928</v>
      </c>
      <c r="K56" s="243">
        <f t="shared" si="35"/>
        <v>-132550.52911565584</v>
      </c>
      <c r="L56" s="243">
        <f t="shared" si="35"/>
        <v>372584.61461387097</v>
      </c>
      <c r="M56" s="243">
        <f t="shared" si="35"/>
        <v>328879.08506077045</v>
      </c>
      <c r="N56" s="243">
        <f t="shared" si="35"/>
        <v>285332.88222504262</v>
      </c>
      <c r="O56" s="243">
        <f t="shared" si="35"/>
        <v>241946.00610668751</v>
      </c>
      <c r="P56" s="243">
        <f t="shared" si="35"/>
        <v>93223.019000224449</v>
      </c>
      <c r="Q56" s="243">
        <f t="shared" si="35"/>
        <v>-53727.385562240292</v>
      </c>
      <c r="R56" s="243">
        <f t="shared" si="35"/>
        <v>-198956.71901435292</v>
      </c>
      <c r="S56" s="243">
        <f t="shared" si="35"/>
        <v>-342464.98135611345</v>
      </c>
      <c r="T56" s="243">
        <f t="shared" si="35"/>
        <v>-484252.17258752184</v>
      </c>
      <c r="U56" s="243">
        <f t="shared" si="35"/>
        <v>-622630.47092775616</v>
      </c>
      <c r="V56" s="243">
        <f t="shared" si="35"/>
        <v>-759081.31418503565</v>
      </c>
      <c r="W56" s="243">
        <f t="shared" si="35"/>
        <v>-893621.45633196307</v>
      </c>
      <c r="X56" s="243">
        <f t="shared" si="35"/>
        <v>2463843.5132806441</v>
      </c>
      <c r="Y56" s="243">
        <f t="shared" si="35"/>
        <v>2323219.1840036032</v>
      </c>
      <c r="Z56" s="243">
        <f t="shared" si="35"/>
        <v>2184505.5558369146</v>
      </c>
      <c r="AA56" s="243">
        <f t="shared" si="35"/>
        <v>2047702.628780578</v>
      </c>
      <c r="AB56" s="243">
        <f t="shared" ref="AB56:BW56" si="36">+AB98</f>
        <v>1899694.530294487</v>
      </c>
      <c r="AC56" s="243">
        <f t="shared" si="36"/>
        <v>1768930.1823178015</v>
      </c>
      <c r="AD56" s="243">
        <f t="shared" si="36"/>
        <v>1654723.9526708254</v>
      </c>
      <c r="AE56" s="243">
        <f t="shared" si="36"/>
        <v>1557075.8413535585</v>
      </c>
      <c r="AF56" s="243">
        <f t="shared" si="36"/>
        <v>1475985.8483660009</v>
      </c>
      <c r="AG56" s="243">
        <f t="shared" si="36"/>
        <v>1411453.9737081525</v>
      </c>
      <c r="AH56" s="243">
        <f t="shared" si="36"/>
        <v>1363480.2173800135</v>
      </c>
      <c r="AI56" s="243">
        <f t="shared" si="36"/>
        <v>1332064.579381584</v>
      </c>
      <c r="AJ56" s="243">
        <f t="shared" si="36"/>
        <v>11317207.059712863</v>
      </c>
      <c r="AK56" s="243">
        <f t="shared" si="36"/>
        <v>11318907.658373851</v>
      </c>
      <c r="AL56" s="243">
        <f t="shared" si="36"/>
        <v>11337166.375364549</v>
      </c>
      <c r="AM56" s="243">
        <f t="shared" si="36"/>
        <v>11371983.210684957</v>
      </c>
      <c r="AN56" s="243">
        <f t="shared" si="36"/>
        <v>11459276.072691808</v>
      </c>
      <c r="AO56" s="243">
        <f t="shared" si="36"/>
        <v>11610471.680735752</v>
      </c>
      <c r="AP56" s="243">
        <f t="shared" si="36"/>
        <v>11823910.950210914</v>
      </c>
      <c r="AQ56" s="243">
        <f t="shared" si="36"/>
        <v>12099593.881117295</v>
      </c>
      <c r="AR56" s="243">
        <f t="shared" si="36"/>
        <v>12437520.473454896</v>
      </c>
      <c r="AS56" s="243">
        <f t="shared" si="36"/>
        <v>12837690.727223715</v>
      </c>
      <c r="AT56" s="243">
        <f t="shared" si="36"/>
        <v>13300104.642423753</v>
      </c>
      <c r="AU56" s="243">
        <f t="shared" si="36"/>
        <v>13824762.219055008</v>
      </c>
      <c r="AV56" s="243">
        <f t="shared" si="36"/>
        <v>39321799.045324668</v>
      </c>
      <c r="AW56" s="243">
        <f t="shared" si="36"/>
        <v>39832288.493885539</v>
      </c>
      <c r="AX56" s="243">
        <f t="shared" si="36"/>
        <v>40391950.434977077</v>
      </c>
      <c r="AY56" s="243">
        <f t="shared" si="36"/>
        <v>41000784.868599273</v>
      </c>
      <c r="AZ56" s="243">
        <f t="shared" si="36"/>
        <v>41310873.543964081</v>
      </c>
      <c r="BA56" s="243">
        <f t="shared" si="36"/>
        <v>41709263.336592101</v>
      </c>
      <c r="BB56" s="243">
        <f t="shared" si="36"/>
        <v>42190732.960253052</v>
      </c>
      <c r="BC56" s="243">
        <f t="shared" si="36"/>
        <v>42755282.414946936</v>
      </c>
      <c r="BD56" s="243">
        <f t="shared" si="36"/>
        <v>43402911.700673752</v>
      </c>
      <c r="BE56" s="243">
        <f t="shared" si="36"/>
        <v>44133620.817433506</v>
      </c>
      <c r="BF56" s="243">
        <f t="shared" si="36"/>
        <v>44947409.765226193</v>
      </c>
      <c r="BG56" s="243">
        <f t="shared" si="36"/>
        <v>45844278.544051811</v>
      </c>
      <c r="BH56" s="243">
        <f t="shared" si="36"/>
        <v>46824227.153910369</v>
      </c>
      <c r="BI56" s="243">
        <f t="shared" si="36"/>
        <v>47887255.594801858</v>
      </c>
      <c r="BJ56" s="243">
        <f t="shared" si="36"/>
        <v>49033363.866726279</v>
      </c>
      <c r="BK56" s="243">
        <f t="shared" si="36"/>
        <v>50262551.96968364</v>
      </c>
      <c r="BL56" s="243">
        <f t="shared" si="36"/>
        <v>51774643.024720423</v>
      </c>
      <c r="BM56" s="243">
        <f t="shared" si="36"/>
        <v>53504267.459770665</v>
      </c>
      <c r="BN56" s="243">
        <f t="shared" si="36"/>
        <v>55437613.972695768</v>
      </c>
      <c r="BO56" s="243">
        <f t="shared" si="36"/>
        <v>57574682.563495733</v>
      </c>
      <c r="BP56" s="243">
        <f t="shared" si="36"/>
        <v>59915473.232170559</v>
      </c>
      <c r="BQ56" s="243">
        <f t="shared" si="36"/>
        <v>62459985.978720248</v>
      </c>
      <c r="BR56" s="243">
        <f t="shared" si="36"/>
        <v>65208220.803144798</v>
      </c>
      <c r="BS56" s="243">
        <f t="shared" si="36"/>
        <v>68160177.705444217</v>
      </c>
      <c r="BT56" s="243">
        <f t="shared" si="36"/>
        <v>71315856.68561849</v>
      </c>
      <c r="BU56" s="243">
        <f t="shared" si="36"/>
        <v>74675257.743667632</v>
      </c>
      <c r="BV56" s="243">
        <f t="shared" si="36"/>
        <v>78238380.879591629</v>
      </c>
      <c r="BW56" s="243">
        <f t="shared" si="36"/>
        <v>82005226.093390495</v>
      </c>
    </row>
    <row r="57" spans="2:75" ht="13.8" outlineLevel="1" thickBot="1">
      <c r="B57" s="244" t="s">
        <v>276</v>
      </c>
      <c r="D57" s="295">
        <f>Model!M77</f>
        <v>0</v>
      </c>
      <c r="E57" s="295">
        <f>Model!N77</f>
        <v>0</v>
      </c>
      <c r="F57" s="295">
        <f>Model!O77</f>
        <v>0</v>
      </c>
      <c r="G57" s="295">
        <f>Model!P77</f>
        <v>0</v>
      </c>
      <c r="H57" s="295">
        <f>Model!Q77</f>
        <v>0</v>
      </c>
      <c r="I57" s="295">
        <f>Model!R77</f>
        <v>3.3271933341539612</v>
      </c>
      <c r="J57" s="295">
        <f>Model!S77</f>
        <v>6.6543866683079225</v>
      </c>
      <c r="K57" s="295">
        <f>Model!T77</f>
        <v>9.9815800024618859</v>
      </c>
      <c r="L57" s="295">
        <f>Model!U77</f>
        <v>13.308773336615845</v>
      </c>
      <c r="M57" s="295">
        <f>Model!V77</f>
        <v>16.635966670769811</v>
      </c>
      <c r="N57" s="295">
        <f>Model!W77</f>
        <v>19.963160004923772</v>
      </c>
      <c r="O57" s="295">
        <f>Model!X77</f>
        <v>23.290353339077733</v>
      </c>
      <c r="P57" s="295">
        <f>Model!Y77</f>
        <v>153.40434874355955</v>
      </c>
      <c r="Q57" s="295">
        <f>Model!Z77</f>
        <v>205.00727478150773</v>
      </c>
      <c r="R57" s="295">
        <f>Model!AA77</f>
        <v>256.61020081945594</v>
      </c>
      <c r="S57" s="295">
        <f>Model!AB77</f>
        <v>308.21312685740406</v>
      </c>
      <c r="T57" s="295">
        <f>Model!AC77</f>
        <v>359.81605289535219</v>
      </c>
      <c r="U57" s="295">
        <f>Model!AD77</f>
        <v>436.79158167302649</v>
      </c>
      <c r="V57" s="295">
        <f>Model!AE77</f>
        <v>491.21368579316658</v>
      </c>
      <c r="W57" s="295">
        <f>Model!AF77</f>
        <v>545.63578991330655</v>
      </c>
      <c r="X57" s="295">
        <f>Model!AG77</f>
        <v>600.05789403344647</v>
      </c>
      <c r="Y57" s="295">
        <f>Model!AH77</f>
        <v>654.47999815358651</v>
      </c>
      <c r="Z57" s="295">
        <f>Model!AI77</f>
        <v>708.90210227372654</v>
      </c>
      <c r="AA57" s="295">
        <f>Model!AJ77</f>
        <v>763.32420639386635</v>
      </c>
      <c r="AB57" s="295">
        <f>Model!AK77</f>
        <v>2293.8572138163659</v>
      </c>
      <c r="AC57" s="295">
        <f>Model!AL77</f>
        <v>2781.5195353401891</v>
      </c>
      <c r="AD57" s="295">
        <f>Model!AM77</f>
        <v>3269.1818568640119</v>
      </c>
      <c r="AE57" s="295">
        <f>Model!AN77</f>
        <v>3756.8441783878352</v>
      </c>
      <c r="AF57" s="295">
        <f>Model!AO77</f>
        <v>4244.5064999116576</v>
      </c>
      <c r="AG57" s="295">
        <f>Model!AP77</f>
        <v>4732.1688214354808</v>
      </c>
      <c r="AH57" s="295">
        <f>Model!AQ77</f>
        <v>5219.8311429593032</v>
      </c>
      <c r="AI57" s="295">
        <f>Model!AR77</f>
        <v>5707.4934644831264</v>
      </c>
      <c r="AJ57" s="295">
        <f>Model!AS77</f>
        <v>6195.1557860069497</v>
      </c>
      <c r="AK57" s="295">
        <f>Model!AT77</f>
        <v>6682.818107530773</v>
      </c>
      <c r="AL57" s="295">
        <f>Model!AU77</f>
        <v>7170.4804290545962</v>
      </c>
      <c r="AM57" s="295">
        <f>Model!AV77</f>
        <v>7658.1427505784195</v>
      </c>
      <c r="AN57" s="295">
        <f>Model!AW77</f>
        <v>12025.966365092369</v>
      </c>
      <c r="AO57" s="295">
        <f>Model!AX77</f>
        <v>13870.68180181553</v>
      </c>
      <c r="AP57" s="295">
        <f>Model!AY77</f>
        <v>15715.39723853869</v>
      </c>
      <c r="AQ57" s="295">
        <f>Model!AZ77</f>
        <v>17560.112675261855</v>
      </c>
      <c r="AR57" s="295">
        <f>Model!BA77</f>
        <v>19404.828111985018</v>
      </c>
      <c r="AS57" s="295">
        <f>Model!BB77</f>
        <v>21249.543548708178</v>
      </c>
      <c r="AT57" s="295">
        <f>Model!BC77</f>
        <v>23094.258985431345</v>
      </c>
      <c r="AU57" s="295">
        <f>Model!BD77</f>
        <v>24938.974422154501</v>
      </c>
      <c r="AV57" s="295">
        <f>Model!BE77</f>
        <v>26783.689858877664</v>
      </c>
      <c r="AW57" s="295">
        <f>Model!BF77</f>
        <v>28628.405295600827</v>
      </c>
      <c r="AX57" s="295">
        <f>Model!BG77</f>
        <v>30473.120732323998</v>
      </c>
      <c r="AY57" s="295">
        <f>Model!BH77</f>
        <v>32317.836169047157</v>
      </c>
      <c r="AZ57" s="295">
        <f>Model!BI77</f>
        <v>45792.339916230805</v>
      </c>
      <c r="BA57" s="295">
        <f>Model!BJ77</f>
        <v>51316.127296016908</v>
      </c>
      <c r="BB57" s="295">
        <f>Model!BK77</f>
        <v>56839.914675803011</v>
      </c>
      <c r="BC57" s="295">
        <f>Model!BL77</f>
        <v>62363.702055589121</v>
      </c>
      <c r="BD57" s="295">
        <f>Model!BM77</f>
        <v>67887.489435375232</v>
      </c>
      <c r="BE57" s="295">
        <f>Model!BN77</f>
        <v>73411.276815161356</v>
      </c>
      <c r="BF57" s="295">
        <f>Model!BO77</f>
        <v>78935.064194947467</v>
      </c>
      <c r="BG57" s="295">
        <f>Model!BP77</f>
        <v>84458.851574733562</v>
      </c>
      <c r="BH57" s="295">
        <f>Model!BQ77</f>
        <v>89982.638954519673</v>
      </c>
      <c r="BI57" s="295">
        <f>Model!BR77</f>
        <v>95506.426334305783</v>
      </c>
      <c r="BJ57" s="295">
        <f>Model!BS77</f>
        <v>101030.21371409186</v>
      </c>
      <c r="BK57" s="295">
        <f>Model!BT77</f>
        <v>106554.00109387799</v>
      </c>
      <c r="BL57" s="295">
        <f>Model!BU77</f>
        <v>141140.04451056605</v>
      </c>
      <c r="BM57" s="295">
        <f>Model!BV77</f>
        <v>154708.88902069672</v>
      </c>
      <c r="BN57" s="295">
        <f>Model!BW77</f>
        <v>168277.73353082739</v>
      </c>
      <c r="BO57" s="295">
        <f>Model!BX77</f>
        <v>181846.57804095803</v>
      </c>
      <c r="BP57" s="295">
        <f>Model!BY77</f>
        <v>195415.4225510887</v>
      </c>
      <c r="BQ57" s="295">
        <f>Model!BZ77</f>
        <v>208984.26706121932</v>
      </c>
      <c r="BR57" s="295">
        <f>Model!CA77</f>
        <v>222553.11157134999</v>
      </c>
      <c r="BS57" s="295">
        <f>Model!CB77</f>
        <v>236121.95608148069</v>
      </c>
      <c r="BT57" s="295">
        <f>Model!CC77</f>
        <v>249690.80059161133</v>
      </c>
      <c r="BU57" s="295">
        <f>Model!CD77</f>
        <v>263259.645101742</v>
      </c>
      <c r="BV57" s="295">
        <f>Model!CE77</f>
        <v>276828.48961187259</v>
      </c>
      <c r="BW57" s="295">
        <f>Model!CF77</f>
        <v>290397.33412200329</v>
      </c>
    </row>
    <row r="58" spans="2:75" outlineLevel="1">
      <c r="B58" s="231" t="s">
        <v>274</v>
      </c>
      <c r="D58" s="243">
        <f t="shared" ref="D58:AA58" si="37">+SUM(D56:D57)</f>
        <v>0</v>
      </c>
      <c r="E58" s="243">
        <f t="shared" si="37"/>
        <v>0</v>
      </c>
      <c r="F58" s="243">
        <f t="shared" si="37"/>
        <v>0</v>
      </c>
      <c r="G58" s="243">
        <f t="shared" si="37"/>
        <v>0</v>
      </c>
      <c r="H58" s="243">
        <f t="shared" si="37"/>
        <v>0</v>
      </c>
      <c r="I58" s="243">
        <f t="shared" si="37"/>
        <v>-44339.509229257157</v>
      </c>
      <c r="J58" s="243">
        <f t="shared" si="37"/>
        <v>-88519.691741141622</v>
      </c>
      <c r="K58" s="243">
        <f t="shared" si="37"/>
        <v>-132540.54753565337</v>
      </c>
      <c r="L58" s="243">
        <f t="shared" si="37"/>
        <v>372597.92338720761</v>
      </c>
      <c r="M58" s="243">
        <f t="shared" si="37"/>
        <v>328895.72102744121</v>
      </c>
      <c r="N58" s="243">
        <f t="shared" si="37"/>
        <v>285352.84538504755</v>
      </c>
      <c r="O58" s="243">
        <f t="shared" si="37"/>
        <v>241969.29646002658</v>
      </c>
      <c r="P58" s="243">
        <f t="shared" si="37"/>
        <v>93376.423348968005</v>
      </c>
      <c r="Q58" s="243">
        <f t="shared" si="37"/>
        <v>-53522.378287458785</v>
      </c>
      <c r="R58" s="243">
        <f t="shared" si="37"/>
        <v>-198700.10881353347</v>
      </c>
      <c r="S58" s="243">
        <f t="shared" si="37"/>
        <v>-342156.76822925603</v>
      </c>
      <c r="T58" s="243">
        <f t="shared" si="37"/>
        <v>-483892.35653462651</v>
      </c>
      <c r="U58" s="243">
        <f t="shared" si="37"/>
        <v>-622193.67934608308</v>
      </c>
      <c r="V58" s="243">
        <f t="shared" si="37"/>
        <v>-758590.10049924243</v>
      </c>
      <c r="W58" s="243">
        <f t="shared" si="37"/>
        <v>-893075.82054204971</v>
      </c>
      <c r="X58" s="243">
        <f t="shared" si="37"/>
        <v>2464443.5711746775</v>
      </c>
      <c r="Y58" s="243">
        <f t="shared" si="37"/>
        <v>2323873.6640017568</v>
      </c>
      <c r="Z58" s="243">
        <f t="shared" si="37"/>
        <v>2185214.4579391885</v>
      </c>
      <c r="AA58" s="243">
        <f t="shared" si="37"/>
        <v>2048465.9529869719</v>
      </c>
      <c r="AB58" s="243">
        <f t="shared" ref="AB58" si="38">+SUM(AB56:AB57)</f>
        <v>1901988.3875083034</v>
      </c>
      <c r="AC58" s="243">
        <f t="shared" ref="AC58" si="39">+SUM(AC56:AC57)</f>
        <v>1771711.7018531417</v>
      </c>
      <c r="AD58" s="243">
        <f t="shared" ref="AD58" si="40">+SUM(AD56:AD57)</f>
        <v>1657993.1345276893</v>
      </c>
      <c r="AE58" s="243">
        <f t="shared" ref="AE58" si="41">+SUM(AE56:AE57)</f>
        <v>1560832.6855319464</v>
      </c>
      <c r="AF58" s="243">
        <f t="shared" ref="AF58" si="42">+SUM(AF56:AF57)</f>
        <v>1480230.3548659126</v>
      </c>
      <c r="AG58" s="243">
        <f t="shared" ref="AG58" si="43">+SUM(AG56:AG57)</f>
        <v>1416186.142529588</v>
      </c>
      <c r="AH58" s="243">
        <f t="shared" ref="AH58" si="44">+SUM(AH56:AH57)</f>
        <v>1368700.048522973</v>
      </c>
      <c r="AI58" s="243">
        <f t="shared" ref="AI58" si="45">+SUM(AI56:AI57)</f>
        <v>1337772.0728460671</v>
      </c>
      <c r="AJ58" s="243">
        <f t="shared" ref="AJ58" si="46">+SUM(AJ56:AJ57)</f>
        <v>11323402.21549887</v>
      </c>
      <c r="AK58" s="243">
        <f t="shared" ref="AK58" si="47">+SUM(AK56:AK57)</f>
        <v>11325590.476481382</v>
      </c>
      <c r="AL58" s="243">
        <f t="shared" ref="AL58" si="48">+SUM(AL56:AL57)</f>
        <v>11344336.855793605</v>
      </c>
      <c r="AM58" s="243">
        <f t="shared" ref="AM58" si="49">+SUM(AM56:AM57)</f>
        <v>11379641.353435535</v>
      </c>
      <c r="AN58" s="243">
        <f t="shared" ref="AN58" si="50">+SUM(AN56:AN57)</f>
        <v>11471302.039056899</v>
      </c>
      <c r="AO58" s="243">
        <f t="shared" ref="AO58" si="51">+SUM(AO56:AO57)</f>
        <v>11624342.362537568</v>
      </c>
      <c r="AP58" s="243">
        <f t="shared" ref="AP58" si="52">+SUM(AP56:AP57)</f>
        <v>11839626.347449454</v>
      </c>
      <c r="AQ58" s="243">
        <f t="shared" ref="AQ58" si="53">+SUM(AQ56:AQ57)</f>
        <v>12117153.993792558</v>
      </c>
      <c r="AR58" s="243">
        <f t="shared" ref="AR58" si="54">+SUM(AR56:AR57)</f>
        <v>12456925.301566882</v>
      </c>
      <c r="AS58" s="243">
        <f t="shared" ref="AS58" si="55">+SUM(AS56:AS57)</f>
        <v>12858940.270772424</v>
      </c>
      <c r="AT58" s="243">
        <f t="shared" ref="AT58" si="56">+SUM(AT56:AT57)</f>
        <v>13323198.901409185</v>
      </c>
      <c r="AU58" s="243">
        <f t="shared" ref="AU58" si="57">+SUM(AU56:AU57)</f>
        <v>13849701.193477163</v>
      </c>
      <c r="AV58" s="243">
        <f t="shared" ref="AV58" si="58">+SUM(AV56:AV57)</f>
        <v>39348582.735183544</v>
      </c>
      <c r="AW58" s="243">
        <f t="shared" ref="AW58" si="59">+SUM(AW56:AW57)</f>
        <v>39860916.899181142</v>
      </c>
      <c r="AX58" s="243">
        <f t="shared" ref="AX58" si="60">+SUM(AX56:AX57)</f>
        <v>40422423.555709399</v>
      </c>
      <c r="AY58" s="243">
        <f t="shared" ref="AY58" si="61">+SUM(AY56:AY57)</f>
        <v>41033102.704768322</v>
      </c>
      <c r="AZ58" s="243">
        <f t="shared" ref="AZ58" si="62">+SUM(AZ56:AZ57)</f>
        <v>41356665.88388031</v>
      </c>
      <c r="BA58" s="243">
        <f t="shared" ref="BA58" si="63">+SUM(BA56:BA57)</f>
        <v>41760579.463888116</v>
      </c>
      <c r="BB58" s="243">
        <f t="shared" ref="BB58" si="64">+SUM(BB56:BB57)</f>
        <v>42247572.874928854</v>
      </c>
      <c r="BC58" s="243">
        <f t="shared" ref="BC58" si="65">+SUM(BC56:BC57)</f>
        <v>42817646.117002524</v>
      </c>
      <c r="BD58" s="243">
        <f t="shared" ref="BD58" si="66">+SUM(BD56:BD57)</f>
        <v>43470799.190109126</v>
      </c>
      <c r="BE58" s="243">
        <f t="shared" ref="BE58" si="67">+SUM(BE56:BE57)</f>
        <v>44207032.094248667</v>
      </c>
      <c r="BF58" s="243">
        <f t="shared" ref="BF58" si="68">+SUM(BF56:BF57)</f>
        <v>45026344.82942114</v>
      </c>
      <c r="BG58" s="243">
        <f t="shared" ref="BG58" si="69">+SUM(BG56:BG57)</f>
        <v>45928737.395626545</v>
      </c>
      <c r="BH58" s="243">
        <f t="shared" ref="BH58" si="70">+SUM(BH56:BH57)</f>
        <v>46914209.792864889</v>
      </c>
      <c r="BI58" s="243">
        <f t="shared" ref="BI58" si="71">+SUM(BI56:BI57)</f>
        <v>47982762.021136165</v>
      </c>
      <c r="BJ58" s="243">
        <f t="shared" ref="BJ58" si="72">+SUM(BJ56:BJ57)</f>
        <v>49134394.080440372</v>
      </c>
      <c r="BK58" s="243">
        <f t="shared" ref="BK58" si="73">+SUM(BK56:BK57)</f>
        <v>50369105.970777519</v>
      </c>
      <c r="BL58" s="243">
        <f t="shared" ref="BL58" si="74">+SUM(BL56:BL57)</f>
        <v>51915783.069230989</v>
      </c>
      <c r="BM58" s="243">
        <f t="shared" ref="BM58" si="75">+SUM(BM56:BM57)</f>
        <v>53658976.348791361</v>
      </c>
      <c r="BN58" s="243">
        <f t="shared" ref="BN58" si="76">+SUM(BN56:BN57)</f>
        <v>55605891.706226595</v>
      </c>
      <c r="BO58" s="243">
        <f t="shared" ref="BO58" si="77">+SUM(BO56:BO57)</f>
        <v>57756529.14153669</v>
      </c>
      <c r="BP58" s="243">
        <f t="shared" ref="BP58" si="78">+SUM(BP56:BP57)</f>
        <v>60110888.654721648</v>
      </c>
      <c r="BQ58" s="243">
        <f t="shared" ref="BQ58" si="79">+SUM(BQ56:BQ57)</f>
        <v>62668970.245781466</v>
      </c>
      <c r="BR58" s="243">
        <f t="shared" ref="BR58" si="80">+SUM(BR56:BR57)</f>
        <v>65430773.914716147</v>
      </c>
      <c r="BS58" s="243">
        <f t="shared" ref="BS58" si="81">+SUM(BS56:BS57)</f>
        <v>68396299.661525697</v>
      </c>
      <c r="BT58" s="243">
        <f t="shared" ref="BT58" si="82">+SUM(BT56:BT57)</f>
        <v>71565547.486210108</v>
      </c>
      <c r="BU58" s="243">
        <f t="shared" ref="BU58" si="83">+SUM(BU56:BU57)</f>
        <v>74938517.388769373</v>
      </c>
      <c r="BV58" s="243">
        <f t="shared" ref="BV58" si="84">+SUM(BV56:BV57)</f>
        <v>78515209.369203508</v>
      </c>
      <c r="BW58" s="243">
        <f t="shared" ref="BW58" si="85">+SUM(BW56:BW57)</f>
        <v>82295623.427512497</v>
      </c>
    </row>
    <row r="59" spans="2:75" outlineLevel="1" collapsed="1">
      <c r="B59" s="230" t="s">
        <v>273</v>
      </c>
      <c r="C59" s="237"/>
      <c r="D59" s="296">
        <f>+D58</f>
        <v>0</v>
      </c>
      <c r="E59" s="296">
        <f t="shared" ref="E59:AA59" si="86">+E58</f>
        <v>0</v>
      </c>
      <c r="F59" s="296">
        <f t="shared" si="86"/>
        <v>0</v>
      </c>
      <c r="G59" s="296">
        <f t="shared" si="86"/>
        <v>0</v>
      </c>
      <c r="H59" s="296">
        <f t="shared" si="86"/>
        <v>0</v>
      </c>
      <c r="I59" s="296">
        <f t="shared" si="86"/>
        <v>-44339.509229257157</v>
      </c>
      <c r="J59" s="296">
        <f t="shared" si="86"/>
        <v>-88519.691741141622</v>
      </c>
      <c r="K59" s="296">
        <f t="shared" si="86"/>
        <v>-132540.54753565337</v>
      </c>
      <c r="L59" s="296">
        <f t="shared" si="86"/>
        <v>372597.92338720761</v>
      </c>
      <c r="M59" s="296">
        <f t="shared" si="86"/>
        <v>328895.72102744121</v>
      </c>
      <c r="N59" s="296">
        <f t="shared" si="86"/>
        <v>285352.84538504755</v>
      </c>
      <c r="O59" s="296">
        <f t="shared" si="86"/>
        <v>241969.29646002658</v>
      </c>
      <c r="P59" s="296">
        <f t="shared" si="86"/>
        <v>93376.423348968005</v>
      </c>
      <c r="Q59" s="296">
        <f t="shared" si="86"/>
        <v>-53522.378287458785</v>
      </c>
      <c r="R59" s="296">
        <f t="shared" si="86"/>
        <v>-198700.10881353347</v>
      </c>
      <c r="S59" s="296">
        <f t="shared" si="86"/>
        <v>-342156.76822925603</v>
      </c>
      <c r="T59" s="296">
        <f t="shared" si="86"/>
        <v>-483892.35653462651</v>
      </c>
      <c r="U59" s="296">
        <f t="shared" si="86"/>
        <v>-622193.67934608308</v>
      </c>
      <c r="V59" s="296">
        <f t="shared" si="86"/>
        <v>-758590.10049924243</v>
      </c>
      <c r="W59" s="296">
        <f t="shared" si="86"/>
        <v>-893075.82054204971</v>
      </c>
      <c r="X59" s="296">
        <f t="shared" si="86"/>
        <v>2464443.5711746775</v>
      </c>
      <c r="Y59" s="296">
        <f t="shared" si="86"/>
        <v>2323873.6640017568</v>
      </c>
      <c r="Z59" s="296">
        <f t="shared" si="86"/>
        <v>2185214.4579391885</v>
      </c>
      <c r="AA59" s="296">
        <f t="shared" si="86"/>
        <v>2048465.9529869719</v>
      </c>
      <c r="AB59" s="296">
        <f t="shared" ref="AB59:BW59" si="87">+AB58</f>
        <v>1901988.3875083034</v>
      </c>
      <c r="AC59" s="296">
        <f t="shared" si="87"/>
        <v>1771711.7018531417</v>
      </c>
      <c r="AD59" s="296">
        <f t="shared" si="87"/>
        <v>1657993.1345276893</v>
      </c>
      <c r="AE59" s="296">
        <f t="shared" si="87"/>
        <v>1560832.6855319464</v>
      </c>
      <c r="AF59" s="296">
        <f t="shared" si="87"/>
        <v>1480230.3548659126</v>
      </c>
      <c r="AG59" s="296">
        <f t="shared" si="87"/>
        <v>1416186.142529588</v>
      </c>
      <c r="AH59" s="296">
        <f t="shared" si="87"/>
        <v>1368700.048522973</v>
      </c>
      <c r="AI59" s="296">
        <f t="shared" si="87"/>
        <v>1337772.0728460671</v>
      </c>
      <c r="AJ59" s="296">
        <f t="shared" si="87"/>
        <v>11323402.21549887</v>
      </c>
      <c r="AK59" s="296">
        <f t="shared" si="87"/>
        <v>11325590.476481382</v>
      </c>
      <c r="AL59" s="296">
        <f t="shared" si="87"/>
        <v>11344336.855793605</v>
      </c>
      <c r="AM59" s="296">
        <f t="shared" si="87"/>
        <v>11379641.353435535</v>
      </c>
      <c r="AN59" s="296">
        <f t="shared" si="87"/>
        <v>11471302.039056899</v>
      </c>
      <c r="AO59" s="296">
        <f t="shared" si="87"/>
        <v>11624342.362537568</v>
      </c>
      <c r="AP59" s="296">
        <f t="shared" si="87"/>
        <v>11839626.347449454</v>
      </c>
      <c r="AQ59" s="296">
        <f t="shared" si="87"/>
        <v>12117153.993792558</v>
      </c>
      <c r="AR59" s="296">
        <f t="shared" si="87"/>
        <v>12456925.301566882</v>
      </c>
      <c r="AS59" s="296">
        <f t="shared" si="87"/>
        <v>12858940.270772424</v>
      </c>
      <c r="AT59" s="296">
        <f t="shared" si="87"/>
        <v>13323198.901409185</v>
      </c>
      <c r="AU59" s="296">
        <f t="shared" si="87"/>
        <v>13849701.193477163</v>
      </c>
      <c r="AV59" s="296">
        <f t="shared" si="87"/>
        <v>39348582.735183544</v>
      </c>
      <c r="AW59" s="296">
        <f t="shared" si="87"/>
        <v>39860916.899181142</v>
      </c>
      <c r="AX59" s="296">
        <f t="shared" si="87"/>
        <v>40422423.555709399</v>
      </c>
      <c r="AY59" s="296">
        <f t="shared" si="87"/>
        <v>41033102.704768322</v>
      </c>
      <c r="AZ59" s="296">
        <f t="shared" si="87"/>
        <v>41356665.88388031</v>
      </c>
      <c r="BA59" s="296">
        <f t="shared" si="87"/>
        <v>41760579.463888116</v>
      </c>
      <c r="BB59" s="296">
        <f t="shared" si="87"/>
        <v>42247572.874928854</v>
      </c>
      <c r="BC59" s="296">
        <f t="shared" si="87"/>
        <v>42817646.117002524</v>
      </c>
      <c r="BD59" s="296">
        <f t="shared" si="87"/>
        <v>43470799.190109126</v>
      </c>
      <c r="BE59" s="296">
        <f t="shared" si="87"/>
        <v>44207032.094248667</v>
      </c>
      <c r="BF59" s="296">
        <f t="shared" si="87"/>
        <v>45026344.82942114</v>
      </c>
      <c r="BG59" s="296">
        <f t="shared" si="87"/>
        <v>45928737.395626545</v>
      </c>
      <c r="BH59" s="296">
        <f t="shared" si="87"/>
        <v>46914209.792864889</v>
      </c>
      <c r="BI59" s="296">
        <f t="shared" si="87"/>
        <v>47982762.021136165</v>
      </c>
      <c r="BJ59" s="296">
        <f t="shared" si="87"/>
        <v>49134394.080440372</v>
      </c>
      <c r="BK59" s="296">
        <f t="shared" si="87"/>
        <v>50369105.970777519</v>
      </c>
      <c r="BL59" s="296">
        <f t="shared" si="87"/>
        <v>51915783.069230989</v>
      </c>
      <c r="BM59" s="296">
        <f t="shared" si="87"/>
        <v>53658976.348791361</v>
      </c>
      <c r="BN59" s="296">
        <f t="shared" si="87"/>
        <v>55605891.706226595</v>
      </c>
      <c r="BO59" s="296">
        <f t="shared" si="87"/>
        <v>57756529.14153669</v>
      </c>
      <c r="BP59" s="296">
        <f t="shared" si="87"/>
        <v>60110888.654721648</v>
      </c>
      <c r="BQ59" s="296">
        <f t="shared" si="87"/>
        <v>62668970.245781466</v>
      </c>
      <c r="BR59" s="296">
        <f t="shared" si="87"/>
        <v>65430773.914716147</v>
      </c>
      <c r="BS59" s="296">
        <f t="shared" si="87"/>
        <v>68396299.661525697</v>
      </c>
      <c r="BT59" s="296">
        <f t="shared" si="87"/>
        <v>71565547.486210108</v>
      </c>
      <c r="BU59" s="296">
        <f t="shared" si="87"/>
        <v>74938517.388769373</v>
      </c>
      <c r="BV59" s="296">
        <f t="shared" si="87"/>
        <v>78515209.369203508</v>
      </c>
      <c r="BW59" s="296">
        <f t="shared" si="87"/>
        <v>82295623.427512497</v>
      </c>
    </row>
    <row r="60" spans="2:75" outlineLevel="2">
      <c r="B60" s="227" t="s">
        <v>277</v>
      </c>
    </row>
    <row r="61" spans="2:75" outlineLevel="2">
      <c r="B61" s="231" t="s">
        <v>278</v>
      </c>
    </row>
    <row r="62" spans="2:75" ht="13.8" outlineLevel="2" thickBot="1">
      <c r="B62" s="242" t="s">
        <v>279</v>
      </c>
      <c r="D62" s="295">
        <f>Model!M78</f>
        <v>0</v>
      </c>
      <c r="E62" s="295">
        <f>Model!N78</f>
        <v>0</v>
      </c>
      <c r="F62" s="295">
        <f>Model!O78</f>
        <v>0</v>
      </c>
      <c r="G62" s="295">
        <f>Model!P78</f>
        <v>0</v>
      </c>
      <c r="H62" s="295">
        <f>Model!Q78</f>
        <v>0</v>
      </c>
      <c r="I62" s="295">
        <f>Model!R78</f>
        <v>1.164053370144372</v>
      </c>
      <c r="J62" s="295">
        <f>Model!S78</f>
        <v>2.3281067402887441</v>
      </c>
      <c r="K62" s="295">
        <f>Model!T78</f>
        <v>3.4921601104331161</v>
      </c>
      <c r="L62" s="295">
        <f>Model!U78</f>
        <v>4.6562134805774882</v>
      </c>
      <c r="M62" s="295">
        <f>Model!V78</f>
        <v>5.8202668507218611</v>
      </c>
      <c r="N62" s="295">
        <f>Model!W78</f>
        <v>6.9843202208662323</v>
      </c>
      <c r="O62" s="295">
        <f>Model!X78</f>
        <v>8.1483735910106034</v>
      </c>
      <c r="P62" s="295">
        <f>Model!Y78</f>
        <v>52.921995890159749</v>
      </c>
      <c r="Q62" s="295">
        <f>Model!Z78</f>
        <v>70.69598246911967</v>
      </c>
      <c r="R62" s="295">
        <f>Model!AA78</f>
        <v>88.469969048079619</v>
      </c>
      <c r="S62" s="295">
        <f>Model!AB78</f>
        <v>106.24395562703951</v>
      </c>
      <c r="T62" s="295">
        <f>Model!AC78</f>
        <v>124.01794220599945</v>
      </c>
      <c r="U62" s="295">
        <f>Model!AD78</f>
        <v>148.31631234660321</v>
      </c>
      <c r="V62" s="295">
        <f>Model!AE78</f>
        <v>166.81523043241248</v>
      </c>
      <c r="W62" s="295">
        <f>Model!AF78</f>
        <v>185.31414851822171</v>
      </c>
      <c r="X62" s="295">
        <f>Model!AG78</f>
        <v>203.81306660403098</v>
      </c>
      <c r="Y62" s="295">
        <f>Model!AH78</f>
        <v>222.31198468984022</v>
      </c>
      <c r="Z62" s="295">
        <f>Model!AI78</f>
        <v>240.81090277564945</v>
      </c>
      <c r="AA62" s="295">
        <f>Model!AJ78</f>
        <v>259.30982086145872</v>
      </c>
      <c r="AB62" s="295">
        <f>Model!AK78</f>
        <v>783.2290290814625</v>
      </c>
      <c r="AC62" s="295">
        <f>Model!AL78</f>
        <v>949.9097310990237</v>
      </c>
      <c r="AD62" s="295">
        <f>Model!AM78</f>
        <v>1116.590433116585</v>
      </c>
      <c r="AE62" s="295">
        <f>Model!AN78</f>
        <v>1283.2711351341463</v>
      </c>
      <c r="AF62" s="295">
        <f>Model!AO78</f>
        <v>1449.9518371517074</v>
      </c>
      <c r="AG62" s="295">
        <f>Model!AP78</f>
        <v>1616.6325391692687</v>
      </c>
      <c r="AH62" s="295">
        <f>Model!AQ78</f>
        <v>1783.3132411868296</v>
      </c>
      <c r="AI62" s="295">
        <f>Model!AR78</f>
        <v>1949.9939432043911</v>
      </c>
      <c r="AJ62" s="295">
        <f>Model!AS78</f>
        <v>2116.6746452219527</v>
      </c>
      <c r="AK62" s="295">
        <f>Model!AT78</f>
        <v>2283.3553472395138</v>
      </c>
      <c r="AL62" s="295">
        <f>Model!AU78</f>
        <v>2450.0360492570749</v>
      </c>
      <c r="AM62" s="295">
        <f>Model!AV78</f>
        <v>2616.7167512746364</v>
      </c>
      <c r="AN62" s="295">
        <f>Model!AW78</f>
        <v>4111.8925433741342</v>
      </c>
      <c r="AO62" s="295">
        <f>Model!AX78</f>
        <v>4743.0447635578876</v>
      </c>
      <c r="AP62" s="295">
        <f>Model!AY78</f>
        <v>5374.1969837416418</v>
      </c>
      <c r="AQ62" s="295">
        <f>Model!AZ78</f>
        <v>6005.3492039253961</v>
      </c>
      <c r="AR62" s="295">
        <f>Model!BA78</f>
        <v>6636.5014241091485</v>
      </c>
      <c r="AS62" s="295">
        <f>Model!BB78</f>
        <v>7267.6536442929009</v>
      </c>
      <c r="AT62" s="295">
        <f>Model!BC78</f>
        <v>7898.8058644766552</v>
      </c>
      <c r="AU62" s="295">
        <f>Model!BD78</f>
        <v>8529.9580846604076</v>
      </c>
      <c r="AV62" s="295">
        <f>Model!BE78</f>
        <v>9161.1103048441619</v>
      </c>
      <c r="AW62" s="295">
        <f>Model!BF78</f>
        <v>9792.2625250279161</v>
      </c>
      <c r="AX62" s="295">
        <f>Model!BG78</f>
        <v>10423.414745211672</v>
      </c>
      <c r="AY62" s="295">
        <f>Model!BH78</f>
        <v>11054.566965395425</v>
      </c>
      <c r="AZ62" s="295">
        <f>Model!BI78</f>
        <v>15675.503759928839</v>
      </c>
      <c r="BA62" s="295">
        <f>Model!BJ78</f>
        <v>17567.010417342786</v>
      </c>
      <c r="BB62" s="295">
        <f>Model!BK78</f>
        <v>19458.517074756728</v>
      </c>
      <c r="BC62" s="295">
        <f>Model!BL78</f>
        <v>21350.023732170674</v>
      </c>
      <c r="BD62" s="295">
        <f>Model!BM78</f>
        <v>23241.530389584615</v>
      </c>
      <c r="BE62" s="295">
        <f>Model!BN78</f>
        <v>25133.037046998565</v>
      </c>
      <c r="BF62" s="295">
        <f>Model!BO78</f>
        <v>27024.54370441251</v>
      </c>
      <c r="BG62" s="295">
        <f>Model!BP78</f>
        <v>28916.050361826467</v>
      </c>
      <c r="BH62" s="295">
        <f>Model!BQ78</f>
        <v>30807.557019240408</v>
      </c>
      <c r="BI62" s="295">
        <f>Model!BR78</f>
        <v>32699.063676654354</v>
      </c>
      <c r="BJ62" s="295">
        <f>Model!BS78</f>
        <v>34590.570334068289</v>
      </c>
      <c r="BK62" s="295">
        <f>Model!BT78</f>
        <v>36482.076991482238</v>
      </c>
      <c r="BL62" s="295">
        <f>Model!BU78</f>
        <v>48335.308006362371</v>
      </c>
      <c r="BM62" s="295">
        <f>Model!BV78</f>
        <v>52982.64225327997</v>
      </c>
      <c r="BN62" s="295">
        <f>Model!BW78</f>
        <v>57629.976500197561</v>
      </c>
      <c r="BO62" s="295">
        <f>Model!BX78</f>
        <v>62277.31074711516</v>
      </c>
      <c r="BP62" s="295">
        <f>Model!BY78</f>
        <v>66924.644994032758</v>
      </c>
      <c r="BQ62" s="295">
        <f>Model!BZ78</f>
        <v>71571.979240950357</v>
      </c>
      <c r="BR62" s="295">
        <f>Model!CA78</f>
        <v>76219.313487867927</v>
      </c>
      <c r="BS62" s="295">
        <f>Model!CB78</f>
        <v>80866.64773478554</v>
      </c>
      <c r="BT62" s="295">
        <f>Model!CC78</f>
        <v>85513.981981703153</v>
      </c>
      <c r="BU62" s="295">
        <f>Model!CD78</f>
        <v>90161.316228620737</v>
      </c>
      <c r="BV62" s="295">
        <f>Model!CE78</f>
        <v>94808.650475538321</v>
      </c>
      <c r="BW62" s="295">
        <f>Model!CF78</f>
        <v>99455.984722455905</v>
      </c>
    </row>
    <row r="63" spans="2:75" outlineLevel="2">
      <c r="B63" s="297" t="s">
        <v>278</v>
      </c>
      <c r="D63" s="296">
        <f t="shared" ref="D63:AA63" si="88">+SUM(D62:D62)</f>
        <v>0</v>
      </c>
      <c r="E63" s="296">
        <f t="shared" si="88"/>
        <v>0</v>
      </c>
      <c r="F63" s="296">
        <f t="shared" si="88"/>
        <v>0</v>
      </c>
      <c r="G63" s="296">
        <f t="shared" si="88"/>
        <v>0</v>
      </c>
      <c r="H63" s="296">
        <f t="shared" si="88"/>
        <v>0</v>
      </c>
      <c r="I63" s="296">
        <f t="shared" si="88"/>
        <v>1.164053370144372</v>
      </c>
      <c r="J63" s="296">
        <f t="shared" si="88"/>
        <v>2.3281067402887441</v>
      </c>
      <c r="K63" s="296">
        <f t="shared" si="88"/>
        <v>3.4921601104331161</v>
      </c>
      <c r="L63" s="296">
        <f t="shared" si="88"/>
        <v>4.6562134805774882</v>
      </c>
      <c r="M63" s="296">
        <f t="shared" si="88"/>
        <v>5.8202668507218611</v>
      </c>
      <c r="N63" s="296">
        <f t="shared" si="88"/>
        <v>6.9843202208662323</v>
      </c>
      <c r="O63" s="296">
        <f t="shared" si="88"/>
        <v>8.1483735910106034</v>
      </c>
      <c r="P63" s="296">
        <f t="shared" si="88"/>
        <v>52.921995890159749</v>
      </c>
      <c r="Q63" s="296">
        <f t="shared" si="88"/>
        <v>70.69598246911967</v>
      </c>
      <c r="R63" s="296">
        <f t="shared" si="88"/>
        <v>88.469969048079619</v>
      </c>
      <c r="S63" s="296">
        <f t="shared" si="88"/>
        <v>106.24395562703951</v>
      </c>
      <c r="T63" s="296">
        <f t="shared" si="88"/>
        <v>124.01794220599945</v>
      </c>
      <c r="U63" s="296">
        <f t="shared" si="88"/>
        <v>148.31631234660321</v>
      </c>
      <c r="V63" s="296">
        <f t="shared" si="88"/>
        <v>166.81523043241248</v>
      </c>
      <c r="W63" s="296">
        <f t="shared" si="88"/>
        <v>185.31414851822171</v>
      </c>
      <c r="X63" s="296">
        <f t="shared" si="88"/>
        <v>203.81306660403098</v>
      </c>
      <c r="Y63" s="296">
        <f t="shared" si="88"/>
        <v>222.31198468984022</v>
      </c>
      <c r="Z63" s="296">
        <f t="shared" si="88"/>
        <v>240.81090277564945</v>
      </c>
      <c r="AA63" s="296">
        <f t="shared" si="88"/>
        <v>259.30982086145872</v>
      </c>
      <c r="AB63" s="296">
        <f t="shared" ref="AB63" si="89">+SUM(AB62:AB62)</f>
        <v>783.2290290814625</v>
      </c>
      <c r="AC63" s="296">
        <f t="shared" ref="AC63" si="90">+SUM(AC62:AC62)</f>
        <v>949.9097310990237</v>
      </c>
      <c r="AD63" s="296">
        <f t="shared" ref="AD63" si="91">+SUM(AD62:AD62)</f>
        <v>1116.590433116585</v>
      </c>
      <c r="AE63" s="296">
        <f t="shared" ref="AE63" si="92">+SUM(AE62:AE62)</f>
        <v>1283.2711351341463</v>
      </c>
      <c r="AF63" s="296">
        <f t="shared" ref="AF63" si="93">+SUM(AF62:AF62)</f>
        <v>1449.9518371517074</v>
      </c>
      <c r="AG63" s="296">
        <f t="shared" ref="AG63" si="94">+SUM(AG62:AG62)</f>
        <v>1616.6325391692687</v>
      </c>
      <c r="AH63" s="296">
        <f t="shared" ref="AH63" si="95">+SUM(AH62:AH62)</f>
        <v>1783.3132411868296</v>
      </c>
      <c r="AI63" s="296">
        <f t="shared" ref="AI63" si="96">+SUM(AI62:AI62)</f>
        <v>1949.9939432043911</v>
      </c>
      <c r="AJ63" s="296">
        <f t="shared" ref="AJ63" si="97">+SUM(AJ62:AJ62)</f>
        <v>2116.6746452219527</v>
      </c>
      <c r="AK63" s="296">
        <f t="shared" ref="AK63" si="98">+SUM(AK62:AK62)</f>
        <v>2283.3553472395138</v>
      </c>
      <c r="AL63" s="296">
        <f t="shared" ref="AL63" si="99">+SUM(AL62:AL62)</f>
        <v>2450.0360492570749</v>
      </c>
      <c r="AM63" s="296">
        <f t="shared" ref="AM63" si="100">+SUM(AM62:AM62)</f>
        <v>2616.7167512746364</v>
      </c>
      <c r="AN63" s="296">
        <f t="shared" ref="AN63" si="101">+SUM(AN62:AN62)</f>
        <v>4111.8925433741342</v>
      </c>
      <c r="AO63" s="296">
        <f t="shared" ref="AO63" si="102">+SUM(AO62:AO62)</f>
        <v>4743.0447635578876</v>
      </c>
      <c r="AP63" s="296">
        <f t="shared" ref="AP63" si="103">+SUM(AP62:AP62)</f>
        <v>5374.1969837416418</v>
      </c>
      <c r="AQ63" s="296">
        <f t="shared" ref="AQ63" si="104">+SUM(AQ62:AQ62)</f>
        <v>6005.3492039253961</v>
      </c>
      <c r="AR63" s="296">
        <f t="shared" ref="AR63" si="105">+SUM(AR62:AR62)</f>
        <v>6636.5014241091485</v>
      </c>
      <c r="AS63" s="296">
        <f t="shared" ref="AS63" si="106">+SUM(AS62:AS62)</f>
        <v>7267.6536442929009</v>
      </c>
      <c r="AT63" s="296">
        <f t="shared" ref="AT63" si="107">+SUM(AT62:AT62)</f>
        <v>7898.8058644766552</v>
      </c>
      <c r="AU63" s="296">
        <f t="shared" ref="AU63" si="108">+SUM(AU62:AU62)</f>
        <v>8529.9580846604076</v>
      </c>
      <c r="AV63" s="296">
        <f t="shared" ref="AV63" si="109">+SUM(AV62:AV62)</f>
        <v>9161.1103048441619</v>
      </c>
      <c r="AW63" s="296">
        <f t="shared" ref="AW63" si="110">+SUM(AW62:AW62)</f>
        <v>9792.2625250279161</v>
      </c>
      <c r="AX63" s="296">
        <f t="shared" ref="AX63" si="111">+SUM(AX62:AX62)</f>
        <v>10423.414745211672</v>
      </c>
      <c r="AY63" s="296">
        <f t="shared" ref="AY63" si="112">+SUM(AY62:AY62)</f>
        <v>11054.566965395425</v>
      </c>
      <c r="AZ63" s="296">
        <f t="shared" ref="AZ63" si="113">+SUM(AZ62:AZ62)</f>
        <v>15675.503759928839</v>
      </c>
      <c r="BA63" s="296">
        <f t="shared" ref="BA63" si="114">+SUM(BA62:BA62)</f>
        <v>17567.010417342786</v>
      </c>
      <c r="BB63" s="296">
        <f t="shared" ref="BB63" si="115">+SUM(BB62:BB62)</f>
        <v>19458.517074756728</v>
      </c>
      <c r="BC63" s="296">
        <f t="shared" ref="BC63" si="116">+SUM(BC62:BC62)</f>
        <v>21350.023732170674</v>
      </c>
      <c r="BD63" s="296">
        <f t="shared" ref="BD63" si="117">+SUM(BD62:BD62)</f>
        <v>23241.530389584615</v>
      </c>
      <c r="BE63" s="296">
        <f t="shared" ref="BE63" si="118">+SUM(BE62:BE62)</f>
        <v>25133.037046998565</v>
      </c>
      <c r="BF63" s="296">
        <f t="shared" ref="BF63" si="119">+SUM(BF62:BF62)</f>
        <v>27024.54370441251</v>
      </c>
      <c r="BG63" s="296">
        <f t="shared" ref="BG63" si="120">+SUM(BG62:BG62)</f>
        <v>28916.050361826467</v>
      </c>
      <c r="BH63" s="296">
        <f t="shared" ref="BH63" si="121">+SUM(BH62:BH62)</f>
        <v>30807.557019240408</v>
      </c>
      <c r="BI63" s="296">
        <f t="shared" ref="BI63" si="122">+SUM(BI62:BI62)</f>
        <v>32699.063676654354</v>
      </c>
      <c r="BJ63" s="296">
        <f t="shared" ref="BJ63" si="123">+SUM(BJ62:BJ62)</f>
        <v>34590.570334068289</v>
      </c>
      <c r="BK63" s="296">
        <f t="shared" ref="BK63" si="124">+SUM(BK62:BK62)</f>
        <v>36482.076991482238</v>
      </c>
      <c r="BL63" s="296">
        <f t="shared" ref="BL63" si="125">+SUM(BL62:BL62)</f>
        <v>48335.308006362371</v>
      </c>
      <c r="BM63" s="296">
        <f t="shared" ref="BM63" si="126">+SUM(BM62:BM62)</f>
        <v>52982.64225327997</v>
      </c>
      <c r="BN63" s="296">
        <f t="shared" ref="BN63" si="127">+SUM(BN62:BN62)</f>
        <v>57629.976500197561</v>
      </c>
      <c r="BO63" s="296">
        <f t="shared" ref="BO63" si="128">+SUM(BO62:BO62)</f>
        <v>62277.31074711516</v>
      </c>
      <c r="BP63" s="296">
        <f t="shared" ref="BP63" si="129">+SUM(BP62:BP62)</f>
        <v>66924.644994032758</v>
      </c>
      <c r="BQ63" s="296">
        <f t="shared" ref="BQ63" si="130">+SUM(BQ62:BQ62)</f>
        <v>71571.979240950357</v>
      </c>
      <c r="BR63" s="296">
        <f t="shared" ref="BR63" si="131">+SUM(BR62:BR62)</f>
        <v>76219.313487867927</v>
      </c>
      <c r="BS63" s="296">
        <f t="shared" ref="BS63" si="132">+SUM(BS62:BS62)</f>
        <v>80866.64773478554</v>
      </c>
      <c r="BT63" s="296">
        <f t="shared" ref="BT63" si="133">+SUM(BT62:BT62)</f>
        <v>85513.981981703153</v>
      </c>
      <c r="BU63" s="296">
        <f t="shared" ref="BU63" si="134">+SUM(BU62:BU62)</f>
        <v>90161.316228620737</v>
      </c>
      <c r="BV63" s="296">
        <f t="shared" ref="BV63" si="135">+SUM(BV62:BV62)</f>
        <v>94808.650475538321</v>
      </c>
      <c r="BW63" s="296">
        <f t="shared" ref="BW63" si="136">+SUM(BW62:BW62)</f>
        <v>99455.984722455905</v>
      </c>
    </row>
    <row r="64" spans="2:75" outlineLevel="2">
      <c r="B64" s="231" t="s">
        <v>454</v>
      </c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3"/>
      <c r="BB64" s="243"/>
      <c r="BC64" s="243"/>
      <c r="BD64" s="243"/>
      <c r="BE64" s="243"/>
      <c r="BF64" s="243"/>
      <c r="BG64" s="243"/>
      <c r="BH64" s="243"/>
      <c r="BI64" s="243"/>
      <c r="BJ64" s="243"/>
      <c r="BK64" s="243"/>
      <c r="BL64" s="243"/>
      <c r="BM64" s="243"/>
      <c r="BN64" s="243"/>
      <c r="BO64" s="243"/>
      <c r="BP64" s="243"/>
      <c r="BQ64" s="243"/>
      <c r="BR64" s="243"/>
      <c r="BS64" s="243"/>
      <c r="BT64" s="243"/>
      <c r="BU64" s="243"/>
      <c r="BV64" s="243"/>
      <c r="BW64" s="243"/>
    </row>
    <row r="65" spans="2:75" ht="13.8" outlineLevel="2" thickBot="1">
      <c r="B65" s="242" t="s">
        <v>449</v>
      </c>
      <c r="D65" s="349">
        <f>_xlfn.XLOOKUP(D$5,PaymentSchedule[PAYMENT DATE],PaymentSchedule[ENDING BALANCE],0,0,1)</f>
        <v>0</v>
      </c>
      <c r="E65" s="349">
        <f>_xlfn.XLOOKUP(E$5,PaymentSchedule[PAYMENT DATE],PaymentSchedule[ENDING BALANCE],0,0,1)</f>
        <v>0</v>
      </c>
      <c r="F65" s="349">
        <f>_xlfn.XLOOKUP(F$5,PaymentSchedule[PAYMENT DATE],PaymentSchedule[ENDING BALANCE],0,0,1)</f>
        <v>0</v>
      </c>
      <c r="G65" s="349">
        <f>_xlfn.XLOOKUP(G$5,PaymentSchedule[PAYMENT DATE],PaymentSchedule[ENDING BALANCE],0,0,1)</f>
        <v>0</v>
      </c>
      <c r="H65" s="349">
        <f>_xlfn.XLOOKUP(H$5,PaymentSchedule[PAYMENT DATE],PaymentSchedule[ENDING BALANCE],0,0,1)</f>
        <v>0</v>
      </c>
      <c r="I65" s="349">
        <f>_xlfn.XLOOKUP(I$5,PaymentSchedule[PAYMENT DATE],PaymentSchedule[ENDING BALANCE],0,0,1)</f>
        <v>0</v>
      </c>
      <c r="J65" s="349">
        <f>_xlfn.XLOOKUP(J$5,PaymentSchedule[PAYMENT DATE],PaymentSchedule[ENDING BALANCE],0,0,1)</f>
        <v>0</v>
      </c>
      <c r="K65" s="349">
        <f>_xlfn.XLOOKUP(K$5,PaymentSchedule[PAYMENT DATE],PaymentSchedule[ENDING BALANCE],0,0,1)</f>
        <v>0</v>
      </c>
      <c r="L65" s="349">
        <f>_xlfn.XLOOKUP(L$5,PaymentSchedule[PAYMENT DATE],PaymentSchedule[ENDING BALANCE],0,0,1)</f>
        <v>0</v>
      </c>
      <c r="M65" s="349">
        <f>_xlfn.XLOOKUP(M$5,PaymentSchedule[PAYMENT DATE],PaymentSchedule[ENDING BALANCE],0,0,1)</f>
        <v>0</v>
      </c>
      <c r="N65" s="349">
        <f>_xlfn.XLOOKUP(N$5,PaymentSchedule[PAYMENT DATE],PaymentSchedule[ENDING BALANCE],0,0,1)</f>
        <v>0</v>
      </c>
      <c r="O65" s="349">
        <f>_xlfn.XLOOKUP(O$5,PaymentSchedule[PAYMENT DATE],PaymentSchedule[ENDING BALANCE],0,0,1)</f>
        <v>0</v>
      </c>
      <c r="P65" s="349">
        <f>_xlfn.XLOOKUP(P$5,PaymentSchedule[PAYMENT DATE],PaymentSchedule[ENDING BALANCE],0,0,1)</f>
        <v>0</v>
      </c>
      <c r="Q65" s="349">
        <f>_xlfn.XLOOKUP(Q$5,PaymentSchedule[PAYMENT DATE],PaymentSchedule[ENDING BALANCE],0,0,1)</f>
        <v>0</v>
      </c>
      <c r="R65" s="349">
        <f>_xlfn.XLOOKUP(R$5,PaymentSchedule[PAYMENT DATE],PaymentSchedule[ENDING BALANCE],0,0,1)</f>
        <v>0</v>
      </c>
      <c r="S65" s="349">
        <f>_xlfn.XLOOKUP(S$5,PaymentSchedule[PAYMENT DATE],PaymentSchedule[ENDING BALANCE],0,0,1)</f>
        <v>0</v>
      </c>
      <c r="T65" s="349">
        <f>_xlfn.XLOOKUP(T$5,PaymentSchedule[PAYMENT DATE],PaymentSchedule[ENDING BALANCE],0,0,1)</f>
        <v>0</v>
      </c>
      <c r="U65" s="349">
        <f>_xlfn.XLOOKUP(U$5,PaymentSchedule[PAYMENT DATE],PaymentSchedule[ENDING BALANCE],0,0,1)</f>
        <v>0</v>
      </c>
      <c r="V65" s="349">
        <f>_xlfn.XLOOKUP(V$5,PaymentSchedule[PAYMENT DATE],PaymentSchedule[ENDING BALANCE],0,0,1)</f>
        <v>0</v>
      </c>
      <c r="W65" s="349">
        <f>_xlfn.XLOOKUP(W$5,PaymentSchedule[PAYMENT DATE],PaymentSchedule[ENDING BALANCE],0,0,1)</f>
        <v>0</v>
      </c>
      <c r="X65" s="349">
        <f>_xlfn.XLOOKUP(X$5,PaymentSchedule[PAYMENT DATE],PaymentSchedule[ENDING BALANCE],0,0,1)</f>
        <v>495302.74398251582</v>
      </c>
      <c r="Y65" s="349">
        <f>_xlfn.XLOOKUP(Y$5,PaymentSchedule[PAYMENT DATE],PaymentSchedule[ENDING BALANCE],0,0,1)</f>
        <v>490556.5582148495</v>
      </c>
      <c r="Z65" s="349">
        <f>_xlfn.XLOOKUP(Z$5,PaymentSchedule[PAYMENT DATE],PaymentSchedule[ENDING BALANCE],0,0,1)</f>
        <v>485760.93301210331</v>
      </c>
      <c r="AA65" s="349">
        <f>_xlfn.XLOOKUP(AA$5,PaymentSchedule[PAYMENT DATE],PaymentSchedule[ENDING BALANCE],0,0,1)</f>
        <v>480915.35338016186</v>
      </c>
      <c r="AB65" s="349">
        <f>_xlfn.XLOOKUP(AB$5,PaymentSchedule[PAYMENT DATE],PaymentSchedule[ENDING BALANCE],0,0,1)</f>
        <v>476019.29896038771</v>
      </c>
      <c r="AC65" s="349">
        <f>_xlfn.XLOOKUP(AC$5,PaymentSchedule[PAYMENT DATE],PaymentSchedule[ENDING BALANCE],0,0,1)</f>
        <v>471072.2439737409</v>
      </c>
      <c r="AD65" s="349">
        <f>_xlfn.XLOOKUP(AD$5,PaymentSchedule[PAYMENT DATE],PaymentSchedule[ENDING BALANCE],0,0,1)</f>
        <v>466073.65716431651</v>
      </c>
      <c r="AE65" s="349">
        <f>_xlfn.XLOOKUP(AE$5,PaymentSchedule[PAYMENT DATE],PaymentSchedule[ENDING BALANCE],0,0,1)</f>
        <v>461023.00174229394</v>
      </c>
      <c r="AF65" s="349">
        <f>_xlfn.XLOOKUP(AF$5,PaymentSchedule[PAYMENT DATE],PaymentSchedule[ENDING BALANCE],0,0,1)</f>
        <v>455919.73532629199</v>
      </c>
      <c r="AG65" s="349">
        <f>_xlfn.XLOOKUP(AG$5,PaymentSchedule[PAYMENT DATE],PaymentSchedule[ENDING BALANCE],0,0,1)</f>
        <v>450763.30988512334</v>
      </c>
      <c r="AH65" s="349">
        <f>_xlfn.XLOOKUP(AH$5,PaymentSchedule[PAYMENT DATE],PaymentSchedule[ENDING BALANCE],0,0,1)</f>
        <v>445553.17167894251</v>
      </c>
      <c r="AI65" s="349">
        <f>_xlfn.XLOOKUP(AI$5,PaymentSchedule[PAYMENT DATE],PaymentSchedule[ENDING BALANCE],0,0,1)</f>
        <v>440288.76119978062</v>
      </c>
      <c r="AJ65" s="349">
        <f>_xlfn.XLOOKUP(AJ$5,PaymentSchedule[PAYMENT DATE],PaymentSchedule[ENDING BALANCE],0,0,1)</f>
        <v>434969.51311146078</v>
      </c>
      <c r="AK65" s="349">
        <f>_xlfn.XLOOKUP(AK$5,PaymentSchedule[PAYMENT DATE],PaymentSchedule[ENDING BALANCE],0,0,1)</f>
        <v>429594.85618888761</v>
      </c>
      <c r="AL65" s="349">
        <f>_xlfn.XLOOKUP(AL$5,PaymentSchedule[PAYMENT DATE],PaymentSchedule[ENDING BALANCE],0,0,1)</f>
        <v>424164.21325670433</v>
      </c>
      <c r="AM65" s="349">
        <f>_xlfn.XLOOKUP(AM$5,PaymentSchedule[PAYMENT DATE],PaymentSchedule[ENDING BALANCE],0,0,1)</f>
        <v>418677.0011273108</v>
      </c>
      <c r="AN65" s="349">
        <f>_xlfn.XLOOKUP(AN$5,PaymentSchedule[PAYMENT DATE],PaymentSchedule[ENDING BALANCE],0,0,1)</f>
        <v>413132.63053823606</v>
      </c>
      <c r="AO65" s="349">
        <f>_xlfn.XLOOKUP(AO$5,PaymentSchedule[PAYMENT DATE],PaymentSchedule[ENDING BALANCE],0,0,1)</f>
        <v>407530.50608885847</v>
      </c>
      <c r="AP65" s="349">
        <f>_xlfn.XLOOKUP(AP$5,PaymentSchedule[PAYMENT DATE],PaymentSchedule[ENDING BALANCE],0,0,1)</f>
        <v>401870.02617646655</v>
      </c>
      <c r="AQ65" s="349">
        <f>_xlfn.XLOOKUP(AQ$5,PaymentSchedule[PAYMENT DATE],PaymentSchedule[ENDING BALANCE],0,0,1)</f>
        <v>396150.58293165389</v>
      </c>
      <c r="AR65" s="349">
        <f>_xlfn.XLOOKUP(AR$5,PaymentSchedule[PAYMENT DATE],PaymentSchedule[ENDING BALANCE],0,0,1)</f>
        <v>390371.56215304107</v>
      </c>
      <c r="AS65" s="349">
        <f>_xlfn.XLOOKUP(AS$5,PaymentSchedule[PAYMENT DATE],PaymentSchedule[ENDING BALANCE],0,0,1)</f>
        <v>384532.34324131772</v>
      </c>
      <c r="AT65" s="349">
        <f>_xlfn.XLOOKUP(AT$5,PaymentSchedule[PAYMENT DATE],PaymentSchedule[ENDING BALANCE],0,0,1)</f>
        <v>378632.29913259723</v>
      </c>
      <c r="AU65" s="349">
        <f>_xlfn.XLOOKUP(AU$5,PaymentSchedule[PAYMENT DATE],PaymentSchedule[ENDING BALANCE],0,0,1)</f>
        <v>372670.79623107758</v>
      </c>
      <c r="AV65" s="349">
        <f>_xlfn.XLOOKUP(AV$5,PaymentSchedule[PAYMENT DATE],PaymentSchedule[ENDING BALANCE],0,0,1)</f>
        <v>366647.19434100046</v>
      </c>
      <c r="AW65" s="349">
        <f>_xlfn.XLOOKUP(AW$5,PaymentSchedule[PAYMENT DATE],PaymentSchedule[ENDING BALANCE],0,0,1)</f>
        <v>360560.84659790166</v>
      </c>
      <c r="AX65" s="349">
        <f>_xlfn.XLOOKUP(AX$5,PaymentSchedule[PAYMENT DATE],PaymentSchedule[ENDING BALANCE],0,0,1)</f>
        <v>354411.09939914563</v>
      </c>
      <c r="AY65" s="349">
        <f>_xlfn.XLOOKUP(AY$5,PaymentSchedule[PAYMENT DATE],PaymentSchedule[ENDING BALANCE],0,0,1)</f>
        <v>348197.29233373585</v>
      </c>
      <c r="AZ65" s="349">
        <f>_xlfn.XLOOKUP(AZ$5,PaymentSchedule[PAYMENT DATE],PaymentSchedule[ENDING BALANCE],0,0,1)</f>
        <v>341918.75811139471</v>
      </c>
      <c r="BA65" s="349">
        <f>_xlfn.XLOOKUP(BA$5,PaymentSchedule[PAYMENT DATE],PaymentSchedule[ENDING BALANCE],0,0,1)</f>
        <v>335574.82249090419</v>
      </c>
      <c r="BB65" s="349">
        <f>_xlfn.XLOOKUP(BB$5,PaymentSchedule[PAYMENT DATE],PaymentSchedule[ENDING BALANCE],0,0,1)</f>
        <v>329164.80420770025</v>
      </c>
      <c r="BC65" s="349">
        <f>_xlfn.XLOOKUP(BC$5,PaymentSchedule[PAYMENT DATE],PaymentSchedule[ENDING BALANCE],0,0,1)</f>
        <v>322688.01490071294</v>
      </c>
      <c r="BD65" s="349">
        <f>_xlfn.XLOOKUP(BD$5,PaymentSchedule[PAYMENT DATE],PaymentSchedule[ENDING BALANCE],0,0,1)</f>
        <v>316143.75903844449</v>
      </c>
      <c r="BE65" s="349">
        <f>_xlfn.XLOOKUP(BE$5,PaymentSchedule[PAYMENT DATE],PaymentSchedule[ENDING BALANCE],0,0,1)</f>
        <v>309531.33384427743</v>
      </c>
      <c r="BF65" s="349">
        <f>_xlfn.XLOOKUP(BF$5,PaymentSchedule[PAYMENT DATE],PaymentSchedule[ENDING BALANCE],0,0,1)</f>
        <v>302850.02922100446</v>
      </c>
      <c r="BG65" s="349">
        <f>_xlfn.XLOOKUP(BG$5,PaymentSchedule[PAYMENT DATE],PaymentSchedule[ENDING BALANCE],0,0,1)</f>
        <v>296099.1276745724</v>
      </c>
      <c r="BH65" s="349">
        <f>_xlfn.XLOOKUP(BH$5,PaymentSchedule[PAYMENT DATE],PaymentSchedule[ENDING BALANCE],0,0,1)</f>
        <v>289277.90423703165</v>
      </c>
      <c r="BI65" s="349">
        <f>_xlfn.XLOOKUP(BI$5,PaymentSchedule[PAYMENT DATE],PaymentSchedule[ENDING BALANCE],0,0,1)</f>
        <v>282385.62638868322</v>
      </c>
      <c r="BJ65" s="349">
        <f>_xlfn.XLOOKUP(BJ$5,PaymentSchedule[PAYMENT DATE],PaymentSchedule[ENDING BALANCE],0,0,1)</f>
        <v>275421.55397941446</v>
      </c>
      <c r="BK65" s="349">
        <f>_xlfn.XLOOKUP(BK$5,PaymentSchedule[PAYMENT DATE],PaymentSchedule[ENDING BALANCE],0,0,1)</f>
        <v>268384.93914921582</v>
      </c>
      <c r="BL65" s="349">
        <f>_xlfn.XLOOKUP(BL$5,PaymentSchedule[PAYMENT DATE],PaymentSchedule[ENDING BALANCE],0,0,1)</f>
        <v>261275.02624786927</v>
      </c>
      <c r="BM65" s="349">
        <f>_xlfn.XLOOKUP(BM$5,PaymentSchedule[PAYMENT DATE],PaymentSchedule[ENDING BALANCE],0,0,1)</f>
        <v>254091.05175380039</v>
      </c>
      <c r="BN65" s="349">
        <f>_xlfn.XLOOKUP(BN$5,PaymentSchedule[PAYMENT DATE],PaymentSchedule[ENDING BALANCE],0,0,1)</f>
        <v>246832.24419208494</v>
      </c>
      <c r="BO65" s="349">
        <f>_xlfn.XLOOKUP(BO$5,PaymentSchedule[PAYMENT DATE],PaymentSchedule[ENDING BALANCE],0,0,1)</f>
        <v>239497.82405160164</v>
      </c>
      <c r="BP65" s="349">
        <f>_xlfn.XLOOKUP(BP$5,PaymentSchedule[PAYMENT DATE],PaymentSchedule[ENDING BALANCE],0,0,1)</f>
        <v>232087.00370132164</v>
      </c>
      <c r="BQ65" s="349">
        <f>_xlfn.XLOOKUP(BQ$5,PaymentSchedule[PAYMENT DATE],PaymentSchedule[ENDING BALANCE],0,0,1)</f>
        <v>224598.98730572622</v>
      </c>
      <c r="BR65" s="349">
        <f>_xlfn.XLOOKUP(BR$5,PaymentSchedule[PAYMENT DATE],PaymentSchedule[ENDING BALANCE],0,0,1)</f>
        <v>217032.97073934332</v>
      </c>
      <c r="BS65" s="349">
        <f>_xlfn.XLOOKUP(BS$5,PaymentSchedule[PAYMENT DATE],PaymentSchedule[ENDING BALANCE],0,0,1)</f>
        <v>209388.14150039395</v>
      </c>
      <c r="BT65" s="349">
        <f>_xlfn.XLOOKUP(BT$5,PaymentSchedule[PAYMENT DATE],PaymentSchedule[ENDING BALANCE],0,0,1)</f>
        <v>201663.67862353884</v>
      </c>
      <c r="BU65" s="349">
        <f>_xlfn.XLOOKUP(BU$5,PaymentSchedule[PAYMENT DATE],PaymentSchedule[ENDING BALANCE],0,0,1)</f>
        <v>193858.7525917165</v>
      </c>
      <c r="BV65" s="349">
        <f>_xlfn.XLOOKUP(BV$5,PaymentSchedule[PAYMENT DATE],PaymentSchedule[ENDING BALANCE],0,0,1)</f>
        <v>185972.52524706267</v>
      </c>
      <c r="BW65" s="349">
        <f>_xlfn.XLOOKUP(BW$5,PaymentSchedule[PAYMENT DATE],PaymentSchedule[ENDING BALANCE],0,0,1)</f>
        <v>178004.14970090205</v>
      </c>
    </row>
    <row r="66" spans="2:75" outlineLevel="2">
      <c r="B66" s="297" t="s">
        <v>454</v>
      </c>
      <c r="D66" s="296">
        <f t="shared" ref="D66" si="137">+SUM(D65:D65)</f>
        <v>0</v>
      </c>
      <c r="E66" s="296">
        <f t="shared" ref="E66" si="138">+SUM(E65:E65)</f>
        <v>0</v>
      </c>
      <c r="F66" s="296">
        <f t="shared" ref="F66" si="139">+SUM(F65:F65)</f>
        <v>0</v>
      </c>
      <c r="G66" s="296">
        <f t="shared" ref="G66" si="140">+SUM(G65:G65)</f>
        <v>0</v>
      </c>
      <c r="H66" s="296">
        <f t="shared" ref="H66" si="141">+SUM(H65:H65)</f>
        <v>0</v>
      </c>
      <c r="I66" s="296">
        <f t="shared" ref="I66" si="142">+SUM(I65:I65)</f>
        <v>0</v>
      </c>
      <c r="J66" s="296">
        <f t="shared" ref="J66" si="143">+SUM(J65:J65)</f>
        <v>0</v>
      </c>
      <c r="K66" s="296">
        <f t="shared" ref="K66" si="144">+SUM(K65:K65)</f>
        <v>0</v>
      </c>
      <c r="L66" s="296">
        <f t="shared" ref="L66" si="145">+SUM(L65:L65)</f>
        <v>0</v>
      </c>
      <c r="M66" s="296">
        <f t="shared" ref="M66" si="146">+SUM(M65:M65)</f>
        <v>0</v>
      </c>
      <c r="N66" s="296">
        <f t="shared" ref="N66" si="147">+SUM(N65:N65)</f>
        <v>0</v>
      </c>
      <c r="O66" s="296">
        <f t="shared" ref="O66" si="148">+SUM(O65:O65)</f>
        <v>0</v>
      </c>
      <c r="P66" s="296">
        <f t="shared" ref="P66" si="149">+SUM(P65:P65)</f>
        <v>0</v>
      </c>
      <c r="Q66" s="296">
        <f t="shared" ref="Q66" si="150">+SUM(Q65:Q65)</f>
        <v>0</v>
      </c>
      <c r="R66" s="296">
        <f t="shared" ref="R66" si="151">+SUM(R65:R65)</f>
        <v>0</v>
      </c>
      <c r="S66" s="296">
        <f t="shared" ref="S66" si="152">+SUM(S65:S65)</f>
        <v>0</v>
      </c>
      <c r="T66" s="296">
        <f t="shared" ref="T66" si="153">+SUM(T65:T65)</f>
        <v>0</v>
      </c>
      <c r="U66" s="296">
        <f t="shared" ref="U66" si="154">+SUM(U65:U65)</f>
        <v>0</v>
      </c>
      <c r="V66" s="296">
        <f t="shared" ref="V66" si="155">+SUM(V65:V65)</f>
        <v>0</v>
      </c>
      <c r="W66" s="296">
        <f t="shared" ref="W66" si="156">+SUM(W65:W65)</f>
        <v>0</v>
      </c>
      <c r="X66" s="296">
        <f t="shared" ref="X66" si="157">+SUM(X65:X65)</f>
        <v>495302.74398251582</v>
      </c>
      <c r="Y66" s="296">
        <f t="shared" ref="Y66" si="158">+SUM(Y65:Y65)</f>
        <v>490556.5582148495</v>
      </c>
      <c r="Z66" s="296">
        <f t="shared" ref="Z66" si="159">+SUM(Z65:Z65)</f>
        <v>485760.93301210331</v>
      </c>
      <c r="AA66" s="296">
        <f t="shared" ref="AA66" si="160">+SUM(AA65:AA65)</f>
        <v>480915.35338016186</v>
      </c>
      <c r="AB66" s="296">
        <f t="shared" ref="AB66" si="161">+SUM(AB65:AB65)</f>
        <v>476019.29896038771</v>
      </c>
      <c r="AC66" s="296">
        <f t="shared" ref="AC66" si="162">+SUM(AC65:AC65)</f>
        <v>471072.2439737409</v>
      </c>
      <c r="AD66" s="296">
        <f t="shared" ref="AD66" si="163">+SUM(AD65:AD65)</f>
        <v>466073.65716431651</v>
      </c>
      <c r="AE66" s="296">
        <f t="shared" ref="AE66" si="164">+SUM(AE65:AE65)</f>
        <v>461023.00174229394</v>
      </c>
      <c r="AF66" s="296">
        <f t="shared" ref="AF66" si="165">+SUM(AF65:AF65)</f>
        <v>455919.73532629199</v>
      </c>
      <c r="AG66" s="296">
        <f t="shared" ref="AG66" si="166">+SUM(AG65:AG65)</f>
        <v>450763.30988512334</v>
      </c>
      <c r="AH66" s="296">
        <f t="shared" ref="AH66" si="167">+SUM(AH65:AH65)</f>
        <v>445553.17167894251</v>
      </c>
      <c r="AI66" s="296">
        <f t="shared" ref="AI66" si="168">+SUM(AI65:AI65)</f>
        <v>440288.76119978062</v>
      </c>
      <c r="AJ66" s="296">
        <f t="shared" ref="AJ66" si="169">+SUM(AJ65:AJ65)</f>
        <v>434969.51311146078</v>
      </c>
      <c r="AK66" s="296">
        <f t="shared" ref="AK66" si="170">+SUM(AK65:AK65)</f>
        <v>429594.85618888761</v>
      </c>
      <c r="AL66" s="296">
        <f t="shared" ref="AL66" si="171">+SUM(AL65:AL65)</f>
        <v>424164.21325670433</v>
      </c>
      <c r="AM66" s="296">
        <f t="shared" ref="AM66" si="172">+SUM(AM65:AM65)</f>
        <v>418677.0011273108</v>
      </c>
      <c r="AN66" s="296">
        <f t="shared" ref="AN66" si="173">+SUM(AN65:AN65)</f>
        <v>413132.63053823606</v>
      </c>
      <c r="AO66" s="296">
        <f t="shared" ref="AO66" si="174">+SUM(AO65:AO65)</f>
        <v>407530.50608885847</v>
      </c>
      <c r="AP66" s="296">
        <f t="shared" ref="AP66" si="175">+SUM(AP65:AP65)</f>
        <v>401870.02617646655</v>
      </c>
      <c r="AQ66" s="296">
        <f t="shared" ref="AQ66" si="176">+SUM(AQ65:AQ65)</f>
        <v>396150.58293165389</v>
      </c>
      <c r="AR66" s="296">
        <f t="shared" ref="AR66" si="177">+SUM(AR65:AR65)</f>
        <v>390371.56215304107</v>
      </c>
      <c r="AS66" s="296">
        <f t="shared" ref="AS66" si="178">+SUM(AS65:AS65)</f>
        <v>384532.34324131772</v>
      </c>
      <c r="AT66" s="296">
        <f t="shared" ref="AT66" si="179">+SUM(AT65:AT65)</f>
        <v>378632.29913259723</v>
      </c>
      <c r="AU66" s="296">
        <f t="shared" ref="AU66" si="180">+SUM(AU65:AU65)</f>
        <v>372670.79623107758</v>
      </c>
      <c r="AV66" s="296">
        <f t="shared" ref="AV66" si="181">+SUM(AV65:AV65)</f>
        <v>366647.19434100046</v>
      </c>
      <c r="AW66" s="296">
        <f t="shared" ref="AW66" si="182">+SUM(AW65:AW65)</f>
        <v>360560.84659790166</v>
      </c>
      <c r="AX66" s="296">
        <f t="shared" ref="AX66" si="183">+SUM(AX65:AX65)</f>
        <v>354411.09939914563</v>
      </c>
      <c r="AY66" s="296">
        <f t="shared" ref="AY66" si="184">+SUM(AY65:AY65)</f>
        <v>348197.29233373585</v>
      </c>
      <c r="AZ66" s="296">
        <f t="shared" ref="AZ66" si="185">+SUM(AZ65:AZ65)</f>
        <v>341918.75811139471</v>
      </c>
      <c r="BA66" s="296">
        <f t="shared" ref="BA66" si="186">+SUM(BA65:BA65)</f>
        <v>335574.82249090419</v>
      </c>
      <c r="BB66" s="296">
        <f t="shared" ref="BB66" si="187">+SUM(BB65:BB65)</f>
        <v>329164.80420770025</v>
      </c>
      <c r="BC66" s="296">
        <f t="shared" ref="BC66" si="188">+SUM(BC65:BC65)</f>
        <v>322688.01490071294</v>
      </c>
      <c r="BD66" s="296">
        <f t="shared" ref="BD66" si="189">+SUM(BD65:BD65)</f>
        <v>316143.75903844449</v>
      </c>
      <c r="BE66" s="296">
        <f t="shared" ref="BE66" si="190">+SUM(BE65:BE65)</f>
        <v>309531.33384427743</v>
      </c>
      <c r="BF66" s="296">
        <f t="shared" ref="BF66" si="191">+SUM(BF65:BF65)</f>
        <v>302850.02922100446</v>
      </c>
      <c r="BG66" s="296">
        <f t="shared" ref="BG66" si="192">+SUM(BG65:BG65)</f>
        <v>296099.1276745724</v>
      </c>
      <c r="BH66" s="296">
        <f t="shared" ref="BH66" si="193">+SUM(BH65:BH65)</f>
        <v>289277.90423703165</v>
      </c>
      <c r="BI66" s="296">
        <f t="shared" ref="BI66" si="194">+SUM(BI65:BI65)</f>
        <v>282385.62638868322</v>
      </c>
      <c r="BJ66" s="296">
        <f t="shared" ref="BJ66" si="195">+SUM(BJ65:BJ65)</f>
        <v>275421.55397941446</v>
      </c>
      <c r="BK66" s="296">
        <f t="shared" ref="BK66" si="196">+SUM(BK65:BK65)</f>
        <v>268384.93914921582</v>
      </c>
      <c r="BL66" s="296">
        <f t="shared" ref="BL66" si="197">+SUM(BL65:BL65)</f>
        <v>261275.02624786927</v>
      </c>
      <c r="BM66" s="296">
        <f t="shared" ref="BM66" si="198">+SUM(BM65:BM65)</f>
        <v>254091.05175380039</v>
      </c>
      <c r="BN66" s="296">
        <f t="shared" ref="BN66" si="199">+SUM(BN65:BN65)</f>
        <v>246832.24419208494</v>
      </c>
      <c r="BO66" s="296">
        <f t="shared" ref="BO66" si="200">+SUM(BO65:BO65)</f>
        <v>239497.82405160164</v>
      </c>
      <c r="BP66" s="296">
        <f t="shared" ref="BP66" si="201">+SUM(BP65:BP65)</f>
        <v>232087.00370132164</v>
      </c>
      <c r="BQ66" s="296">
        <f t="shared" ref="BQ66" si="202">+SUM(BQ65:BQ65)</f>
        <v>224598.98730572622</v>
      </c>
      <c r="BR66" s="296">
        <f t="shared" ref="BR66" si="203">+SUM(BR65:BR65)</f>
        <v>217032.97073934332</v>
      </c>
      <c r="BS66" s="296">
        <f t="shared" ref="BS66" si="204">+SUM(BS65:BS65)</f>
        <v>209388.14150039395</v>
      </c>
      <c r="BT66" s="296">
        <f t="shared" ref="BT66" si="205">+SUM(BT65:BT65)</f>
        <v>201663.67862353884</v>
      </c>
      <c r="BU66" s="296">
        <f t="shared" ref="BU66" si="206">+SUM(BU65:BU65)</f>
        <v>193858.7525917165</v>
      </c>
      <c r="BV66" s="296">
        <f t="shared" ref="BV66" si="207">+SUM(BV65:BV65)</f>
        <v>185972.52524706267</v>
      </c>
      <c r="BW66" s="296">
        <f t="shared" ref="BW66" si="208">+SUM(BW65:BW65)</f>
        <v>178004.14970090205</v>
      </c>
    </row>
    <row r="67" spans="2:75" outlineLevel="1">
      <c r="B67" s="227" t="s">
        <v>277</v>
      </c>
      <c r="D67" s="233">
        <f>+D63+D66</f>
        <v>0</v>
      </c>
      <c r="E67" s="233">
        <f t="shared" ref="E67:BP67" si="209">+E63+E66</f>
        <v>0</v>
      </c>
      <c r="F67" s="233">
        <f t="shared" si="209"/>
        <v>0</v>
      </c>
      <c r="G67" s="233">
        <f t="shared" si="209"/>
        <v>0</v>
      </c>
      <c r="H67" s="233">
        <f t="shared" si="209"/>
        <v>0</v>
      </c>
      <c r="I67" s="233">
        <f t="shared" si="209"/>
        <v>1.164053370144372</v>
      </c>
      <c r="J67" s="233">
        <f t="shared" si="209"/>
        <v>2.3281067402887441</v>
      </c>
      <c r="K67" s="233">
        <f t="shared" si="209"/>
        <v>3.4921601104331161</v>
      </c>
      <c r="L67" s="233">
        <f t="shared" si="209"/>
        <v>4.6562134805774882</v>
      </c>
      <c r="M67" s="233">
        <f t="shared" si="209"/>
        <v>5.8202668507218611</v>
      </c>
      <c r="N67" s="233">
        <f t="shared" si="209"/>
        <v>6.9843202208662323</v>
      </c>
      <c r="O67" s="233">
        <f t="shared" si="209"/>
        <v>8.1483735910106034</v>
      </c>
      <c r="P67" s="233">
        <f t="shared" si="209"/>
        <v>52.921995890159749</v>
      </c>
      <c r="Q67" s="233">
        <f t="shared" si="209"/>
        <v>70.69598246911967</v>
      </c>
      <c r="R67" s="233">
        <f t="shared" si="209"/>
        <v>88.469969048079619</v>
      </c>
      <c r="S67" s="233">
        <f t="shared" si="209"/>
        <v>106.24395562703951</v>
      </c>
      <c r="T67" s="233">
        <f t="shared" si="209"/>
        <v>124.01794220599945</v>
      </c>
      <c r="U67" s="233">
        <f t="shared" si="209"/>
        <v>148.31631234660321</v>
      </c>
      <c r="V67" s="233">
        <f t="shared" si="209"/>
        <v>166.81523043241248</v>
      </c>
      <c r="W67" s="233">
        <f t="shared" si="209"/>
        <v>185.31414851822171</v>
      </c>
      <c r="X67" s="233">
        <f t="shared" si="209"/>
        <v>495506.55704911985</v>
      </c>
      <c r="Y67" s="233">
        <f t="shared" si="209"/>
        <v>490778.87019953935</v>
      </c>
      <c r="Z67" s="233">
        <f t="shared" si="209"/>
        <v>486001.74391487899</v>
      </c>
      <c r="AA67" s="233">
        <f t="shared" si="209"/>
        <v>481174.6632010233</v>
      </c>
      <c r="AB67" s="233">
        <f t="shared" si="209"/>
        <v>476802.52798946918</v>
      </c>
      <c r="AC67" s="233">
        <f t="shared" si="209"/>
        <v>472022.15370483993</v>
      </c>
      <c r="AD67" s="233">
        <f t="shared" si="209"/>
        <v>467190.2475974331</v>
      </c>
      <c r="AE67" s="233">
        <f t="shared" si="209"/>
        <v>462306.2728774281</v>
      </c>
      <c r="AF67" s="233">
        <f t="shared" si="209"/>
        <v>457369.68716344371</v>
      </c>
      <c r="AG67" s="233">
        <f t="shared" si="209"/>
        <v>452379.94242429262</v>
      </c>
      <c r="AH67" s="233">
        <f t="shared" si="209"/>
        <v>447336.48492012935</v>
      </c>
      <c r="AI67" s="233">
        <f t="shared" si="209"/>
        <v>442238.75514298503</v>
      </c>
      <c r="AJ67" s="233">
        <f t="shared" si="209"/>
        <v>437086.18775668275</v>
      </c>
      <c r="AK67" s="233">
        <f t="shared" si="209"/>
        <v>431878.21153612714</v>
      </c>
      <c r="AL67" s="233">
        <f t="shared" si="209"/>
        <v>426614.24930596142</v>
      </c>
      <c r="AM67" s="233">
        <f t="shared" si="209"/>
        <v>421293.71787858545</v>
      </c>
      <c r="AN67" s="233">
        <f t="shared" si="209"/>
        <v>417244.52308161021</v>
      </c>
      <c r="AO67" s="233">
        <f t="shared" si="209"/>
        <v>412273.55085241637</v>
      </c>
      <c r="AP67" s="233">
        <f t="shared" si="209"/>
        <v>407244.2231602082</v>
      </c>
      <c r="AQ67" s="233">
        <f t="shared" si="209"/>
        <v>402155.93213557929</v>
      </c>
      <c r="AR67" s="233">
        <f t="shared" si="209"/>
        <v>397008.06357715023</v>
      </c>
      <c r="AS67" s="233">
        <f t="shared" si="209"/>
        <v>391799.99688561063</v>
      </c>
      <c r="AT67" s="233">
        <f t="shared" si="209"/>
        <v>386531.10499707388</v>
      </c>
      <c r="AU67" s="233">
        <f t="shared" si="209"/>
        <v>381200.75431573798</v>
      </c>
      <c r="AV67" s="233">
        <f t="shared" si="209"/>
        <v>375808.30464584462</v>
      </c>
      <c r="AW67" s="233">
        <f t="shared" si="209"/>
        <v>370353.10912292957</v>
      </c>
      <c r="AX67" s="233">
        <f t="shared" si="209"/>
        <v>364834.51414435729</v>
      </c>
      <c r="AY67" s="233">
        <f t="shared" si="209"/>
        <v>359251.85929913126</v>
      </c>
      <c r="AZ67" s="233">
        <f t="shared" si="209"/>
        <v>357594.26187132357</v>
      </c>
      <c r="BA67" s="233">
        <f t="shared" si="209"/>
        <v>353141.83290824696</v>
      </c>
      <c r="BB67" s="233">
        <f t="shared" si="209"/>
        <v>348623.32128245698</v>
      </c>
      <c r="BC67" s="233">
        <f t="shared" si="209"/>
        <v>344038.03863288363</v>
      </c>
      <c r="BD67" s="233">
        <f t="shared" si="209"/>
        <v>339385.28942802909</v>
      </c>
      <c r="BE67" s="233">
        <f t="shared" si="209"/>
        <v>334664.37089127599</v>
      </c>
      <c r="BF67" s="233">
        <f t="shared" si="209"/>
        <v>329874.57292541699</v>
      </c>
      <c r="BG67" s="233">
        <f t="shared" si="209"/>
        <v>325015.17803639889</v>
      </c>
      <c r="BH67" s="233">
        <f t="shared" si="209"/>
        <v>320085.46125627204</v>
      </c>
      <c r="BI67" s="233">
        <f t="shared" si="209"/>
        <v>315084.69006533758</v>
      </c>
      <c r="BJ67" s="233">
        <f t="shared" si="209"/>
        <v>310012.12431348272</v>
      </c>
      <c r="BK67" s="233">
        <f t="shared" si="209"/>
        <v>304867.01614069805</v>
      </c>
      <c r="BL67" s="233">
        <f t="shared" si="209"/>
        <v>309610.33425423165</v>
      </c>
      <c r="BM67" s="233">
        <f t="shared" si="209"/>
        <v>307073.69400708034</v>
      </c>
      <c r="BN67" s="233">
        <f t="shared" si="209"/>
        <v>304462.22069228248</v>
      </c>
      <c r="BO67" s="233">
        <f t="shared" si="209"/>
        <v>301775.13479871681</v>
      </c>
      <c r="BP67" s="233">
        <f t="shared" si="209"/>
        <v>299011.64869535441</v>
      </c>
      <c r="BQ67" s="233">
        <f t="shared" ref="BQ67:BW67" si="210">+BQ63+BQ66</f>
        <v>296170.96654667659</v>
      </c>
      <c r="BR67" s="233">
        <f t="shared" si="210"/>
        <v>293252.28422721126</v>
      </c>
      <c r="BS67" s="233">
        <f t="shared" si="210"/>
        <v>290254.78923517949</v>
      </c>
      <c r="BT67" s="233">
        <f t="shared" si="210"/>
        <v>287177.66060524201</v>
      </c>
      <c r="BU67" s="233">
        <f t="shared" si="210"/>
        <v>284020.06882033724</v>
      </c>
      <c r="BV67" s="233">
        <f t="shared" si="210"/>
        <v>280781.17572260101</v>
      </c>
      <c r="BW67" s="233">
        <f t="shared" si="210"/>
        <v>277460.13442335796</v>
      </c>
    </row>
    <row r="68" spans="2:75" outlineLevel="2">
      <c r="B68" s="230" t="s">
        <v>280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6"/>
      <c r="AB68" s="246"/>
      <c r="AC68" s="246"/>
      <c r="AD68" s="246"/>
      <c r="AE68" s="246"/>
      <c r="AF68" s="246"/>
      <c r="AG68" s="246"/>
      <c r="AH68" s="246"/>
      <c r="AI68" s="246"/>
      <c r="AJ68" s="246"/>
      <c r="AK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  <c r="AX68" s="246"/>
      <c r="AY68" s="246"/>
      <c r="AZ68" s="246"/>
      <c r="BA68" s="246"/>
      <c r="BB68" s="246"/>
      <c r="BC68" s="246"/>
      <c r="BD68" s="246"/>
      <c r="BE68" s="246"/>
      <c r="BF68" s="246"/>
      <c r="BG68" s="246"/>
      <c r="BH68" s="246"/>
      <c r="BI68" s="246"/>
      <c r="BJ68" s="246"/>
      <c r="BK68" s="246"/>
      <c r="BL68" s="246"/>
      <c r="BM68" s="246"/>
      <c r="BN68" s="246"/>
      <c r="BO68" s="246"/>
      <c r="BP68" s="246"/>
      <c r="BQ68" s="246"/>
      <c r="BR68" s="246"/>
      <c r="BS68" s="246"/>
      <c r="BT68" s="246"/>
      <c r="BU68" s="246"/>
      <c r="BV68" s="246"/>
      <c r="BW68" s="246"/>
    </row>
    <row r="69" spans="2:75" outlineLevel="2">
      <c r="B69" s="231" t="s">
        <v>388</v>
      </c>
      <c r="C69" s="277">
        <f>ABS(Assumptions!H125)</f>
        <v>200000</v>
      </c>
      <c r="D69" s="278">
        <f>C69</f>
        <v>200000</v>
      </c>
      <c r="E69" s="278">
        <f t="shared" ref="E69:AA69" si="211">D69</f>
        <v>200000</v>
      </c>
      <c r="F69" s="278">
        <f t="shared" si="211"/>
        <v>200000</v>
      </c>
      <c r="G69" s="278">
        <f t="shared" si="211"/>
        <v>200000</v>
      </c>
      <c r="H69" s="278">
        <f t="shared" si="211"/>
        <v>200000</v>
      </c>
      <c r="I69" s="278">
        <f t="shared" si="211"/>
        <v>200000</v>
      </c>
      <c r="J69" s="278">
        <f t="shared" si="211"/>
        <v>200000</v>
      </c>
      <c r="K69" s="278">
        <f t="shared" si="211"/>
        <v>200000</v>
      </c>
      <c r="L69" s="278">
        <f t="shared" si="211"/>
        <v>200000</v>
      </c>
      <c r="M69" s="278">
        <f t="shared" si="211"/>
        <v>200000</v>
      </c>
      <c r="N69" s="278">
        <f t="shared" si="211"/>
        <v>200000</v>
      </c>
      <c r="O69" s="278">
        <f t="shared" si="211"/>
        <v>200000</v>
      </c>
      <c r="P69" s="278">
        <f t="shared" si="211"/>
        <v>200000</v>
      </c>
      <c r="Q69" s="278">
        <f t="shared" si="211"/>
        <v>200000</v>
      </c>
      <c r="R69" s="278">
        <f t="shared" si="211"/>
        <v>200000</v>
      </c>
      <c r="S69" s="278">
        <f t="shared" si="211"/>
        <v>200000</v>
      </c>
      <c r="T69" s="278">
        <f t="shared" si="211"/>
        <v>200000</v>
      </c>
      <c r="U69" s="278">
        <f t="shared" si="211"/>
        <v>200000</v>
      </c>
      <c r="V69" s="278">
        <f t="shared" si="211"/>
        <v>200000</v>
      </c>
      <c r="W69" s="278">
        <f t="shared" si="211"/>
        <v>200000</v>
      </c>
      <c r="X69" s="278">
        <f t="shared" si="211"/>
        <v>200000</v>
      </c>
      <c r="Y69" s="278">
        <f t="shared" si="211"/>
        <v>200000</v>
      </c>
      <c r="Z69" s="278">
        <f t="shared" si="211"/>
        <v>200000</v>
      </c>
      <c r="AA69" s="278">
        <f t="shared" si="211"/>
        <v>200000</v>
      </c>
      <c r="AB69" s="278">
        <f t="shared" ref="AB69" si="212">AA69</f>
        <v>200000</v>
      </c>
      <c r="AC69" s="278">
        <f t="shared" ref="AC69" si="213">AB69</f>
        <v>200000</v>
      </c>
      <c r="AD69" s="278">
        <f t="shared" ref="AD69" si="214">AC69</f>
        <v>200000</v>
      </c>
      <c r="AE69" s="278">
        <f t="shared" ref="AE69" si="215">AD69</f>
        <v>200000</v>
      </c>
      <c r="AF69" s="278">
        <f t="shared" ref="AF69" si="216">AE69</f>
        <v>200000</v>
      </c>
      <c r="AG69" s="278">
        <f t="shared" ref="AG69" si="217">AF69</f>
        <v>200000</v>
      </c>
      <c r="AH69" s="278">
        <f t="shared" ref="AH69" si="218">AG69</f>
        <v>200000</v>
      </c>
      <c r="AI69" s="278">
        <f t="shared" ref="AI69" si="219">AH69</f>
        <v>200000</v>
      </c>
      <c r="AJ69" s="278">
        <f t="shared" ref="AJ69" si="220">AI69</f>
        <v>200000</v>
      </c>
      <c r="AK69" s="278">
        <f t="shared" ref="AK69" si="221">AJ69</f>
        <v>200000</v>
      </c>
      <c r="AL69" s="278">
        <f t="shared" ref="AL69" si="222">AK69</f>
        <v>200000</v>
      </c>
      <c r="AM69" s="278">
        <f t="shared" ref="AM69" si="223">AL69</f>
        <v>200000</v>
      </c>
      <c r="AN69" s="278">
        <f t="shared" ref="AN69" si="224">AM69</f>
        <v>200000</v>
      </c>
      <c r="AO69" s="278">
        <f t="shared" ref="AO69" si="225">AN69</f>
        <v>200000</v>
      </c>
      <c r="AP69" s="278">
        <f t="shared" ref="AP69" si="226">AO69</f>
        <v>200000</v>
      </c>
      <c r="AQ69" s="278">
        <f t="shared" ref="AQ69" si="227">AP69</f>
        <v>200000</v>
      </c>
      <c r="AR69" s="278">
        <f t="shared" ref="AR69" si="228">AQ69</f>
        <v>200000</v>
      </c>
      <c r="AS69" s="278">
        <f t="shared" ref="AS69" si="229">AR69</f>
        <v>200000</v>
      </c>
      <c r="AT69" s="278">
        <f t="shared" ref="AT69" si="230">AS69</f>
        <v>200000</v>
      </c>
      <c r="AU69" s="278">
        <f t="shared" ref="AU69" si="231">AT69</f>
        <v>200000</v>
      </c>
      <c r="AV69" s="278">
        <f t="shared" ref="AV69" si="232">AU69</f>
        <v>200000</v>
      </c>
      <c r="AW69" s="278">
        <f t="shared" ref="AW69" si="233">AV69</f>
        <v>200000</v>
      </c>
      <c r="AX69" s="278">
        <f t="shared" ref="AX69" si="234">AW69</f>
        <v>200000</v>
      </c>
      <c r="AY69" s="278">
        <f t="shared" ref="AY69" si="235">AX69</f>
        <v>200000</v>
      </c>
      <c r="AZ69" s="278">
        <f t="shared" ref="AZ69" si="236">AY69</f>
        <v>200000</v>
      </c>
      <c r="BA69" s="278">
        <f t="shared" ref="BA69" si="237">AZ69</f>
        <v>200000</v>
      </c>
      <c r="BB69" s="278">
        <f t="shared" ref="BB69" si="238">BA69</f>
        <v>200000</v>
      </c>
      <c r="BC69" s="278">
        <f t="shared" ref="BC69" si="239">BB69</f>
        <v>200000</v>
      </c>
      <c r="BD69" s="278">
        <f t="shared" ref="BD69" si="240">BC69</f>
        <v>200000</v>
      </c>
      <c r="BE69" s="278">
        <f t="shared" ref="BE69" si="241">BD69</f>
        <v>200000</v>
      </c>
      <c r="BF69" s="278">
        <f t="shared" ref="BF69" si="242">BE69</f>
        <v>200000</v>
      </c>
      <c r="BG69" s="278">
        <f t="shared" ref="BG69" si="243">BF69</f>
        <v>200000</v>
      </c>
      <c r="BH69" s="278">
        <f t="shared" ref="BH69" si="244">BG69</f>
        <v>200000</v>
      </c>
      <c r="BI69" s="278">
        <f t="shared" ref="BI69" si="245">BH69</f>
        <v>200000</v>
      </c>
      <c r="BJ69" s="278">
        <f t="shared" ref="BJ69" si="246">BI69</f>
        <v>200000</v>
      </c>
      <c r="BK69" s="278">
        <f t="shared" ref="BK69" si="247">BJ69</f>
        <v>200000</v>
      </c>
      <c r="BL69" s="278">
        <f t="shared" ref="BL69" si="248">BK69</f>
        <v>200000</v>
      </c>
      <c r="BM69" s="278">
        <f t="shared" ref="BM69" si="249">BL69</f>
        <v>200000</v>
      </c>
      <c r="BN69" s="278">
        <f t="shared" ref="BN69" si="250">BM69</f>
        <v>200000</v>
      </c>
      <c r="BO69" s="278">
        <f t="shared" ref="BO69" si="251">BN69</f>
        <v>200000</v>
      </c>
      <c r="BP69" s="278">
        <f t="shared" ref="BP69" si="252">BO69</f>
        <v>200000</v>
      </c>
      <c r="BQ69" s="278">
        <f t="shared" ref="BQ69" si="253">BP69</f>
        <v>200000</v>
      </c>
      <c r="BR69" s="278">
        <f t="shared" ref="BR69" si="254">BQ69</f>
        <v>200000</v>
      </c>
      <c r="BS69" s="278">
        <f t="shared" ref="BS69" si="255">BR69</f>
        <v>200000</v>
      </c>
      <c r="BT69" s="278">
        <f t="shared" ref="BT69" si="256">BS69</f>
        <v>200000</v>
      </c>
      <c r="BU69" s="278">
        <f t="shared" ref="BU69" si="257">BT69</f>
        <v>200000</v>
      </c>
      <c r="BV69" s="278">
        <f t="shared" ref="BV69" si="258">BU69</f>
        <v>200000</v>
      </c>
      <c r="BW69" s="278">
        <f t="shared" ref="BW69" si="259">BV69</f>
        <v>200000</v>
      </c>
    </row>
    <row r="70" spans="2:75" outlineLevel="2">
      <c r="B70" s="239" t="str">
        <f>Assumptions!E87</f>
        <v>SAFE</v>
      </c>
      <c r="D70" s="278">
        <f>SUM($D89:D89)</f>
        <v>0</v>
      </c>
      <c r="E70" s="278">
        <f>SUM($D89:E89)</f>
        <v>0</v>
      </c>
      <c r="F70" s="278">
        <f>SUM($D89:F89)</f>
        <v>0</v>
      </c>
      <c r="G70" s="278">
        <f>SUM($D89:G89)</f>
        <v>0</v>
      </c>
      <c r="H70" s="278">
        <f>SUM($D89:H89)</f>
        <v>0</v>
      </c>
      <c r="I70" s="278">
        <f>SUM($D89:I89)</f>
        <v>0</v>
      </c>
      <c r="J70" s="278">
        <f>SUM($D89:J89)</f>
        <v>0</v>
      </c>
      <c r="K70" s="278">
        <f>SUM($D89:K89)</f>
        <v>0</v>
      </c>
      <c r="L70" s="278">
        <f>SUM($D89:L89)</f>
        <v>549000</v>
      </c>
      <c r="M70" s="278">
        <f>SUM($D89:M89)</f>
        <v>549000</v>
      </c>
      <c r="N70" s="278">
        <f>SUM($D89:N89)</f>
        <v>549000</v>
      </c>
      <c r="O70" s="278">
        <f>SUM($D89:O89)</f>
        <v>549000</v>
      </c>
      <c r="P70" s="278">
        <f>SUM($D89:P89)</f>
        <v>549000</v>
      </c>
      <c r="Q70" s="278">
        <f>SUM($D89:Q89)</f>
        <v>549000</v>
      </c>
      <c r="R70" s="278">
        <f>SUM($D89:R89)</f>
        <v>549000</v>
      </c>
      <c r="S70" s="278">
        <f>SUM($D89:S89)</f>
        <v>549000</v>
      </c>
      <c r="T70" s="278">
        <f>SUM($D89:T89)</f>
        <v>549000</v>
      </c>
      <c r="U70" s="278">
        <f>SUM($D89:U89)</f>
        <v>549000</v>
      </c>
      <c r="V70" s="278">
        <f>SUM($D89:V89)</f>
        <v>549000</v>
      </c>
      <c r="W70" s="278">
        <f>SUM($D89:W89)</f>
        <v>549000</v>
      </c>
      <c r="X70" s="278">
        <f>SUM($D89:X89)</f>
        <v>549000</v>
      </c>
      <c r="Y70" s="278">
        <f>SUM($D89:Y89)</f>
        <v>549000</v>
      </c>
      <c r="Z70" s="278">
        <f>SUM($D89:Z89)</f>
        <v>549000</v>
      </c>
      <c r="AA70" s="278">
        <f>SUM($D89:AA89)</f>
        <v>549000</v>
      </c>
      <c r="AB70" s="278">
        <f>SUM($D89:AB89)</f>
        <v>549000</v>
      </c>
      <c r="AC70" s="278">
        <f>SUM($D89:AC89)</f>
        <v>549000</v>
      </c>
      <c r="AD70" s="278">
        <f>SUM($D89:AD89)</f>
        <v>549000</v>
      </c>
      <c r="AE70" s="278">
        <f>SUM($D89:AE89)</f>
        <v>549000</v>
      </c>
      <c r="AF70" s="278">
        <f>SUM($D89:AF89)</f>
        <v>549000</v>
      </c>
      <c r="AG70" s="278">
        <f>SUM($D89:AG89)</f>
        <v>549000</v>
      </c>
      <c r="AH70" s="278">
        <f>SUM($D89:AH89)</f>
        <v>549000</v>
      </c>
      <c r="AI70" s="278">
        <f>SUM($D89:AI89)</f>
        <v>549000</v>
      </c>
      <c r="AJ70" s="278">
        <f>SUM($D89:AJ89)</f>
        <v>549000</v>
      </c>
      <c r="AK70" s="278">
        <f>SUM($D89:AK89)</f>
        <v>549000</v>
      </c>
      <c r="AL70" s="278">
        <f>SUM($D89:AL89)</f>
        <v>549000</v>
      </c>
      <c r="AM70" s="278">
        <f>SUM($D89:AM89)</f>
        <v>549000</v>
      </c>
      <c r="AN70" s="278">
        <f>SUM($D89:AN89)</f>
        <v>549000</v>
      </c>
      <c r="AO70" s="278">
        <f>SUM($D89:AO89)</f>
        <v>549000</v>
      </c>
      <c r="AP70" s="278">
        <f>SUM($D89:AP89)</f>
        <v>549000</v>
      </c>
      <c r="AQ70" s="278">
        <f>SUM($D89:AQ89)</f>
        <v>549000</v>
      </c>
      <c r="AR70" s="278">
        <f>SUM($D89:AR89)</f>
        <v>549000</v>
      </c>
      <c r="AS70" s="278">
        <f>SUM($D89:AS89)</f>
        <v>549000</v>
      </c>
      <c r="AT70" s="278">
        <f>SUM($D89:AT89)</f>
        <v>549000</v>
      </c>
      <c r="AU70" s="278">
        <f>SUM($D89:AU89)</f>
        <v>549000</v>
      </c>
      <c r="AV70" s="278">
        <f>SUM($D89:AV89)</f>
        <v>549000</v>
      </c>
      <c r="AW70" s="278">
        <f>SUM($D89:AW89)</f>
        <v>549000</v>
      </c>
      <c r="AX70" s="278">
        <f>SUM($D89:AX89)</f>
        <v>549000</v>
      </c>
      <c r="AY70" s="278">
        <f>SUM($D89:AY89)</f>
        <v>549000</v>
      </c>
      <c r="AZ70" s="278">
        <f>SUM($D89:AZ89)</f>
        <v>549000</v>
      </c>
      <c r="BA70" s="278">
        <f>SUM($D89:BA89)</f>
        <v>549000</v>
      </c>
      <c r="BB70" s="278">
        <f>SUM($D89:BB89)</f>
        <v>549000</v>
      </c>
      <c r="BC70" s="278">
        <f>SUM($D89:BC89)</f>
        <v>549000</v>
      </c>
      <c r="BD70" s="278">
        <f>SUM($D89:BD89)</f>
        <v>549000</v>
      </c>
      <c r="BE70" s="278">
        <f>SUM($D89:BE89)</f>
        <v>549000</v>
      </c>
      <c r="BF70" s="278">
        <f>SUM($D89:BF89)</f>
        <v>549000</v>
      </c>
      <c r="BG70" s="278">
        <f>SUM($D89:BG89)</f>
        <v>549000</v>
      </c>
      <c r="BH70" s="278">
        <f>SUM($D89:BH89)</f>
        <v>549000</v>
      </c>
      <c r="BI70" s="278">
        <f>SUM($D89:BI89)</f>
        <v>549000</v>
      </c>
      <c r="BJ70" s="278">
        <f>SUM($D89:BJ89)</f>
        <v>549000</v>
      </c>
      <c r="BK70" s="278">
        <f>SUM($D89:BK89)</f>
        <v>549000</v>
      </c>
      <c r="BL70" s="278">
        <f>SUM($D89:BL89)</f>
        <v>549000</v>
      </c>
      <c r="BM70" s="278">
        <f>SUM($D89:BM89)</f>
        <v>549000</v>
      </c>
      <c r="BN70" s="278">
        <f>SUM($D89:BN89)</f>
        <v>549000</v>
      </c>
      <c r="BO70" s="278">
        <f>SUM($D89:BO89)</f>
        <v>549000</v>
      </c>
      <c r="BP70" s="278">
        <f>SUM($D89:BP89)</f>
        <v>549000</v>
      </c>
      <c r="BQ70" s="278">
        <f>SUM($D89:BQ89)</f>
        <v>549000</v>
      </c>
      <c r="BR70" s="278">
        <f>SUM($D89:BR89)</f>
        <v>549000</v>
      </c>
      <c r="BS70" s="278">
        <f>SUM($D89:BS89)</f>
        <v>549000</v>
      </c>
      <c r="BT70" s="278">
        <f>SUM($D89:BT89)</f>
        <v>549000</v>
      </c>
      <c r="BU70" s="278">
        <f>SUM($D89:BU89)</f>
        <v>549000</v>
      </c>
      <c r="BV70" s="278">
        <f>SUM($D89:BV89)</f>
        <v>549000</v>
      </c>
      <c r="BW70" s="278">
        <f>SUM($D89:BW89)</f>
        <v>549000</v>
      </c>
    </row>
    <row r="71" spans="2:75" outlineLevel="2">
      <c r="B71" s="239" t="str">
        <f>Assumptions!E88</f>
        <v>Seed</v>
      </c>
      <c r="D71" s="278">
        <f>SUM($D90:D90)</f>
        <v>0</v>
      </c>
      <c r="E71" s="278">
        <f>SUM($D90:E90)</f>
        <v>0</v>
      </c>
      <c r="F71" s="278">
        <f>SUM($D90:F90)</f>
        <v>0</v>
      </c>
      <c r="G71" s="278">
        <f>SUM($D90:G90)</f>
        <v>0</v>
      </c>
      <c r="H71" s="278">
        <f>SUM($D90:H90)</f>
        <v>0</v>
      </c>
      <c r="I71" s="278">
        <f>SUM($D90:I90)</f>
        <v>0</v>
      </c>
      <c r="J71" s="278">
        <f>SUM($D90:J90)</f>
        <v>0</v>
      </c>
      <c r="K71" s="278">
        <f>SUM($D90:K90)</f>
        <v>0</v>
      </c>
      <c r="L71" s="278">
        <f>SUM($D90:L90)</f>
        <v>0</v>
      </c>
      <c r="M71" s="278">
        <f>SUM($D90:M90)</f>
        <v>0</v>
      </c>
      <c r="N71" s="278">
        <f>SUM($D90:N90)</f>
        <v>0</v>
      </c>
      <c r="O71" s="278">
        <f>SUM($D90:O90)</f>
        <v>0</v>
      </c>
      <c r="P71" s="278">
        <f>SUM($D90:P90)</f>
        <v>0</v>
      </c>
      <c r="Q71" s="278">
        <f>SUM($D90:Q90)</f>
        <v>0</v>
      </c>
      <c r="R71" s="278">
        <f>SUM($D90:R90)</f>
        <v>0</v>
      </c>
      <c r="S71" s="278">
        <f>SUM($D90:S90)</f>
        <v>0</v>
      </c>
      <c r="T71" s="278">
        <f>SUM($D90:T90)</f>
        <v>0</v>
      </c>
      <c r="U71" s="278">
        <f>SUM($D90:U90)</f>
        <v>0</v>
      </c>
      <c r="V71" s="278">
        <f>SUM($D90:V90)</f>
        <v>0</v>
      </c>
      <c r="W71" s="278">
        <f>SUM($D90:W90)</f>
        <v>0</v>
      </c>
      <c r="X71" s="278">
        <f>SUM($D90:X90)</f>
        <v>3000000</v>
      </c>
      <c r="Y71" s="278">
        <f>SUM($D90:Y90)</f>
        <v>3000000</v>
      </c>
      <c r="Z71" s="278">
        <f>SUM($D90:Z90)</f>
        <v>3000000</v>
      </c>
      <c r="AA71" s="278">
        <f>SUM($D90:AA90)</f>
        <v>3000000</v>
      </c>
      <c r="AB71" s="278">
        <f>SUM($D90:AB90)</f>
        <v>3000000</v>
      </c>
      <c r="AC71" s="278">
        <f>SUM($D90:AC90)</f>
        <v>3000000</v>
      </c>
      <c r="AD71" s="278">
        <f>SUM($D90:AD90)</f>
        <v>3000000</v>
      </c>
      <c r="AE71" s="278">
        <f>SUM($D90:AE90)</f>
        <v>3000000</v>
      </c>
      <c r="AF71" s="278">
        <f>SUM($D90:AF90)</f>
        <v>3000000</v>
      </c>
      <c r="AG71" s="278">
        <f>SUM($D90:AG90)</f>
        <v>3000000</v>
      </c>
      <c r="AH71" s="278">
        <f>SUM($D90:AH90)</f>
        <v>3000000</v>
      </c>
      <c r="AI71" s="278">
        <f>SUM($D90:AI90)</f>
        <v>3000000</v>
      </c>
      <c r="AJ71" s="278">
        <f>SUM($D90:AJ90)</f>
        <v>3000000</v>
      </c>
      <c r="AK71" s="278">
        <f>SUM($D90:AK90)</f>
        <v>3000000</v>
      </c>
      <c r="AL71" s="278">
        <f>SUM($D90:AL90)</f>
        <v>3000000</v>
      </c>
      <c r="AM71" s="278">
        <f>SUM($D90:AM90)</f>
        <v>3000000</v>
      </c>
      <c r="AN71" s="278">
        <f>SUM($D90:AN90)</f>
        <v>3000000</v>
      </c>
      <c r="AO71" s="278">
        <f>SUM($D90:AO90)</f>
        <v>3000000</v>
      </c>
      <c r="AP71" s="278">
        <f>SUM($D90:AP90)</f>
        <v>3000000</v>
      </c>
      <c r="AQ71" s="278">
        <f>SUM($D90:AQ90)</f>
        <v>3000000</v>
      </c>
      <c r="AR71" s="278">
        <f>SUM($D90:AR90)</f>
        <v>3000000</v>
      </c>
      <c r="AS71" s="278">
        <f>SUM($D90:AS90)</f>
        <v>3000000</v>
      </c>
      <c r="AT71" s="278">
        <f>SUM($D90:AT90)</f>
        <v>3000000</v>
      </c>
      <c r="AU71" s="278">
        <f>SUM($D90:AU90)</f>
        <v>3000000</v>
      </c>
      <c r="AV71" s="278">
        <f>SUM($D90:AV90)</f>
        <v>3000000</v>
      </c>
      <c r="AW71" s="278">
        <f>SUM($D90:AW90)</f>
        <v>3000000</v>
      </c>
      <c r="AX71" s="278">
        <f>SUM($D90:AX90)</f>
        <v>3000000</v>
      </c>
      <c r="AY71" s="278">
        <f>SUM($D90:AY90)</f>
        <v>3000000</v>
      </c>
      <c r="AZ71" s="278">
        <f>SUM($D90:AZ90)</f>
        <v>3000000</v>
      </c>
      <c r="BA71" s="278">
        <f>SUM($D90:BA90)</f>
        <v>3000000</v>
      </c>
      <c r="BB71" s="278">
        <f>SUM($D90:BB90)</f>
        <v>3000000</v>
      </c>
      <c r="BC71" s="278">
        <f>SUM($D90:BC90)</f>
        <v>3000000</v>
      </c>
      <c r="BD71" s="278">
        <f>SUM($D90:BD90)</f>
        <v>3000000</v>
      </c>
      <c r="BE71" s="278">
        <f>SUM($D90:BE90)</f>
        <v>3000000</v>
      </c>
      <c r="BF71" s="278">
        <f>SUM($D90:BF90)</f>
        <v>3000000</v>
      </c>
      <c r="BG71" s="278">
        <f>SUM($D90:BG90)</f>
        <v>3000000</v>
      </c>
      <c r="BH71" s="278">
        <f>SUM($D90:BH90)</f>
        <v>3000000</v>
      </c>
      <c r="BI71" s="278">
        <f>SUM($D90:BI90)</f>
        <v>3000000</v>
      </c>
      <c r="BJ71" s="278">
        <f>SUM($D90:BJ90)</f>
        <v>3000000</v>
      </c>
      <c r="BK71" s="278">
        <f>SUM($D90:BK90)</f>
        <v>3000000</v>
      </c>
      <c r="BL71" s="278">
        <f>SUM($D90:BL90)</f>
        <v>3000000</v>
      </c>
      <c r="BM71" s="278">
        <f>SUM($D90:BM90)</f>
        <v>3000000</v>
      </c>
      <c r="BN71" s="278">
        <f>SUM($D90:BN90)</f>
        <v>3000000</v>
      </c>
      <c r="BO71" s="278">
        <f>SUM($D90:BO90)</f>
        <v>3000000</v>
      </c>
      <c r="BP71" s="278">
        <f>SUM($D90:BP90)</f>
        <v>3000000</v>
      </c>
      <c r="BQ71" s="278">
        <f>SUM($D90:BQ90)</f>
        <v>3000000</v>
      </c>
      <c r="BR71" s="278">
        <f>SUM($D90:BR90)</f>
        <v>3000000</v>
      </c>
      <c r="BS71" s="278">
        <f>SUM($D90:BS90)</f>
        <v>3000000</v>
      </c>
      <c r="BT71" s="278">
        <f>SUM($D90:BT90)</f>
        <v>3000000</v>
      </c>
      <c r="BU71" s="278">
        <f>SUM($D90:BU90)</f>
        <v>3000000</v>
      </c>
      <c r="BV71" s="278">
        <f>SUM($D90:BV90)</f>
        <v>3000000</v>
      </c>
      <c r="BW71" s="278">
        <f>SUM($D90:BW90)</f>
        <v>3000000</v>
      </c>
    </row>
    <row r="72" spans="2:75" outlineLevel="2">
      <c r="B72" s="239" t="str">
        <f>Assumptions!E89</f>
        <v>Series A</v>
      </c>
      <c r="D72" s="278">
        <f>SUM($D91:D91)</f>
        <v>0</v>
      </c>
      <c r="E72" s="278">
        <f>SUM($D91:E91)</f>
        <v>0</v>
      </c>
      <c r="F72" s="278">
        <f>SUM($D91:F91)</f>
        <v>0</v>
      </c>
      <c r="G72" s="278">
        <f>SUM($D91:G91)</f>
        <v>0</v>
      </c>
      <c r="H72" s="278">
        <f>SUM($D91:H91)</f>
        <v>0</v>
      </c>
      <c r="I72" s="278">
        <f>SUM($D91:I91)</f>
        <v>0</v>
      </c>
      <c r="J72" s="278">
        <f>SUM($D91:J91)</f>
        <v>0</v>
      </c>
      <c r="K72" s="278">
        <f>SUM($D91:K91)</f>
        <v>0</v>
      </c>
      <c r="L72" s="278">
        <f>SUM($D91:L91)</f>
        <v>0</v>
      </c>
      <c r="M72" s="278">
        <f>SUM($D91:M91)</f>
        <v>0</v>
      </c>
      <c r="N72" s="278">
        <f>SUM($D91:N91)</f>
        <v>0</v>
      </c>
      <c r="O72" s="278">
        <f>SUM($D91:O91)</f>
        <v>0</v>
      </c>
      <c r="P72" s="278">
        <f>SUM($D91:P91)</f>
        <v>0</v>
      </c>
      <c r="Q72" s="278">
        <f>SUM($D91:Q91)</f>
        <v>0</v>
      </c>
      <c r="R72" s="278">
        <f>SUM($D91:R91)</f>
        <v>0</v>
      </c>
      <c r="S72" s="278">
        <f>SUM($D91:S91)</f>
        <v>0</v>
      </c>
      <c r="T72" s="278">
        <f>SUM($D91:T91)</f>
        <v>0</v>
      </c>
      <c r="U72" s="278">
        <f>SUM($D91:U91)</f>
        <v>0</v>
      </c>
      <c r="V72" s="278">
        <f>SUM($D91:V91)</f>
        <v>0</v>
      </c>
      <c r="W72" s="278">
        <f>SUM($D91:W91)</f>
        <v>0</v>
      </c>
      <c r="X72" s="278">
        <f>SUM($D91:X91)</f>
        <v>0</v>
      </c>
      <c r="Y72" s="278">
        <f>SUM($D91:Y91)</f>
        <v>0</v>
      </c>
      <c r="Z72" s="278">
        <f>SUM($D91:Z91)</f>
        <v>0</v>
      </c>
      <c r="AA72" s="278">
        <f>SUM($D91:AA91)</f>
        <v>0</v>
      </c>
      <c r="AB72" s="278">
        <f>SUM($D91:AB91)</f>
        <v>0</v>
      </c>
      <c r="AC72" s="278">
        <f>SUM($D91:AC91)</f>
        <v>0</v>
      </c>
      <c r="AD72" s="278">
        <f>SUM($D91:AD91)</f>
        <v>0</v>
      </c>
      <c r="AE72" s="278">
        <f>SUM($D91:AE91)</f>
        <v>0</v>
      </c>
      <c r="AF72" s="278">
        <f>SUM($D91:AF91)</f>
        <v>0</v>
      </c>
      <c r="AG72" s="278">
        <f>SUM($D91:AG91)</f>
        <v>0</v>
      </c>
      <c r="AH72" s="278">
        <f>SUM($D91:AH91)</f>
        <v>0</v>
      </c>
      <c r="AI72" s="278">
        <f>SUM($D91:AI91)</f>
        <v>0</v>
      </c>
      <c r="AJ72" s="278">
        <f>SUM($D91:AJ91)</f>
        <v>10000000</v>
      </c>
      <c r="AK72" s="278">
        <f>SUM($D91:AK91)</f>
        <v>10000000</v>
      </c>
      <c r="AL72" s="278">
        <f>SUM($D91:AL91)</f>
        <v>10000000</v>
      </c>
      <c r="AM72" s="278">
        <f>SUM($D91:AM91)</f>
        <v>10000000</v>
      </c>
      <c r="AN72" s="278">
        <f>SUM($D91:AN91)</f>
        <v>10000000</v>
      </c>
      <c r="AO72" s="278">
        <f>SUM($D91:AO91)</f>
        <v>10000000</v>
      </c>
      <c r="AP72" s="278">
        <f>SUM($D91:AP91)</f>
        <v>10000000</v>
      </c>
      <c r="AQ72" s="278">
        <f>SUM($D91:AQ91)</f>
        <v>10000000</v>
      </c>
      <c r="AR72" s="278">
        <f>SUM($D91:AR91)</f>
        <v>10000000</v>
      </c>
      <c r="AS72" s="278">
        <f>SUM($D91:AS91)</f>
        <v>10000000</v>
      </c>
      <c r="AT72" s="278">
        <f>SUM($D91:AT91)</f>
        <v>10000000</v>
      </c>
      <c r="AU72" s="278">
        <f>SUM($D91:AU91)</f>
        <v>10000000</v>
      </c>
      <c r="AV72" s="278">
        <f>SUM($D91:AV91)</f>
        <v>10000000</v>
      </c>
      <c r="AW72" s="278">
        <f>SUM($D91:AW91)</f>
        <v>10000000</v>
      </c>
      <c r="AX72" s="278">
        <f>SUM($D91:AX91)</f>
        <v>10000000</v>
      </c>
      <c r="AY72" s="278">
        <f>SUM($D91:AY91)</f>
        <v>10000000</v>
      </c>
      <c r="AZ72" s="278">
        <f>SUM($D91:AZ91)</f>
        <v>10000000</v>
      </c>
      <c r="BA72" s="278">
        <f>SUM($D91:BA91)</f>
        <v>10000000</v>
      </c>
      <c r="BB72" s="278">
        <f>SUM($D91:BB91)</f>
        <v>10000000</v>
      </c>
      <c r="BC72" s="278">
        <f>SUM($D91:BC91)</f>
        <v>10000000</v>
      </c>
      <c r="BD72" s="278">
        <f>SUM($D91:BD91)</f>
        <v>10000000</v>
      </c>
      <c r="BE72" s="278">
        <f>SUM($D91:BE91)</f>
        <v>10000000</v>
      </c>
      <c r="BF72" s="278">
        <f>SUM($D91:BF91)</f>
        <v>10000000</v>
      </c>
      <c r="BG72" s="278">
        <f>SUM($D91:BG91)</f>
        <v>10000000</v>
      </c>
      <c r="BH72" s="278">
        <f>SUM($D91:BH91)</f>
        <v>10000000</v>
      </c>
      <c r="BI72" s="278">
        <f>SUM($D91:BI91)</f>
        <v>10000000</v>
      </c>
      <c r="BJ72" s="278">
        <f>SUM($D91:BJ91)</f>
        <v>10000000</v>
      </c>
      <c r="BK72" s="278">
        <f>SUM($D91:BK91)</f>
        <v>10000000</v>
      </c>
      <c r="BL72" s="278">
        <f>SUM($D91:BL91)</f>
        <v>10000000</v>
      </c>
      <c r="BM72" s="278">
        <f>SUM($D91:BM91)</f>
        <v>10000000</v>
      </c>
      <c r="BN72" s="278">
        <f>SUM($D91:BN91)</f>
        <v>10000000</v>
      </c>
      <c r="BO72" s="278">
        <f>SUM($D91:BO91)</f>
        <v>10000000</v>
      </c>
      <c r="BP72" s="278">
        <f>SUM($D91:BP91)</f>
        <v>10000000</v>
      </c>
      <c r="BQ72" s="278">
        <f>SUM($D91:BQ91)</f>
        <v>10000000</v>
      </c>
      <c r="BR72" s="278">
        <f>SUM($D91:BR91)</f>
        <v>10000000</v>
      </c>
      <c r="BS72" s="278">
        <f>SUM($D91:BS91)</f>
        <v>10000000</v>
      </c>
      <c r="BT72" s="278">
        <f>SUM($D91:BT91)</f>
        <v>10000000</v>
      </c>
      <c r="BU72" s="278">
        <f>SUM($D91:BU91)</f>
        <v>10000000</v>
      </c>
      <c r="BV72" s="278">
        <f>SUM($D91:BV91)</f>
        <v>10000000</v>
      </c>
      <c r="BW72" s="278">
        <f>SUM($D91:BW91)</f>
        <v>10000000</v>
      </c>
    </row>
    <row r="73" spans="2:75" outlineLevel="2">
      <c r="B73" s="239" t="str">
        <f>Assumptions!E90</f>
        <v>Series B</v>
      </c>
      <c r="D73" s="278">
        <f>SUM($D92:D92)</f>
        <v>0</v>
      </c>
      <c r="E73" s="278">
        <f>SUM($D92:E92)</f>
        <v>0</v>
      </c>
      <c r="F73" s="278">
        <f>SUM($D92:F92)</f>
        <v>0</v>
      </c>
      <c r="G73" s="278">
        <f>SUM($D92:G92)</f>
        <v>0</v>
      </c>
      <c r="H73" s="278">
        <f>SUM($D92:H92)</f>
        <v>0</v>
      </c>
      <c r="I73" s="278">
        <f>SUM($D92:I92)</f>
        <v>0</v>
      </c>
      <c r="J73" s="278">
        <f>SUM($D92:J92)</f>
        <v>0</v>
      </c>
      <c r="K73" s="278">
        <f>SUM($D92:K92)</f>
        <v>0</v>
      </c>
      <c r="L73" s="278">
        <f>SUM($D92:L92)</f>
        <v>0</v>
      </c>
      <c r="M73" s="278">
        <f>SUM($D92:M92)</f>
        <v>0</v>
      </c>
      <c r="N73" s="278">
        <f>SUM($D92:N92)</f>
        <v>0</v>
      </c>
      <c r="O73" s="278">
        <f>SUM($D92:O92)</f>
        <v>0</v>
      </c>
      <c r="P73" s="278">
        <f>SUM($D92:P92)</f>
        <v>0</v>
      </c>
      <c r="Q73" s="278">
        <f>SUM($D92:Q92)</f>
        <v>0</v>
      </c>
      <c r="R73" s="278">
        <f>SUM($D92:R92)</f>
        <v>0</v>
      </c>
      <c r="S73" s="278">
        <f>SUM($D92:S92)</f>
        <v>0</v>
      </c>
      <c r="T73" s="278">
        <f>SUM($D92:T92)</f>
        <v>0</v>
      </c>
      <c r="U73" s="278">
        <f>SUM($D92:U92)</f>
        <v>0</v>
      </c>
      <c r="V73" s="278">
        <f>SUM($D92:V92)</f>
        <v>0</v>
      </c>
      <c r="W73" s="278">
        <f>SUM($D92:W92)</f>
        <v>0</v>
      </c>
      <c r="X73" s="278">
        <f>SUM($D92:X92)</f>
        <v>0</v>
      </c>
      <c r="Y73" s="278">
        <f>SUM($D92:Y92)</f>
        <v>0</v>
      </c>
      <c r="Z73" s="278">
        <f>SUM($D92:Z92)</f>
        <v>0</v>
      </c>
      <c r="AA73" s="278">
        <f>SUM($D92:AA92)</f>
        <v>0</v>
      </c>
      <c r="AB73" s="278">
        <f>SUM($D92:AB92)</f>
        <v>0</v>
      </c>
      <c r="AC73" s="278">
        <f>SUM($D92:AC92)</f>
        <v>0</v>
      </c>
      <c r="AD73" s="278">
        <f>SUM($D92:AD92)</f>
        <v>0</v>
      </c>
      <c r="AE73" s="278">
        <f>SUM($D92:AE92)</f>
        <v>0</v>
      </c>
      <c r="AF73" s="278">
        <f>SUM($D92:AF92)</f>
        <v>0</v>
      </c>
      <c r="AG73" s="278">
        <f>SUM($D92:AG92)</f>
        <v>0</v>
      </c>
      <c r="AH73" s="278">
        <f>SUM($D92:AH92)</f>
        <v>0</v>
      </c>
      <c r="AI73" s="278">
        <f>SUM($D92:AI92)</f>
        <v>0</v>
      </c>
      <c r="AJ73" s="278">
        <f>SUM($D92:AJ92)</f>
        <v>0</v>
      </c>
      <c r="AK73" s="278">
        <f>SUM($D92:AK92)</f>
        <v>0</v>
      </c>
      <c r="AL73" s="278">
        <f>SUM($D92:AL92)</f>
        <v>0</v>
      </c>
      <c r="AM73" s="278">
        <f>SUM($D92:AM92)</f>
        <v>0</v>
      </c>
      <c r="AN73" s="278">
        <f>SUM($D92:AN92)</f>
        <v>0</v>
      </c>
      <c r="AO73" s="278">
        <f>SUM($D92:AO92)</f>
        <v>0</v>
      </c>
      <c r="AP73" s="278">
        <f>SUM($D92:AP92)</f>
        <v>0</v>
      </c>
      <c r="AQ73" s="278">
        <f>SUM($D92:AQ92)</f>
        <v>0</v>
      </c>
      <c r="AR73" s="278">
        <f>SUM($D92:AR92)</f>
        <v>0</v>
      </c>
      <c r="AS73" s="278">
        <f>SUM($D92:AS92)</f>
        <v>0</v>
      </c>
      <c r="AT73" s="278">
        <f>SUM($D92:AT92)</f>
        <v>0</v>
      </c>
      <c r="AU73" s="278">
        <f>SUM($D92:AU92)</f>
        <v>0</v>
      </c>
      <c r="AV73" s="278">
        <f>SUM($D92:AV92)</f>
        <v>25000000</v>
      </c>
      <c r="AW73" s="278">
        <f>SUM($D92:AW92)</f>
        <v>25000000</v>
      </c>
      <c r="AX73" s="278">
        <f>SUM($D92:AX92)</f>
        <v>25000000</v>
      </c>
      <c r="AY73" s="278">
        <f>SUM($D92:AY92)</f>
        <v>25000000</v>
      </c>
      <c r="AZ73" s="278">
        <f>SUM($D92:AZ92)</f>
        <v>25000000</v>
      </c>
      <c r="BA73" s="278">
        <f>SUM($D92:BA92)</f>
        <v>25000000</v>
      </c>
      <c r="BB73" s="278">
        <f>SUM($D92:BB92)</f>
        <v>25000000</v>
      </c>
      <c r="BC73" s="278">
        <f>SUM($D92:BC92)</f>
        <v>25000000</v>
      </c>
      <c r="BD73" s="278">
        <f>SUM($D92:BD92)</f>
        <v>25000000</v>
      </c>
      <c r="BE73" s="278">
        <f>SUM($D92:BE92)</f>
        <v>25000000</v>
      </c>
      <c r="BF73" s="278">
        <f>SUM($D92:BF92)</f>
        <v>25000000</v>
      </c>
      <c r="BG73" s="278">
        <f>SUM($D92:BG92)</f>
        <v>25000000</v>
      </c>
      <c r="BH73" s="278">
        <f>SUM($D92:BH92)</f>
        <v>25000000</v>
      </c>
      <c r="BI73" s="278">
        <f>SUM($D92:BI92)</f>
        <v>25000000</v>
      </c>
      <c r="BJ73" s="278">
        <f>SUM($D92:BJ92)</f>
        <v>25000000</v>
      </c>
      <c r="BK73" s="278">
        <f>SUM($D92:BK92)</f>
        <v>25000000</v>
      </c>
      <c r="BL73" s="278">
        <f>SUM($D92:BL92)</f>
        <v>25000000</v>
      </c>
      <c r="BM73" s="278">
        <f>SUM($D92:BM92)</f>
        <v>25000000</v>
      </c>
      <c r="BN73" s="278">
        <f>SUM($D92:BN92)</f>
        <v>25000000</v>
      </c>
      <c r="BO73" s="278">
        <f>SUM($D92:BO92)</f>
        <v>25000000</v>
      </c>
      <c r="BP73" s="278">
        <f>SUM($D92:BP92)</f>
        <v>25000000</v>
      </c>
      <c r="BQ73" s="278">
        <f>SUM($D92:BQ92)</f>
        <v>25000000</v>
      </c>
      <c r="BR73" s="278">
        <f>SUM($D92:BR92)</f>
        <v>25000000</v>
      </c>
      <c r="BS73" s="278">
        <f>SUM($D92:BS92)</f>
        <v>25000000</v>
      </c>
      <c r="BT73" s="278">
        <f>SUM($D92:BT92)</f>
        <v>25000000</v>
      </c>
      <c r="BU73" s="278">
        <f>SUM($D92:BU92)</f>
        <v>25000000</v>
      </c>
      <c r="BV73" s="278">
        <f>SUM($D92:BV92)</f>
        <v>25000000</v>
      </c>
      <c r="BW73" s="278">
        <f>SUM($D92:BW92)</f>
        <v>25000000</v>
      </c>
    </row>
    <row r="74" spans="2:75" ht="13.8" outlineLevel="2" thickBot="1">
      <c r="B74" s="235" t="s">
        <v>271</v>
      </c>
      <c r="C74" s="277">
        <f>Assumptions!H125</f>
        <v>-200000</v>
      </c>
      <c r="D74" s="247">
        <f t="shared" ref="D74:AI74" si="260">+C74+D51</f>
        <v>-200000</v>
      </c>
      <c r="E74" s="247">
        <f t="shared" si="260"/>
        <v>-200000</v>
      </c>
      <c r="F74" s="247">
        <f t="shared" si="260"/>
        <v>-200000</v>
      </c>
      <c r="G74" s="247">
        <f t="shared" si="260"/>
        <v>-200000</v>
      </c>
      <c r="H74" s="247">
        <f t="shared" si="260"/>
        <v>-200000</v>
      </c>
      <c r="I74" s="247">
        <f t="shared" si="260"/>
        <v>-244340.67328262731</v>
      </c>
      <c r="J74" s="247">
        <f t="shared" si="260"/>
        <v>-288522.01984788192</v>
      </c>
      <c r="K74" s="247">
        <f t="shared" si="260"/>
        <v>-332544.03969576384</v>
      </c>
      <c r="L74" s="247">
        <f t="shared" si="260"/>
        <v>-376406.73282627307</v>
      </c>
      <c r="M74" s="247">
        <f t="shared" si="260"/>
        <v>-420110.09923940955</v>
      </c>
      <c r="N74" s="247">
        <f t="shared" si="260"/>
        <v>-463654.13893517334</v>
      </c>
      <c r="O74" s="247">
        <f t="shared" si="260"/>
        <v>-507038.85191356443</v>
      </c>
      <c r="P74" s="247">
        <f t="shared" si="260"/>
        <v>-655676.49864692218</v>
      </c>
      <c r="Q74" s="247">
        <f t="shared" si="260"/>
        <v>-802593.07426992792</v>
      </c>
      <c r="R74" s="247">
        <f t="shared" si="260"/>
        <v>-947788.57878258149</v>
      </c>
      <c r="S74" s="247">
        <f t="shared" si="260"/>
        <v>-1091263.012184883</v>
      </c>
      <c r="T74" s="247">
        <f t="shared" si="260"/>
        <v>-1233016.3744768323</v>
      </c>
      <c r="U74" s="247">
        <f t="shared" si="260"/>
        <v>-1371341.9956584296</v>
      </c>
      <c r="V74" s="247">
        <f t="shared" si="260"/>
        <v>-1507756.9157296747</v>
      </c>
      <c r="W74" s="247">
        <f t="shared" si="260"/>
        <v>-1642261.1346905679</v>
      </c>
      <c r="X74" s="247">
        <f t="shared" si="260"/>
        <v>-1780062.9858744422</v>
      </c>
      <c r="Y74" s="247">
        <f t="shared" si="260"/>
        <v>-1915905.2061977822</v>
      </c>
      <c r="Z74" s="247">
        <f t="shared" si="260"/>
        <v>-2049787.2859756905</v>
      </c>
      <c r="AA74" s="247">
        <f t="shared" si="260"/>
        <v>-2181708.7102140514</v>
      </c>
      <c r="AB74" s="247">
        <f t="shared" si="260"/>
        <v>-2323814.1404811656</v>
      </c>
      <c r="AC74" s="247">
        <f t="shared" si="260"/>
        <v>-2449310.4518516981</v>
      </c>
      <c r="AD74" s="247">
        <f t="shared" si="260"/>
        <v>-2558197.1130697438</v>
      </c>
      <c r="AE74" s="247">
        <f t="shared" si="260"/>
        <v>-2650473.5873454819</v>
      </c>
      <c r="AF74" s="247">
        <f t="shared" si="260"/>
        <v>-2726139.332297531</v>
      </c>
      <c r="AG74" s="247">
        <f t="shared" si="260"/>
        <v>-2785193.7998947045</v>
      </c>
      <c r="AH74" s="247">
        <f t="shared" si="260"/>
        <v>-2827636.4363971567</v>
      </c>
      <c r="AI74" s="247">
        <f t="shared" si="260"/>
        <v>-2853466.6822969182</v>
      </c>
      <c r="AJ74" s="247">
        <f t="shared" ref="AJ74:BO74" si="261">+AI74+AJ51</f>
        <v>-2862683.9722578125</v>
      </c>
      <c r="AK74" s="247">
        <f t="shared" si="261"/>
        <v>-2855287.7350547444</v>
      </c>
      <c r="AL74" s="247">
        <f t="shared" si="261"/>
        <v>-2831277.3935123566</v>
      </c>
      <c r="AM74" s="247">
        <f t="shared" si="261"/>
        <v>-2790652.3644430493</v>
      </c>
      <c r="AN74" s="247">
        <f t="shared" si="261"/>
        <v>-2694942.4840247096</v>
      </c>
      <c r="AO74" s="247">
        <f t="shared" si="261"/>
        <v>-2536931.1883148486</v>
      </c>
      <c r="AP74" s="247">
        <f t="shared" si="261"/>
        <v>-2316617.8757107542</v>
      </c>
      <c r="AQ74" s="247">
        <f t="shared" si="261"/>
        <v>-2034001.9383430206</v>
      </c>
      <c r="AR74" s="247">
        <f t="shared" si="261"/>
        <v>-1689082.7620102682</v>
      </c>
      <c r="AS74" s="247">
        <f t="shared" si="261"/>
        <v>-1281859.7261131867</v>
      </c>
      <c r="AT74" s="247">
        <f t="shared" si="261"/>
        <v>-812332.20358788921</v>
      </c>
      <c r="AU74" s="247">
        <f t="shared" si="261"/>
        <v>-280499.56083857396</v>
      </c>
      <c r="AV74" s="247">
        <f t="shared" si="261"/>
        <v>223774.43053770636</v>
      </c>
      <c r="AW74" s="247">
        <f t="shared" si="261"/>
        <v>741563.79005821748</v>
      </c>
      <c r="AX74" s="247">
        <f t="shared" si="261"/>
        <v>1308589.041565049</v>
      </c>
      <c r="AY74" s="247">
        <f t="shared" si="261"/>
        <v>1924850.8454691968</v>
      </c>
      <c r="AZ74" s="247">
        <f t="shared" si="261"/>
        <v>2250071.6220089928</v>
      </c>
      <c r="BA74" s="247">
        <f t="shared" si="261"/>
        <v>2658437.6309798718</v>
      </c>
      <c r="BB74" s="247">
        <f t="shared" si="261"/>
        <v>3149949.5536463982</v>
      </c>
      <c r="BC74" s="247">
        <f t="shared" si="261"/>
        <v>3724608.0783696426</v>
      </c>
      <c r="BD74" s="247">
        <f t="shared" si="261"/>
        <v>4382413.9006811017</v>
      </c>
      <c r="BE74" s="247">
        <f t="shared" si="261"/>
        <v>5123367.7233573943</v>
      </c>
      <c r="BF74" s="247">
        <f t="shared" si="261"/>
        <v>5947470.2564957272</v>
      </c>
      <c r="BG74" s="247">
        <f t="shared" si="261"/>
        <v>6854722.2175901523</v>
      </c>
      <c r="BH74" s="247">
        <f t="shared" si="261"/>
        <v>7845124.3316086214</v>
      </c>
      <c r="BI74" s="247">
        <f t="shared" si="261"/>
        <v>8918677.3310708329</v>
      </c>
      <c r="BJ74" s="247">
        <f t="shared" si="261"/>
        <v>10075381.956126897</v>
      </c>
      <c r="BK74" s="247">
        <f t="shared" si="261"/>
        <v>11315238.954636827</v>
      </c>
      <c r="BL74" s="247">
        <f t="shared" si="261"/>
        <v>12857172.734976765</v>
      </c>
      <c r="BM74" s="247">
        <f t="shared" si="261"/>
        <v>14602902.654784286</v>
      </c>
      <c r="BN74" s="247">
        <f t="shared" si="261"/>
        <v>16552429.485534318</v>
      </c>
      <c r="BO74" s="247">
        <f t="shared" si="261"/>
        <v>18705754.006737977</v>
      </c>
      <c r="BP74" s="247">
        <f t="shared" ref="BP74:BW74" si="262">+BO74+BP51</f>
        <v>21062877.006026298</v>
      </c>
      <c r="BQ74" s="247">
        <f t="shared" si="262"/>
        <v>23623799.279234793</v>
      </c>
      <c r="BR74" s="247">
        <f t="shared" si="262"/>
        <v>26388521.63048894</v>
      </c>
      <c r="BS74" s="247">
        <f t="shared" si="262"/>
        <v>29357044.872290514</v>
      </c>
      <c r="BT74" s="247">
        <f t="shared" si="262"/>
        <v>32529369.825604856</v>
      </c>
      <c r="BU74" s="247">
        <f t="shared" si="262"/>
        <v>35905497.319949031</v>
      </c>
      <c r="BV74" s="247">
        <f t="shared" si="262"/>
        <v>39485428.193480894</v>
      </c>
      <c r="BW74" s="247">
        <f t="shared" si="262"/>
        <v>43269163.293089129</v>
      </c>
    </row>
    <row r="75" spans="2:75" outlineLevel="2">
      <c r="B75" s="230" t="s">
        <v>280</v>
      </c>
      <c r="D75" s="248">
        <f t="shared" ref="D75:AA75" si="263">+SUM(D69:D74)</f>
        <v>0</v>
      </c>
      <c r="E75" s="248">
        <f t="shared" si="263"/>
        <v>0</v>
      </c>
      <c r="F75" s="248">
        <f t="shared" si="263"/>
        <v>0</v>
      </c>
      <c r="G75" s="248">
        <f t="shared" si="263"/>
        <v>0</v>
      </c>
      <c r="H75" s="248">
        <f t="shared" si="263"/>
        <v>0</v>
      </c>
      <c r="I75" s="248">
        <f t="shared" si="263"/>
        <v>-44340.673282627307</v>
      </c>
      <c r="J75" s="248">
        <f t="shared" si="263"/>
        <v>-88522.019847881922</v>
      </c>
      <c r="K75" s="248">
        <f t="shared" si="263"/>
        <v>-132544.03969576384</v>
      </c>
      <c r="L75" s="248">
        <f t="shared" si="263"/>
        <v>372593.26717372693</v>
      </c>
      <c r="M75" s="248">
        <f t="shared" si="263"/>
        <v>328889.90076059045</v>
      </c>
      <c r="N75" s="248">
        <f t="shared" si="263"/>
        <v>285345.86106482666</v>
      </c>
      <c r="O75" s="248">
        <f t="shared" si="263"/>
        <v>241961.14808643557</v>
      </c>
      <c r="P75" s="248">
        <f t="shared" si="263"/>
        <v>93323.501353077823</v>
      </c>
      <c r="Q75" s="248">
        <f t="shared" si="263"/>
        <v>-53593.074269927922</v>
      </c>
      <c r="R75" s="248">
        <f t="shared" si="263"/>
        <v>-198788.57878258149</v>
      </c>
      <c r="S75" s="248">
        <f t="shared" si="263"/>
        <v>-342263.012184883</v>
      </c>
      <c r="T75" s="248">
        <f t="shared" si="263"/>
        <v>-484016.37447683234</v>
      </c>
      <c r="U75" s="248">
        <f t="shared" si="263"/>
        <v>-622341.99565842957</v>
      </c>
      <c r="V75" s="248">
        <f t="shared" si="263"/>
        <v>-758756.91572967474</v>
      </c>
      <c r="W75" s="248">
        <f t="shared" si="263"/>
        <v>-893261.13469056785</v>
      </c>
      <c r="X75" s="248">
        <f t="shared" si="263"/>
        <v>1968937.0141255578</v>
      </c>
      <c r="Y75" s="248">
        <f t="shared" si="263"/>
        <v>1833094.7938022178</v>
      </c>
      <c r="Z75" s="248">
        <f t="shared" si="263"/>
        <v>1699212.7140243095</v>
      </c>
      <c r="AA75" s="248">
        <f t="shared" si="263"/>
        <v>1567291.2897859486</v>
      </c>
      <c r="AB75" s="248">
        <f t="shared" ref="AB75:BW75" si="264">+SUM(AB69:AB74)</f>
        <v>1425185.8595188344</v>
      </c>
      <c r="AC75" s="248">
        <f t="shared" si="264"/>
        <v>1299689.5481483019</v>
      </c>
      <c r="AD75" s="248">
        <f t="shared" si="264"/>
        <v>1190802.8869302562</v>
      </c>
      <c r="AE75" s="248">
        <f t="shared" si="264"/>
        <v>1098526.4126545181</v>
      </c>
      <c r="AF75" s="248">
        <f t="shared" si="264"/>
        <v>1022860.667702469</v>
      </c>
      <c r="AG75" s="248">
        <f t="shared" si="264"/>
        <v>963806.20010529552</v>
      </c>
      <c r="AH75" s="248">
        <f t="shared" si="264"/>
        <v>921363.56360284332</v>
      </c>
      <c r="AI75" s="248">
        <f t="shared" si="264"/>
        <v>895533.31770308176</v>
      </c>
      <c r="AJ75" s="248">
        <f t="shared" si="264"/>
        <v>10886316.027742188</v>
      </c>
      <c r="AK75" s="248">
        <f t="shared" si="264"/>
        <v>10893712.264945256</v>
      </c>
      <c r="AL75" s="248">
        <f t="shared" si="264"/>
        <v>10917722.606487643</v>
      </c>
      <c r="AM75" s="248">
        <f t="shared" si="264"/>
        <v>10958347.635556951</v>
      </c>
      <c r="AN75" s="248">
        <f t="shared" si="264"/>
        <v>11054057.515975291</v>
      </c>
      <c r="AO75" s="248">
        <f t="shared" si="264"/>
        <v>11212068.811685152</v>
      </c>
      <c r="AP75" s="248">
        <f t="shared" si="264"/>
        <v>11432382.124289246</v>
      </c>
      <c r="AQ75" s="248">
        <f t="shared" si="264"/>
        <v>11714998.06165698</v>
      </c>
      <c r="AR75" s="248">
        <f t="shared" si="264"/>
        <v>12059917.237989731</v>
      </c>
      <c r="AS75" s="248">
        <f t="shared" si="264"/>
        <v>12467140.273886813</v>
      </c>
      <c r="AT75" s="248">
        <f t="shared" si="264"/>
        <v>12936667.79641211</v>
      </c>
      <c r="AU75" s="248">
        <f t="shared" si="264"/>
        <v>13468500.439161425</v>
      </c>
      <c r="AV75" s="248">
        <f t="shared" si="264"/>
        <v>38972774.430537708</v>
      </c>
      <c r="AW75" s="248">
        <f t="shared" si="264"/>
        <v>39490563.790058218</v>
      </c>
      <c r="AX75" s="248">
        <f t="shared" si="264"/>
        <v>40057589.041565046</v>
      </c>
      <c r="AY75" s="248">
        <f t="shared" si="264"/>
        <v>40673850.845469199</v>
      </c>
      <c r="AZ75" s="248">
        <f t="shared" si="264"/>
        <v>40999071.622008994</v>
      </c>
      <c r="BA75" s="248">
        <f t="shared" si="264"/>
        <v>41407437.630979873</v>
      </c>
      <c r="BB75" s="248">
        <f t="shared" si="264"/>
        <v>41898949.553646401</v>
      </c>
      <c r="BC75" s="248">
        <f t="shared" si="264"/>
        <v>42473608.07836964</v>
      </c>
      <c r="BD75" s="248">
        <f t="shared" si="264"/>
        <v>43131413.900681101</v>
      </c>
      <c r="BE75" s="248">
        <f t="shared" si="264"/>
        <v>43872367.723357394</v>
      </c>
      <c r="BF75" s="248">
        <f t="shared" si="264"/>
        <v>44696470.256495729</v>
      </c>
      <c r="BG75" s="248">
        <f t="shared" si="264"/>
        <v>45603722.217590153</v>
      </c>
      <c r="BH75" s="248">
        <f t="shared" si="264"/>
        <v>46594124.331608623</v>
      </c>
      <c r="BI75" s="248">
        <f t="shared" si="264"/>
        <v>47667677.331070833</v>
      </c>
      <c r="BJ75" s="248">
        <f t="shared" si="264"/>
        <v>48824381.956126899</v>
      </c>
      <c r="BK75" s="248">
        <f t="shared" si="264"/>
        <v>50064238.954636827</v>
      </c>
      <c r="BL75" s="248">
        <f t="shared" si="264"/>
        <v>51606172.734976768</v>
      </c>
      <c r="BM75" s="248">
        <f t="shared" si="264"/>
        <v>53351902.654784285</v>
      </c>
      <c r="BN75" s="248">
        <f t="shared" si="264"/>
        <v>55301429.485534318</v>
      </c>
      <c r="BO75" s="248">
        <f t="shared" si="264"/>
        <v>57454754.006737977</v>
      </c>
      <c r="BP75" s="248">
        <f t="shared" si="264"/>
        <v>59811877.006026298</v>
      </c>
      <c r="BQ75" s="248">
        <f t="shared" si="264"/>
        <v>62372799.279234797</v>
      </c>
      <c r="BR75" s="248">
        <f t="shared" si="264"/>
        <v>65137521.63048894</v>
      </c>
      <c r="BS75" s="248">
        <f t="shared" si="264"/>
        <v>68106044.872290522</v>
      </c>
      <c r="BT75" s="248">
        <f t="shared" si="264"/>
        <v>71278369.825604856</v>
      </c>
      <c r="BU75" s="248">
        <f t="shared" si="264"/>
        <v>74654497.319949031</v>
      </c>
      <c r="BV75" s="248">
        <f t="shared" si="264"/>
        <v>78234428.193480894</v>
      </c>
      <c r="BW75" s="248">
        <f t="shared" si="264"/>
        <v>82018163.293089122</v>
      </c>
    </row>
    <row r="76" spans="2:75" outlineLevel="1">
      <c r="B76" s="230" t="s">
        <v>281</v>
      </c>
      <c r="D76" s="249">
        <f t="shared" ref="D76:AI76" si="265">+D75+D67</f>
        <v>0</v>
      </c>
      <c r="E76" s="249">
        <f t="shared" si="265"/>
        <v>0</v>
      </c>
      <c r="F76" s="249">
        <f t="shared" si="265"/>
        <v>0</v>
      </c>
      <c r="G76" s="249">
        <f t="shared" si="265"/>
        <v>0</v>
      </c>
      <c r="H76" s="249">
        <f t="shared" si="265"/>
        <v>0</v>
      </c>
      <c r="I76" s="249">
        <f t="shared" si="265"/>
        <v>-44339.509229257164</v>
      </c>
      <c r="J76" s="249">
        <f t="shared" si="265"/>
        <v>-88519.691741141636</v>
      </c>
      <c r="K76" s="249">
        <f t="shared" si="265"/>
        <v>-132540.5475356534</v>
      </c>
      <c r="L76" s="249">
        <f t="shared" si="265"/>
        <v>372597.9233872075</v>
      </c>
      <c r="M76" s="249">
        <f t="shared" si="265"/>
        <v>328895.72102744115</v>
      </c>
      <c r="N76" s="249">
        <f t="shared" si="265"/>
        <v>285352.84538504755</v>
      </c>
      <c r="O76" s="249">
        <f t="shared" si="265"/>
        <v>241969.29646002658</v>
      </c>
      <c r="P76" s="249">
        <f t="shared" si="265"/>
        <v>93376.42334896799</v>
      </c>
      <c r="Q76" s="249">
        <f t="shared" si="265"/>
        <v>-53522.3782874588</v>
      </c>
      <c r="R76" s="249">
        <f t="shared" si="265"/>
        <v>-198700.10881353341</v>
      </c>
      <c r="S76" s="249">
        <f t="shared" si="265"/>
        <v>-342156.76822925598</v>
      </c>
      <c r="T76" s="249">
        <f t="shared" si="265"/>
        <v>-483892.35653462633</v>
      </c>
      <c r="U76" s="249">
        <f t="shared" si="265"/>
        <v>-622193.67934608296</v>
      </c>
      <c r="V76" s="249">
        <f t="shared" si="265"/>
        <v>-758590.10049924231</v>
      </c>
      <c r="W76" s="249">
        <f t="shared" si="265"/>
        <v>-893075.82054204959</v>
      </c>
      <c r="X76" s="249">
        <f t="shared" si="265"/>
        <v>2464443.5711746775</v>
      </c>
      <c r="Y76" s="249">
        <f t="shared" si="265"/>
        <v>2323873.6640017573</v>
      </c>
      <c r="Z76" s="249">
        <f t="shared" si="265"/>
        <v>2185214.4579391885</v>
      </c>
      <c r="AA76" s="249">
        <f t="shared" si="265"/>
        <v>2048465.9529869719</v>
      </c>
      <c r="AB76" s="249">
        <f t="shared" si="265"/>
        <v>1901988.3875083036</v>
      </c>
      <c r="AC76" s="249">
        <f t="shared" si="265"/>
        <v>1771711.7018531419</v>
      </c>
      <c r="AD76" s="249">
        <f t="shared" si="265"/>
        <v>1657993.1345276893</v>
      </c>
      <c r="AE76" s="249">
        <f t="shared" si="265"/>
        <v>1560832.6855319464</v>
      </c>
      <c r="AF76" s="249">
        <f t="shared" si="265"/>
        <v>1480230.3548659128</v>
      </c>
      <c r="AG76" s="249">
        <f t="shared" si="265"/>
        <v>1416186.1425295882</v>
      </c>
      <c r="AH76" s="249">
        <f t="shared" si="265"/>
        <v>1368700.0485229727</v>
      </c>
      <c r="AI76" s="249">
        <f t="shared" si="265"/>
        <v>1337772.0728460667</v>
      </c>
      <c r="AJ76" s="249">
        <f t="shared" ref="AJ76:BO76" si="266">+AJ75+AJ67</f>
        <v>11323402.215498872</v>
      </c>
      <c r="AK76" s="249">
        <f t="shared" si="266"/>
        <v>11325590.476481382</v>
      </c>
      <c r="AL76" s="249">
        <f t="shared" si="266"/>
        <v>11344336.855793605</v>
      </c>
      <c r="AM76" s="249">
        <f t="shared" si="266"/>
        <v>11379641.353435537</v>
      </c>
      <c r="AN76" s="249">
        <f t="shared" si="266"/>
        <v>11471302.039056901</v>
      </c>
      <c r="AO76" s="249">
        <f t="shared" si="266"/>
        <v>11624342.362537568</v>
      </c>
      <c r="AP76" s="249">
        <f t="shared" si="266"/>
        <v>11839626.347449455</v>
      </c>
      <c r="AQ76" s="249">
        <f t="shared" si="266"/>
        <v>12117153.99379256</v>
      </c>
      <c r="AR76" s="249">
        <f t="shared" si="266"/>
        <v>12456925.301566882</v>
      </c>
      <c r="AS76" s="249">
        <f t="shared" si="266"/>
        <v>12858940.270772424</v>
      </c>
      <c r="AT76" s="249">
        <f t="shared" si="266"/>
        <v>13323198.901409185</v>
      </c>
      <c r="AU76" s="249">
        <f t="shared" si="266"/>
        <v>13849701.193477163</v>
      </c>
      <c r="AV76" s="249">
        <f t="shared" si="266"/>
        <v>39348582.735183552</v>
      </c>
      <c r="AW76" s="249">
        <f t="shared" si="266"/>
        <v>39860916.89918115</v>
      </c>
      <c r="AX76" s="249">
        <f t="shared" si="266"/>
        <v>40422423.555709407</v>
      </c>
      <c r="AY76" s="249">
        <f t="shared" si="266"/>
        <v>41033102.70476833</v>
      </c>
      <c r="AZ76" s="249">
        <f t="shared" si="266"/>
        <v>41356665.883880317</v>
      </c>
      <c r="BA76" s="249">
        <f t="shared" si="266"/>
        <v>41760579.463888124</v>
      </c>
      <c r="BB76" s="249">
        <f t="shared" si="266"/>
        <v>42247572.874928854</v>
      </c>
      <c r="BC76" s="249">
        <f t="shared" si="266"/>
        <v>42817646.117002524</v>
      </c>
      <c r="BD76" s="249">
        <f t="shared" si="266"/>
        <v>43470799.190109126</v>
      </c>
      <c r="BE76" s="249">
        <f t="shared" si="266"/>
        <v>44207032.094248667</v>
      </c>
      <c r="BF76" s="249">
        <f t="shared" si="266"/>
        <v>45026344.829421148</v>
      </c>
      <c r="BG76" s="249">
        <f t="shared" si="266"/>
        <v>45928737.395626552</v>
      </c>
      <c r="BH76" s="249">
        <f t="shared" si="266"/>
        <v>46914209.792864896</v>
      </c>
      <c r="BI76" s="249">
        <f t="shared" si="266"/>
        <v>47982762.021136172</v>
      </c>
      <c r="BJ76" s="249">
        <f t="shared" si="266"/>
        <v>49134394.08044038</v>
      </c>
      <c r="BK76" s="249">
        <f t="shared" si="266"/>
        <v>50369105.970777526</v>
      </c>
      <c r="BL76" s="249">
        <f t="shared" si="266"/>
        <v>51915783.069231004</v>
      </c>
      <c r="BM76" s="249">
        <f t="shared" si="266"/>
        <v>53658976.348791368</v>
      </c>
      <c r="BN76" s="249">
        <f t="shared" si="266"/>
        <v>55605891.706226602</v>
      </c>
      <c r="BO76" s="249">
        <f t="shared" si="266"/>
        <v>57756529.141536698</v>
      </c>
      <c r="BP76" s="249">
        <f t="shared" ref="BP76:BW76" si="267">+BP75+BP67</f>
        <v>60110888.654721655</v>
      </c>
      <c r="BQ76" s="249">
        <f t="shared" si="267"/>
        <v>62668970.245781474</v>
      </c>
      <c r="BR76" s="249">
        <f t="shared" si="267"/>
        <v>65430773.914716154</v>
      </c>
      <c r="BS76" s="249">
        <f t="shared" si="267"/>
        <v>68396299.661525697</v>
      </c>
      <c r="BT76" s="249">
        <f t="shared" si="267"/>
        <v>71565547.486210093</v>
      </c>
      <c r="BU76" s="249">
        <f t="shared" si="267"/>
        <v>74938517.388769373</v>
      </c>
      <c r="BV76" s="249">
        <f t="shared" si="267"/>
        <v>78515209.369203493</v>
      </c>
      <c r="BW76" s="249">
        <f t="shared" si="267"/>
        <v>82295623.427512482</v>
      </c>
    </row>
    <row r="77" spans="2:75" outlineLevel="1">
      <c r="B77" s="250" t="s">
        <v>282</v>
      </c>
      <c r="D77" s="251">
        <f t="shared" ref="D77:AI77" si="268">+D59-D76</f>
        <v>0</v>
      </c>
      <c r="E77" s="251">
        <f t="shared" si="268"/>
        <v>0</v>
      </c>
      <c r="F77" s="251">
        <f t="shared" si="268"/>
        <v>0</v>
      </c>
      <c r="G77" s="251">
        <f t="shared" si="268"/>
        <v>0</v>
      </c>
      <c r="H77" s="251">
        <f t="shared" si="268"/>
        <v>0</v>
      </c>
      <c r="I77" s="251">
        <f t="shared" si="268"/>
        <v>0</v>
      </c>
      <c r="J77" s="251">
        <f t="shared" si="268"/>
        <v>0</v>
      </c>
      <c r="K77" s="251">
        <f t="shared" si="268"/>
        <v>0</v>
      </c>
      <c r="L77" s="251">
        <f t="shared" si="268"/>
        <v>0</v>
      </c>
      <c r="M77" s="251">
        <f t="shared" si="268"/>
        <v>0</v>
      </c>
      <c r="N77" s="251">
        <f t="shared" si="268"/>
        <v>0</v>
      </c>
      <c r="O77" s="251">
        <f t="shared" si="268"/>
        <v>0</v>
      </c>
      <c r="P77" s="251">
        <f t="shared" si="268"/>
        <v>0</v>
      </c>
      <c r="Q77" s="251">
        <f t="shared" si="268"/>
        <v>0</v>
      </c>
      <c r="R77" s="251">
        <f t="shared" si="268"/>
        <v>0</v>
      </c>
      <c r="S77" s="251">
        <f t="shared" si="268"/>
        <v>0</v>
      </c>
      <c r="T77" s="251">
        <f t="shared" si="268"/>
        <v>0</v>
      </c>
      <c r="U77" s="251">
        <f t="shared" si="268"/>
        <v>0</v>
      </c>
      <c r="V77" s="251">
        <f t="shared" si="268"/>
        <v>0</v>
      </c>
      <c r="W77" s="251">
        <f t="shared" si="268"/>
        <v>0</v>
      </c>
      <c r="X77" s="251">
        <f t="shared" si="268"/>
        <v>0</v>
      </c>
      <c r="Y77" s="251">
        <f t="shared" si="268"/>
        <v>0</v>
      </c>
      <c r="Z77" s="251">
        <f t="shared" si="268"/>
        <v>0</v>
      </c>
      <c r="AA77" s="251">
        <f t="shared" si="268"/>
        <v>0</v>
      </c>
      <c r="AB77" s="251">
        <f t="shared" si="268"/>
        <v>0</v>
      </c>
      <c r="AC77" s="251">
        <f t="shared" si="268"/>
        <v>0</v>
      </c>
      <c r="AD77" s="251">
        <f t="shared" si="268"/>
        <v>0</v>
      </c>
      <c r="AE77" s="251">
        <f t="shared" si="268"/>
        <v>0</v>
      </c>
      <c r="AF77" s="251">
        <f t="shared" si="268"/>
        <v>0</v>
      </c>
      <c r="AG77" s="251">
        <f t="shared" si="268"/>
        <v>0</v>
      </c>
      <c r="AH77" s="251">
        <f t="shared" si="268"/>
        <v>0</v>
      </c>
      <c r="AI77" s="251">
        <f t="shared" si="268"/>
        <v>0</v>
      </c>
      <c r="AJ77" s="251">
        <f t="shared" ref="AJ77:BO77" si="269">+AJ59-AJ76</f>
        <v>0</v>
      </c>
      <c r="AK77" s="251">
        <f t="shared" si="269"/>
        <v>0</v>
      </c>
      <c r="AL77" s="251">
        <f t="shared" si="269"/>
        <v>0</v>
      </c>
      <c r="AM77" s="251">
        <f t="shared" si="269"/>
        <v>0</v>
      </c>
      <c r="AN77" s="251">
        <f t="shared" si="269"/>
        <v>0</v>
      </c>
      <c r="AO77" s="251">
        <f t="shared" si="269"/>
        <v>0</v>
      </c>
      <c r="AP77" s="251">
        <f t="shared" si="269"/>
        <v>0</v>
      </c>
      <c r="AQ77" s="251">
        <f t="shared" si="269"/>
        <v>0</v>
      </c>
      <c r="AR77" s="251">
        <f t="shared" si="269"/>
        <v>0</v>
      </c>
      <c r="AS77" s="251">
        <f t="shared" si="269"/>
        <v>0</v>
      </c>
      <c r="AT77" s="251">
        <f t="shared" si="269"/>
        <v>0</v>
      </c>
      <c r="AU77" s="251">
        <f t="shared" si="269"/>
        <v>0</v>
      </c>
      <c r="AV77" s="251">
        <f t="shared" si="269"/>
        <v>0</v>
      </c>
      <c r="AW77" s="251">
        <f t="shared" si="269"/>
        <v>0</v>
      </c>
      <c r="AX77" s="251">
        <f t="shared" si="269"/>
        <v>0</v>
      </c>
      <c r="AY77" s="251">
        <f t="shared" si="269"/>
        <v>0</v>
      </c>
      <c r="AZ77" s="251">
        <f t="shared" si="269"/>
        <v>0</v>
      </c>
      <c r="BA77" s="251">
        <f t="shared" si="269"/>
        <v>0</v>
      </c>
      <c r="BB77" s="251">
        <f t="shared" si="269"/>
        <v>0</v>
      </c>
      <c r="BC77" s="251">
        <f t="shared" si="269"/>
        <v>0</v>
      </c>
      <c r="BD77" s="251">
        <f t="shared" si="269"/>
        <v>0</v>
      </c>
      <c r="BE77" s="251">
        <f t="shared" si="269"/>
        <v>0</v>
      </c>
      <c r="BF77" s="251">
        <f t="shared" si="269"/>
        <v>0</v>
      </c>
      <c r="BG77" s="251">
        <f t="shared" si="269"/>
        <v>0</v>
      </c>
      <c r="BH77" s="251">
        <f t="shared" si="269"/>
        <v>0</v>
      </c>
      <c r="BI77" s="251">
        <f t="shared" si="269"/>
        <v>0</v>
      </c>
      <c r="BJ77" s="251">
        <f t="shared" si="269"/>
        <v>0</v>
      </c>
      <c r="BK77" s="251">
        <f t="shared" si="269"/>
        <v>0</v>
      </c>
      <c r="BL77" s="251">
        <f t="shared" si="269"/>
        <v>0</v>
      </c>
      <c r="BM77" s="251">
        <f t="shared" si="269"/>
        <v>0</v>
      </c>
      <c r="BN77" s="251">
        <f t="shared" si="269"/>
        <v>0</v>
      </c>
      <c r="BO77" s="251">
        <f t="shared" si="269"/>
        <v>0</v>
      </c>
      <c r="BP77" s="251">
        <f t="shared" ref="BP77:BW77" si="270">+BP59-BP76</f>
        <v>0</v>
      </c>
      <c r="BQ77" s="251">
        <f t="shared" si="270"/>
        <v>0</v>
      </c>
      <c r="BR77" s="251">
        <f t="shared" si="270"/>
        <v>0</v>
      </c>
      <c r="BS77" s="251">
        <f t="shared" si="270"/>
        <v>0</v>
      </c>
      <c r="BT77" s="251">
        <f t="shared" si="270"/>
        <v>0</v>
      </c>
      <c r="BU77" s="251">
        <f t="shared" si="270"/>
        <v>0</v>
      </c>
      <c r="BV77" s="251">
        <f t="shared" si="270"/>
        <v>0</v>
      </c>
      <c r="BW77" s="251">
        <f t="shared" si="270"/>
        <v>0</v>
      </c>
    </row>
    <row r="78" spans="2:75">
      <c r="B78" s="252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  <c r="BD78" s="253"/>
      <c r="BE78" s="253"/>
      <c r="BF78" s="253"/>
      <c r="BG78" s="253"/>
      <c r="BH78" s="253"/>
      <c r="BI78" s="253"/>
      <c r="BJ78" s="253"/>
      <c r="BK78" s="253"/>
      <c r="BL78" s="253"/>
      <c r="BM78" s="253"/>
      <c r="BN78" s="253"/>
      <c r="BO78" s="253"/>
      <c r="BP78" s="253"/>
      <c r="BQ78" s="253"/>
      <c r="BR78" s="253"/>
      <c r="BS78" s="253"/>
      <c r="BT78" s="253"/>
      <c r="BU78" s="253"/>
      <c r="BV78" s="253"/>
      <c r="BW78" s="253"/>
    </row>
    <row r="79" spans="2:75" ht="13.8" thickBot="1">
      <c r="B79" s="229" t="s">
        <v>283</v>
      </c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  <c r="AF79" s="229"/>
      <c r="AG79" s="229"/>
      <c r="AH79" s="229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29"/>
      <c r="AX79" s="229"/>
      <c r="AY79" s="229"/>
      <c r="AZ79" s="229"/>
      <c r="BA79" s="229"/>
      <c r="BB79" s="229"/>
      <c r="BC79" s="229"/>
      <c r="BD79" s="229"/>
      <c r="BE79" s="229"/>
      <c r="BF79" s="229"/>
      <c r="BG79" s="229"/>
      <c r="BH79" s="229"/>
      <c r="BI79" s="229"/>
      <c r="BJ79" s="229"/>
      <c r="BK79" s="229"/>
      <c r="BL79" s="229"/>
      <c r="BM79" s="229"/>
      <c r="BN79" s="229"/>
      <c r="BO79" s="229"/>
      <c r="BP79" s="229"/>
      <c r="BQ79" s="229"/>
      <c r="BR79" s="229"/>
      <c r="BS79" s="229"/>
      <c r="BT79" s="229"/>
      <c r="BU79" s="229"/>
      <c r="BV79" s="229"/>
      <c r="BW79" s="229"/>
    </row>
    <row r="80" spans="2:75" ht="13.8" outlineLevel="1" collapsed="1" thickTop="1">
      <c r="B80" s="230" t="s">
        <v>284</v>
      </c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  <c r="AZ80" s="245"/>
      <c r="BA80" s="245"/>
      <c r="BB80" s="245"/>
      <c r="BC80" s="245"/>
      <c r="BD80" s="245"/>
      <c r="BE80" s="245"/>
      <c r="BF80" s="245"/>
      <c r="BG80" s="245"/>
      <c r="BH80" s="245"/>
      <c r="BI80" s="245"/>
      <c r="BJ80" s="245"/>
      <c r="BK80" s="245"/>
      <c r="BL80" s="245"/>
      <c r="BM80" s="245"/>
      <c r="BN80" s="245"/>
      <c r="BO80" s="245"/>
      <c r="BP80" s="245"/>
      <c r="BQ80" s="245"/>
      <c r="BR80" s="245"/>
      <c r="BS80" s="245"/>
      <c r="BT80" s="245"/>
      <c r="BU80" s="245"/>
      <c r="BV80" s="245"/>
      <c r="BW80" s="245"/>
    </row>
    <row r="81" spans="1:75" s="234" customFormat="1" ht="18" customHeight="1" outlineLevel="1">
      <c r="A81" s="223"/>
      <c r="B81" s="231" t="s">
        <v>271</v>
      </c>
      <c r="D81" s="233">
        <f t="shared" ref="D81:AI81" si="271">+D51</f>
        <v>0</v>
      </c>
      <c r="E81" s="233">
        <f t="shared" si="271"/>
        <v>0</v>
      </c>
      <c r="F81" s="233">
        <f t="shared" si="271"/>
        <v>0</v>
      </c>
      <c r="G81" s="233">
        <f t="shared" si="271"/>
        <v>0</v>
      </c>
      <c r="H81" s="233">
        <f t="shared" si="271"/>
        <v>0</v>
      </c>
      <c r="I81" s="233">
        <f t="shared" si="271"/>
        <v>-44340.6732826273</v>
      </c>
      <c r="J81" s="233">
        <f t="shared" si="271"/>
        <v>-44181.3465652546</v>
      </c>
      <c r="K81" s="233">
        <f t="shared" si="271"/>
        <v>-44022.0198478819</v>
      </c>
      <c r="L81" s="233">
        <f t="shared" si="271"/>
        <v>-43862.6931305092</v>
      </c>
      <c r="M81" s="233">
        <f t="shared" si="271"/>
        <v>-43703.3664131365</v>
      </c>
      <c r="N81" s="233">
        <f t="shared" si="271"/>
        <v>-43544.0396957638</v>
      </c>
      <c r="O81" s="233">
        <f t="shared" si="271"/>
        <v>-43384.7129783911</v>
      </c>
      <c r="P81" s="233">
        <f t="shared" si="271"/>
        <v>-148637.64673335772</v>
      </c>
      <c r="Q81" s="233">
        <f t="shared" si="271"/>
        <v>-146916.57562300575</v>
      </c>
      <c r="R81" s="233">
        <f t="shared" si="271"/>
        <v>-145195.50451265363</v>
      </c>
      <c r="S81" s="233">
        <f t="shared" si="271"/>
        <v>-143474.43340230154</v>
      </c>
      <c r="T81" s="233">
        <f t="shared" si="271"/>
        <v>-141753.36229194942</v>
      </c>
      <c r="U81" s="233">
        <f t="shared" si="271"/>
        <v>-138325.62118159723</v>
      </c>
      <c r="V81" s="233">
        <f t="shared" si="271"/>
        <v>-136414.92007124514</v>
      </c>
      <c r="W81" s="233">
        <f t="shared" si="271"/>
        <v>-134504.21896089305</v>
      </c>
      <c r="X81" s="233">
        <f t="shared" si="271"/>
        <v>-137801.85118387433</v>
      </c>
      <c r="Y81" s="233">
        <f t="shared" si="271"/>
        <v>-135842.22032334009</v>
      </c>
      <c r="Z81" s="233">
        <f t="shared" si="271"/>
        <v>-133882.07977790816</v>
      </c>
      <c r="AA81" s="233">
        <f t="shared" si="271"/>
        <v>-131921.42423836081</v>
      </c>
      <c r="AB81" s="233">
        <f t="shared" si="271"/>
        <v>-142105.43026711431</v>
      </c>
      <c r="AC81" s="233">
        <f t="shared" si="271"/>
        <v>-125496.31137053245</v>
      </c>
      <c r="AD81" s="233">
        <f t="shared" si="271"/>
        <v>-108886.66121804554</v>
      </c>
      <c r="AE81" s="233">
        <f t="shared" si="271"/>
        <v>-92276.474275738103</v>
      </c>
      <c r="AF81" s="233">
        <f t="shared" si="271"/>
        <v>-75665.744952049325</v>
      </c>
      <c r="AG81" s="233">
        <f t="shared" si="271"/>
        <v>-59054.467597173418</v>
      </c>
      <c r="AH81" s="233">
        <f t="shared" si="271"/>
        <v>-42442.636502451998</v>
      </c>
      <c r="AI81" s="233">
        <f t="shared" si="271"/>
        <v>-25830.245899761492</v>
      </c>
      <c r="AJ81" s="233">
        <f t="shared" ref="AJ81:BO81" si="272">+AJ51</f>
        <v>-9217.2899608942753</v>
      </c>
      <c r="AK81" s="233">
        <f t="shared" si="272"/>
        <v>7396.2372030682764</v>
      </c>
      <c r="AL81" s="233">
        <f t="shared" si="272"/>
        <v>24010.341542387636</v>
      </c>
      <c r="AM81" s="233">
        <f t="shared" si="272"/>
        <v>40625.029069307158</v>
      </c>
      <c r="AN81" s="233">
        <f t="shared" si="272"/>
        <v>95709.880418339628</v>
      </c>
      <c r="AO81" s="233">
        <f t="shared" si="272"/>
        <v>158011.29570986103</v>
      </c>
      <c r="AP81" s="233">
        <f t="shared" si="272"/>
        <v>220313.3126040943</v>
      </c>
      <c r="AQ81" s="233">
        <f t="shared" si="272"/>
        <v>282615.93736773368</v>
      </c>
      <c r="AR81" s="233">
        <f t="shared" si="272"/>
        <v>344919.17633275239</v>
      </c>
      <c r="AS81" s="233">
        <f t="shared" si="272"/>
        <v>407223.03589708154</v>
      </c>
      <c r="AT81" s="233">
        <f t="shared" si="272"/>
        <v>469527.52252529754</v>
      </c>
      <c r="AU81" s="233">
        <f t="shared" si="272"/>
        <v>531832.64274931524</v>
      </c>
      <c r="AV81" s="233">
        <f t="shared" si="272"/>
        <v>504273.99137628032</v>
      </c>
      <c r="AW81" s="233">
        <f t="shared" si="272"/>
        <v>517789.35952051112</v>
      </c>
      <c r="AX81" s="233">
        <f t="shared" si="272"/>
        <v>567025.2515068315</v>
      </c>
      <c r="AY81" s="233">
        <f t="shared" si="272"/>
        <v>616261.8039041477</v>
      </c>
      <c r="AZ81" s="233">
        <f t="shared" si="272"/>
        <v>325220.77653979597</v>
      </c>
      <c r="BA81" s="233">
        <f t="shared" si="272"/>
        <v>408366.00897087902</v>
      </c>
      <c r="BB81" s="233">
        <f t="shared" si="272"/>
        <v>491511.92266652652</v>
      </c>
      <c r="BC81" s="233">
        <f t="shared" si="272"/>
        <v>574658.52472324437</v>
      </c>
      <c r="BD81" s="233">
        <f t="shared" si="272"/>
        <v>657805.82231145946</v>
      </c>
      <c r="BE81" s="233">
        <f t="shared" si="272"/>
        <v>740953.82267629285</v>
      </c>
      <c r="BF81" s="233">
        <f t="shared" si="272"/>
        <v>824102.53313833242</v>
      </c>
      <c r="BG81" s="233">
        <f t="shared" si="272"/>
        <v>907251.96109442483</v>
      </c>
      <c r="BH81" s="233">
        <f t="shared" si="272"/>
        <v>990402.11401846865</v>
      </c>
      <c r="BI81" s="233">
        <f t="shared" si="272"/>
        <v>1073552.9994622113</v>
      </c>
      <c r="BJ81" s="233">
        <f t="shared" si="272"/>
        <v>1156704.6250560645</v>
      </c>
      <c r="BK81" s="233">
        <f t="shared" si="272"/>
        <v>1239856.9985099295</v>
      </c>
      <c r="BL81" s="233">
        <f t="shared" si="272"/>
        <v>1541933.7803399367</v>
      </c>
      <c r="BM81" s="233">
        <f t="shared" si="272"/>
        <v>1745729.9198075221</v>
      </c>
      <c r="BN81" s="233">
        <f t="shared" si="272"/>
        <v>1949526.8307500319</v>
      </c>
      <c r="BO81" s="233">
        <f t="shared" si="272"/>
        <v>2153324.5212036599</v>
      </c>
      <c r="BP81" s="233">
        <f t="shared" ref="BP81:BW81" si="273">+BP51</f>
        <v>2357122.9992883187</v>
      </c>
      <c r="BQ81" s="233">
        <f t="shared" si="273"/>
        <v>2560922.2732084943</v>
      </c>
      <c r="BR81" s="233">
        <f t="shared" si="273"/>
        <v>2764722.3512541451</v>
      </c>
      <c r="BS81" s="233">
        <f t="shared" si="273"/>
        <v>2968523.2418015748</v>
      </c>
      <c r="BT81" s="233">
        <f t="shared" si="273"/>
        <v>3172324.9533143407</v>
      </c>
      <c r="BU81" s="233">
        <f t="shared" si="273"/>
        <v>3376127.4943441725</v>
      </c>
      <c r="BV81" s="233">
        <f t="shared" si="273"/>
        <v>3579930.873531865</v>
      </c>
      <c r="BW81" s="233">
        <f t="shared" si="273"/>
        <v>3783735.0996082341</v>
      </c>
    </row>
    <row r="82" spans="1:75" s="234" customFormat="1" outlineLevel="1">
      <c r="A82" s="223"/>
      <c r="B82" s="231" t="s">
        <v>187</v>
      </c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  <c r="AA82" s="232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2"/>
      <c r="AM82" s="232"/>
      <c r="AN82" s="232"/>
      <c r="AO82" s="232"/>
      <c r="AP82" s="232"/>
      <c r="AQ82" s="232"/>
      <c r="AR82" s="232"/>
      <c r="AS82" s="232"/>
      <c r="AT82" s="232"/>
      <c r="AU82" s="232"/>
      <c r="AV82" s="232"/>
      <c r="AW82" s="232"/>
      <c r="AX82" s="232"/>
      <c r="AY82" s="232"/>
      <c r="AZ82" s="232"/>
      <c r="BA82" s="232"/>
      <c r="BB82" s="232"/>
      <c r="BC82" s="232"/>
      <c r="BD82" s="232"/>
      <c r="BE82" s="232"/>
      <c r="BF82" s="232"/>
      <c r="BG82" s="232"/>
      <c r="BH82" s="232"/>
      <c r="BI82" s="232"/>
      <c r="BJ82" s="232"/>
      <c r="BK82" s="232"/>
      <c r="BL82" s="232"/>
      <c r="BM82" s="232"/>
      <c r="BN82" s="232"/>
      <c r="BO82" s="232"/>
      <c r="BP82" s="232"/>
      <c r="BQ82" s="232"/>
      <c r="BR82" s="232"/>
      <c r="BS82" s="232"/>
      <c r="BT82" s="232"/>
      <c r="BU82" s="232"/>
      <c r="BV82" s="232"/>
      <c r="BW82" s="232"/>
    </row>
    <row r="83" spans="1:75" s="234" customFormat="1" outlineLevel="1">
      <c r="A83" s="223"/>
      <c r="B83" s="231" t="s">
        <v>285</v>
      </c>
      <c r="D83" s="233">
        <f t="shared" ref="D83:AI83" si="274">-(D57-C57)</f>
        <v>0</v>
      </c>
      <c r="E83" s="233">
        <f t="shared" si="274"/>
        <v>0</v>
      </c>
      <c r="F83" s="233">
        <f t="shared" si="274"/>
        <v>0</v>
      </c>
      <c r="G83" s="233">
        <f t="shared" si="274"/>
        <v>0</v>
      </c>
      <c r="H83" s="233">
        <f t="shared" si="274"/>
        <v>0</v>
      </c>
      <c r="I83" s="233">
        <f t="shared" si="274"/>
        <v>-3.3271933341539612</v>
      </c>
      <c r="J83" s="233">
        <f t="shared" si="274"/>
        <v>-3.3271933341539612</v>
      </c>
      <c r="K83" s="233">
        <f t="shared" si="274"/>
        <v>-3.3271933341539635</v>
      </c>
      <c r="L83" s="233">
        <f t="shared" si="274"/>
        <v>-3.327193334153959</v>
      </c>
      <c r="M83" s="233">
        <f t="shared" si="274"/>
        <v>-3.3271933341539661</v>
      </c>
      <c r="N83" s="233">
        <f t="shared" si="274"/>
        <v>-3.3271933341539608</v>
      </c>
      <c r="O83" s="233">
        <f t="shared" si="274"/>
        <v>-3.3271933341539608</v>
      </c>
      <c r="P83" s="233">
        <f t="shared" si="274"/>
        <v>-130.11399540448181</v>
      </c>
      <c r="Q83" s="233">
        <f t="shared" si="274"/>
        <v>-51.60292603794818</v>
      </c>
      <c r="R83" s="233">
        <f t="shared" si="274"/>
        <v>-51.602926037948208</v>
      </c>
      <c r="S83" s="233">
        <f t="shared" si="274"/>
        <v>-51.602926037948123</v>
      </c>
      <c r="T83" s="233">
        <f t="shared" si="274"/>
        <v>-51.602926037948123</v>
      </c>
      <c r="U83" s="233">
        <f t="shared" si="274"/>
        <v>-76.975528777674299</v>
      </c>
      <c r="V83" s="233">
        <f t="shared" si="274"/>
        <v>-54.422104120140091</v>
      </c>
      <c r="W83" s="233">
        <f t="shared" si="274"/>
        <v>-54.422104120139977</v>
      </c>
      <c r="X83" s="233">
        <f t="shared" si="274"/>
        <v>-54.42210412013992</v>
      </c>
      <c r="Y83" s="233">
        <f t="shared" si="274"/>
        <v>-54.422104120140034</v>
      </c>
      <c r="Z83" s="233">
        <f t="shared" si="274"/>
        <v>-54.422104120140034</v>
      </c>
      <c r="AA83" s="233">
        <f t="shared" si="274"/>
        <v>-54.422104120139807</v>
      </c>
      <c r="AB83" s="233">
        <f t="shared" si="274"/>
        <v>-1530.5330074224994</v>
      </c>
      <c r="AC83" s="233">
        <f t="shared" si="274"/>
        <v>-487.66232152382327</v>
      </c>
      <c r="AD83" s="233">
        <f t="shared" si="274"/>
        <v>-487.66232152382281</v>
      </c>
      <c r="AE83" s="233">
        <f t="shared" si="274"/>
        <v>-487.66232152382327</v>
      </c>
      <c r="AF83" s="233">
        <f t="shared" si="274"/>
        <v>-487.66232152382236</v>
      </c>
      <c r="AG83" s="233">
        <f t="shared" si="274"/>
        <v>-487.66232152382327</v>
      </c>
      <c r="AH83" s="233">
        <f t="shared" si="274"/>
        <v>-487.66232152382236</v>
      </c>
      <c r="AI83" s="233">
        <f t="shared" si="274"/>
        <v>-487.66232152382327</v>
      </c>
      <c r="AJ83" s="233">
        <f t="shared" ref="AJ83:BO83" si="275">-(AJ57-AI57)</f>
        <v>-487.66232152382327</v>
      </c>
      <c r="AK83" s="233">
        <f t="shared" si="275"/>
        <v>-487.66232152382327</v>
      </c>
      <c r="AL83" s="233">
        <f t="shared" si="275"/>
        <v>-487.66232152382327</v>
      </c>
      <c r="AM83" s="233">
        <f t="shared" si="275"/>
        <v>-487.66232152382327</v>
      </c>
      <c r="AN83" s="233">
        <f t="shared" si="275"/>
        <v>-4367.823614513949</v>
      </c>
      <c r="AO83" s="233">
        <f t="shared" si="275"/>
        <v>-1844.7154367231615</v>
      </c>
      <c r="AP83" s="233">
        <f t="shared" si="275"/>
        <v>-1844.7154367231597</v>
      </c>
      <c r="AQ83" s="233">
        <f t="shared" si="275"/>
        <v>-1844.7154367231651</v>
      </c>
      <c r="AR83" s="233">
        <f t="shared" si="275"/>
        <v>-1844.7154367231633</v>
      </c>
      <c r="AS83" s="233">
        <f t="shared" si="275"/>
        <v>-1844.7154367231597</v>
      </c>
      <c r="AT83" s="233">
        <f t="shared" si="275"/>
        <v>-1844.7154367231669</v>
      </c>
      <c r="AU83" s="233">
        <f t="shared" si="275"/>
        <v>-1844.715436723156</v>
      </c>
      <c r="AV83" s="233">
        <f t="shared" si="275"/>
        <v>-1844.7154367231633</v>
      </c>
      <c r="AW83" s="233">
        <f t="shared" si="275"/>
        <v>-1844.7154367231633</v>
      </c>
      <c r="AX83" s="233">
        <f t="shared" si="275"/>
        <v>-1844.7154367231706</v>
      </c>
      <c r="AY83" s="233">
        <f t="shared" si="275"/>
        <v>-1844.7154367231597</v>
      </c>
      <c r="AZ83" s="233">
        <f t="shared" si="275"/>
        <v>-13474.503747183648</v>
      </c>
      <c r="BA83" s="233">
        <f t="shared" si="275"/>
        <v>-5523.787379786103</v>
      </c>
      <c r="BB83" s="233">
        <f t="shared" si="275"/>
        <v>-5523.787379786103</v>
      </c>
      <c r="BC83" s="233">
        <f t="shared" si="275"/>
        <v>-5523.7873797861103</v>
      </c>
      <c r="BD83" s="233">
        <f t="shared" si="275"/>
        <v>-5523.7873797861103</v>
      </c>
      <c r="BE83" s="233">
        <f t="shared" si="275"/>
        <v>-5523.7873797861248</v>
      </c>
      <c r="BF83" s="233">
        <f t="shared" si="275"/>
        <v>-5523.7873797861103</v>
      </c>
      <c r="BG83" s="233">
        <f t="shared" si="275"/>
        <v>-5523.7873797860957</v>
      </c>
      <c r="BH83" s="233">
        <f t="shared" si="275"/>
        <v>-5523.7873797861103</v>
      </c>
      <c r="BI83" s="233">
        <f t="shared" si="275"/>
        <v>-5523.7873797861103</v>
      </c>
      <c r="BJ83" s="233">
        <f t="shared" si="275"/>
        <v>-5523.7873797860811</v>
      </c>
      <c r="BK83" s="233">
        <f t="shared" si="275"/>
        <v>-5523.7873797861248</v>
      </c>
      <c r="BL83" s="233">
        <f t="shared" si="275"/>
        <v>-34586.043416688059</v>
      </c>
      <c r="BM83" s="233">
        <f t="shared" si="275"/>
        <v>-13568.844510130672</v>
      </c>
      <c r="BN83" s="233">
        <f t="shared" si="275"/>
        <v>-13568.844510130672</v>
      </c>
      <c r="BO83" s="233">
        <f t="shared" si="275"/>
        <v>-13568.844510130642</v>
      </c>
      <c r="BP83" s="233">
        <f t="shared" ref="BP83:BW83" si="276">-(BP57-BO57)</f>
        <v>-13568.844510130672</v>
      </c>
      <c r="BQ83" s="233">
        <f t="shared" si="276"/>
        <v>-13568.844510130613</v>
      </c>
      <c r="BR83" s="233">
        <f t="shared" si="276"/>
        <v>-13568.844510130672</v>
      </c>
      <c r="BS83" s="233">
        <f t="shared" si="276"/>
        <v>-13568.844510130701</v>
      </c>
      <c r="BT83" s="233">
        <f t="shared" si="276"/>
        <v>-13568.844510130642</v>
      </c>
      <c r="BU83" s="233">
        <f t="shared" si="276"/>
        <v>-13568.844510130672</v>
      </c>
      <c r="BV83" s="233">
        <f t="shared" si="276"/>
        <v>-13568.844510130584</v>
      </c>
      <c r="BW83" s="233">
        <f t="shared" si="276"/>
        <v>-13568.844510130701</v>
      </c>
    </row>
    <row r="84" spans="1:75" s="234" customFormat="1" ht="13.8" outlineLevel="1" thickBot="1">
      <c r="A84" s="223"/>
      <c r="B84" s="235" t="s">
        <v>286</v>
      </c>
      <c r="D84" s="236">
        <f t="shared" ref="D84:AI84" si="277">+D62-C62</f>
        <v>0</v>
      </c>
      <c r="E84" s="236">
        <f t="shared" si="277"/>
        <v>0</v>
      </c>
      <c r="F84" s="236">
        <f t="shared" si="277"/>
        <v>0</v>
      </c>
      <c r="G84" s="236">
        <f t="shared" si="277"/>
        <v>0</v>
      </c>
      <c r="H84" s="236">
        <f t="shared" si="277"/>
        <v>0</v>
      </c>
      <c r="I84" s="236">
        <f t="shared" si="277"/>
        <v>1.164053370144372</v>
      </c>
      <c r="J84" s="236">
        <f t="shared" si="277"/>
        <v>1.164053370144372</v>
      </c>
      <c r="K84" s="236">
        <f t="shared" si="277"/>
        <v>1.164053370144372</v>
      </c>
      <c r="L84" s="236">
        <f t="shared" si="277"/>
        <v>1.164053370144372</v>
      </c>
      <c r="M84" s="236">
        <f t="shared" si="277"/>
        <v>1.1640533701443729</v>
      </c>
      <c r="N84" s="236">
        <f t="shared" si="277"/>
        <v>1.1640533701443712</v>
      </c>
      <c r="O84" s="236">
        <f t="shared" si="277"/>
        <v>1.1640533701443712</v>
      </c>
      <c r="P84" s="236">
        <f t="shared" si="277"/>
        <v>44.773622299149146</v>
      </c>
      <c r="Q84" s="236">
        <f t="shared" si="277"/>
        <v>17.773986578959921</v>
      </c>
      <c r="R84" s="236">
        <f t="shared" si="277"/>
        <v>17.773986578959949</v>
      </c>
      <c r="S84" s="236">
        <f t="shared" si="277"/>
        <v>17.773986578959892</v>
      </c>
      <c r="T84" s="236">
        <f t="shared" si="277"/>
        <v>17.773986578959935</v>
      </c>
      <c r="U84" s="236">
        <f t="shared" si="277"/>
        <v>24.298370140603765</v>
      </c>
      <c r="V84" s="236">
        <f t="shared" si="277"/>
        <v>18.498918085809265</v>
      </c>
      <c r="W84" s="236">
        <f t="shared" si="277"/>
        <v>18.498918085809237</v>
      </c>
      <c r="X84" s="236">
        <f t="shared" si="277"/>
        <v>18.498918085809265</v>
      </c>
      <c r="Y84" s="236">
        <f t="shared" si="277"/>
        <v>18.498918085809237</v>
      </c>
      <c r="Z84" s="236">
        <f t="shared" si="277"/>
        <v>18.498918085809237</v>
      </c>
      <c r="AA84" s="236">
        <f t="shared" si="277"/>
        <v>18.498918085809265</v>
      </c>
      <c r="AB84" s="236">
        <f t="shared" si="277"/>
        <v>523.91920822000384</v>
      </c>
      <c r="AC84" s="236">
        <f t="shared" si="277"/>
        <v>166.6807020175612</v>
      </c>
      <c r="AD84" s="236">
        <f t="shared" si="277"/>
        <v>166.68070201756132</v>
      </c>
      <c r="AE84" s="236">
        <f t="shared" si="277"/>
        <v>166.68070201756132</v>
      </c>
      <c r="AF84" s="236">
        <f t="shared" si="277"/>
        <v>166.68070201756109</v>
      </c>
      <c r="AG84" s="236">
        <f t="shared" si="277"/>
        <v>166.68070201756132</v>
      </c>
      <c r="AH84" s="236">
        <f t="shared" si="277"/>
        <v>166.68070201756086</v>
      </c>
      <c r="AI84" s="236">
        <f t="shared" si="277"/>
        <v>166.68070201756154</v>
      </c>
      <c r="AJ84" s="236">
        <f t="shared" ref="AJ84:BO84" si="278">+AJ62-AI62</f>
        <v>166.68070201756154</v>
      </c>
      <c r="AK84" s="236">
        <f t="shared" si="278"/>
        <v>166.68070201756109</v>
      </c>
      <c r="AL84" s="236">
        <f t="shared" si="278"/>
        <v>166.68070201756109</v>
      </c>
      <c r="AM84" s="236">
        <f t="shared" si="278"/>
        <v>166.68070201756154</v>
      </c>
      <c r="AN84" s="236">
        <f t="shared" si="278"/>
        <v>1495.1757920994978</v>
      </c>
      <c r="AO84" s="236">
        <f t="shared" si="278"/>
        <v>631.15222018375334</v>
      </c>
      <c r="AP84" s="236">
        <f t="shared" si="278"/>
        <v>631.15222018375425</v>
      </c>
      <c r="AQ84" s="236">
        <f t="shared" si="278"/>
        <v>631.15222018375425</v>
      </c>
      <c r="AR84" s="236">
        <f t="shared" si="278"/>
        <v>631.15222018375243</v>
      </c>
      <c r="AS84" s="236">
        <f t="shared" si="278"/>
        <v>631.15222018375243</v>
      </c>
      <c r="AT84" s="236">
        <f t="shared" si="278"/>
        <v>631.15222018375425</v>
      </c>
      <c r="AU84" s="236">
        <f t="shared" si="278"/>
        <v>631.15222018375243</v>
      </c>
      <c r="AV84" s="236">
        <f t="shared" si="278"/>
        <v>631.15222018375425</v>
      </c>
      <c r="AW84" s="236">
        <f t="shared" si="278"/>
        <v>631.15222018375425</v>
      </c>
      <c r="AX84" s="236">
        <f t="shared" si="278"/>
        <v>631.15222018375607</v>
      </c>
      <c r="AY84" s="236">
        <f t="shared" si="278"/>
        <v>631.15222018375243</v>
      </c>
      <c r="AZ84" s="236">
        <f t="shared" si="278"/>
        <v>4620.9367945334143</v>
      </c>
      <c r="BA84" s="236">
        <f t="shared" si="278"/>
        <v>1891.5066574139473</v>
      </c>
      <c r="BB84" s="236">
        <f t="shared" si="278"/>
        <v>1891.5066574139419</v>
      </c>
      <c r="BC84" s="236">
        <f t="shared" si="278"/>
        <v>1891.5066574139455</v>
      </c>
      <c r="BD84" s="236">
        <f t="shared" si="278"/>
        <v>1891.5066574139419</v>
      </c>
      <c r="BE84" s="236">
        <f t="shared" si="278"/>
        <v>1891.5066574139491</v>
      </c>
      <c r="BF84" s="236">
        <f t="shared" si="278"/>
        <v>1891.5066574139455</v>
      </c>
      <c r="BG84" s="236">
        <f t="shared" si="278"/>
        <v>1891.5066574139564</v>
      </c>
      <c r="BH84" s="236">
        <f t="shared" si="278"/>
        <v>1891.5066574139419</v>
      </c>
      <c r="BI84" s="236">
        <f t="shared" si="278"/>
        <v>1891.5066574139455</v>
      </c>
      <c r="BJ84" s="236">
        <f t="shared" si="278"/>
        <v>1891.5066574139346</v>
      </c>
      <c r="BK84" s="236">
        <f t="shared" si="278"/>
        <v>1891.5066574139491</v>
      </c>
      <c r="BL84" s="236">
        <f t="shared" si="278"/>
        <v>11853.231014880133</v>
      </c>
      <c r="BM84" s="236">
        <f t="shared" si="278"/>
        <v>4647.3342469175986</v>
      </c>
      <c r="BN84" s="236">
        <f t="shared" si="278"/>
        <v>4647.3342469175914</v>
      </c>
      <c r="BO84" s="236">
        <f t="shared" si="278"/>
        <v>4647.3342469175986</v>
      </c>
      <c r="BP84" s="236">
        <f t="shared" ref="BP84:BW84" si="279">+BP62-BO62</f>
        <v>4647.3342469175986</v>
      </c>
      <c r="BQ84" s="236">
        <f t="shared" si="279"/>
        <v>4647.3342469175986</v>
      </c>
      <c r="BR84" s="236">
        <f t="shared" si="279"/>
        <v>4647.3342469175695</v>
      </c>
      <c r="BS84" s="236">
        <f t="shared" si="279"/>
        <v>4647.3342469176132</v>
      </c>
      <c r="BT84" s="236">
        <f t="shared" si="279"/>
        <v>4647.3342469176132</v>
      </c>
      <c r="BU84" s="236">
        <f t="shared" si="279"/>
        <v>4647.3342469175841</v>
      </c>
      <c r="BV84" s="236">
        <f t="shared" si="279"/>
        <v>4647.3342469175841</v>
      </c>
      <c r="BW84" s="236">
        <f t="shared" si="279"/>
        <v>4647.3342469175841</v>
      </c>
    </row>
    <row r="85" spans="1:75" s="234" customFormat="1" outlineLevel="1" collapsed="1">
      <c r="A85" s="223"/>
      <c r="B85" s="230" t="s">
        <v>284</v>
      </c>
      <c r="C85" s="260"/>
      <c r="D85" s="238">
        <f t="shared" ref="D85:AA85" si="280">+SUM(D81:D84)</f>
        <v>0</v>
      </c>
      <c r="E85" s="238">
        <f t="shared" si="280"/>
        <v>0</v>
      </c>
      <c r="F85" s="238">
        <f t="shared" si="280"/>
        <v>0</v>
      </c>
      <c r="G85" s="238">
        <f t="shared" si="280"/>
        <v>0</v>
      </c>
      <c r="H85" s="238">
        <f t="shared" si="280"/>
        <v>0</v>
      </c>
      <c r="I85" s="238">
        <f t="shared" si="280"/>
        <v>-44342.83642259131</v>
      </c>
      <c r="J85" s="238">
        <f t="shared" si="280"/>
        <v>-44183.50970521861</v>
      </c>
      <c r="K85" s="238">
        <f t="shared" si="280"/>
        <v>-44024.18298784591</v>
      </c>
      <c r="L85" s="238">
        <f t="shared" si="280"/>
        <v>-43864.85627047321</v>
      </c>
      <c r="M85" s="238">
        <f t="shared" si="280"/>
        <v>-43705.52955310051</v>
      </c>
      <c r="N85" s="238">
        <f t="shared" si="280"/>
        <v>-43546.20283572781</v>
      </c>
      <c r="O85" s="238">
        <f t="shared" si="280"/>
        <v>-43386.876118355111</v>
      </c>
      <c r="P85" s="238">
        <f t="shared" si="280"/>
        <v>-148722.98710646306</v>
      </c>
      <c r="Q85" s="238">
        <f t="shared" si="280"/>
        <v>-146950.40456246474</v>
      </c>
      <c r="R85" s="238">
        <f t="shared" si="280"/>
        <v>-145229.33345211262</v>
      </c>
      <c r="S85" s="238">
        <f t="shared" si="280"/>
        <v>-143508.26234176054</v>
      </c>
      <c r="T85" s="238">
        <f t="shared" si="280"/>
        <v>-141787.19123140842</v>
      </c>
      <c r="U85" s="238">
        <f t="shared" si="280"/>
        <v>-138378.29834023429</v>
      </c>
      <c r="V85" s="238">
        <f t="shared" si="280"/>
        <v>-136450.84325727948</v>
      </c>
      <c r="W85" s="238">
        <f t="shared" si="280"/>
        <v>-134540.14214692739</v>
      </c>
      <c r="X85" s="238">
        <f t="shared" si="280"/>
        <v>-137837.77436990867</v>
      </c>
      <c r="Y85" s="238">
        <f t="shared" si="280"/>
        <v>-135878.14350937444</v>
      </c>
      <c r="Z85" s="238">
        <f t="shared" si="280"/>
        <v>-133918.0029639425</v>
      </c>
      <c r="AA85" s="238">
        <f t="shared" si="280"/>
        <v>-131957.34742439515</v>
      </c>
      <c r="AB85" s="238">
        <f t="shared" ref="AB85" si="281">+SUM(AB81:AB84)</f>
        <v>-143112.0440663168</v>
      </c>
      <c r="AC85" s="238">
        <f t="shared" ref="AC85" si="282">+SUM(AC81:AC84)</f>
        <v>-125817.29299003871</v>
      </c>
      <c r="AD85" s="238">
        <f t="shared" ref="AD85" si="283">+SUM(AD81:AD84)</f>
        <v>-109207.6428375518</v>
      </c>
      <c r="AE85" s="238">
        <f t="shared" ref="AE85" si="284">+SUM(AE81:AE84)</f>
        <v>-92597.455895244362</v>
      </c>
      <c r="AF85" s="238">
        <f t="shared" ref="AF85" si="285">+SUM(AF81:AF84)</f>
        <v>-75986.726571555584</v>
      </c>
      <c r="AG85" s="238">
        <f t="shared" ref="AG85" si="286">+SUM(AG81:AG84)</f>
        <v>-59375.449216679677</v>
      </c>
      <c r="AH85" s="238">
        <f t="shared" ref="AH85" si="287">+SUM(AH81:AH84)</f>
        <v>-42763.618121958258</v>
      </c>
      <c r="AI85" s="238">
        <f t="shared" ref="AI85" si="288">+SUM(AI81:AI84)</f>
        <v>-26151.227519267755</v>
      </c>
      <c r="AJ85" s="238">
        <f t="shared" ref="AJ85" si="289">+SUM(AJ81:AJ84)</f>
        <v>-9538.2715804005365</v>
      </c>
      <c r="AK85" s="238">
        <f t="shared" ref="AK85" si="290">+SUM(AK81:AK84)</f>
        <v>7075.2555835620142</v>
      </c>
      <c r="AL85" s="238">
        <f t="shared" ref="AL85" si="291">+SUM(AL81:AL84)</f>
        <v>23689.359922881376</v>
      </c>
      <c r="AM85" s="238">
        <f t="shared" ref="AM85" si="292">+SUM(AM81:AM84)</f>
        <v>40304.047449800899</v>
      </c>
      <c r="AN85" s="238">
        <f t="shared" ref="AN85" si="293">+SUM(AN81:AN84)</f>
        <v>92837.232595925176</v>
      </c>
      <c r="AO85" s="238">
        <f t="shared" ref="AO85" si="294">+SUM(AO81:AO84)</f>
        <v>156797.73249332162</v>
      </c>
      <c r="AP85" s="238">
        <f t="shared" ref="AP85" si="295">+SUM(AP81:AP84)</f>
        <v>219099.74938755488</v>
      </c>
      <c r="AQ85" s="238">
        <f t="shared" ref="AQ85" si="296">+SUM(AQ81:AQ84)</f>
        <v>281402.37415119429</v>
      </c>
      <c r="AR85" s="238">
        <f t="shared" ref="AR85" si="297">+SUM(AR81:AR84)</f>
        <v>343705.613116213</v>
      </c>
      <c r="AS85" s="238">
        <f t="shared" ref="AS85" si="298">+SUM(AS81:AS84)</f>
        <v>406009.47268054215</v>
      </c>
      <c r="AT85" s="238">
        <f t="shared" ref="AT85" si="299">+SUM(AT81:AT84)</f>
        <v>468313.95930875815</v>
      </c>
      <c r="AU85" s="238">
        <f t="shared" ref="AU85" si="300">+SUM(AU81:AU84)</f>
        <v>530619.0795327758</v>
      </c>
      <c r="AV85" s="238">
        <f t="shared" ref="AV85" si="301">+SUM(AV81:AV84)</f>
        <v>503060.42815974093</v>
      </c>
      <c r="AW85" s="238">
        <f t="shared" ref="AW85" si="302">+SUM(AW81:AW84)</f>
        <v>516575.79630397173</v>
      </c>
      <c r="AX85" s="238">
        <f t="shared" ref="AX85" si="303">+SUM(AX81:AX84)</f>
        <v>565811.68829029205</v>
      </c>
      <c r="AY85" s="238">
        <f t="shared" ref="AY85" si="304">+SUM(AY81:AY84)</f>
        <v>615048.24068760825</v>
      </c>
      <c r="AZ85" s="238">
        <f t="shared" ref="AZ85" si="305">+SUM(AZ81:AZ84)</f>
        <v>316367.20958714571</v>
      </c>
      <c r="BA85" s="238">
        <f t="shared" ref="BA85" si="306">+SUM(BA81:BA84)</f>
        <v>404733.7282485069</v>
      </c>
      <c r="BB85" s="238">
        <f t="shared" ref="BB85" si="307">+SUM(BB81:BB84)</f>
        <v>487879.6419441544</v>
      </c>
      <c r="BC85" s="238">
        <f t="shared" ref="BC85" si="308">+SUM(BC81:BC84)</f>
        <v>571026.24400087213</v>
      </c>
      <c r="BD85" s="238">
        <f t="shared" ref="BD85" si="309">+SUM(BD81:BD84)</f>
        <v>654173.54158908722</v>
      </c>
      <c r="BE85" s="238">
        <f t="shared" ref="BE85" si="310">+SUM(BE81:BE84)</f>
        <v>737321.54195392062</v>
      </c>
      <c r="BF85" s="238">
        <f t="shared" ref="BF85" si="311">+SUM(BF81:BF84)</f>
        <v>820470.25241596019</v>
      </c>
      <c r="BG85" s="238">
        <f t="shared" ref="BG85" si="312">+SUM(BG81:BG84)</f>
        <v>903619.68037205259</v>
      </c>
      <c r="BH85" s="238">
        <f t="shared" ref="BH85" si="313">+SUM(BH81:BH84)</f>
        <v>986769.83329609642</v>
      </c>
      <c r="BI85" s="238">
        <f t="shared" ref="BI85" si="314">+SUM(BI81:BI84)</f>
        <v>1069920.718739839</v>
      </c>
      <c r="BJ85" s="238">
        <f t="shared" ref="BJ85" si="315">+SUM(BJ81:BJ84)</f>
        <v>1153072.3443336922</v>
      </c>
      <c r="BK85" s="238">
        <f t="shared" ref="BK85" si="316">+SUM(BK81:BK84)</f>
        <v>1236224.7177875573</v>
      </c>
      <c r="BL85" s="238">
        <f t="shared" ref="BL85" si="317">+SUM(BL81:BL84)</f>
        <v>1519200.9679381289</v>
      </c>
      <c r="BM85" s="238">
        <f t="shared" ref="BM85" si="318">+SUM(BM81:BM84)</f>
        <v>1736808.4095443091</v>
      </c>
      <c r="BN85" s="238">
        <f t="shared" ref="BN85" si="319">+SUM(BN81:BN84)</f>
        <v>1940605.3204868189</v>
      </c>
      <c r="BO85" s="238">
        <f t="shared" ref="BO85" si="320">+SUM(BO81:BO84)</f>
        <v>2144403.010940447</v>
      </c>
      <c r="BP85" s="238">
        <f t="shared" ref="BP85" si="321">+SUM(BP81:BP84)</f>
        <v>2348201.4890251057</v>
      </c>
      <c r="BQ85" s="238">
        <f t="shared" ref="BQ85" si="322">+SUM(BQ81:BQ84)</f>
        <v>2552000.7629452813</v>
      </c>
      <c r="BR85" s="238">
        <f t="shared" ref="BR85" si="323">+SUM(BR81:BR84)</f>
        <v>2755800.8409909322</v>
      </c>
      <c r="BS85" s="238">
        <f t="shared" ref="BS85" si="324">+SUM(BS81:BS84)</f>
        <v>2959601.7315383619</v>
      </c>
      <c r="BT85" s="238">
        <f t="shared" ref="BT85" si="325">+SUM(BT81:BT84)</f>
        <v>3163403.4430511277</v>
      </c>
      <c r="BU85" s="238">
        <f t="shared" ref="BU85" si="326">+SUM(BU81:BU84)</f>
        <v>3367205.9840809596</v>
      </c>
      <c r="BV85" s="238">
        <f t="shared" ref="BV85" si="327">+SUM(BV81:BV84)</f>
        <v>3571009.363268652</v>
      </c>
      <c r="BW85" s="238">
        <f t="shared" ref="BW85" si="328">+SUM(BW81:BW84)</f>
        <v>3774813.5893450212</v>
      </c>
    </row>
    <row r="86" spans="1:75" s="234" customFormat="1" outlineLevel="1">
      <c r="A86" s="223"/>
      <c r="B86" s="227" t="s">
        <v>287</v>
      </c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233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233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233"/>
      <c r="BE86" s="233"/>
      <c r="BF86" s="233"/>
      <c r="BG86" s="233"/>
      <c r="BH86" s="233"/>
      <c r="BI86" s="233"/>
      <c r="BJ86" s="233"/>
      <c r="BK86" s="233"/>
      <c r="BL86" s="233"/>
      <c r="BM86" s="233"/>
      <c r="BN86" s="233"/>
      <c r="BO86" s="233"/>
      <c r="BP86" s="233"/>
      <c r="BQ86" s="233"/>
      <c r="BR86" s="233"/>
      <c r="BS86" s="233"/>
      <c r="BT86" s="233"/>
      <c r="BU86" s="233"/>
      <c r="BV86" s="233"/>
      <c r="BW86" s="233"/>
    </row>
    <row r="87" spans="1:75" s="234" customFormat="1" outlineLevel="1">
      <c r="A87" s="223"/>
      <c r="B87" s="230" t="s">
        <v>287</v>
      </c>
      <c r="D87" s="233">
        <f>D86</f>
        <v>0</v>
      </c>
      <c r="E87" s="233">
        <f t="shared" ref="E87:BP87" si="329">E86</f>
        <v>0</v>
      </c>
      <c r="F87" s="233">
        <f t="shared" si="329"/>
        <v>0</v>
      </c>
      <c r="G87" s="233">
        <f t="shared" si="329"/>
        <v>0</v>
      </c>
      <c r="H87" s="233">
        <f t="shared" si="329"/>
        <v>0</v>
      </c>
      <c r="I87" s="233">
        <f t="shared" si="329"/>
        <v>0</v>
      </c>
      <c r="J87" s="233">
        <f t="shared" si="329"/>
        <v>0</v>
      </c>
      <c r="K87" s="233">
        <f t="shared" si="329"/>
        <v>0</v>
      </c>
      <c r="L87" s="233">
        <f t="shared" si="329"/>
        <v>0</v>
      </c>
      <c r="M87" s="233">
        <f t="shared" si="329"/>
        <v>0</v>
      </c>
      <c r="N87" s="233">
        <f t="shared" si="329"/>
        <v>0</v>
      </c>
      <c r="O87" s="233">
        <f t="shared" si="329"/>
        <v>0</v>
      </c>
      <c r="P87" s="233">
        <f t="shared" si="329"/>
        <v>0</v>
      </c>
      <c r="Q87" s="233">
        <f t="shared" si="329"/>
        <v>0</v>
      </c>
      <c r="R87" s="233">
        <f t="shared" si="329"/>
        <v>0</v>
      </c>
      <c r="S87" s="233">
        <f t="shared" si="329"/>
        <v>0</v>
      </c>
      <c r="T87" s="233">
        <f t="shared" si="329"/>
        <v>0</v>
      </c>
      <c r="U87" s="233">
        <f t="shared" si="329"/>
        <v>0</v>
      </c>
      <c r="V87" s="233">
        <f t="shared" si="329"/>
        <v>0</v>
      </c>
      <c r="W87" s="233">
        <f t="shared" si="329"/>
        <v>0</v>
      </c>
      <c r="X87" s="233">
        <f t="shared" si="329"/>
        <v>0</v>
      </c>
      <c r="Y87" s="233">
        <f t="shared" si="329"/>
        <v>0</v>
      </c>
      <c r="Z87" s="233">
        <f t="shared" si="329"/>
        <v>0</v>
      </c>
      <c r="AA87" s="233">
        <f t="shared" si="329"/>
        <v>0</v>
      </c>
      <c r="AB87" s="233">
        <f t="shared" si="329"/>
        <v>0</v>
      </c>
      <c r="AC87" s="233">
        <f t="shared" si="329"/>
        <v>0</v>
      </c>
      <c r="AD87" s="233">
        <f t="shared" si="329"/>
        <v>0</v>
      </c>
      <c r="AE87" s="233">
        <f t="shared" si="329"/>
        <v>0</v>
      </c>
      <c r="AF87" s="233">
        <f t="shared" si="329"/>
        <v>0</v>
      </c>
      <c r="AG87" s="233">
        <f t="shared" si="329"/>
        <v>0</v>
      </c>
      <c r="AH87" s="233">
        <f t="shared" si="329"/>
        <v>0</v>
      </c>
      <c r="AI87" s="233">
        <f t="shared" si="329"/>
        <v>0</v>
      </c>
      <c r="AJ87" s="233">
        <f t="shared" si="329"/>
        <v>0</v>
      </c>
      <c r="AK87" s="233">
        <f t="shared" si="329"/>
        <v>0</v>
      </c>
      <c r="AL87" s="233">
        <f t="shared" si="329"/>
        <v>0</v>
      </c>
      <c r="AM87" s="233">
        <f t="shared" si="329"/>
        <v>0</v>
      </c>
      <c r="AN87" s="233">
        <f t="shared" si="329"/>
        <v>0</v>
      </c>
      <c r="AO87" s="233">
        <f t="shared" si="329"/>
        <v>0</v>
      </c>
      <c r="AP87" s="233">
        <f t="shared" si="329"/>
        <v>0</v>
      </c>
      <c r="AQ87" s="233">
        <f t="shared" si="329"/>
        <v>0</v>
      </c>
      <c r="AR87" s="233">
        <f t="shared" si="329"/>
        <v>0</v>
      </c>
      <c r="AS87" s="233">
        <f t="shared" si="329"/>
        <v>0</v>
      </c>
      <c r="AT87" s="233">
        <f t="shared" si="329"/>
        <v>0</v>
      </c>
      <c r="AU87" s="233">
        <f t="shared" si="329"/>
        <v>0</v>
      </c>
      <c r="AV87" s="233">
        <f t="shared" si="329"/>
        <v>0</v>
      </c>
      <c r="AW87" s="233">
        <f t="shared" si="329"/>
        <v>0</v>
      </c>
      <c r="AX87" s="233">
        <f t="shared" si="329"/>
        <v>0</v>
      </c>
      <c r="AY87" s="233">
        <f t="shared" si="329"/>
        <v>0</v>
      </c>
      <c r="AZ87" s="233">
        <f t="shared" si="329"/>
        <v>0</v>
      </c>
      <c r="BA87" s="233">
        <f t="shared" si="329"/>
        <v>0</v>
      </c>
      <c r="BB87" s="233">
        <f t="shared" si="329"/>
        <v>0</v>
      </c>
      <c r="BC87" s="233">
        <f t="shared" si="329"/>
        <v>0</v>
      </c>
      <c r="BD87" s="233">
        <f t="shared" si="329"/>
        <v>0</v>
      </c>
      <c r="BE87" s="233">
        <f t="shared" si="329"/>
        <v>0</v>
      </c>
      <c r="BF87" s="233">
        <f t="shared" si="329"/>
        <v>0</v>
      </c>
      <c r="BG87" s="233">
        <f t="shared" si="329"/>
        <v>0</v>
      </c>
      <c r="BH87" s="233">
        <f t="shared" si="329"/>
        <v>0</v>
      </c>
      <c r="BI87" s="233">
        <f t="shared" si="329"/>
        <v>0</v>
      </c>
      <c r="BJ87" s="233">
        <f t="shared" si="329"/>
        <v>0</v>
      </c>
      <c r="BK87" s="233">
        <f t="shared" si="329"/>
        <v>0</v>
      </c>
      <c r="BL87" s="233">
        <f t="shared" si="329"/>
        <v>0</v>
      </c>
      <c r="BM87" s="233">
        <f t="shared" si="329"/>
        <v>0</v>
      </c>
      <c r="BN87" s="233">
        <f t="shared" si="329"/>
        <v>0</v>
      </c>
      <c r="BO87" s="233">
        <f t="shared" si="329"/>
        <v>0</v>
      </c>
      <c r="BP87" s="233">
        <f t="shared" si="329"/>
        <v>0</v>
      </c>
      <c r="BQ87" s="233">
        <f t="shared" ref="BQ87:BW87" si="330">BQ86</f>
        <v>0</v>
      </c>
      <c r="BR87" s="233">
        <f t="shared" si="330"/>
        <v>0</v>
      </c>
      <c r="BS87" s="233">
        <f t="shared" si="330"/>
        <v>0</v>
      </c>
      <c r="BT87" s="233">
        <f t="shared" si="330"/>
        <v>0</v>
      </c>
      <c r="BU87" s="233">
        <f t="shared" si="330"/>
        <v>0</v>
      </c>
      <c r="BV87" s="233">
        <f t="shared" si="330"/>
        <v>0</v>
      </c>
      <c r="BW87" s="233">
        <f t="shared" si="330"/>
        <v>0</v>
      </c>
    </row>
    <row r="88" spans="1:75" s="234" customFormat="1" outlineLevel="2">
      <c r="A88" s="223"/>
      <c r="B88" s="230" t="s">
        <v>288</v>
      </c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233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233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233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233"/>
      <c r="BE88" s="233"/>
      <c r="BF88" s="233"/>
      <c r="BG88" s="233"/>
      <c r="BH88" s="233"/>
      <c r="BI88" s="233"/>
      <c r="BJ88" s="233"/>
      <c r="BK88" s="233"/>
      <c r="BL88" s="233"/>
      <c r="BM88" s="233"/>
      <c r="BN88" s="233"/>
      <c r="BO88" s="233"/>
      <c r="BP88" s="233"/>
      <c r="BQ88" s="233"/>
      <c r="BR88" s="233"/>
      <c r="BS88" s="233"/>
      <c r="BT88" s="233"/>
      <c r="BU88" s="233"/>
      <c r="BV88" s="233"/>
      <c r="BW88" s="233"/>
    </row>
    <row r="89" spans="1:75" s="234" customFormat="1" outlineLevel="2">
      <c r="A89" s="223"/>
      <c r="B89" s="231" t="s">
        <v>304</v>
      </c>
      <c r="D89" s="279">
        <f>IF(D$4=_xlfn.XLOOKUP($B89,Assumptions!$E$87:$E$90,Assumptions!$H$87:$H$90),_xlfn.XLOOKUP($B89,Assumptions!$E$87:$E$90,Assumptions!$G$87:$G$90),0)</f>
        <v>0</v>
      </c>
      <c r="E89" s="279">
        <f>IF(E$4=_xlfn.XLOOKUP($B89,Assumptions!$E$87:$E$90,Assumptions!$H$87:$H$90),_xlfn.XLOOKUP($B89,Assumptions!$E$87:$E$90,Assumptions!$G$87:$G$90),0)</f>
        <v>0</v>
      </c>
      <c r="F89" s="279">
        <f>IF(F$4=_xlfn.XLOOKUP($B89,Assumptions!$E$87:$E$90,Assumptions!$H$87:$H$90),_xlfn.XLOOKUP($B89,Assumptions!$E$87:$E$90,Assumptions!$G$87:$G$90),0)</f>
        <v>0</v>
      </c>
      <c r="G89" s="279">
        <f>IF(G$4=_xlfn.XLOOKUP($B89,Assumptions!$E$87:$E$90,Assumptions!$H$87:$H$90),_xlfn.XLOOKUP($B89,Assumptions!$E$87:$E$90,Assumptions!$G$87:$G$90),0)</f>
        <v>0</v>
      </c>
      <c r="H89" s="279">
        <f>IF(H$4=_xlfn.XLOOKUP($B89,Assumptions!$E$87:$E$90,Assumptions!$H$87:$H$90),_xlfn.XLOOKUP($B89,Assumptions!$E$87:$E$90,Assumptions!$G$87:$G$90),0)</f>
        <v>0</v>
      </c>
      <c r="I89" s="279">
        <f>IF(I$4=_xlfn.XLOOKUP($B89,Assumptions!$E$87:$E$90,Assumptions!$H$87:$H$90),_xlfn.XLOOKUP($B89,Assumptions!$E$87:$E$90,Assumptions!$G$87:$G$90),0)</f>
        <v>0</v>
      </c>
      <c r="J89" s="279">
        <f>IF(J$4=_xlfn.XLOOKUP($B89,Assumptions!$E$87:$E$90,Assumptions!$H$87:$H$90),_xlfn.XLOOKUP($B89,Assumptions!$E$87:$E$90,Assumptions!$G$87:$G$90),0)</f>
        <v>0</v>
      </c>
      <c r="K89" s="279">
        <f>IF(K$4=_xlfn.XLOOKUP($B89,Assumptions!$E$87:$E$90,Assumptions!$H$87:$H$90),_xlfn.XLOOKUP($B89,Assumptions!$E$87:$E$90,Assumptions!$G$87:$G$90),0)</f>
        <v>0</v>
      </c>
      <c r="L89" s="279">
        <f>IF(L$4=_xlfn.XLOOKUP($B89,Assumptions!$E$87:$E$90,Assumptions!$H$87:$H$90),_xlfn.XLOOKUP($B89,Assumptions!$E$87:$E$90,Assumptions!$G$87:$G$90),0)</f>
        <v>549000</v>
      </c>
      <c r="M89" s="279">
        <f>IF(M$4=_xlfn.XLOOKUP($B89,Assumptions!$E$87:$E$90,Assumptions!$H$87:$H$90),_xlfn.XLOOKUP($B89,Assumptions!$E$87:$E$90,Assumptions!$G$87:$G$90),0)</f>
        <v>0</v>
      </c>
      <c r="N89" s="279">
        <f>IF(N$4=_xlfn.XLOOKUP($B89,Assumptions!$E$87:$E$90,Assumptions!$H$87:$H$90),_xlfn.XLOOKUP($B89,Assumptions!$E$87:$E$90,Assumptions!$G$87:$G$90),0)</f>
        <v>0</v>
      </c>
      <c r="O89" s="279">
        <f>IF(O$4=_xlfn.XLOOKUP($B89,Assumptions!$E$87:$E$90,Assumptions!$H$87:$H$90),_xlfn.XLOOKUP($B89,Assumptions!$E$87:$E$90,Assumptions!$G$87:$G$90),0)</f>
        <v>0</v>
      </c>
      <c r="P89" s="279">
        <f>IF(P$4=_xlfn.XLOOKUP($B89,Assumptions!$E$87:$E$90,Assumptions!$H$87:$H$90),_xlfn.XLOOKUP($B89,Assumptions!$E$87:$E$90,Assumptions!$G$87:$G$90),0)</f>
        <v>0</v>
      </c>
      <c r="Q89" s="279">
        <f>IF(Q$4=_xlfn.XLOOKUP($B89,Assumptions!$E$87:$E$90,Assumptions!$H$87:$H$90),_xlfn.XLOOKUP($B89,Assumptions!$E$87:$E$90,Assumptions!$G$87:$G$90),0)</f>
        <v>0</v>
      </c>
      <c r="R89" s="279">
        <f>IF(R$4=_xlfn.XLOOKUP($B89,Assumptions!$E$87:$E$90,Assumptions!$H$87:$H$90),_xlfn.XLOOKUP($B89,Assumptions!$E$87:$E$90,Assumptions!$G$87:$G$90),0)</f>
        <v>0</v>
      </c>
      <c r="S89" s="279">
        <f>IF(S$4=_xlfn.XLOOKUP($B89,Assumptions!$E$87:$E$90,Assumptions!$H$87:$H$90),_xlfn.XLOOKUP($B89,Assumptions!$E$87:$E$90,Assumptions!$G$87:$G$90),0)</f>
        <v>0</v>
      </c>
      <c r="T89" s="279">
        <f>IF(T$4=_xlfn.XLOOKUP($B89,Assumptions!$E$87:$E$90,Assumptions!$H$87:$H$90),_xlfn.XLOOKUP($B89,Assumptions!$E$87:$E$90,Assumptions!$G$87:$G$90),0)</f>
        <v>0</v>
      </c>
      <c r="U89" s="279">
        <f>IF(U$4=_xlfn.XLOOKUP($B89,Assumptions!$E$87:$E$90,Assumptions!$H$87:$H$90),_xlfn.XLOOKUP($B89,Assumptions!$E$87:$E$90,Assumptions!$G$87:$G$90),0)</f>
        <v>0</v>
      </c>
      <c r="V89" s="279">
        <f>IF(V$4=_xlfn.XLOOKUP($B89,Assumptions!$E$87:$E$90,Assumptions!$H$87:$H$90),_xlfn.XLOOKUP($B89,Assumptions!$E$87:$E$90,Assumptions!$G$87:$G$90),0)</f>
        <v>0</v>
      </c>
      <c r="W89" s="279">
        <f>IF(W$4=_xlfn.XLOOKUP($B89,Assumptions!$E$87:$E$90,Assumptions!$H$87:$H$90),_xlfn.XLOOKUP($B89,Assumptions!$E$87:$E$90,Assumptions!$G$87:$G$90),0)</f>
        <v>0</v>
      </c>
      <c r="X89" s="279">
        <f>IF(X$4=_xlfn.XLOOKUP($B89,Assumptions!$E$87:$E$90,Assumptions!$H$87:$H$90),_xlfn.XLOOKUP($B89,Assumptions!$E$87:$E$90,Assumptions!$G$87:$G$90),0)</f>
        <v>0</v>
      </c>
      <c r="Y89" s="279">
        <f>IF(Y$4=_xlfn.XLOOKUP($B89,Assumptions!$E$87:$E$90,Assumptions!$H$87:$H$90),_xlfn.XLOOKUP($B89,Assumptions!$E$87:$E$90,Assumptions!$G$87:$G$90),0)</f>
        <v>0</v>
      </c>
      <c r="Z89" s="279">
        <f>IF(Z$4=_xlfn.XLOOKUP($B89,Assumptions!$E$87:$E$90,Assumptions!$H$87:$H$90),_xlfn.XLOOKUP($B89,Assumptions!$E$87:$E$90,Assumptions!$G$87:$G$90),0)</f>
        <v>0</v>
      </c>
      <c r="AA89" s="279">
        <f>IF(AA$4=_xlfn.XLOOKUP($B89,Assumptions!$E$87:$E$90,Assumptions!$H$87:$H$90),_xlfn.XLOOKUP($B89,Assumptions!$E$87:$E$90,Assumptions!$G$87:$G$90),0)</f>
        <v>0</v>
      </c>
      <c r="AB89" s="279">
        <f>IF(AB$4=_xlfn.XLOOKUP($B89,Assumptions!$E$87:$E$90,Assumptions!$H$87:$H$90),_xlfn.XLOOKUP($B89,Assumptions!$E$87:$E$90,Assumptions!$G$87:$G$90),0)</f>
        <v>0</v>
      </c>
      <c r="AC89" s="279">
        <f>IF(AC$4=_xlfn.XLOOKUP($B89,Assumptions!$E$87:$E$90,Assumptions!$H$87:$H$90),_xlfn.XLOOKUP($B89,Assumptions!$E$87:$E$90,Assumptions!$G$87:$G$90),0)</f>
        <v>0</v>
      </c>
      <c r="AD89" s="279">
        <f>IF(AD$4=_xlfn.XLOOKUP($B89,Assumptions!$E$87:$E$90,Assumptions!$H$87:$H$90),_xlfn.XLOOKUP($B89,Assumptions!$E$87:$E$90,Assumptions!$G$87:$G$90),0)</f>
        <v>0</v>
      </c>
      <c r="AE89" s="279">
        <f>IF(AE$4=_xlfn.XLOOKUP($B89,Assumptions!$E$87:$E$90,Assumptions!$H$87:$H$90),_xlfn.XLOOKUP($B89,Assumptions!$E$87:$E$90,Assumptions!$G$87:$G$90),0)</f>
        <v>0</v>
      </c>
      <c r="AF89" s="279">
        <f>IF(AF$4=_xlfn.XLOOKUP($B89,Assumptions!$E$87:$E$90,Assumptions!$H$87:$H$90),_xlfn.XLOOKUP($B89,Assumptions!$E$87:$E$90,Assumptions!$G$87:$G$90),0)</f>
        <v>0</v>
      </c>
      <c r="AG89" s="279">
        <f>IF(AG$4=_xlfn.XLOOKUP($B89,Assumptions!$E$87:$E$90,Assumptions!$H$87:$H$90),_xlfn.XLOOKUP($B89,Assumptions!$E$87:$E$90,Assumptions!$G$87:$G$90),0)</f>
        <v>0</v>
      </c>
      <c r="AH89" s="279">
        <f>IF(AH$4=_xlfn.XLOOKUP($B89,Assumptions!$E$87:$E$90,Assumptions!$H$87:$H$90),_xlfn.XLOOKUP($B89,Assumptions!$E$87:$E$90,Assumptions!$G$87:$G$90),0)</f>
        <v>0</v>
      </c>
      <c r="AI89" s="279">
        <f>IF(AI$4=_xlfn.XLOOKUP($B89,Assumptions!$E$87:$E$90,Assumptions!$H$87:$H$90),_xlfn.XLOOKUP($B89,Assumptions!$E$87:$E$90,Assumptions!$G$87:$G$90),0)</f>
        <v>0</v>
      </c>
      <c r="AJ89" s="279">
        <f>IF(AJ$4=_xlfn.XLOOKUP($B89,Assumptions!$E$87:$E$90,Assumptions!$H$87:$H$90),_xlfn.XLOOKUP($B89,Assumptions!$E$87:$E$90,Assumptions!$G$87:$G$90),0)</f>
        <v>0</v>
      </c>
      <c r="AK89" s="279">
        <f>IF(AK$4=_xlfn.XLOOKUP($B89,Assumptions!$E$87:$E$90,Assumptions!$H$87:$H$90),_xlfn.XLOOKUP($B89,Assumptions!$E$87:$E$90,Assumptions!$G$87:$G$90),0)</f>
        <v>0</v>
      </c>
      <c r="AL89" s="279">
        <f>IF(AL$4=_xlfn.XLOOKUP($B89,Assumptions!$E$87:$E$90,Assumptions!$H$87:$H$90),_xlfn.XLOOKUP($B89,Assumptions!$E$87:$E$90,Assumptions!$G$87:$G$90),0)</f>
        <v>0</v>
      </c>
      <c r="AM89" s="279">
        <f>IF(AM$4=_xlfn.XLOOKUP($B89,Assumptions!$E$87:$E$90,Assumptions!$H$87:$H$90),_xlfn.XLOOKUP($B89,Assumptions!$E$87:$E$90,Assumptions!$G$87:$G$90),0)</f>
        <v>0</v>
      </c>
      <c r="AN89" s="279">
        <f>IF(AN$4=_xlfn.XLOOKUP($B89,Assumptions!$E$87:$E$90,Assumptions!$H$87:$H$90),_xlfn.XLOOKUP($B89,Assumptions!$E$87:$E$90,Assumptions!$G$87:$G$90),0)</f>
        <v>0</v>
      </c>
      <c r="AO89" s="279">
        <f>IF(AO$4=_xlfn.XLOOKUP($B89,Assumptions!$E$87:$E$90,Assumptions!$H$87:$H$90),_xlfn.XLOOKUP($B89,Assumptions!$E$87:$E$90,Assumptions!$G$87:$G$90),0)</f>
        <v>0</v>
      </c>
      <c r="AP89" s="279">
        <f>IF(AP$4=_xlfn.XLOOKUP($B89,Assumptions!$E$87:$E$90,Assumptions!$H$87:$H$90),_xlfn.XLOOKUP($B89,Assumptions!$E$87:$E$90,Assumptions!$G$87:$G$90),0)</f>
        <v>0</v>
      </c>
      <c r="AQ89" s="279">
        <f>IF(AQ$4=_xlfn.XLOOKUP($B89,Assumptions!$E$87:$E$90,Assumptions!$H$87:$H$90),_xlfn.XLOOKUP($B89,Assumptions!$E$87:$E$90,Assumptions!$G$87:$G$90),0)</f>
        <v>0</v>
      </c>
      <c r="AR89" s="279">
        <f>IF(AR$4=_xlfn.XLOOKUP($B89,Assumptions!$E$87:$E$90,Assumptions!$H$87:$H$90),_xlfn.XLOOKUP($B89,Assumptions!$E$87:$E$90,Assumptions!$G$87:$G$90),0)</f>
        <v>0</v>
      </c>
      <c r="AS89" s="279">
        <f>IF(AS$4=_xlfn.XLOOKUP($B89,Assumptions!$E$87:$E$90,Assumptions!$H$87:$H$90),_xlfn.XLOOKUP($B89,Assumptions!$E$87:$E$90,Assumptions!$G$87:$G$90),0)</f>
        <v>0</v>
      </c>
      <c r="AT89" s="279">
        <f>IF(AT$4=_xlfn.XLOOKUP($B89,Assumptions!$E$87:$E$90,Assumptions!$H$87:$H$90),_xlfn.XLOOKUP($B89,Assumptions!$E$87:$E$90,Assumptions!$G$87:$G$90),0)</f>
        <v>0</v>
      </c>
      <c r="AU89" s="279">
        <f>IF(AU$4=_xlfn.XLOOKUP($B89,Assumptions!$E$87:$E$90,Assumptions!$H$87:$H$90),_xlfn.XLOOKUP($B89,Assumptions!$E$87:$E$90,Assumptions!$G$87:$G$90),0)</f>
        <v>0</v>
      </c>
      <c r="AV89" s="279">
        <f>IF(AV$4=_xlfn.XLOOKUP($B89,Assumptions!$E$87:$E$90,Assumptions!$H$87:$H$90),_xlfn.XLOOKUP($B89,Assumptions!$E$87:$E$90,Assumptions!$G$87:$G$90),0)</f>
        <v>0</v>
      </c>
      <c r="AW89" s="279">
        <f>IF(AW$4=_xlfn.XLOOKUP($B89,Assumptions!$E$87:$E$90,Assumptions!$H$87:$H$90),_xlfn.XLOOKUP($B89,Assumptions!$E$87:$E$90,Assumptions!$G$87:$G$90),0)</f>
        <v>0</v>
      </c>
      <c r="AX89" s="279">
        <f>IF(AX$4=_xlfn.XLOOKUP($B89,Assumptions!$E$87:$E$90,Assumptions!$H$87:$H$90),_xlfn.XLOOKUP($B89,Assumptions!$E$87:$E$90,Assumptions!$G$87:$G$90),0)</f>
        <v>0</v>
      </c>
      <c r="AY89" s="279">
        <f>IF(AY$4=_xlfn.XLOOKUP($B89,Assumptions!$E$87:$E$90,Assumptions!$H$87:$H$90),_xlfn.XLOOKUP($B89,Assumptions!$E$87:$E$90,Assumptions!$G$87:$G$90),0)</f>
        <v>0</v>
      </c>
      <c r="AZ89" s="279">
        <f>IF(AZ$4=_xlfn.XLOOKUP($B89,Assumptions!$E$87:$E$90,Assumptions!$H$87:$H$90),_xlfn.XLOOKUP($B89,Assumptions!$E$87:$E$90,Assumptions!$G$87:$G$90),0)</f>
        <v>0</v>
      </c>
      <c r="BA89" s="279">
        <f>IF(BA$4=_xlfn.XLOOKUP($B89,Assumptions!$E$87:$E$90,Assumptions!$H$87:$H$90),_xlfn.XLOOKUP($B89,Assumptions!$E$87:$E$90,Assumptions!$G$87:$G$90),0)</f>
        <v>0</v>
      </c>
      <c r="BB89" s="279">
        <f>IF(BB$4=_xlfn.XLOOKUP($B89,Assumptions!$E$87:$E$90,Assumptions!$H$87:$H$90),_xlfn.XLOOKUP($B89,Assumptions!$E$87:$E$90,Assumptions!$G$87:$G$90),0)</f>
        <v>0</v>
      </c>
      <c r="BC89" s="279">
        <f>IF(BC$4=_xlfn.XLOOKUP($B89,Assumptions!$E$87:$E$90,Assumptions!$H$87:$H$90),_xlfn.XLOOKUP($B89,Assumptions!$E$87:$E$90,Assumptions!$G$87:$G$90),0)</f>
        <v>0</v>
      </c>
      <c r="BD89" s="279">
        <f>IF(BD$4=_xlfn.XLOOKUP($B89,Assumptions!$E$87:$E$90,Assumptions!$H$87:$H$90),_xlfn.XLOOKUP($B89,Assumptions!$E$87:$E$90,Assumptions!$G$87:$G$90),0)</f>
        <v>0</v>
      </c>
      <c r="BE89" s="279">
        <f>IF(BE$4=_xlfn.XLOOKUP($B89,Assumptions!$E$87:$E$90,Assumptions!$H$87:$H$90),_xlfn.XLOOKUP($B89,Assumptions!$E$87:$E$90,Assumptions!$G$87:$G$90),0)</f>
        <v>0</v>
      </c>
      <c r="BF89" s="279">
        <f>IF(BF$4=_xlfn.XLOOKUP($B89,Assumptions!$E$87:$E$90,Assumptions!$H$87:$H$90),_xlfn.XLOOKUP($B89,Assumptions!$E$87:$E$90,Assumptions!$G$87:$G$90),0)</f>
        <v>0</v>
      </c>
      <c r="BG89" s="279">
        <f>IF(BG$4=_xlfn.XLOOKUP($B89,Assumptions!$E$87:$E$90,Assumptions!$H$87:$H$90),_xlfn.XLOOKUP($B89,Assumptions!$E$87:$E$90,Assumptions!$G$87:$G$90),0)</f>
        <v>0</v>
      </c>
      <c r="BH89" s="279">
        <f>IF(BH$4=_xlfn.XLOOKUP($B89,Assumptions!$E$87:$E$90,Assumptions!$H$87:$H$90),_xlfn.XLOOKUP($B89,Assumptions!$E$87:$E$90,Assumptions!$G$87:$G$90),0)</f>
        <v>0</v>
      </c>
      <c r="BI89" s="279">
        <f>IF(BI$4=_xlfn.XLOOKUP($B89,Assumptions!$E$87:$E$90,Assumptions!$H$87:$H$90),_xlfn.XLOOKUP($B89,Assumptions!$E$87:$E$90,Assumptions!$G$87:$G$90),0)</f>
        <v>0</v>
      </c>
      <c r="BJ89" s="279">
        <f>IF(BJ$4=_xlfn.XLOOKUP($B89,Assumptions!$E$87:$E$90,Assumptions!$H$87:$H$90),_xlfn.XLOOKUP($B89,Assumptions!$E$87:$E$90,Assumptions!$G$87:$G$90),0)</f>
        <v>0</v>
      </c>
      <c r="BK89" s="279">
        <f>IF(BK$4=_xlfn.XLOOKUP($B89,Assumptions!$E$87:$E$90,Assumptions!$H$87:$H$90),_xlfn.XLOOKUP($B89,Assumptions!$E$87:$E$90,Assumptions!$G$87:$G$90),0)</f>
        <v>0</v>
      </c>
      <c r="BL89" s="279">
        <f>IF(BL$4=_xlfn.XLOOKUP($B89,Assumptions!$E$87:$E$90,Assumptions!$H$87:$H$90),_xlfn.XLOOKUP($B89,Assumptions!$E$87:$E$90,Assumptions!$G$87:$G$90),0)</f>
        <v>0</v>
      </c>
      <c r="BM89" s="279">
        <f>IF(BM$4=_xlfn.XLOOKUP($B89,Assumptions!$E$87:$E$90,Assumptions!$H$87:$H$90),_xlfn.XLOOKUP($B89,Assumptions!$E$87:$E$90,Assumptions!$G$87:$G$90),0)</f>
        <v>0</v>
      </c>
      <c r="BN89" s="279">
        <f>IF(BN$4=_xlfn.XLOOKUP($B89,Assumptions!$E$87:$E$90,Assumptions!$H$87:$H$90),_xlfn.XLOOKUP($B89,Assumptions!$E$87:$E$90,Assumptions!$G$87:$G$90),0)</f>
        <v>0</v>
      </c>
      <c r="BO89" s="279">
        <f>IF(BO$4=_xlfn.XLOOKUP($B89,Assumptions!$E$87:$E$90,Assumptions!$H$87:$H$90),_xlfn.XLOOKUP($B89,Assumptions!$E$87:$E$90,Assumptions!$G$87:$G$90),0)</f>
        <v>0</v>
      </c>
      <c r="BP89" s="279">
        <f>IF(BP$4=_xlfn.XLOOKUP($B89,Assumptions!$E$87:$E$90,Assumptions!$H$87:$H$90),_xlfn.XLOOKUP($B89,Assumptions!$E$87:$E$90,Assumptions!$G$87:$G$90),0)</f>
        <v>0</v>
      </c>
      <c r="BQ89" s="279">
        <f>IF(BQ$4=_xlfn.XLOOKUP($B89,Assumptions!$E$87:$E$90,Assumptions!$H$87:$H$90),_xlfn.XLOOKUP($B89,Assumptions!$E$87:$E$90,Assumptions!$G$87:$G$90),0)</f>
        <v>0</v>
      </c>
      <c r="BR89" s="279">
        <f>IF(BR$4=_xlfn.XLOOKUP($B89,Assumptions!$E$87:$E$90,Assumptions!$H$87:$H$90),_xlfn.XLOOKUP($B89,Assumptions!$E$87:$E$90,Assumptions!$G$87:$G$90),0)</f>
        <v>0</v>
      </c>
      <c r="BS89" s="279">
        <f>IF(BS$4=_xlfn.XLOOKUP($B89,Assumptions!$E$87:$E$90,Assumptions!$H$87:$H$90),_xlfn.XLOOKUP($B89,Assumptions!$E$87:$E$90,Assumptions!$G$87:$G$90),0)</f>
        <v>0</v>
      </c>
      <c r="BT89" s="279">
        <f>IF(BT$4=_xlfn.XLOOKUP($B89,Assumptions!$E$87:$E$90,Assumptions!$H$87:$H$90),_xlfn.XLOOKUP($B89,Assumptions!$E$87:$E$90,Assumptions!$G$87:$G$90),0)</f>
        <v>0</v>
      </c>
      <c r="BU89" s="279">
        <f>IF(BU$4=_xlfn.XLOOKUP($B89,Assumptions!$E$87:$E$90,Assumptions!$H$87:$H$90),_xlfn.XLOOKUP($B89,Assumptions!$E$87:$E$90,Assumptions!$G$87:$G$90),0)</f>
        <v>0</v>
      </c>
      <c r="BV89" s="279">
        <f>IF(BV$4=_xlfn.XLOOKUP($B89,Assumptions!$E$87:$E$90,Assumptions!$H$87:$H$90),_xlfn.XLOOKUP($B89,Assumptions!$E$87:$E$90,Assumptions!$G$87:$G$90),0)</f>
        <v>0</v>
      </c>
      <c r="BW89" s="279">
        <f>IF(BW$4=_xlfn.XLOOKUP($B89,Assumptions!$E$87:$E$90,Assumptions!$H$87:$H$90),_xlfn.XLOOKUP($B89,Assumptions!$E$87:$E$90,Assumptions!$G$87:$G$90),0)</f>
        <v>0</v>
      </c>
    </row>
    <row r="90" spans="1:75" s="234" customFormat="1" outlineLevel="2">
      <c r="A90" s="223"/>
      <c r="B90" s="231" t="s">
        <v>305</v>
      </c>
      <c r="D90" s="279">
        <f>IF(D$4=_xlfn.XLOOKUP($B90,Assumptions!$E$87:$E$90,Assumptions!$H$87:$H$90),_xlfn.XLOOKUP($B90,Assumptions!$E$87:$E$90,Assumptions!$G$87:$G$90),0)</f>
        <v>0</v>
      </c>
      <c r="E90" s="279">
        <f>IF(E$4=_xlfn.XLOOKUP($B90,Assumptions!$E$87:$E$90,Assumptions!$H$87:$H$90),_xlfn.XLOOKUP($B90,Assumptions!$E$87:$E$90,Assumptions!$G$87:$G$90),0)</f>
        <v>0</v>
      </c>
      <c r="F90" s="279">
        <f>IF(F$4=_xlfn.XLOOKUP($B90,Assumptions!$E$87:$E$90,Assumptions!$H$87:$H$90),_xlfn.XLOOKUP($B90,Assumptions!$E$87:$E$90,Assumptions!$G$87:$G$90),0)</f>
        <v>0</v>
      </c>
      <c r="G90" s="279">
        <f>IF(G$4=_xlfn.XLOOKUP($B90,Assumptions!$E$87:$E$90,Assumptions!$H$87:$H$90),_xlfn.XLOOKUP($B90,Assumptions!$E$87:$E$90,Assumptions!$G$87:$G$90),0)</f>
        <v>0</v>
      </c>
      <c r="H90" s="279">
        <f>IF(H$4=_xlfn.XLOOKUP($B90,Assumptions!$E$87:$E$90,Assumptions!$H$87:$H$90),_xlfn.XLOOKUP($B90,Assumptions!$E$87:$E$90,Assumptions!$G$87:$G$90),0)</f>
        <v>0</v>
      </c>
      <c r="I90" s="279">
        <f>IF(I$4=_xlfn.XLOOKUP($B90,Assumptions!$E$87:$E$90,Assumptions!$H$87:$H$90),_xlfn.XLOOKUP($B90,Assumptions!$E$87:$E$90,Assumptions!$G$87:$G$90),0)</f>
        <v>0</v>
      </c>
      <c r="J90" s="279">
        <f>IF(J$4=_xlfn.XLOOKUP($B90,Assumptions!$E$87:$E$90,Assumptions!$H$87:$H$90),_xlfn.XLOOKUP($B90,Assumptions!$E$87:$E$90,Assumptions!$G$87:$G$90),0)</f>
        <v>0</v>
      </c>
      <c r="K90" s="279">
        <f>IF(K$4=_xlfn.XLOOKUP($B90,Assumptions!$E$87:$E$90,Assumptions!$H$87:$H$90),_xlfn.XLOOKUP($B90,Assumptions!$E$87:$E$90,Assumptions!$G$87:$G$90),0)</f>
        <v>0</v>
      </c>
      <c r="L90" s="279">
        <f>IF(L$4=_xlfn.XLOOKUP($B90,Assumptions!$E$87:$E$90,Assumptions!$H$87:$H$90),_xlfn.XLOOKUP($B90,Assumptions!$E$87:$E$90,Assumptions!$G$87:$G$90),0)</f>
        <v>0</v>
      </c>
      <c r="M90" s="279">
        <f>IF(M$4=_xlfn.XLOOKUP($B90,Assumptions!$E$87:$E$90,Assumptions!$H$87:$H$90),_xlfn.XLOOKUP($B90,Assumptions!$E$87:$E$90,Assumptions!$G$87:$G$90),0)</f>
        <v>0</v>
      </c>
      <c r="N90" s="279">
        <f>IF(N$4=_xlfn.XLOOKUP($B90,Assumptions!$E$87:$E$90,Assumptions!$H$87:$H$90),_xlfn.XLOOKUP($B90,Assumptions!$E$87:$E$90,Assumptions!$G$87:$G$90),0)</f>
        <v>0</v>
      </c>
      <c r="O90" s="279">
        <f>IF(O$4=_xlfn.XLOOKUP($B90,Assumptions!$E$87:$E$90,Assumptions!$H$87:$H$90),_xlfn.XLOOKUP($B90,Assumptions!$E$87:$E$90,Assumptions!$G$87:$G$90),0)</f>
        <v>0</v>
      </c>
      <c r="P90" s="279">
        <f>IF(P$4=_xlfn.XLOOKUP($B90,Assumptions!$E$87:$E$90,Assumptions!$H$87:$H$90),_xlfn.XLOOKUP($B90,Assumptions!$E$87:$E$90,Assumptions!$G$87:$G$90),0)</f>
        <v>0</v>
      </c>
      <c r="Q90" s="279">
        <f>IF(Q$4=_xlfn.XLOOKUP($B90,Assumptions!$E$87:$E$90,Assumptions!$H$87:$H$90),_xlfn.XLOOKUP($B90,Assumptions!$E$87:$E$90,Assumptions!$G$87:$G$90),0)</f>
        <v>0</v>
      </c>
      <c r="R90" s="279">
        <f>IF(R$4=_xlfn.XLOOKUP($B90,Assumptions!$E$87:$E$90,Assumptions!$H$87:$H$90),_xlfn.XLOOKUP($B90,Assumptions!$E$87:$E$90,Assumptions!$G$87:$G$90),0)</f>
        <v>0</v>
      </c>
      <c r="S90" s="279">
        <f>IF(S$4=_xlfn.XLOOKUP($B90,Assumptions!$E$87:$E$90,Assumptions!$H$87:$H$90),_xlfn.XLOOKUP($B90,Assumptions!$E$87:$E$90,Assumptions!$G$87:$G$90),0)</f>
        <v>0</v>
      </c>
      <c r="T90" s="279">
        <f>IF(T$4=_xlfn.XLOOKUP($B90,Assumptions!$E$87:$E$90,Assumptions!$H$87:$H$90),_xlfn.XLOOKUP($B90,Assumptions!$E$87:$E$90,Assumptions!$G$87:$G$90),0)</f>
        <v>0</v>
      </c>
      <c r="U90" s="279">
        <f>IF(U$4=_xlfn.XLOOKUP($B90,Assumptions!$E$87:$E$90,Assumptions!$H$87:$H$90),_xlfn.XLOOKUP($B90,Assumptions!$E$87:$E$90,Assumptions!$G$87:$G$90),0)</f>
        <v>0</v>
      </c>
      <c r="V90" s="279">
        <f>IF(V$4=_xlfn.XLOOKUP($B90,Assumptions!$E$87:$E$90,Assumptions!$H$87:$H$90),_xlfn.XLOOKUP($B90,Assumptions!$E$87:$E$90,Assumptions!$G$87:$G$90),0)</f>
        <v>0</v>
      </c>
      <c r="W90" s="279">
        <f>IF(W$4=_xlfn.XLOOKUP($B90,Assumptions!$E$87:$E$90,Assumptions!$H$87:$H$90),_xlfn.XLOOKUP($B90,Assumptions!$E$87:$E$90,Assumptions!$G$87:$G$90),0)</f>
        <v>0</v>
      </c>
      <c r="X90" s="279">
        <f>IF(X$4=_xlfn.XLOOKUP($B90,Assumptions!$E$87:$E$90,Assumptions!$H$87:$H$90),_xlfn.XLOOKUP($B90,Assumptions!$E$87:$E$90,Assumptions!$G$87:$G$90),0)</f>
        <v>3000000</v>
      </c>
      <c r="Y90" s="279">
        <f>IF(Y$4=_xlfn.XLOOKUP($B90,Assumptions!$E$87:$E$90,Assumptions!$H$87:$H$90),_xlfn.XLOOKUP($B90,Assumptions!$E$87:$E$90,Assumptions!$G$87:$G$90),0)</f>
        <v>0</v>
      </c>
      <c r="Z90" s="279">
        <f>IF(Z$4=_xlfn.XLOOKUP($B90,Assumptions!$E$87:$E$90,Assumptions!$H$87:$H$90),_xlfn.XLOOKUP($B90,Assumptions!$E$87:$E$90,Assumptions!$G$87:$G$90),0)</f>
        <v>0</v>
      </c>
      <c r="AA90" s="279">
        <f>IF(AA$4=_xlfn.XLOOKUP($B90,Assumptions!$E$87:$E$90,Assumptions!$H$87:$H$90),_xlfn.XLOOKUP($B90,Assumptions!$E$87:$E$90,Assumptions!$G$87:$G$90),0)</f>
        <v>0</v>
      </c>
      <c r="AB90" s="279">
        <f>IF(AB$4=_xlfn.XLOOKUP($B90,Assumptions!$E$87:$E$90,Assumptions!$H$87:$H$90),_xlfn.XLOOKUP($B90,Assumptions!$E$87:$E$90,Assumptions!$G$87:$G$90),0)</f>
        <v>0</v>
      </c>
      <c r="AC90" s="279">
        <f>IF(AC$4=_xlfn.XLOOKUP($B90,Assumptions!$E$87:$E$90,Assumptions!$H$87:$H$90),_xlfn.XLOOKUP($B90,Assumptions!$E$87:$E$90,Assumptions!$G$87:$G$90),0)</f>
        <v>0</v>
      </c>
      <c r="AD90" s="279">
        <f>IF(AD$4=_xlfn.XLOOKUP($B90,Assumptions!$E$87:$E$90,Assumptions!$H$87:$H$90),_xlfn.XLOOKUP($B90,Assumptions!$E$87:$E$90,Assumptions!$G$87:$G$90),0)</f>
        <v>0</v>
      </c>
      <c r="AE90" s="279">
        <f>IF(AE$4=_xlfn.XLOOKUP($B90,Assumptions!$E$87:$E$90,Assumptions!$H$87:$H$90),_xlfn.XLOOKUP($B90,Assumptions!$E$87:$E$90,Assumptions!$G$87:$G$90),0)</f>
        <v>0</v>
      </c>
      <c r="AF90" s="279">
        <f>IF(AF$4=_xlfn.XLOOKUP($B90,Assumptions!$E$87:$E$90,Assumptions!$H$87:$H$90),_xlfn.XLOOKUP($B90,Assumptions!$E$87:$E$90,Assumptions!$G$87:$G$90),0)</f>
        <v>0</v>
      </c>
      <c r="AG90" s="279">
        <f>IF(AG$4=_xlfn.XLOOKUP($B90,Assumptions!$E$87:$E$90,Assumptions!$H$87:$H$90),_xlfn.XLOOKUP($B90,Assumptions!$E$87:$E$90,Assumptions!$G$87:$G$90),0)</f>
        <v>0</v>
      </c>
      <c r="AH90" s="279">
        <f>IF(AH$4=_xlfn.XLOOKUP($B90,Assumptions!$E$87:$E$90,Assumptions!$H$87:$H$90),_xlfn.XLOOKUP($B90,Assumptions!$E$87:$E$90,Assumptions!$G$87:$G$90),0)</f>
        <v>0</v>
      </c>
      <c r="AI90" s="279">
        <f>IF(AI$4=_xlfn.XLOOKUP($B90,Assumptions!$E$87:$E$90,Assumptions!$H$87:$H$90),_xlfn.XLOOKUP($B90,Assumptions!$E$87:$E$90,Assumptions!$G$87:$G$90),0)</f>
        <v>0</v>
      </c>
      <c r="AJ90" s="279">
        <f>IF(AJ$4=_xlfn.XLOOKUP($B90,Assumptions!$E$87:$E$90,Assumptions!$H$87:$H$90),_xlfn.XLOOKUP($B90,Assumptions!$E$87:$E$90,Assumptions!$G$87:$G$90),0)</f>
        <v>0</v>
      </c>
      <c r="AK90" s="279">
        <f>IF(AK$4=_xlfn.XLOOKUP($B90,Assumptions!$E$87:$E$90,Assumptions!$H$87:$H$90),_xlfn.XLOOKUP($B90,Assumptions!$E$87:$E$90,Assumptions!$G$87:$G$90),0)</f>
        <v>0</v>
      </c>
      <c r="AL90" s="279">
        <f>IF(AL$4=_xlfn.XLOOKUP($B90,Assumptions!$E$87:$E$90,Assumptions!$H$87:$H$90),_xlfn.XLOOKUP($B90,Assumptions!$E$87:$E$90,Assumptions!$G$87:$G$90),0)</f>
        <v>0</v>
      </c>
      <c r="AM90" s="279">
        <f>IF(AM$4=_xlfn.XLOOKUP($B90,Assumptions!$E$87:$E$90,Assumptions!$H$87:$H$90),_xlfn.XLOOKUP($B90,Assumptions!$E$87:$E$90,Assumptions!$G$87:$G$90),0)</f>
        <v>0</v>
      </c>
      <c r="AN90" s="279">
        <f>IF(AN$4=_xlfn.XLOOKUP($B90,Assumptions!$E$87:$E$90,Assumptions!$H$87:$H$90),_xlfn.XLOOKUP($B90,Assumptions!$E$87:$E$90,Assumptions!$G$87:$G$90),0)</f>
        <v>0</v>
      </c>
      <c r="AO90" s="279">
        <f>IF(AO$4=_xlfn.XLOOKUP($B90,Assumptions!$E$87:$E$90,Assumptions!$H$87:$H$90),_xlfn.XLOOKUP($B90,Assumptions!$E$87:$E$90,Assumptions!$G$87:$G$90),0)</f>
        <v>0</v>
      </c>
      <c r="AP90" s="279">
        <f>IF(AP$4=_xlfn.XLOOKUP($B90,Assumptions!$E$87:$E$90,Assumptions!$H$87:$H$90),_xlfn.XLOOKUP($B90,Assumptions!$E$87:$E$90,Assumptions!$G$87:$G$90),0)</f>
        <v>0</v>
      </c>
      <c r="AQ90" s="279">
        <f>IF(AQ$4=_xlfn.XLOOKUP($B90,Assumptions!$E$87:$E$90,Assumptions!$H$87:$H$90),_xlfn.XLOOKUP($B90,Assumptions!$E$87:$E$90,Assumptions!$G$87:$G$90),0)</f>
        <v>0</v>
      </c>
      <c r="AR90" s="279">
        <f>IF(AR$4=_xlfn.XLOOKUP($B90,Assumptions!$E$87:$E$90,Assumptions!$H$87:$H$90),_xlfn.XLOOKUP($B90,Assumptions!$E$87:$E$90,Assumptions!$G$87:$G$90),0)</f>
        <v>0</v>
      </c>
      <c r="AS90" s="279">
        <f>IF(AS$4=_xlfn.XLOOKUP($B90,Assumptions!$E$87:$E$90,Assumptions!$H$87:$H$90),_xlfn.XLOOKUP($B90,Assumptions!$E$87:$E$90,Assumptions!$G$87:$G$90),0)</f>
        <v>0</v>
      </c>
      <c r="AT90" s="279">
        <f>IF(AT$4=_xlfn.XLOOKUP($B90,Assumptions!$E$87:$E$90,Assumptions!$H$87:$H$90),_xlfn.XLOOKUP($B90,Assumptions!$E$87:$E$90,Assumptions!$G$87:$G$90),0)</f>
        <v>0</v>
      </c>
      <c r="AU90" s="279">
        <f>IF(AU$4=_xlfn.XLOOKUP($B90,Assumptions!$E$87:$E$90,Assumptions!$H$87:$H$90),_xlfn.XLOOKUP($B90,Assumptions!$E$87:$E$90,Assumptions!$G$87:$G$90),0)</f>
        <v>0</v>
      </c>
      <c r="AV90" s="279">
        <f>IF(AV$4=_xlfn.XLOOKUP($B90,Assumptions!$E$87:$E$90,Assumptions!$H$87:$H$90),_xlfn.XLOOKUP($B90,Assumptions!$E$87:$E$90,Assumptions!$G$87:$G$90),0)</f>
        <v>0</v>
      </c>
      <c r="AW90" s="279">
        <f>IF(AW$4=_xlfn.XLOOKUP($B90,Assumptions!$E$87:$E$90,Assumptions!$H$87:$H$90),_xlfn.XLOOKUP($B90,Assumptions!$E$87:$E$90,Assumptions!$G$87:$G$90),0)</f>
        <v>0</v>
      </c>
      <c r="AX90" s="279">
        <f>IF(AX$4=_xlfn.XLOOKUP($B90,Assumptions!$E$87:$E$90,Assumptions!$H$87:$H$90),_xlfn.XLOOKUP($B90,Assumptions!$E$87:$E$90,Assumptions!$G$87:$G$90),0)</f>
        <v>0</v>
      </c>
      <c r="AY90" s="279">
        <f>IF(AY$4=_xlfn.XLOOKUP($B90,Assumptions!$E$87:$E$90,Assumptions!$H$87:$H$90),_xlfn.XLOOKUP($B90,Assumptions!$E$87:$E$90,Assumptions!$G$87:$G$90),0)</f>
        <v>0</v>
      </c>
      <c r="AZ90" s="279">
        <f>IF(AZ$4=_xlfn.XLOOKUP($B90,Assumptions!$E$87:$E$90,Assumptions!$H$87:$H$90),_xlfn.XLOOKUP($B90,Assumptions!$E$87:$E$90,Assumptions!$G$87:$G$90),0)</f>
        <v>0</v>
      </c>
      <c r="BA90" s="279">
        <f>IF(BA$4=_xlfn.XLOOKUP($B90,Assumptions!$E$87:$E$90,Assumptions!$H$87:$H$90),_xlfn.XLOOKUP($B90,Assumptions!$E$87:$E$90,Assumptions!$G$87:$G$90),0)</f>
        <v>0</v>
      </c>
      <c r="BB90" s="279">
        <f>IF(BB$4=_xlfn.XLOOKUP($B90,Assumptions!$E$87:$E$90,Assumptions!$H$87:$H$90),_xlfn.XLOOKUP($B90,Assumptions!$E$87:$E$90,Assumptions!$G$87:$G$90),0)</f>
        <v>0</v>
      </c>
      <c r="BC90" s="279">
        <f>IF(BC$4=_xlfn.XLOOKUP($B90,Assumptions!$E$87:$E$90,Assumptions!$H$87:$H$90),_xlfn.XLOOKUP($B90,Assumptions!$E$87:$E$90,Assumptions!$G$87:$G$90),0)</f>
        <v>0</v>
      </c>
      <c r="BD90" s="279">
        <f>IF(BD$4=_xlfn.XLOOKUP($B90,Assumptions!$E$87:$E$90,Assumptions!$H$87:$H$90),_xlfn.XLOOKUP($B90,Assumptions!$E$87:$E$90,Assumptions!$G$87:$G$90),0)</f>
        <v>0</v>
      </c>
      <c r="BE90" s="279">
        <f>IF(BE$4=_xlfn.XLOOKUP($B90,Assumptions!$E$87:$E$90,Assumptions!$H$87:$H$90),_xlfn.XLOOKUP($B90,Assumptions!$E$87:$E$90,Assumptions!$G$87:$G$90),0)</f>
        <v>0</v>
      </c>
      <c r="BF90" s="279">
        <f>IF(BF$4=_xlfn.XLOOKUP($B90,Assumptions!$E$87:$E$90,Assumptions!$H$87:$H$90),_xlfn.XLOOKUP($B90,Assumptions!$E$87:$E$90,Assumptions!$G$87:$G$90),0)</f>
        <v>0</v>
      </c>
      <c r="BG90" s="279">
        <f>IF(BG$4=_xlfn.XLOOKUP($B90,Assumptions!$E$87:$E$90,Assumptions!$H$87:$H$90),_xlfn.XLOOKUP($B90,Assumptions!$E$87:$E$90,Assumptions!$G$87:$G$90),0)</f>
        <v>0</v>
      </c>
      <c r="BH90" s="279">
        <f>IF(BH$4=_xlfn.XLOOKUP($B90,Assumptions!$E$87:$E$90,Assumptions!$H$87:$H$90),_xlfn.XLOOKUP($B90,Assumptions!$E$87:$E$90,Assumptions!$G$87:$G$90),0)</f>
        <v>0</v>
      </c>
      <c r="BI90" s="279">
        <f>IF(BI$4=_xlfn.XLOOKUP($B90,Assumptions!$E$87:$E$90,Assumptions!$H$87:$H$90),_xlfn.XLOOKUP($B90,Assumptions!$E$87:$E$90,Assumptions!$G$87:$G$90),0)</f>
        <v>0</v>
      </c>
      <c r="BJ90" s="279">
        <f>IF(BJ$4=_xlfn.XLOOKUP($B90,Assumptions!$E$87:$E$90,Assumptions!$H$87:$H$90),_xlfn.XLOOKUP($B90,Assumptions!$E$87:$E$90,Assumptions!$G$87:$G$90),0)</f>
        <v>0</v>
      </c>
      <c r="BK90" s="279">
        <f>IF(BK$4=_xlfn.XLOOKUP($B90,Assumptions!$E$87:$E$90,Assumptions!$H$87:$H$90),_xlfn.XLOOKUP($B90,Assumptions!$E$87:$E$90,Assumptions!$G$87:$G$90),0)</f>
        <v>0</v>
      </c>
      <c r="BL90" s="279">
        <f>IF(BL$4=_xlfn.XLOOKUP($B90,Assumptions!$E$87:$E$90,Assumptions!$H$87:$H$90),_xlfn.XLOOKUP($B90,Assumptions!$E$87:$E$90,Assumptions!$G$87:$G$90),0)</f>
        <v>0</v>
      </c>
      <c r="BM90" s="279">
        <f>IF(BM$4=_xlfn.XLOOKUP($B90,Assumptions!$E$87:$E$90,Assumptions!$H$87:$H$90),_xlfn.XLOOKUP($B90,Assumptions!$E$87:$E$90,Assumptions!$G$87:$G$90),0)</f>
        <v>0</v>
      </c>
      <c r="BN90" s="279">
        <f>IF(BN$4=_xlfn.XLOOKUP($B90,Assumptions!$E$87:$E$90,Assumptions!$H$87:$H$90),_xlfn.XLOOKUP($B90,Assumptions!$E$87:$E$90,Assumptions!$G$87:$G$90),0)</f>
        <v>0</v>
      </c>
      <c r="BO90" s="279">
        <f>IF(BO$4=_xlfn.XLOOKUP($B90,Assumptions!$E$87:$E$90,Assumptions!$H$87:$H$90),_xlfn.XLOOKUP($B90,Assumptions!$E$87:$E$90,Assumptions!$G$87:$G$90),0)</f>
        <v>0</v>
      </c>
      <c r="BP90" s="279">
        <f>IF(BP$4=_xlfn.XLOOKUP($B90,Assumptions!$E$87:$E$90,Assumptions!$H$87:$H$90),_xlfn.XLOOKUP($B90,Assumptions!$E$87:$E$90,Assumptions!$G$87:$G$90),0)</f>
        <v>0</v>
      </c>
      <c r="BQ90" s="279">
        <f>IF(BQ$4=_xlfn.XLOOKUP($B90,Assumptions!$E$87:$E$90,Assumptions!$H$87:$H$90),_xlfn.XLOOKUP($B90,Assumptions!$E$87:$E$90,Assumptions!$G$87:$G$90),0)</f>
        <v>0</v>
      </c>
      <c r="BR90" s="279">
        <f>IF(BR$4=_xlfn.XLOOKUP($B90,Assumptions!$E$87:$E$90,Assumptions!$H$87:$H$90),_xlfn.XLOOKUP($B90,Assumptions!$E$87:$E$90,Assumptions!$G$87:$G$90),0)</f>
        <v>0</v>
      </c>
      <c r="BS90" s="279">
        <f>IF(BS$4=_xlfn.XLOOKUP($B90,Assumptions!$E$87:$E$90,Assumptions!$H$87:$H$90),_xlfn.XLOOKUP($B90,Assumptions!$E$87:$E$90,Assumptions!$G$87:$G$90),0)</f>
        <v>0</v>
      </c>
      <c r="BT90" s="279">
        <f>IF(BT$4=_xlfn.XLOOKUP($B90,Assumptions!$E$87:$E$90,Assumptions!$H$87:$H$90),_xlfn.XLOOKUP($B90,Assumptions!$E$87:$E$90,Assumptions!$G$87:$G$90),0)</f>
        <v>0</v>
      </c>
      <c r="BU90" s="279">
        <f>IF(BU$4=_xlfn.XLOOKUP($B90,Assumptions!$E$87:$E$90,Assumptions!$H$87:$H$90),_xlfn.XLOOKUP($B90,Assumptions!$E$87:$E$90,Assumptions!$G$87:$G$90),0)</f>
        <v>0</v>
      </c>
      <c r="BV90" s="279">
        <f>IF(BV$4=_xlfn.XLOOKUP($B90,Assumptions!$E$87:$E$90,Assumptions!$H$87:$H$90),_xlfn.XLOOKUP($B90,Assumptions!$E$87:$E$90,Assumptions!$G$87:$G$90),0)</f>
        <v>0</v>
      </c>
      <c r="BW90" s="279">
        <f>IF(BW$4=_xlfn.XLOOKUP($B90,Assumptions!$E$87:$E$90,Assumptions!$H$87:$H$90),_xlfn.XLOOKUP($B90,Assumptions!$E$87:$E$90,Assumptions!$G$87:$G$90),0)</f>
        <v>0</v>
      </c>
    </row>
    <row r="91" spans="1:75" s="234" customFormat="1" outlineLevel="2">
      <c r="A91" s="223"/>
      <c r="B91" s="231" t="s">
        <v>300</v>
      </c>
      <c r="D91" s="279">
        <f>IF(D$4=_xlfn.XLOOKUP($B91,Assumptions!$E$87:$E$90,Assumptions!$H$87:$H$90),_xlfn.XLOOKUP($B91,Assumptions!$E$87:$E$90,Assumptions!$G$87:$G$90),0)</f>
        <v>0</v>
      </c>
      <c r="E91" s="279">
        <f>IF(E$4=_xlfn.XLOOKUP($B91,Assumptions!$E$87:$E$90,Assumptions!$H$87:$H$90),_xlfn.XLOOKUP($B91,Assumptions!$E$87:$E$90,Assumptions!$G$87:$G$90),0)</f>
        <v>0</v>
      </c>
      <c r="F91" s="279">
        <f>IF(F$4=_xlfn.XLOOKUP($B91,Assumptions!$E$87:$E$90,Assumptions!$H$87:$H$90),_xlfn.XLOOKUP($B91,Assumptions!$E$87:$E$90,Assumptions!$G$87:$G$90),0)</f>
        <v>0</v>
      </c>
      <c r="G91" s="279">
        <f>IF(G$4=_xlfn.XLOOKUP($B91,Assumptions!$E$87:$E$90,Assumptions!$H$87:$H$90),_xlfn.XLOOKUP($B91,Assumptions!$E$87:$E$90,Assumptions!$G$87:$G$90),0)</f>
        <v>0</v>
      </c>
      <c r="H91" s="279">
        <f>IF(H$4=_xlfn.XLOOKUP($B91,Assumptions!$E$87:$E$90,Assumptions!$H$87:$H$90),_xlfn.XLOOKUP($B91,Assumptions!$E$87:$E$90,Assumptions!$G$87:$G$90),0)</f>
        <v>0</v>
      </c>
      <c r="I91" s="279">
        <f>IF(I$4=_xlfn.XLOOKUP($B91,Assumptions!$E$87:$E$90,Assumptions!$H$87:$H$90),_xlfn.XLOOKUP($B91,Assumptions!$E$87:$E$90,Assumptions!$G$87:$G$90),0)</f>
        <v>0</v>
      </c>
      <c r="J91" s="279">
        <f>IF(J$4=_xlfn.XLOOKUP($B91,Assumptions!$E$87:$E$90,Assumptions!$H$87:$H$90),_xlfn.XLOOKUP($B91,Assumptions!$E$87:$E$90,Assumptions!$G$87:$G$90),0)</f>
        <v>0</v>
      </c>
      <c r="K91" s="279">
        <f>IF(K$4=_xlfn.XLOOKUP($B91,Assumptions!$E$87:$E$90,Assumptions!$H$87:$H$90),_xlfn.XLOOKUP($B91,Assumptions!$E$87:$E$90,Assumptions!$G$87:$G$90),0)</f>
        <v>0</v>
      </c>
      <c r="L91" s="279">
        <f>IF(L$4=_xlfn.XLOOKUP($B91,Assumptions!$E$87:$E$90,Assumptions!$H$87:$H$90),_xlfn.XLOOKUP($B91,Assumptions!$E$87:$E$90,Assumptions!$G$87:$G$90),0)</f>
        <v>0</v>
      </c>
      <c r="M91" s="279">
        <f>IF(M$4=_xlfn.XLOOKUP($B91,Assumptions!$E$87:$E$90,Assumptions!$H$87:$H$90),_xlfn.XLOOKUP($B91,Assumptions!$E$87:$E$90,Assumptions!$G$87:$G$90),0)</f>
        <v>0</v>
      </c>
      <c r="N91" s="279">
        <f>IF(N$4=_xlfn.XLOOKUP($B91,Assumptions!$E$87:$E$90,Assumptions!$H$87:$H$90),_xlfn.XLOOKUP($B91,Assumptions!$E$87:$E$90,Assumptions!$G$87:$G$90),0)</f>
        <v>0</v>
      </c>
      <c r="O91" s="279">
        <f>IF(O$4=_xlfn.XLOOKUP($B91,Assumptions!$E$87:$E$90,Assumptions!$H$87:$H$90),_xlfn.XLOOKUP($B91,Assumptions!$E$87:$E$90,Assumptions!$G$87:$G$90),0)</f>
        <v>0</v>
      </c>
      <c r="P91" s="279">
        <f>IF(P$4=_xlfn.XLOOKUP($B91,Assumptions!$E$87:$E$90,Assumptions!$H$87:$H$90),_xlfn.XLOOKUP($B91,Assumptions!$E$87:$E$90,Assumptions!$G$87:$G$90),0)</f>
        <v>0</v>
      </c>
      <c r="Q91" s="279">
        <f>IF(Q$4=_xlfn.XLOOKUP($B91,Assumptions!$E$87:$E$90,Assumptions!$H$87:$H$90),_xlfn.XLOOKUP($B91,Assumptions!$E$87:$E$90,Assumptions!$G$87:$G$90),0)</f>
        <v>0</v>
      </c>
      <c r="R91" s="279">
        <f>IF(R$4=_xlfn.XLOOKUP($B91,Assumptions!$E$87:$E$90,Assumptions!$H$87:$H$90),_xlfn.XLOOKUP($B91,Assumptions!$E$87:$E$90,Assumptions!$G$87:$G$90),0)</f>
        <v>0</v>
      </c>
      <c r="S91" s="279">
        <f>IF(S$4=_xlfn.XLOOKUP($B91,Assumptions!$E$87:$E$90,Assumptions!$H$87:$H$90),_xlfn.XLOOKUP($B91,Assumptions!$E$87:$E$90,Assumptions!$G$87:$G$90),0)</f>
        <v>0</v>
      </c>
      <c r="T91" s="279">
        <f>IF(T$4=_xlfn.XLOOKUP($B91,Assumptions!$E$87:$E$90,Assumptions!$H$87:$H$90),_xlfn.XLOOKUP($B91,Assumptions!$E$87:$E$90,Assumptions!$G$87:$G$90),0)</f>
        <v>0</v>
      </c>
      <c r="U91" s="279">
        <f>IF(U$4=_xlfn.XLOOKUP($B91,Assumptions!$E$87:$E$90,Assumptions!$H$87:$H$90),_xlfn.XLOOKUP($B91,Assumptions!$E$87:$E$90,Assumptions!$G$87:$G$90),0)</f>
        <v>0</v>
      </c>
      <c r="V91" s="279">
        <f>IF(V$4=_xlfn.XLOOKUP($B91,Assumptions!$E$87:$E$90,Assumptions!$H$87:$H$90),_xlfn.XLOOKUP($B91,Assumptions!$E$87:$E$90,Assumptions!$G$87:$G$90),0)</f>
        <v>0</v>
      </c>
      <c r="W91" s="279">
        <f>IF(W$4=_xlfn.XLOOKUP($B91,Assumptions!$E$87:$E$90,Assumptions!$H$87:$H$90),_xlfn.XLOOKUP($B91,Assumptions!$E$87:$E$90,Assumptions!$G$87:$G$90),0)</f>
        <v>0</v>
      </c>
      <c r="X91" s="279">
        <f>IF(X$4=_xlfn.XLOOKUP($B91,Assumptions!$E$87:$E$90,Assumptions!$H$87:$H$90),_xlfn.XLOOKUP($B91,Assumptions!$E$87:$E$90,Assumptions!$G$87:$G$90),0)</f>
        <v>0</v>
      </c>
      <c r="Y91" s="279">
        <f>IF(Y$4=_xlfn.XLOOKUP($B91,Assumptions!$E$87:$E$90,Assumptions!$H$87:$H$90),_xlfn.XLOOKUP($B91,Assumptions!$E$87:$E$90,Assumptions!$G$87:$G$90),0)</f>
        <v>0</v>
      </c>
      <c r="Z91" s="279">
        <f>IF(Z$4=_xlfn.XLOOKUP($B91,Assumptions!$E$87:$E$90,Assumptions!$H$87:$H$90),_xlfn.XLOOKUP($B91,Assumptions!$E$87:$E$90,Assumptions!$G$87:$G$90),0)</f>
        <v>0</v>
      </c>
      <c r="AA91" s="279">
        <f>IF(AA$4=_xlfn.XLOOKUP($B91,Assumptions!$E$87:$E$90,Assumptions!$H$87:$H$90),_xlfn.XLOOKUP($B91,Assumptions!$E$87:$E$90,Assumptions!$G$87:$G$90),0)</f>
        <v>0</v>
      </c>
      <c r="AB91" s="279">
        <f>IF(AB$4=_xlfn.XLOOKUP($B91,Assumptions!$E$87:$E$90,Assumptions!$H$87:$H$90),_xlfn.XLOOKUP($B91,Assumptions!$E$87:$E$90,Assumptions!$G$87:$G$90),0)</f>
        <v>0</v>
      </c>
      <c r="AC91" s="279">
        <f>IF(AC$4=_xlfn.XLOOKUP($B91,Assumptions!$E$87:$E$90,Assumptions!$H$87:$H$90),_xlfn.XLOOKUP($B91,Assumptions!$E$87:$E$90,Assumptions!$G$87:$G$90),0)</f>
        <v>0</v>
      </c>
      <c r="AD91" s="279">
        <f>IF(AD$4=_xlfn.XLOOKUP($B91,Assumptions!$E$87:$E$90,Assumptions!$H$87:$H$90),_xlfn.XLOOKUP($B91,Assumptions!$E$87:$E$90,Assumptions!$G$87:$G$90),0)</f>
        <v>0</v>
      </c>
      <c r="AE91" s="279">
        <f>IF(AE$4=_xlfn.XLOOKUP($B91,Assumptions!$E$87:$E$90,Assumptions!$H$87:$H$90),_xlfn.XLOOKUP($B91,Assumptions!$E$87:$E$90,Assumptions!$G$87:$G$90),0)</f>
        <v>0</v>
      </c>
      <c r="AF91" s="279">
        <f>IF(AF$4=_xlfn.XLOOKUP($B91,Assumptions!$E$87:$E$90,Assumptions!$H$87:$H$90),_xlfn.XLOOKUP($B91,Assumptions!$E$87:$E$90,Assumptions!$G$87:$G$90),0)</f>
        <v>0</v>
      </c>
      <c r="AG91" s="279">
        <f>IF(AG$4=_xlfn.XLOOKUP($B91,Assumptions!$E$87:$E$90,Assumptions!$H$87:$H$90),_xlfn.XLOOKUP($B91,Assumptions!$E$87:$E$90,Assumptions!$G$87:$G$90),0)</f>
        <v>0</v>
      </c>
      <c r="AH91" s="279">
        <f>IF(AH$4=_xlfn.XLOOKUP($B91,Assumptions!$E$87:$E$90,Assumptions!$H$87:$H$90),_xlfn.XLOOKUP($B91,Assumptions!$E$87:$E$90,Assumptions!$G$87:$G$90),0)</f>
        <v>0</v>
      </c>
      <c r="AI91" s="279">
        <f>IF(AI$4=_xlfn.XLOOKUP($B91,Assumptions!$E$87:$E$90,Assumptions!$H$87:$H$90),_xlfn.XLOOKUP($B91,Assumptions!$E$87:$E$90,Assumptions!$G$87:$G$90),0)</f>
        <v>0</v>
      </c>
      <c r="AJ91" s="279">
        <f>IF(AJ$4=_xlfn.XLOOKUP($B91,Assumptions!$E$87:$E$90,Assumptions!$H$87:$H$90),_xlfn.XLOOKUP($B91,Assumptions!$E$87:$E$90,Assumptions!$G$87:$G$90),0)</f>
        <v>10000000</v>
      </c>
      <c r="AK91" s="279">
        <f>IF(AK$4=_xlfn.XLOOKUP($B91,Assumptions!$E$87:$E$90,Assumptions!$H$87:$H$90),_xlfn.XLOOKUP($B91,Assumptions!$E$87:$E$90,Assumptions!$G$87:$G$90),0)</f>
        <v>0</v>
      </c>
      <c r="AL91" s="279">
        <f>IF(AL$4=_xlfn.XLOOKUP($B91,Assumptions!$E$87:$E$90,Assumptions!$H$87:$H$90),_xlfn.XLOOKUP($B91,Assumptions!$E$87:$E$90,Assumptions!$G$87:$G$90),0)</f>
        <v>0</v>
      </c>
      <c r="AM91" s="279">
        <f>IF(AM$4=_xlfn.XLOOKUP($B91,Assumptions!$E$87:$E$90,Assumptions!$H$87:$H$90),_xlfn.XLOOKUP($B91,Assumptions!$E$87:$E$90,Assumptions!$G$87:$G$90),0)</f>
        <v>0</v>
      </c>
      <c r="AN91" s="279">
        <f>IF(AN$4=_xlfn.XLOOKUP($B91,Assumptions!$E$87:$E$90,Assumptions!$H$87:$H$90),_xlfn.XLOOKUP($B91,Assumptions!$E$87:$E$90,Assumptions!$G$87:$G$90),0)</f>
        <v>0</v>
      </c>
      <c r="AO91" s="279">
        <f>IF(AO$4=_xlfn.XLOOKUP($B91,Assumptions!$E$87:$E$90,Assumptions!$H$87:$H$90),_xlfn.XLOOKUP($B91,Assumptions!$E$87:$E$90,Assumptions!$G$87:$G$90),0)</f>
        <v>0</v>
      </c>
      <c r="AP91" s="279">
        <f>IF(AP$4=_xlfn.XLOOKUP($B91,Assumptions!$E$87:$E$90,Assumptions!$H$87:$H$90),_xlfn.XLOOKUP($B91,Assumptions!$E$87:$E$90,Assumptions!$G$87:$G$90),0)</f>
        <v>0</v>
      </c>
      <c r="AQ91" s="279">
        <f>IF(AQ$4=_xlfn.XLOOKUP($B91,Assumptions!$E$87:$E$90,Assumptions!$H$87:$H$90),_xlfn.XLOOKUP($B91,Assumptions!$E$87:$E$90,Assumptions!$G$87:$G$90),0)</f>
        <v>0</v>
      </c>
      <c r="AR91" s="279">
        <f>IF(AR$4=_xlfn.XLOOKUP($B91,Assumptions!$E$87:$E$90,Assumptions!$H$87:$H$90),_xlfn.XLOOKUP($B91,Assumptions!$E$87:$E$90,Assumptions!$G$87:$G$90),0)</f>
        <v>0</v>
      </c>
      <c r="AS91" s="279">
        <f>IF(AS$4=_xlfn.XLOOKUP($B91,Assumptions!$E$87:$E$90,Assumptions!$H$87:$H$90),_xlfn.XLOOKUP($B91,Assumptions!$E$87:$E$90,Assumptions!$G$87:$G$90),0)</f>
        <v>0</v>
      </c>
      <c r="AT91" s="279">
        <f>IF(AT$4=_xlfn.XLOOKUP($B91,Assumptions!$E$87:$E$90,Assumptions!$H$87:$H$90),_xlfn.XLOOKUP($B91,Assumptions!$E$87:$E$90,Assumptions!$G$87:$G$90),0)</f>
        <v>0</v>
      </c>
      <c r="AU91" s="279">
        <f>IF(AU$4=_xlfn.XLOOKUP($B91,Assumptions!$E$87:$E$90,Assumptions!$H$87:$H$90),_xlfn.XLOOKUP($B91,Assumptions!$E$87:$E$90,Assumptions!$G$87:$G$90),0)</f>
        <v>0</v>
      </c>
      <c r="AV91" s="279">
        <f>IF(AV$4=_xlfn.XLOOKUP($B91,Assumptions!$E$87:$E$90,Assumptions!$H$87:$H$90),_xlfn.XLOOKUP($B91,Assumptions!$E$87:$E$90,Assumptions!$G$87:$G$90),0)</f>
        <v>0</v>
      </c>
      <c r="AW91" s="279">
        <f>IF(AW$4=_xlfn.XLOOKUP($B91,Assumptions!$E$87:$E$90,Assumptions!$H$87:$H$90),_xlfn.XLOOKUP($B91,Assumptions!$E$87:$E$90,Assumptions!$G$87:$G$90),0)</f>
        <v>0</v>
      </c>
      <c r="AX91" s="279">
        <f>IF(AX$4=_xlfn.XLOOKUP($B91,Assumptions!$E$87:$E$90,Assumptions!$H$87:$H$90),_xlfn.XLOOKUP($B91,Assumptions!$E$87:$E$90,Assumptions!$G$87:$G$90),0)</f>
        <v>0</v>
      </c>
      <c r="AY91" s="279">
        <f>IF(AY$4=_xlfn.XLOOKUP($B91,Assumptions!$E$87:$E$90,Assumptions!$H$87:$H$90),_xlfn.XLOOKUP($B91,Assumptions!$E$87:$E$90,Assumptions!$G$87:$G$90),0)</f>
        <v>0</v>
      </c>
      <c r="AZ91" s="279">
        <f>IF(AZ$4=_xlfn.XLOOKUP($B91,Assumptions!$E$87:$E$90,Assumptions!$H$87:$H$90),_xlfn.XLOOKUP($B91,Assumptions!$E$87:$E$90,Assumptions!$G$87:$G$90),0)</f>
        <v>0</v>
      </c>
      <c r="BA91" s="279">
        <f>IF(BA$4=_xlfn.XLOOKUP($B91,Assumptions!$E$87:$E$90,Assumptions!$H$87:$H$90),_xlfn.XLOOKUP($B91,Assumptions!$E$87:$E$90,Assumptions!$G$87:$G$90),0)</f>
        <v>0</v>
      </c>
      <c r="BB91" s="279">
        <f>IF(BB$4=_xlfn.XLOOKUP($B91,Assumptions!$E$87:$E$90,Assumptions!$H$87:$H$90),_xlfn.XLOOKUP($B91,Assumptions!$E$87:$E$90,Assumptions!$G$87:$G$90),0)</f>
        <v>0</v>
      </c>
      <c r="BC91" s="279">
        <f>IF(BC$4=_xlfn.XLOOKUP($B91,Assumptions!$E$87:$E$90,Assumptions!$H$87:$H$90),_xlfn.XLOOKUP($B91,Assumptions!$E$87:$E$90,Assumptions!$G$87:$G$90),0)</f>
        <v>0</v>
      </c>
      <c r="BD91" s="279">
        <f>IF(BD$4=_xlfn.XLOOKUP($B91,Assumptions!$E$87:$E$90,Assumptions!$H$87:$H$90),_xlfn.XLOOKUP($B91,Assumptions!$E$87:$E$90,Assumptions!$G$87:$G$90),0)</f>
        <v>0</v>
      </c>
      <c r="BE91" s="279">
        <f>IF(BE$4=_xlfn.XLOOKUP($B91,Assumptions!$E$87:$E$90,Assumptions!$H$87:$H$90),_xlfn.XLOOKUP($B91,Assumptions!$E$87:$E$90,Assumptions!$G$87:$G$90),0)</f>
        <v>0</v>
      </c>
      <c r="BF91" s="279">
        <f>IF(BF$4=_xlfn.XLOOKUP($B91,Assumptions!$E$87:$E$90,Assumptions!$H$87:$H$90),_xlfn.XLOOKUP($B91,Assumptions!$E$87:$E$90,Assumptions!$G$87:$G$90),0)</f>
        <v>0</v>
      </c>
      <c r="BG91" s="279">
        <f>IF(BG$4=_xlfn.XLOOKUP($B91,Assumptions!$E$87:$E$90,Assumptions!$H$87:$H$90),_xlfn.XLOOKUP($B91,Assumptions!$E$87:$E$90,Assumptions!$G$87:$G$90),0)</f>
        <v>0</v>
      </c>
      <c r="BH91" s="279">
        <f>IF(BH$4=_xlfn.XLOOKUP($B91,Assumptions!$E$87:$E$90,Assumptions!$H$87:$H$90),_xlfn.XLOOKUP($B91,Assumptions!$E$87:$E$90,Assumptions!$G$87:$G$90),0)</f>
        <v>0</v>
      </c>
      <c r="BI91" s="279">
        <f>IF(BI$4=_xlfn.XLOOKUP($B91,Assumptions!$E$87:$E$90,Assumptions!$H$87:$H$90),_xlfn.XLOOKUP($B91,Assumptions!$E$87:$E$90,Assumptions!$G$87:$G$90),0)</f>
        <v>0</v>
      </c>
      <c r="BJ91" s="279">
        <f>IF(BJ$4=_xlfn.XLOOKUP($B91,Assumptions!$E$87:$E$90,Assumptions!$H$87:$H$90),_xlfn.XLOOKUP($B91,Assumptions!$E$87:$E$90,Assumptions!$G$87:$G$90),0)</f>
        <v>0</v>
      </c>
      <c r="BK91" s="279">
        <f>IF(BK$4=_xlfn.XLOOKUP($B91,Assumptions!$E$87:$E$90,Assumptions!$H$87:$H$90),_xlfn.XLOOKUP($B91,Assumptions!$E$87:$E$90,Assumptions!$G$87:$G$90),0)</f>
        <v>0</v>
      </c>
      <c r="BL91" s="279">
        <f>IF(BL$4=_xlfn.XLOOKUP($B91,Assumptions!$E$87:$E$90,Assumptions!$H$87:$H$90),_xlfn.XLOOKUP($B91,Assumptions!$E$87:$E$90,Assumptions!$G$87:$G$90),0)</f>
        <v>0</v>
      </c>
      <c r="BM91" s="279">
        <f>IF(BM$4=_xlfn.XLOOKUP($B91,Assumptions!$E$87:$E$90,Assumptions!$H$87:$H$90),_xlfn.XLOOKUP($B91,Assumptions!$E$87:$E$90,Assumptions!$G$87:$G$90),0)</f>
        <v>0</v>
      </c>
      <c r="BN91" s="279">
        <f>IF(BN$4=_xlfn.XLOOKUP($B91,Assumptions!$E$87:$E$90,Assumptions!$H$87:$H$90),_xlfn.XLOOKUP($B91,Assumptions!$E$87:$E$90,Assumptions!$G$87:$G$90),0)</f>
        <v>0</v>
      </c>
      <c r="BO91" s="279">
        <f>IF(BO$4=_xlfn.XLOOKUP($B91,Assumptions!$E$87:$E$90,Assumptions!$H$87:$H$90),_xlfn.XLOOKUP($B91,Assumptions!$E$87:$E$90,Assumptions!$G$87:$G$90),0)</f>
        <v>0</v>
      </c>
      <c r="BP91" s="279">
        <f>IF(BP$4=_xlfn.XLOOKUP($B91,Assumptions!$E$87:$E$90,Assumptions!$H$87:$H$90),_xlfn.XLOOKUP($B91,Assumptions!$E$87:$E$90,Assumptions!$G$87:$G$90),0)</f>
        <v>0</v>
      </c>
      <c r="BQ91" s="279">
        <f>IF(BQ$4=_xlfn.XLOOKUP($B91,Assumptions!$E$87:$E$90,Assumptions!$H$87:$H$90),_xlfn.XLOOKUP($B91,Assumptions!$E$87:$E$90,Assumptions!$G$87:$G$90),0)</f>
        <v>0</v>
      </c>
      <c r="BR91" s="279">
        <f>IF(BR$4=_xlfn.XLOOKUP($B91,Assumptions!$E$87:$E$90,Assumptions!$H$87:$H$90),_xlfn.XLOOKUP($B91,Assumptions!$E$87:$E$90,Assumptions!$G$87:$G$90),0)</f>
        <v>0</v>
      </c>
      <c r="BS91" s="279">
        <f>IF(BS$4=_xlfn.XLOOKUP($B91,Assumptions!$E$87:$E$90,Assumptions!$H$87:$H$90),_xlfn.XLOOKUP($B91,Assumptions!$E$87:$E$90,Assumptions!$G$87:$G$90),0)</f>
        <v>0</v>
      </c>
      <c r="BT91" s="279">
        <f>IF(BT$4=_xlfn.XLOOKUP($B91,Assumptions!$E$87:$E$90,Assumptions!$H$87:$H$90),_xlfn.XLOOKUP($B91,Assumptions!$E$87:$E$90,Assumptions!$G$87:$G$90),0)</f>
        <v>0</v>
      </c>
      <c r="BU91" s="279">
        <f>IF(BU$4=_xlfn.XLOOKUP($B91,Assumptions!$E$87:$E$90,Assumptions!$H$87:$H$90),_xlfn.XLOOKUP($B91,Assumptions!$E$87:$E$90,Assumptions!$G$87:$G$90),0)</f>
        <v>0</v>
      </c>
      <c r="BV91" s="279">
        <f>IF(BV$4=_xlfn.XLOOKUP($B91,Assumptions!$E$87:$E$90,Assumptions!$H$87:$H$90),_xlfn.XLOOKUP($B91,Assumptions!$E$87:$E$90,Assumptions!$G$87:$G$90),0)</f>
        <v>0</v>
      </c>
      <c r="BW91" s="279">
        <f>IF(BW$4=_xlfn.XLOOKUP($B91,Assumptions!$E$87:$E$90,Assumptions!$H$87:$H$90),_xlfn.XLOOKUP($B91,Assumptions!$E$87:$E$90,Assumptions!$G$87:$G$90),0)</f>
        <v>0</v>
      </c>
    </row>
    <row r="92" spans="1:75" s="234" customFormat="1" outlineLevel="2">
      <c r="A92" s="223"/>
      <c r="B92" s="231" t="s">
        <v>301</v>
      </c>
      <c r="D92" s="279">
        <f>IF(D$4=_xlfn.XLOOKUP($B92,Assumptions!$E$87:$E$90,Assumptions!$H$87:$H$90),_xlfn.XLOOKUP($B92,Assumptions!$E$87:$E$90,Assumptions!$G$87:$G$90),0)</f>
        <v>0</v>
      </c>
      <c r="E92" s="279">
        <f>IF(E$4=_xlfn.XLOOKUP($B92,Assumptions!$E$87:$E$90,Assumptions!$H$87:$H$90),_xlfn.XLOOKUP($B92,Assumptions!$E$87:$E$90,Assumptions!$G$87:$G$90),0)</f>
        <v>0</v>
      </c>
      <c r="F92" s="279">
        <f>IF(F$4=_xlfn.XLOOKUP($B92,Assumptions!$E$87:$E$90,Assumptions!$H$87:$H$90),_xlfn.XLOOKUP($B92,Assumptions!$E$87:$E$90,Assumptions!$G$87:$G$90),0)</f>
        <v>0</v>
      </c>
      <c r="G92" s="279">
        <f>IF(G$4=_xlfn.XLOOKUP($B92,Assumptions!$E$87:$E$90,Assumptions!$H$87:$H$90),_xlfn.XLOOKUP($B92,Assumptions!$E$87:$E$90,Assumptions!$G$87:$G$90),0)</f>
        <v>0</v>
      </c>
      <c r="H92" s="279">
        <f>IF(H$4=_xlfn.XLOOKUP($B92,Assumptions!$E$87:$E$90,Assumptions!$H$87:$H$90),_xlfn.XLOOKUP($B92,Assumptions!$E$87:$E$90,Assumptions!$G$87:$G$90),0)</f>
        <v>0</v>
      </c>
      <c r="I92" s="279">
        <f>IF(I$4=_xlfn.XLOOKUP($B92,Assumptions!$E$87:$E$90,Assumptions!$H$87:$H$90),_xlfn.XLOOKUP($B92,Assumptions!$E$87:$E$90,Assumptions!$G$87:$G$90),0)</f>
        <v>0</v>
      </c>
      <c r="J92" s="279">
        <f>IF(J$4=_xlfn.XLOOKUP($B92,Assumptions!$E$87:$E$90,Assumptions!$H$87:$H$90),_xlfn.XLOOKUP($B92,Assumptions!$E$87:$E$90,Assumptions!$G$87:$G$90),0)</f>
        <v>0</v>
      </c>
      <c r="K92" s="279">
        <f>IF(K$4=_xlfn.XLOOKUP($B92,Assumptions!$E$87:$E$90,Assumptions!$H$87:$H$90),_xlfn.XLOOKUP($B92,Assumptions!$E$87:$E$90,Assumptions!$G$87:$G$90),0)</f>
        <v>0</v>
      </c>
      <c r="L92" s="279">
        <f>IF(L$4=_xlfn.XLOOKUP($B92,Assumptions!$E$87:$E$90,Assumptions!$H$87:$H$90),_xlfn.XLOOKUP($B92,Assumptions!$E$87:$E$90,Assumptions!$G$87:$G$90),0)</f>
        <v>0</v>
      </c>
      <c r="M92" s="279">
        <f>IF(M$4=_xlfn.XLOOKUP($B92,Assumptions!$E$87:$E$90,Assumptions!$H$87:$H$90),_xlfn.XLOOKUP($B92,Assumptions!$E$87:$E$90,Assumptions!$G$87:$G$90),0)</f>
        <v>0</v>
      </c>
      <c r="N92" s="279">
        <f>IF(N$4=_xlfn.XLOOKUP($B92,Assumptions!$E$87:$E$90,Assumptions!$H$87:$H$90),_xlfn.XLOOKUP($B92,Assumptions!$E$87:$E$90,Assumptions!$G$87:$G$90),0)</f>
        <v>0</v>
      </c>
      <c r="O92" s="279">
        <f>IF(O$4=_xlfn.XLOOKUP($B92,Assumptions!$E$87:$E$90,Assumptions!$H$87:$H$90),_xlfn.XLOOKUP($B92,Assumptions!$E$87:$E$90,Assumptions!$G$87:$G$90),0)</f>
        <v>0</v>
      </c>
      <c r="P92" s="279">
        <f>IF(P$4=_xlfn.XLOOKUP($B92,Assumptions!$E$87:$E$90,Assumptions!$H$87:$H$90),_xlfn.XLOOKUP($B92,Assumptions!$E$87:$E$90,Assumptions!$G$87:$G$90),0)</f>
        <v>0</v>
      </c>
      <c r="Q92" s="279">
        <f>IF(Q$4=_xlfn.XLOOKUP($B92,Assumptions!$E$87:$E$90,Assumptions!$H$87:$H$90),_xlfn.XLOOKUP($B92,Assumptions!$E$87:$E$90,Assumptions!$G$87:$G$90),0)</f>
        <v>0</v>
      </c>
      <c r="R92" s="279">
        <f>IF(R$4=_xlfn.XLOOKUP($B92,Assumptions!$E$87:$E$90,Assumptions!$H$87:$H$90),_xlfn.XLOOKUP($B92,Assumptions!$E$87:$E$90,Assumptions!$G$87:$G$90),0)</f>
        <v>0</v>
      </c>
      <c r="S92" s="279">
        <f>IF(S$4=_xlfn.XLOOKUP($B92,Assumptions!$E$87:$E$90,Assumptions!$H$87:$H$90),_xlfn.XLOOKUP($B92,Assumptions!$E$87:$E$90,Assumptions!$G$87:$G$90),0)</f>
        <v>0</v>
      </c>
      <c r="T92" s="279">
        <f>IF(T$4=_xlfn.XLOOKUP($B92,Assumptions!$E$87:$E$90,Assumptions!$H$87:$H$90),_xlfn.XLOOKUP($B92,Assumptions!$E$87:$E$90,Assumptions!$G$87:$G$90),0)</f>
        <v>0</v>
      </c>
      <c r="U92" s="279">
        <f>IF(U$4=_xlfn.XLOOKUP($B92,Assumptions!$E$87:$E$90,Assumptions!$H$87:$H$90),_xlfn.XLOOKUP($B92,Assumptions!$E$87:$E$90,Assumptions!$G$87:$G$90),0)</f>
        <v>0</v>
      </c>
      <c r="V92" s="279">
        <f>IF(V$4=_xlfn.XLOOKUP($B92,Assumptions!$E$87:$E$90,Assumptions!$H$87:$H$90),_xlfn.XLOOKUP($B92,Assumptions!$E$87:$E$90,Assumptions!$G$87:$G$90),0)</f>
        <v>0</v>
      </c>
      <c r="W92" s="279">
        <f>IF(W$4=_xlfn.XLOOKUP($B92,Assumptions!$E$87:$E$90,Assumptions!$H$87:$H$90),_xlfn.XLOOKUP($B92,Assumptions!$E$87:$E$90,Assumptions!$G$87:$G$90),0)</f>
        <v>0</v>
      </c>
      <c r="X92" s="279">
        <f>IF(X$4=_xlfn.XLOOKUP($B92,Assumptions!$E$87:$E$90,Assumptions!$H$87:$H$90),_xlfn.XLOOKUP($B92,Assumptions!$E$87:$E$90,Assumptions!$G$87:$G$90),0)</f>
        <v>0</v>
      </c>
      <c r="Y92" s="279">
        <f>IF(Y$4=_xlfn.XLOOKUP($B92,Assumptions!$E$87:$E$90,Assumptions!$H$87:$H$90),_xlfn.XLOOKUP($B92,Assumptions!$E$87:$E$90,Assumptions!$G$87:$G$90),0)</f>
        <v>0</v>
      </c>
      <c r="Z92" s="279">
        <f>IF(Z$4=_xlfn.XLOOKUP($B92,Assumptions!$E$87:$E$90,Assumptions!$H$87:$H$90),_xlfn.XLOOKUP($B92,Assumptions!$E$87:$E$90,Assumptions!$G$87:$G$90),0)</f>
        <v>0</v>
      </c>
      <c r="AA92" s="279">
        <f>IF(AA$4=_xlfn.XLOOKUP($B92,Assumptions!$E$87:$E$90,Assumptions!$H$87:$H$90),_xlfn.XLOOKUP($B92,Assumptions!$E$87:$E$90,Assumptions!$G$87:$G$90),0)</f>
        <v>0</v>
      </c>
      <c r="AB92" s="279">
        <f>IF(AB$4=_xlfn.XLOOKUP($B92,Assumptions!$E$87:$E$90,Assumptions!$H$87:$H$90),_xlfn.XLOOKUP($B92,Assumptions!$E$87:$E$90,Assumptions!$G$87:$G$90),0)</f>
        <v>0</v>
      </c>
      <c r="AC92" s="279">
        <f>IF(AC$4=_xlfn.XLOOKUP($B92,Assumptions!$E$87:$E$90,Assumptions!$H$87:$H$90),_xlfn.XLOOKUP($B92,Assumptions!$E$87:$E$90,Assumptions!$G$87:$G$90),0)</f>
        <v>0</v>
      </c>
      <c r="AD92" s="279">
        <f>IF(AD$4=_xlfn.XLOOKUP($B92,Assumptions!$E$87:$E$90,Assumptions!$H$87:$H$90),_xlfn.XLOOKUP($B92,Assumptions!$E$87:$E$90,Assumptions!$G$87:$G$90),0)</f>
        <v>0</v>
      </c>
      <c r="AE92" s="279">
        <f>IF(AE$4=_xlfn.XLOOKUP($B92,Assumptions!$E$87:$E$90,Assumptions!$H$87:$H$90),_xlfn.XLOOKUP($B92,Assumptions!$E$87:$E$90,Assumptions!$G$87:$G$90),0)</f>
        <v>0</v>
      </c>
      <c r="AF92" s="279">
        <f>IF(AF$4=_xlfn.XLOOKUP($B92,Assumptions!$E$87:$E$90,Assumptions!$H$87:$H$90),_xlfn.XLOOKUP($B92,Assumptions!$E$87:$E$90,Assumptions!$G$87:$G$90),0)</f>
        <v>0</v>
      </c>
      <c r="AG92" s="279">
        <f>IF(AG$4=_xlfn.XLOOKUP($B92,Assumptions!$E$87:$E$90,Assumptions!$H$87:$H$90),_xlfn.XLOOKUP($B92,Assumptions!$E$87:$E$90,Assumptions!$G$87:$G$90),0)</f>
        <v>0</v>
      </c>
      <c r="AH92" s="279">
        <f>IF(AH$4=_xlfn.XLOOKUP($B92,Assumptions!$E$87:$E$90,Assumptions!$H$87:$H$90),_xlfn.XLOOKUP($B92,Assumptions!$E$87:$E$90,Assumptions!$G$87:$G$90),0)</f>
        <v>0</v>
      </c>
      <c r="AI92" s="279">
        <f>IF(AI$4=_xlfn.XLOOKUP($B92,Assumptions!$E$87:$E$90,Assumptions!$H$87:$H$90),_xlfn.XLOOKUP($B92,Assumptions!$E$87:$E$90,Assumptions!$G$87:$G$90),0)</f>
        <v>0</v>
      </c>
      <c r="AJ92" s="279">
        <f>IF(AJ$4=_xlfn.XLOOKUP($B92,Assumptions!$E$87:$E$90,Assumptions!$H$87:$H$90),_xlfn.XLOOKUP($B92,Assumptions!$E$87:$E$90,Assumptions!$G$87:$G$90),0)</f>
        <v>0</v>
      </c>
      <c r="AK92" s="279">
        <f>IF(AK$4=_xlfn.XLOOKUP($B92,Assumptions!$E$87:$E$90,Assumptions!$H$87:$H$90),_xlfn.XLOOKUP($B92,Assumptions!$E$87:$E$90,Assumptions!$G$87:$G$90),0)</f>
        <v>0</v>
      </c>
      <c r="AL92" s="279">
        <f>IF(AL$4=_xlfn.XLOOKUP($B92,Assumptions!$E$87:$E$90,Assumptions!$H$87:$H$90),_xlfn.XLOOKUP($B92,Assumptions!$E$87:$E$90,Assumptions!$G$87:$G$90),0)</f>
        <v>0</v>
      </c>
      <c r="AM92" s="279">
        <f>IF(AM$4=_xlfn.XLOOKUP($B92,Assumptions!$E$87:$E$90,Assumptions!$H$87:$H$90),_xlfn.XLOOKUP($B92,Assumptions!$E$87:$E$90,Assumptions!$G$87:$G$90),0)</f>
        <v>0</v>
      </c>
      <c r="AN92" s="279">
        <f>IF(AN$4=_xlfn.XLOOKUP($B92,Assumptions!$E$87:$E$90,Assumptions!$H$87:$H$90),_xlfn.XLOOKUP($B92,Assumptions!$E$87:$E$90,Assumptions!$G$87:$G$90),0)</f>
        <v>0</v>
      </c>
      <c r="AO92" s="279">
        <f>IF(AO$4=_xlfn.XLOOKUP($B92,Assumptions!$E$87:$E$90,Assumptions!$H$87:$H$90),_xlfn.XLOOKUP($B92,Assumptions!$E$87:$E$90,Assumptions!$G$87:$G$90),0)</f>
        <v>0</v>
      </c>
      <c r="AP92" s="279">
        <f>IF(AP$4=_xlfn.XLOOKUP($B92,Assumptions!$E$87:$E$90,Assumptions!$H$87:$H$90),_xlfn.XLOOKUP($B92,Assumptions!$E$87:$E$90,Assumptions!$G$87:$G$90),0)</f>
        <v>0</v>
      </c>
      <c r="AQ92" s="279">
        <f>IF(AQ$4=_xlfn.XLOOKUP($B92,Assumptions!$E$87:$E$90,Assumptions!$H$87:$H$90),_xlfn.XLOOKUP($B92,Assumptions!$E$87:$E$90,Assumptions!$G$87:$G$90),0)</f>
        <v>0</v>
      </c>
      <c r="AR92" s="279">
        <f>IF(AR$4=_xlfn.XLOOKUP($B92,Assumptions!$E$87:$E$90,Assumptions!$H$87:$H$90),_xlfn.XLOOKUP($B92,Assumptions!$E$87:$E$90,Assumptions!$G$87:$G$90),0)</f>
        <v>0</v>
      </c>
      <c r="AS92" s="279">
        <f>IF(AS$4=_xlfn.XLOOKUP($B92,Assumptions!$E$87:$E$90,Assumptions!$H$87:$H$90),_xlfn.XLOOKUP($B92,Assumptions!$E$87:$E$90,Assumptions!$G$87:$G$90),0)</f>
        <v>0</v>
      </c>
      <c r="AT92" s="279">
        <f>IF(AT$4=_xlfn.XLOOKUP($B92,Assumptions!$E$87:$E$90,Assumptions!$H$87:$H$90),_xlfn.XLOOKUP($B92,Assumptions!$E$87:$E$90,Assumptions!$G$87:$G$90),0)</f>
        <v>0</v>
      </c>
      <c r="AU92" s="279">
        <f>IF(AU$4=_xlfn.XLOOKUP($B92,Assumptions!$E$87:$E$90,Assumptions!$H$87:$H$90),_xlfn.XLOOKUP($B92,Assumptions!$E$87:$E$90,Assumptions!$G$87:$G$90),0)</f>
        <v>0</v>
      </c>
      <c r="AV92" s="279">
        <f>IF(AV$4=_xlfn.XLOOKUP($B92,Assumptions!$E$87:$E$90,Assumptions!$H$87:$H$90),_xlfn.XLOOKUP($B92,Assumptions!$E$87:$E$90,Assumptions!$G$87:$G$90),0)</f>
        <v>25000000</v>
      </c>
      <c r="AW92" s="279">
        <f>IF(AW$4=_xlfn.XLOOKUP($B92,Assumptions!$E$87:$E$90,Assumptions!$H$87:$H$90),_xlfn.XLOOKUP($B92,Assumptions!$E$87:$E$90,Assumptions!$G$87:$G$90),0)</f>
        <v>0</v>
      </c>
      <c r="AX92" s="279">
        <f>IF(AX$4=_xlfn.XLOOKUP($B92,Assumptions!$E$87:$E$90,Assumptions!$H$87:$H$90),_xlfn.XLOOKUP($B92,Assumptions!$E$87:$E$90,Assumptions!$G$87:$G$90),0)</f>
        <v>0</v>
      </c>
      <c r="AY92" s="279">
        <f>IF(AY$4=_xlfn.XLOOKUP($B92,Assumptions!$E$87:$E$90,Assumptions!$H$87:$H$90),_xlfn.XLOOKUP($B92,Assumptions!$E$87:$E$90,Assumptions!$G$87:$G$90),0)</f>
        <v>0</v>
      </c>
      <c r="AZ92" s="279">
        <f>IF(AZ$4=_xlfn.XLOOKUP($B92,Assumptions!$E$87:$E$90,Assumptions!$H$87:$H$90),_xlfn.XLOOKUP($B92,Assumptions!$E$87:$E$90,Assumptions!$G$87:$G$90),0)</f>
        <v>0</v>
      </c>
      <c r="BA92" s="279">
        <f>IF(BA$4=_xlfn.XLOOKUP($B92,Assumptions!$E$87:$E$90,Assumptions!$H$87:$H$90),_xlfn.XLOOKUP($B92,Assumptions!$E$87:$E$90,Assumptions!$G$87:$G$90),0)</f>
        <v>0</v>
      </c>
      <c r="BB92" s="279">
        <f>IF(BB$4=_xlfn.XLOOKUP($B92,Assumptions!$E$87:$E$90,Assumptions!$H$87:$H$90),_xlfn.XLOOKUP($B92,Assumptions!$E$87:$E$90,Assumptions!$G$87:$G$90),0)</f>
        <v>0</v>
      </c>
      <c r="BC92" s="279">
        <f>IF(BC$4=_xlfn.XLOOKUP($B92,Assumptions!$E$87:$E$90,Assumptions!$H$87:$H$90),_xlfn.XLOOKUP($B92,Assumptions!$E$87:$E$90,Assumptions!$G$87:$G$90),0)</f>
        <v>0</v>
      </c>
      <c r="BD92" s="279">
        <f>IF(BD$4=_xlfn.XLOOKUP($B92,Assumptions!$E$87:$E$90,Assumptions!$H$87:$H$90),_xlfn.XLOOKUP($B92,Assumptions!$E$87:$E$90,Assumptions!$G$87:$G$90),0)</f>
        <v>0</v>
      </c>
      <c r="BE92" s="279">
        <f>IF(BE$4=_xlfn.XLOOKUP($B92,Assumptions!$E$87:$E$90,Assumptions!$H$87:$H$90),_xlfn.XLOOKUP($B92,Assumptions!$E$87:$E$90,Assumptions!$G$87:$G$90),0)</f>
        <v>0</v>
      </c>
      <c r="BF92" s="279">
        <f>IF(BF$4=_xlfn.XLOOKUP($B92,Assumptions!$E$87:$E$90,Assumptions!$H$87:$H$90),_xlfn.XLOOKUP($B92,Assumptions!$E$87:$E$90,Assumptions!$G$87:$G$90),0)</f>
        <v>0</v>
      </c>
      <c r="BG92" s="279">
        <f>IF(BG$4=_xlfn.XLOOKUP($B92,Assumptions!$E$87:$E$90,Assumptions!$H$87:$H$90),_xlfn.XLOOKUP($B92,Assumptions!$E$87:$E$90,Assumptions!$G$87:$G$90),0)</f>
        <v>0</v>
      </c>
      <c r="BH92" s="279">
        <f>IF(BH$4=_xlfn.XLOOKUP($B92,Assumptions!$E$87:$E$90,Assumptions!$H$87:$H$90),_xlfn.XLOOKUP($B92,Assumptions!$E$87:$E$90,Assumptions!$G$87:$G$90),0)</f>
        <v>0</v>
      </c>
      <c r="BI92" s="279">
        <f>IF(BI$4=_xlfn.XLOOKUP($B92,Assumptions!$E$87:$E$90,Assumptions!$H$87:$H$90),_xlfn.XLOOKUP($B92,Assumptions!$E$87:$E$90,Assumptions!$G$87:$G$90),0)</f>
        <v>0</v>
      </c>
      <c r="BJ92" s="279">
        <f>IF(BJ$4=_xlfn.XLOOKUP($B92,Assumptions!$E$87:$E$90,Assumptions!$H$87:$H$90),_xlfn.XLOOKUP($B92,Assumptions!$E$87:$E$90,Assumptions!$G$87:$G$90),0)</f>
        <v>0</v>
      </c>
      <c r="BK92" s="279">
        <f>IF(BK$4=_xlfn.XLOOKUP($B92,Assumptions!$E$87:$E$90,Assumptions!$H$87:$H$90),_xlfn.XLOOKUP($B92,Assumptions!$E$87:$E$90,Assumptions!$G$87:$G$90),0)</f>
        <v>0</v>
      </c>
      <c r="BL92" s="279">
        <f>IF(BL$4=_xlfn.XLOOKUP($B92,Assumptions!$E$87:$E$90,Assumptions!$H$87:$H$90),_xlfn.XLOOKUP($B92,Assumptions!$E$87:$E$90,Assumptions!$G$87:$G$90),0)</f>
        <v>0</v>
      </c>
      <c r="BM92" s="279">
        <f>IF(BM$4=_xlfn.XLOOKUP($B92,Assumptions!$E$87:$E$90,Assumptions!$H$87:$H$90),_xlfn.XLOOKUP($B92,Assumptions!$E$87:$E$90,Assumptions!$G$87:$G$90),0)</f>
        <v>0</v>
      </c>
      <c r="BN92" s="279">
        <f>IF(BN$4=_xlfn.XLOOKUP($B92,Assumptions!$E$87:$E$90,Assumptions!$H$87:$H$90),_xlfn.XLOOKUP($B92,Assumptions!$E$87:$E$90,Assumptions!$G$87:$G$90),0)</f>
        <v>0</v>
      </c>
      <c r="BO92" s="279">
        <f>IF(BO$4=_xlfn.XLOOKUP($B92,Assumptions!$E$87:$E$90,Assumptions!$H$87:$H$90),_xlfn.XLOOKUP($B92,Assumptions!$E$87:$E$90,Assumptions!$G$87:$G$90),0)</f>
        <v>0</v>
      </c>
      <c r="BP92" s="279">
        <f>IF(BP$4=_xlfn.XLOOKUP($B92,Assumptions!$E$87:$E$90,Assumptions!$H$87:$H$90),_xlfn.XLOOKUP($B92,Assumptions!$E$87:$E$90,Assumptions!$G$87:$G$90),0)</f>
        <v>0</v>
      </c>
      <c r="BQ92" s="279">
        <f>IF(BQ$4=_xlfn.XLOOKUP($B92,Assumptions!$E$87:$E$90,Assumptions!$H$87:$H$90),_xlfn.XLOOKUP($B92,Assumptions!$E$87:$E$90,Assumptions!$G$87:$G$90),0)</f>
        <v>0</v>
      </c>
      <c r="BR92" s="279">
        <f>IF(BR$4=_xlfn.XLOOKUP($B92,Assumptions!$E$87:$E$90,Assumptions!$H$87:$H$90),_xlfn.XLOOKUP($B92,Assumptions!$E$87:$E$90,Assumptions!$G$87:$G$90),0)</f>
        <v>0</v>
      </c>
      <c r="BS92" s="279">
        <f>IF(BS$4=_xlfn.XLOOKUP($B92,Assumptions!$E$87:$E$90,Assumptions!$H$87:$H$90),_xlfn.XLOOKUP($B92,Assumptions!$E$87:$E$90,Assumptions!$G$87:$G$90),0)</f>
        <v>0</v>
      </c>
      <c r="BT92" s="279">
        <f>IF(BT$4=_xlfn.XLOOKUP($B92,Assumptions!$E$87:$E$90,Assumptions!$H$87:$H$90),_xlfn.XLOOKUP($B92,Assumptions!$E$87:$E$90,Assumptions!$G$87:$G$90),0)</f>
        <v>0</v>
      </c>
      <c r="BU92" s="279">
        <f>IF(BU$4=_xlfn.XLOOKUP($B92,Assumptions!$E$87:$E$90,Assumptions!$H$87:$H$90),_xlfn.XLOOKUP($B92,Assumptions!$E$87:$E$90,Assumptions!$G$87:$G$90),0)</f>
        <v>0</v>
      </c>
      <c r="BV92" s="279">
        <f>IF(BV$4=_xlfn.XLOOKUP($B92,Assumptions!$E$87:$E$90,Assumptions!$H$87:$H$90),_xlfn.XLOOKUP($B92,Assumptions!$E$87:$E$90,Assumptions!$G$87:$G$90),0)</f>
        <v>0</v>
      </c>
      <c r="BW92" s="279">
        <f>IF(BW$4=_xlfn.XLOOKUP($B92,Assumptions!$E$87:$E$90,Assumptions!$H$87:$H$90),_xlfn.XLOOKUP($B92,Assumptions!$E$87:$E$90,Assumptions!$G$87:$G$90),0)</f>
        <v>0</v>
      </c>
    </row>
    <row r="93" spans="1:75" s="234" customFormat="1" ht="13.8" outlineLevel="2" thickBot="1">
      <c r="A93" s="223"/>
      <c r="B93" s="235" t="s">
        <v>306</v>
      </c>
      <c r="C93" s="428"/>
      <c r="D93" s="254">
        <f t="shared" ref="D93:AI93" si="331">D65-C65</f>
        <v>0</v>
      </c>
      <c r="E93" s="254">
        <f t="shared" si="331"/>
        <v>0</v>
      </c>
      <c r="F93" s="254">
        <f t="shared" si="331"/>
        <v>0</v>
      </c>
      <c r="G93" s="254">
        <f t="shared" si="331"/>
        <v>0</v>
      </c>
      <c r="H93" s="254">
        <f t="shared" si="331"/>
        <v>0</v>
      </c>
      <c r="I93" s="254">
        <f t="shared" si="331"/>
        <v>0</v>
      </c>
      <c r="J93" s="254">
        <f t="shared" si="331"/>
        <v>0</v>
      </c>
      <c r="K93" s="254">
        <f t="shared" si="331"/>
        <v>0</v>
      </c>
      <c r="L93" s="254">
        <f t="shared" si="331"/>
        <v>0</v>
      </c>
      <c r="M93" s="254">
        <f t="shared" si="331"/>
        <v>0</v>
      </c>
      <c r="N93" s="254">
        <f t="shared" si="331"/>
        <v>0</v>
      </c>
      <c r="O93" s="254">
        <f t="shared" si="331"/>
        <v>0</v>
      </c>
      <c r="P93" s="254">
        <f t="shared" si="331"/>
        <v>0</v>
      </c>
      <c r="Q93" s="254">
        <f t="shared" si="331"/>
        <v>0</v>
      </c>
      <c r="R93" s="254">
        <f t="shared" si="331"/>
        <v>0</v>
      </c>
      <c r="S93" s="254">
        <f t="shared" si="331"/>
        <v>0</v>
      </c>
      <c r="T93" s="254">
        <f t="shared" si="331"/>
        <v>0</v>
      </c>
      <c r="U93" s="254">
        <f t="shared" si="331"/>
        <v>0</v>
      </c>
      <c r="V93" s="254">
        <f t="shared" si="331"/>
        <v>0</v>
      </c>
      <c r="W93" s="254">
        <f t="shared" si="331"/>
        <v>0</v>
      </c>
      <c r="X93" s="254">
        <f t="shared" si="331"/>
        <v>495302.74398251582</v>
      </c>
      <c r="Y93" s="254">
        <f t="shared" si="331"/>
        <v>-4746.1857676663203</v>
      </c>
      <c r="Z93" s="254">
        <f t="shared" si="331"/>
        <v>-4795.6252027461887</v>
      </c>
      <c r="AA93" s="254">
        <f t="shared" si="331"/>
        <v>-4845.5796319414512</v>
      </c>
      <c r="AB93" s="254">
        <f t="shared" si="331"/>
        <v>-4896.0544197741547</v>
      </c>
      <c r="AC93" s="254">
        <f t="shared" si="331"/>
        <v>-4947.0549866468064</v>
      </c>
      <c r="AD93" s="254">
        <f t="shared" si="331"/>
        <v>-4998.5868094243924</v>
      </c>
      <c r="AE93" s="254">
        <f t="shared" si="331"/>
        <v>-5050.6554220225662</v>
      </c>
      <c r="AF93" s="254">
        <f t="shared" si="331"/>
        <v>-5103.2664160019485</v>
      </c>
      <c r="AG93" s="254">
        <f t="shared" si="331"/>
        <v>-5156.4254411686561</v>
      </c>
      <c r="AH93" s="254">
        <f t="shared" si="331"/>
        <v>-5210.1382061808254</v>
      </c>
      <c r="AI93" s="254">
        <f t="shared" si="331"/>
        <v>-5264.4104791618884</v>
      </c>
      <c r="AJ93" s="254">
        <f t="shared" ref="AJ93:BO93" si="332">AJ65-AI65</f>
        <v>-5319.2480883198441</v>
      </c>
      <c r="AK93" s="254">
        <f t="shared" si="332"/>
        <v>-5374.6569225731655</v>
      </c>
      <c r="AL93" s="254">
        <f t="shared" si="332"/>
        <v>-5430.6429321832838</v>
      </c>
      <c r="AM93" s="254">
        <f t="shared" si="332"/>
        <v>-5487.2121293935343</v>
      </c>
      <c r="AN93" s="254">
        <f t="shared" si="332"/>
        <v>-5544.3705890747369</v>
      </c>
      <c r="AO93" s="254">
        <f t="shared" si="332"/>
        <v>-5602.1244493775885</v>
      </c>
      <c r="AP93" s="254">
        <f t="shared" si="332"/>
        <v>-5660.479912391922</v>
      </c>
      <c r="AQ93" s="254">
        <f t="shared" si="332"/>
        <v>-5719.4432448126609</v>
      </c>
      <c r="AR93" s="254">
        <f t="shared" si="332"/>
        <v>-5779.0207786128158</v>
      </c>
      <c r="AS93" s="254">
        <f t="shared" si="332"/>
        <v>-5839.2189117233502</v>
      </c>
      <c r="AT93" s="254">
        <f t="shared" si="332"/>
        <v>-5900.0441087204963</v>
      </c>
      <c r="AU93" s="254">
        <f t="shared" si="332"/>
        <v>-5961.5029015196487</v>
      </c>
      <c r="AV93" s="254">
        <f t="shared" si="332"/>
        <v>-6023.601890077116</v>
      </c>
      <c r="AW93" s="254">
        <f t="shared" si="332"/>
        <v>-6086.3477430987987</v>
      </c>
      <c r="AX93" s="254">
        <f t="shared" si="332"/>
        <v>-6149.7471987560275</v>
      </c>
      <c r="AY93" s="254">
        <f t="shared" si="332"/>
        <v>-6213.8070654097828</v>
      </c>
      <c r="AZ93" s="254">
        <f t="shared" si="332"/>
        <v>-6278.5342223411426</v>
      </c>
      <c r="BA93" s="254">
        <f t="shared" si="332"/>
        <v>-6343.9356204905198</v>
      </c>
      <c r="BB93" s="254">
        <f t="shared" si="332"/>
        <v>-6410.0182832039427</v>
      </c>
      <c r="BC93" s="254">
        <f t="shared" si="332"/>
        <v>-6476.7893069873098</v>
      </c>
      <c r="BD93" s="254">
        <f t="shared" si="332"/>
        <v>-6544.2558622684446</v>
      </c>
      <c r="BE93" s="254">
        <f t="shared" si="332"/>
        <v>-6612.4251941670664</v>
      </c>
      <c r="BF93" s="254">
        <f t="shared" si="332"/>
        <v>-6681.3046232729685</v>
      </c>
      <c r="BG93" s="254">
        <f t="shared" si="332"/>
        <v>-6750.9015464320546</v>
      </c>
      <c r="BH93" s="254">
        <f t="shared" si="332"/>
        <v>-6821.223437540757</v>
      </c>
      <c r="BI93" s="254">
        <f t="shared" si="332"/>
        <v>-6892.277848348429</v>
      </c>
      <c r="BJ93" s="254">
        <f t="shared" si="332"/>
        <v>-6964.0724092687597</v>
      </c>
      <c r="BK93" s="254">
        <f t="shared" si="332"/>
        <v>-7036.6148301986395</v>
      </c>
      <c r="BL93" s="254">
        <f t="shared" si="332"/>
        <v>-7109.9129013465426</v>
      </c>
      <c r="BM93" s="254">
        <f t="shared" si="332"/>
        <v>-7183.9744940688834</v>
      </c>
      <c r="BN93" s="254">
        <f t="shared" si="332"/>
        <v>-7258.8075617154536</v>
      </c>
      <c r="BO93" s="254">
        <f t="shared" si="332"/>
        <v>-7334.4201404833002</v>
      </c>
      <c r="BP93" s="254">
        <f t="shared" ref="BP93:BW93" si="333">BP65-BO65</f>
        <v>-7410.8203502800025</v>
      </c>
      <c r="BQ93" s="254">
        <f t="shared" si="333"/>
        <v>-7488.0163955954195</v>
      </c>
      <c r="BR93" s="254">
        <f t="shared" si="333"/>
        <v>-7566.0165663828957</v>
      </c>
      <c r="BS93" s="254">
        <f t="shared" si="333"/>
        <v>-7644.8292389493727</v>
      </c>
      <c r="BT93" s="254">
        <f t="shared" si="333"/>
        <v>-7724.4628768551047</v>
      </c>
      <c r="BU93" s="254">
        <f t="shared" si="333"/>
        <v>-7804.9260318223387</v>
      </c>
      <c r="BV93" s="254">
        <f t="shared" si="333"/>
        <v>-7886.2273446538311</v>
      </c>
      <c r="BW93" s="254">
        <f t="shared" si="333"/>
        <v>-7968.3755461606197</v>
      </c>
    </row>
    <row r="94" spans="1:75" s="234" customFormat="1" outlineLevel="1">
      <c r="A94" s="223"/>
      <c r="B94" s="227" t="s">
        <v>288</v>
      </c>
      <c r="D94" s="238">
        <f t="shared" ref="D94:AI94" si="334">+SUM(D89:D93)</f>
        <v>0</v>
      </c>
      <c r="E94" s="238">
        <f t="shared" si="334"/>
        <v>0</v>
      </c>
      <c r="F94" s="238">
        <f t="shared" si="334"/>
        <v>0</v>
      </c>
      <c r="G94" s="238">
        <f t="shared" si="334"/>
        <v>0</v>
      </c>
      <c r="H94" s="238">
        <f t="shared" si="334"/>
        <v>0</v>
      </c>
      <c r="I94" s="238">
        <f t="shared" si="334"/>
        <v>0</v>
      </c>
      <c r="J94" s="238">
        <f t="shared" si="334"/>
        <v>0</v>
      </c>
      <c r="K94" s="238">
        <f t="shared" si="334"/>
        <v>0</v>
      </c>
      <c r="L94" s="238">
        <f t="shared" si="334"/>
        <v>549000</v>
      </c>
      <c r="M94" s="238">
        <f t="shared" si="334"/>
        <v>0</v>
      </c>
      <c r="N94" s="238">
        <f t="shared" si="334"/>
        <v>0</v>
      </c>
      <c r="O94" s="238">
        <f t="shared" si="334"/>
        <v>0</v>
      </c>
      <c r="P94" s="238">
        <f t="shared" si="334"/>
        <v>0</v>
      </c>
      <c r="Q94" s="238">
        <f t="shared" si="334"/>
        <v>0</v>
      </c>
      <c r="R94" s="238">
        <f t="shared" si="334"/>
        <v>0</v>
      </c>
      <c r="S94" s="238">
        <f t="shared" si="334"/>
        <v>0</v>
      </c>
      <c r="T94" s="238">
        <f t="shared" si="334"/>
        <v>0</v>
      </c>
      <c r="U94" s="238">
        <f t="shared" si="334"/>
        <v>0</v>
      </c>
      <c r="V94" s="238">
        <f t="shared" si="334"/>
        <v>0</v>
      </c>
      <c r="W94" s="238">
        <f t="shared" si="334"/>
        <v>0</v>
      </c>
      <c r="X94" s="238">
        <f t="shared" si="334"/>
        <v>3495302.7439825158</v>
      </c>
      <c r="Y94" s="238">
        <f t="shared" si="334"/>
        <v>-4746.1857676663203</v>
      </c>
      <c r="Z94" s="238">
        <f t="shared" si="334"/>
        <v>-4795.6252027461887</v>
      </c>
      <c r="AA94" s="238">
        <f t="shared" si="334"/>
        <v>-4845.5796319414512</v>
      </c>
      <c r="AB94" s="238">
        <f t="shared" si="334"/>
        <v>-4896.0544197741547</v>
      </c>
      <c r="AC94" s="238">
        <f t="shared" si="334"/>
        <v>-4947.0549866468064</v>
      </c>
      <c r="AD94" s="238">
        <f t="shared" si="334"/>
        <v>-4998.5868094243924</v>
      </c>
      <c r="AE94" s="238">
        <f t="shared" si="334"/>
        <v>-5050.6554220225662</v>
      </c>
      <c r="AF94" s="238">
        <f t="shared" si="334"/>
        <v>-5103.2664160019485</v>
      </c>
      <c r="AG94" s="238">
        <f t="shared" si="334"/>
        <v>-5156.4254411686561</v>
      </c>
      <c r="AH94" s="238">
        <f t="shared" si="334"/>
        <v>-5210.1382061808254</v>
      </c>
      <c r="AI94" s="238">
        <f t="shared" si="334"/>
        <v>-5264.4104791618884</v>
      </c>
      <c r="AJ94" s="238">
        <f t="shared" ref="AJ94:BO94" si="335">+SUM(AJ89:AJ93)</f>
        <v>9994680.7519116793</v>
      </c>
      <c r="AK94" s="238">
        <f t="shared" si="335"/>
        <v>-5374.6569225731655</v>
      </c>
      <c r="AL94" s="238">
        <f t="shared" si="335"/>
        <v>-5430.6429321832838</v>
      </c>
      <c r="AM94" s="238">
        <f t="shared" si="335"/>
        <v>-5487.2121293935343</v>
      </c>
      <c r="AN94" s="238">
        <f t="shared" si="335"/>
        <v>-5544.3705890747369</v>
      </c>
      <c r="AO94" s="238">
        <f t="shared" si="335"/>
        <v>-5602.1244493775885</v>
      </c>
      <c r="AP94" s="238">
        <f t="shared" si="335"/>
        <v>-5660.479912391922</v>
      </c>
      <c r="AQ94" s="238">
        <f t="shared" si="335"/>
        <v>-5719.4432448126609</v>
      </c>
      <c r="AR94" s="238">
        <f t="shared" si="335"/>
        <v>-5779.0207786128158</v>
      </c>
      <c r="AS94" s="238">
        <f t="shared" si="335"/>
        <v>-5839.2189117233502</v>
      </c>
      <c r="AT94" s="238">
        <f t="shared" si="335"/>
        <v>-5900.0441087204963</v>
      </c>
      <c r="AU94" s="238">
        <f t="shared" si="335"/>
        <v>-5961.5029015196487</v>
      </c>
      <c r="AV94" s="238">
        <f t="shared" si="335"/>
        <v>24993976.398109924</v>
      </c>
      <c r="AW94" s="238">
        <f t="shared" si="335"/>
        <v>-6086.3477430987987</v>
      </c>
      <c r="AX94" s="238">
        <f t="shared" si="335"/>
        <v>-6149.7471987560275</v>
      </c>
      <c r="AY94" s="238">
        <f t="shared" si="335"/>
        <v>-6213.8070654097828</v>
      </c>
      <c r="AZ94" s="238">
        <f t="shared" si="335"/>
        <v>-6278.5342223411426</v>
      </c>
      <c r="BA94" s="238">
        <f t="shared" si="335"/>
        <v>-6343.9356204905198</v>
      </c>
      <c r="BB94" s="238">
        <f t="shared" si="335"/>
        <v>-6410.0182832039427</v>
      </c>
      <c r="BC94" s="238">
        <f t="shared" si="335"/>
        <v>-6476.7893069873098</v>
      </c>
      <c r="BD94" s="238">
        <f t="shared" si="335"/>
        <v>-6544.2558622684446</v>
      </c>
      <c r="BE94" s="238">
        <f t="shared" si="335"/>
        <v>-6612.4251941670664</v>
      </c>
      <c r="BF94" s="238">
        <f t="shared" si="335"/>
        <v>-6681.3046232729685</v>
      </c>
      <c r="BG94" s="238">
        <f t="shared" si="335"/>
        <v>-6750.9015464320546</v>
      </c>
      <c r="BH94" s="238">
        <f t="shared" si="335"/>
        <v>-6821.223437540757</v>
      </c>
      <c r="BI94" s="238">
        <f t="shared" si="335"/>
        <v>-6892.277848348429</v>
      </c>
      <c r="BJ94" s="238">
        <f t="shared" si="335"/>
        <v>-6964.0724092687597</v>
      </c>
      <c r="BK94" s="238">
        <f t="shared" si="335"/>
        <v>-7036.6148301986395</v>
      </c>
      <c r="BL94" s="238">
        <f t="shared" si="335"/>
        <v>-7109.9129013465426</v>
      </c>
      <c r="BM94" s="238">
        <f t="shared" si="335"/>
        <v>-7183.9744940688834</v>
      </c>
      <c r="BN94" s="238">
        <f t="shared" si="335"/>
        <v>-7258.8075617154536</v>
      </c>
      <c r="BO94" s="238">
        <f t="shared" si="335"/>
        <v>-7334.4201404833002</v>
      </c>
      <c r="BP94" s="238">
        <f t="shared" ref="BP94:BW94" si="336">+SUM(BP89:BP93)</f>
        <v>-7410.8203502800025</v>
      </c>
      <c r="BQ94" s="238">
        <f t="shared" si="336"/>
        <v>-7488.0163955954195</v>
      </c>
      <c r="BR94" s="238">
        <f t="shared" si="336"/>
        <v>-7566.0165663828957</v>
      </c>
      <c r="BS94" s="238">
        <f t="shared" si="336"/>
        <v>-7644.8292389493727</v>
      </c>
      <c r="BT94" s="238">
        <f t="shared" si="336"/>
        <v>-7724.4628768551047</v>
      </c>
      <c r="BU94" s="238">
        <f t="shared" si="336"/>
        <v>-7804.9260318223387</v>
      </c>
      <c r="BV94" s="238">
        <f t="shared" si="336"/>
        <v>-7886.2273446538311</v>
      </c>
      <c r="BW94" s="238">
        <f t="shared" si="336"/>
        <v>-7968.3755461606197</v>
      </c>
    </row>
    <row r="95" spans="1:75" s="234" customFormat="1" outlineLevel="1">
      <c r="A95" s="223"/>
      <c r="B95" s="227"/>
    </row>
    <row r="96" spans="1:75" s="234" customFormat="1" outlineLevel="1">
      <c r="A96" s="223"/>
      <c r="B96" s="227" t="s">
        <v>289</v>
      </c>
      <c r="D96" s="280">
        <v>0</v>
      </c>
      <c r="E96" s="233">
        <f t="shared" ref="E96:AA96" si="337">+D98</f>
        <v>0</v>
      </c>
      <c r="F96" s="233">
        <f t="shared" si="337"/>
        <v>0</v>
      </c>
      <c r="G96" s="233">
        <f t="shared" si="337"/>
        <v>0</v>
      </c>
      <c r="H96" s="233">
        <f t="shared" si="337"/>
        <v>0</v>
      </c>
      <c r="I96" s="233">
        <f t="shared" si="337"/>
        <v>0</v>
      </c>
      <c r="J96" s="233">
        <f t="shared" si="337"/>
        <v>-44342.83642259131</v>
      </c>
      <c r="K96" s="233">
        <f t="shared" si="337"/>
        <v>-88526.346127809928</v>
      </c>
      <c r="L96" s="233">
        <f t="shared" si="337"/>
        <v>-132550.52911565584</v>
      </c>
      <c r="M96" s="233">
        <f t="shared" si="337"/>
        <v>372584.61461387097</v>
      </c>
      <c r="N96" s="233">
        <f t="shared" si="337"/>
        <v>328879.08506077045</v>
      </c>
      <c r="O96" s="233">
        <f t="shared" si="337"/>
        <v>285332.88222504262</v>
      </c>
      <c r="P96" s="233">
        <f t="shared" si="337"/>
        <v>241946.00610668751</v>
      </c>
      <c r="Q96" s="233">
        <f t="shared" si="337"/>
        <v>93223.019000224449</v>
      </c>
      <c r="R96" s="233">
        <f t="shared" si="337"/>
        <v>-53727.385562240292</v>
      </c>
      <c r="S96" s="233">
        <f t="shared" si="337"/>
        <v>-198956.71901435292</v>
      </c>
      <c r="T96" s="233">
        <f t="shared" si="337"/>
        <v>-342464.98135611345</v>
      </c>
      <c r="U96" s="233">
        <f t="shared" si="337"/>
        <v>-484252.17258752184</v>
      </c>
      <c r="V96" s="233">
        <f t="shared" si="337"/>
        <v>-622630.47092775616</v>
      </c>
      <c r="W96" s="233">
        <f t="shared" si="337"/>
        <v>-759081.31418503565</v>
      </c>
      <c r="X96" s="233">
        <f t="shared" si="337"/>
        <v>-893621.45633196307</v>
      </c>
      <c r="Y96" s="233">
        <f t="shared" si="337"/>
        <v>2463843.5132806441</v>
      </c>
      <c r="Z96" s="233">
        <f t="shared" si="337"/>
        <v>2323219.1840036032</v>
      </c>
      <c r="AA96" s="233">
        <f t="shared" si="337"/>
        <v>2184505.5558369146</v>
      </c>
      <c r="AB96" s="233">
        <f t="shared" ref="AB96" si="338">+AA98</f>
        <v>2047702.628780578</v>
      </c>
      <c r="AC96" s="233">
        <f t="shared" ref="AC96" si="339">+AB98</f>
        <v>1899694.530294487</v>
      </c>
      <c r="AD96" s="233">
        <f t="shared" ref="AD96" si="340">+AC98</f>
        <v>1768930.1823178015</v>
      </c>
      <c r="AE96" s="233">
        <f t="shared" ref="AE96" si="341">+AD98</f>
        <v>1654723.9526708254</v>
      </c>
      <c r="AF96" s="233">
        <f t="shared" ref="AF96" si="342">+AE98</f>
        <v>1557075.8413535585</v>
      </c>
      <c r="AG96" s="233">
        <f t="shared" ref="AG96" si="343">+AF98</f>
        <v>1475985.8483660009</v>
      </c>
      <c r="AH96" s="233">
        <f t="shared" ref="AH96" si="344">+AG98</f>
        <v>1411453.9737081525</v>
      </c>
      <c r="AI96" s="233">
        <f t="shared" ref="AI96" si="345">+AH98</f>
        <v>1363480.2173800135</v>
      </c>
      <c r="AJ96" s="233">
        <f t="shared" ref="AJ96" si="346">+AI98</f>
        <v>1332064.579381584</v>
      </c>
      <c r="AK96" s="233">
        <f t="shared" ref="AK96" si="347">+AJ98</f>
        <v>11317207.059712863</v>
      </c>
      <c r="AL96" s="233">
        <f t="shared" ref="AL96" si="348">+AK98</f>
        <v>11318907.658373851</v>
      </c>
      <c r="AM96" s="233">
        <f t="shared" ref="AM96" si="349">+AL98</f>
        <v>11337166.375364549</v>
      </c>
      <c r="AN96" s="233">
        <f t="shared" ref="AN96" si="350">+AM98</f>
        <v>11371983.210684957</v>
      </c>
      <c r="AO96" s="233">
        <f t="shared" ref="AO96" si="351">+AN98</f>
        <v>11459276.072691808</v>
      </c>
      <c r="AP96" s="233">
        <f t="shared" ref="AP96" si="352">+AO98</f>
        <v>11610471.680735752</v>
      </c>
      <c r="AQ96" s="233">
        <f t="shared" ref="AQ96" si="353">+AP98</f>
        <v>11823910.950210914</v>
      </c>
      <c r="AR96" s="233">
        <f t="shared" ref="AR96" si="354">+AQ98</f>
        <v>12099593.881117295</v>
      </c>
      <c r="AS96" s="233">
        <f t="shared" ref="AS96" si="355">+AR98</f>
        <v>12437520.473454896</v>
      </c>
      <c r="AT96" s="233">
        <f t="shared" ref="AT96" si="356">+AS98</f>
        <v>12837690.727223715</v>
      </c>
      <c r="AU96" s="233">
        <f t="shared" ref="AU96" si="357">+AT98</f>
        <v>13300104.642423753</v>
      </c>
      <c r="AV96" s="233">
        <f t="shared" ref="AV96" si="358">+AU98</f>
        <v>13824762.219055008</v>
      </c>
      <c r="AW96" s="233">
        <f t="shared" ref="AW96" si="359">+AV98</f>
        <v>39321799.045324668</v>
      </c>
      <c r="AX96" s="233">
        <f t="shared" ref="AX96" si="360">+AW98</f>
        <v>39832288.493885539</v>
      </c>
      <c r="AY96" s="233">
        <f t="shared" ref="AY96" si="361">+AX98</f>
        <v>40391950.434977077</v>
      </c>
      <c r="AZ96" s="233">
        <f t="shared" ref="AZ96" si="362">+AY98</f>
        <v>41000784.868599273</v>
      </c>
      <c r="BA96" s="233">
        <f t="shared" ref="BA96" si="363">+AZ98</f>
        <v>41310873.543964081</v>
      </c>
      <c r="BB96" s="233">
        <f t="shared" ref="BB96" si="364">+BA98</f>
        <v>41709263.336592101</v>
      </c>
      <c r="BC96" s="233">
        <f t="shared" ref="BC96" si="365">+BB98</f>
        <v>42190732.960253052</v>
      </c>
      <c r="BD96" s="233">
        <f t="shared" ref="BD96" si="366">+BC98</f>
        <v>42755282.414946936</v>
      </c>
      <c r="BE96" s="233">
        <f t="shared" ref="BE96" si="367">+BD98</f>
        <v>43402911.700673752</v>
      </c>
      <c r="BF96" s="233">
        <f t="shared" ref="BF96" si="368">+BE98</f>
        <v>44133620.817433506</v>
      </c>
      <c r="BG96" s="233">
        <f t="shared" ref="BG96" si="369">+BF98</f>
        <v>44947409.765226193</v>
      </c>
      <c r="BH96" s="233">
        <f t="shared" ref="BH96" si="370">+BG98</f>
        <v>45844278.544051811</v>
      </c>
      <c r="BI96" s="233">
        <f t="shared" ref="BI96" si="371">+BH98</f>
        <v>46824227.153910369</v>
      </c>
      <c r="BJ96" s="233">
        <f t="shared" ref="BJ96" si="372">+BI98</f>
        <v>47887255.594801858</v>
      </c>
      <c r="BK96" s="233">
        <f t="shared" ref="BK96" si="373">+BJ98</f>
        <v>49033363.866726279</v>
      </c>
      <c r="BL96" s="233">
        <f t="shared" ref="BL96" si="374">+BK98</f>
        <v>50262551.96968364</v>
      </c>
      <c r="BM96" s="233">
        <f t="shared" ref="BM96" si="375">+BL98</f>
        <v>51774643.024720423</v>
      </c>
      <c r="BN96" s="233">
        <f t="shared" ref="BN96" si="376">+BM98</f>
        <v>53504267.459770665</v>
      </c>
      <c r="BO96" s="233">
        <f t="shared" ref="BO96" si="377">+BN98</f>
        <v>55437613.972695768</v>
      </c>
      <c r="BP96" s="233">
        <f t="shared" ref="BP96" si="378">+BO98</f>
        <v>57574682.563495733</v>
      </c>
      <c r="BQ96" s="233">
        <f t="shared" ref="BQ96" si="379">+BP98</f>
        <v>59915473.232170559</v>
      </c>
      <c r="BR96" s="233">
        <f t="shared" ref="BR96" si="380">+BQ98</f>
        <v>62459985.978720248</v>
      </c>
      <c r="BS96" s="233">
        <f t="shared" ref="BS96" si="381">+BR98</f>
        <v>65208220.803144798</v>
      </c>
      <c r="BT96" s="233">
        <f t="shared" ref="BT96" si="382">+BS98</f>
        <v>68160177.705444217</v>
      </c>
      <c r="BU96" s="233">
        <f t="shared" ref="BU96" si="383">+BT98</f>
        <v>71315856.68561849</v>
      </c>
      <c r="BV96" s="233">
        <f t="shared" ref="BV96" si="384">+BU98</f>
        <v>74675257.743667632</v>
      </c>
      <c r="BW96" s="233">
        <f t="shared" ref="BW96" si="385">+BV98</f>
        <v>78238380.879591629</v>
      </c>
    </row>
    <row r="97" spans="1:75" s="234" customFormat="1" ht="13.8" outlineLevel="1" thickBot="1">
      <c r="A97" s="223"/>
      <c r="B97" s="227" t="s">
        <v>290</v>
      </c>
      <c r="D97" s="236">
        <f t="shared" ref="D97:AI97" si="386">+D85+D87+D94</f>
        <v>0</v>
      </c>
      <c r="E97" s="236">
        <f t="shared" si="386"/>
        <v>0</v>
      </c>
      <c r="F97" s="236">
        <f t="shared" si="386"/>
        <v>0</v>
      </c>
      <c r="G97" s="236">
        <f t="shared" si="386"/>
        <v>0</v>
      </c>
      <c r="H97" s="236">
        <f t="shared" si="386"/>
        <v>0</v>
      </c>
      <c r="I97" s="236">
        <f t="shared" si="386"/>
        <v>-44342.83642259131</v>
      </c>
      <c r="J97" s="236">
        <f t="shared" si="386"/>
        <v>-44183.50970521861</v>
      </c>
      <c r="K97" s="236">
        <f t="shared" si="386"/>
        <v>-44024.18298784591</v>
      </c>
      <c r="L97" s="236">
        <f t="shared" si="386"/>
        <v>505135.14372952678</v>
      </c>
      <c r="M97" s="236">
        <f t="shared" si="386"/>
        <v>-43705.52955310051</v>
      </c>
      <c r="N97" s="236">
        <f t="shared" si="386"/>
        <v>-43546.20283572781</v>
      </c>
      <c r="O97" s="236">
        <f t="shared" si="386"/>
        <v>-43386.876118355111</v>
      </c>
      <c r="P97" s="236">
        <f t="shared" si="386"/>
        <v>-148722.98710646306</v>
      </c>
      <c r="Q97" s="236">
        <f t="shared" si="386"/>
        <v>-146950.40456246474</v>
      </c>
      <c r="R97" s="236">
        <f t="shared" si="386"/>
        <v>-145229.33345211262</v>
      </c>
      <c r="S97" s="236">
        <f t="shared" si="386"/>
        <v>-143508.26234176054</v>
      </c>
      <c r="T97" s="236">
        <f t="shared" si="386"/>
        <v>-141787.19123140842</v>
      </c>
      <c r="U97" s="236">
        <f t="shared" si="386"/>
        <v>-138378.29834023429</v>
      </c>
      <c r="V97" s="236">
        <f t="shared" si="386"/>
        <v>-136450.84325727948</v>
      </c>
      <c r="W97" s="236">
        <f t="shared" si="386"/>
        <v>-134540.14214692739</v>
      </c>
      <c r="X97" s="236">
        <f t="shared" si="386"/>
        <v>3357464.9696126073</v>
      </c>
      <c r="Y97" s="236">
        <f t="shared" si="386"/>
        <v>-140624.32927704076</v>
      </c>
      <c r="Z97" s="236">
        <f t="shared" si="386"/>
        <v>-138713.62816668869</v>
      </c>
      <c r="AA97" s="236">
        <f t="shared" si="386"/>
        <v>-136802.9270563366</v>
      </c>
      <c r="AB97" s="236">
        <f t="shared" si="386"/>
        <v>-148008.09848609095</v>
      </c>
      <c r="AC97" s="236">
        <f t="shared" si="386"/>
        <v>-130764.34797668552</v>
      </c>
      <c r="AD97" s="236">
        <f t="shared" si="386"/>
        <v>-114206.22964697619</v>
      </c>
      <c r="AE97" s="236">
        <f t="shared" si="386"/>
        <v>-97648.111317266928</v>
      </c>
      <c r="AF97" s="236">
        <f t="shared" si="386"/>
        <v>-81089.992987557533</v>
      </c>
      <c r="AG97" s="236">
        <f t="shared" si="386"/>
        <v>-64531.874657848333</v>
      </c>
      <c r="AH97" s="236">
        <f t="shared" si="386"/>
        <v>-47973.756328139083</v>
      </c>
      <c r="AI97" s="236">
        <f t="shared" si="386"/>
        <v>-31415.637998429644</v>
      </c>
      <c r="AJ97" s="236">
        <f t="shared" ref="AJ97:BO97" si="387">+AJ85+AJ87+AJ94</f>
        <v>9985142.4803312793</v>
      </c>
      <c r="AK97" s="236">
        <f t="shared" si="387"/>
        <v>1700.5986609888487</v>
      </c>
      <c r="AL97" s="236">
        <f t="shared" si="387"/>
        <v>18258.716990698093</v>
      </c>
      <c r="AM97" s="236">
        <f t="shared" si="387"/>
        <v>34816.835320407365</v>
      </c>
      <c r="AN97" s="236">
        <f t="shared" si="387"/>
        <v>87292.862006850439</v>
      </c>
      <c r="AO97" s="236">
        <f t="shared" si="387"/>
        <v>151195.60804394403</v>
      </c>
      <c r="AP97" s="236">
        <f t="shared" si="387"/>
        <v>213439.26947516296</v>
      </c>
      <c r="AQ97" s="236">
        <f t="shared" si="387"/>
        <v>275682.93090638163</v>
      </c>
      <c r="AR97" s="236">
        <f t="shared" si="387"/>
        <v>337926.59233760019</v>
      </c>
      <c r="AS97" s="236">
        <f t="shared" si="387"/>
        <v>400170.2537688188</v>
      </c>
      <c r="AT97" s="236">
        <f t="shared" si="387"/>
        <v>462413.91520003765</v>
      </c>
      <c r="AU97" s="236">
        <f t="shared" si="387"/>
        <v>524657.57663125615</v>
      </c>
      <c r="AV97" s="236">
        <f t="shared" si="387"/>
        <v>25497036.826269664</v>
      </c>
      <c r="AW97" s="236">
        <f t="shared" si="387"/>
        <v>510489.44856087293</v>
      </c>
      <c r="AX97" s="236">
        <f t="shared" si="387"/>
        <v>559661.94109153608</v>
      </c>
      <c r="AY97" s="236">
        <f t="shared" si="387"/>
        <v>608834.43362219841</v>
      </c>
      <c r="AZ97" s="236">
        <f t="shared" si="387"/>
        <v>310088.67536480457</v>
      </c>
      <c r="BA97" s="236">
        <f t="shared" si="387"/>
        <v>398389.79262801638</v>
      </c>
      <c r="BB97" s="236">
        <f t="shared" si="387"/>
        <v>481469.62366095046</v>
      </c>
      <c r="BC97" s="236">
        <f t="shared" si="387"/>
        <v>564549.45469388482</v>
      </c>
      <c r="BD97" s="236">
        <f t="shared" si="387"/>
        <v>647629.28572681872</v>
      </c>
      <c r="BE97" s="236">
        <f t="shared" si="387"/>
        <v>730709.11675975355</v>
      </c>
      <c r="BF97" s="236">
        <f t="shared" si="387"/>
        <v>813788.94779268722</v>
      </c>
      <c r="BG97" s="236">
        <f t="shared" si="387"/>
        <v>896868.77882562054</v>
      </c>
      <c r="BH97" s="236">
        <f t="shared" si="387"/>
        <v>979948.60985855572</v>
      </c>
      <c r="BI97" s="236">
        <f t="shared" si="387"/>
        <v>1063028.4408914906</v>
      </c>
      <c r="BJ97" s="236">
        <f t="shared" si="387"/>
        <v>1146108.2719244235</v>
      </c>
      <c r="BK97" s="236">
        <f t="shared" si="387"/>
        <v>1229188.1029573586</v>
      </c>
      <c r="BL97" s="236">
        <f t="shared" si="387"/>
        <v>1512091.0550367823</v>
      </c>
      <c r="BM97" s="236">
        <f t="shared" si="387"/>
        <v>1729624.4350502403</v>
      </c>
      <c r="BN97" s="236">
        <f t="shared" si="387"/>
        <v>1933346.5129251035</v>
      </c>
      <c r="BO97" s="236">
        <f t="shared" si="387"/>
        <v>2137068.5907999636</v>
      </c>
      <c r="BP97" s="236">
        <f t="shared" ref="BP97:BW97" si="388">+BP85+BP87+BP94</f>
        <v>2340790.6686748257</v>
      </c>
      <c r="BQ97" s="236">
        <f t="shared" si="388"/>
        <v>2544512.746549686</v>
      </c>
      <c r="BR97" s="236">
        <f t="shared" si="388"/>
        <v>2748234.8244245495</v>
      </c>
      <c r="BS97" s="236">
        <f t="shared" si="388"/>
        <v>2951956.9022994125</v>
      </c>
      <c r="BT97" s="236">
        <f t="shared" si="388"/>
        <v>3155678.9801742728</v>
      </c>
      <c r="BU97" s="236">
        <f t="shared" si="388"/>
        <v>3359401.0580491372</v>
      </c>
      <c r="BV97" s="236">
        <f t="shared" si="388"/>
        <v>3563123.135923998</v>
      </c>
      <c r="BW97" s="236">
        <f t="shared" si="388"/>
        <v>3766845.2137988606</v>
      </c>
    </row>
    <row r="98" spans="1:75" s="234" customFormat="1" outlineLevel="1">
      <c r="A98" s="223"/>
      <c r="B98" s="230" t="s">
        <v>291</v>
      </c>
      <c r="D98" s="238">
        <f t="shared" ref="D98:AA98" si="389">+SUM(D96:D97)</f>
        <v>0</v>
      </c>
      <c r="E98" s="238">
        <f t="shared" si="389"/>
        <v>0</v>
      </c>
      <c r="F98" s="238">
        <f t="shared" si="389"/>
        <v>0</v>
      </c>
      <c r="G98" s="238">
        <f t="shared" si="389"/>
        <v>0</v>
      </c>
      <c r="H98" s="238">
        <f t="shared" si="389"/>
        <v>0</v>
      </c>
      <c r="I98" s="238">
        <f t="shared" si="389"/>
        <v>-44342.83642259131</v>
      </c>
      <c r="J98" s="238">
        <f t="shared" si="389"/>
        <v>-88526.346127809928</v>
      </c>
      <c r="K98" s="238">
        <f t="shared" si="389"/>
        <v>-132550.52911565584</v>
      </c>
      <c r="L98" s="238">
        <f t="shared" si="389"/>
        <v>372584.61461387097</v>
      </c>
      <c r="M98" s="238">
        <f t="shared" si="389"/>
        <v>328879.08506077045</v>
      </c>
      <c r="N98" s="238">
        <f t="shared" si="389"/>
        <v>285332.88222504262</v>
      </c>
      <c r="O98" s="238">
        <f t="shared" si="389"/>
        <v>241946.00610668751</v>
      </c>
      <c r="P98" s="238">
        <f t="shared" si="389"/>
        <v>93223.019000224449</v>
      </c>
      <c r="Q98" s="238">
        <f t="shared" si="389"/>
        <v>-53727.385562240292</v>
      </c>
      <c r="R98" s="238">
        <f t="shared" si="389"/>
        <v>-198956.71901435292</v>
      </c>
      <c r="S98" s="238">
        <f t="shared" si="389"/>
        <v>-342464.98135611345</v>
      </c>
      <c r="T98" s="238">
        <f t="shared" si="389"/>
        <v>-484252.17258752184</v>
      </c>
      <c r="U98" s="238">
        <f t="shared" si="389"/>
        <v>-622630.47092775616</v>
      </c>
      <c r="V98" s="238">
        <f t="shared" si="389"/>
        <v>-759081.31418503565</v>
      </c>
      <c r="W98" s="238">
        <f t="shared" si="389"/>
        <v>-893621.45633196307</v>
      </c>
      <c r="X98" s="238">
        <f t="shared" si="389"/>
        <v>2463843.5132806441</v>
      </c>
      <c r="Y98" s="238">
        <f t="shared" si="389"/>
        <v>2323219.1840036032</v>
      </c>
      <c r="Z98" s="238">
        <f t="shared" si="389"/>
        <v>2184505.5558369146</v>
      </c>
      <c r="AA98" s="238">
        <f t="shared" si="389"/>
        <v>2047702.628780578</v>
      </c>
      <c r="AB98" s="238">
        <f t="shared" ref="AB98:BW98" si="390">+SUM(AB96:AB97)</f>
        <v>1899694.530294487</v>
      </c>
      <c r="AC98" s="238">
        <f t="shared" si="390"/>
        <v>1768930.1823178015</v>
      </c>
      <c r="AD98" s="238">
        <f t="shared" si="390"/>
        <v>1654723.9526708254</v>
      </c>
      <c r="AE98" s="238">
        <f t="shared" si="390"/>
        <v>1557075.8413535585</v>
      </c>
      <c r="AF98" s="238">
        <f t="shared" si="390"/>
        <v>1475985.8483660009</v>
      </c>
      <c r="AG98" s="238">
        <f t="shared" si="390"/>
        <v>1411453.9737081525</v>
      </c>
      <c r="AH98" s="238">
        <f t="shared" si="390"/>
        <v>1363480.2173800135</v>
      </c>
      <c r="AI98" s="238">
        <f t="shared" si="390"/>
        <v>1332064.579381584</v>
      </c>
      <c r="AJ98" s="238">
        <f t="shared" si="390"/>
        <v>11317207.059712863</v>
      </c>
      <c r="AK98" s="238">
        <f t="shared" si="390"/>
        <v>11318907.658373851</v>
      </c>
      <c r="AL98" s="238">
        <f t="shared" si="390"/>
        <v>11337166.375364549</v>
      </c>
      <c r="AM98" s="238">
        <f t="shared" si="390"/>
        <v>11371983.210684957</v>
      </c>
      <c r="AN98" s="238">
        <f t="shared" si="390"/>
        <v>11459276.072691808</v>
      </c>
      <c r="AO98" s="238">
        <f t="shared" si="390"/>
        <v>11610471.680735752</v>
      </c>
      <c r="AP98" s="238">
        <f t="shared" si="390"/>
        <v>11823910.950210914</v>
      </c>
      <c r="AQ98" s="238">
        <f t="shared" si="390"/>
        <v>12099593.881117295</v>
      </c>
      <c r="AR98" s="238">
        <f t="shared" si="390"/>
        <v>12437520.473454896</v>
      </c>
      <c r="AS98" s="238">
        <f t="shared" si="390"/>
        <v>12837690.727223715</v>
      </c>
      <c r="AT98" s="238">
        <f t="shared" si="390"/>
        <v>13300104.642423753</v>
      </c>
      <c r="AU98" s="238">
        <f t="shared" si="390"/>
        <v>13824762.219055008</v>
      </c>
      <c r="AV98" s="238">
        <f t="shared" si="390"/>
        <v>39321799.045324668</v>
      </c>
      <c r="AW98" s="238">
        <f t="shared" si="390"/>
        <v>39832288.493885539</v>
      </c>
      <c r="AX98" s="238">
        <f t="shared" si="390"/>
        <v>40391950.434977077</v>
      </c>
      <c r="AY98" s="238">
        <f t="shared" si="390"/>
        <v>41000784.868599273</v>
      </c>
      <c r="AZ98" s="238">
        <f t="shared" si="390"/>
        <v>41310873.543964081</v>
      </c>
      <c r="BA98" s="238">
        <f t="shared" si="390"/>
        <v>41709263.336592101</v>
      </c>
      <c r="BB98" s="238">
        <f t="shared" si="390"/>
        <v>42190732.960253052</v>
      </c>
      <c r="BC98" s="238">
        <f t="shared" si="390"/>
        <v>42755282.414946936</v>
      </c>
      <c r="BD98" s="238">
        <f t="shared" si="390"/>
        <v>43402911.700673752</v>
      </c>
      <c r="BE98" s="238">
        <f t="shared" si="390"/>
        <v>44133620.817433506</v>
      </c>
      <c r="BF98" s="238">
        <f t="shared" si="390"/>
        <v>44947409.765226193</v>
      </c>
      <c r="BG98" s="238">
        <f t="shared" si="390"/>
        <v>45844278.544051811</v>
      </c>
      <c r="BH98" s="238">
        <f t="shared" si="390"/>
        <v>46824227.153910369</v>
      </c>
      <c r="BI98" s="238">
        <f t="shared" si="390"/>
        <v>47887255.594801858</v>
      </c>
      <c r="BJ98" s="238">
        <f t="shared" si="390"/>
        <v>49033363.866726279</v>
      </c>
      <c r="BK98" s="238">
        <f t="shared" si="390"/>
        <v>50262551.96968364</v>
      </c>
      <c r="BL98" s="238">
        <f t="shared" si="390"/>
        <v>51774643.024720423</v>
      </c>
      <c r="BM98" s="238">
        <f t="shared" si="390"/>
        <v>53504267.459770665</v>
      </c>
      <c r="BN98" s="238">
        <f t="shared" si="390"/>
        <v>55437613.972695768</v>
      </c>
      <c r="BO98" s="238">
        <f t="shared" si="390"/>
        <v>57574682.563495733</v>
      </c>
      <c r="BP98" s="238">
        <f t="shared" si="390"/>
        <v>59915473.232170559</v>
      </c>
      <c r="BQ98" s="238">
        <f t="shared" si="390"/>
        <v>62459985.978720248</v>
      </c>
      <c r="BR98" s="238">
        <f t="shared" si="390"/>
        <v>65208220.803144798</v>
      </c>
      <c r="BS98" s="238">
        <f t="shared" si="390"/>
        <v>68160177.705444217</v>
      </c>
      <c r="BT98" s="238">
        <f t="shared" si="390"/>
        <v>71315856.68561849</v>
      </c>
      <c r="BU98" s="238">
        <f t="shared" si="390"/>
        <v>74675257.743667632</v>
      </c>
      <c r="BV98" s="238">
        <f t="shared" si="390"/>
        <v>78238380.879591629</v>
      </c>
      <c r="BW98" s="238">
        <f t="shared" si="390"/>
        <v>82005226.093390495</v>
      </c>
    </row>
    <row r="99" spans="1:75" s="234" customFormat="1">
      <c r="A99" s="223"/>
      <c r="B99" s="231"/>
    </row>
    <row r="100" spans="1:75" s="234" customFormat="1" ht="13.8" thickBot="1">
      <c r="A100" s="223"/>
      <c r="B100" s="229" t="s">
        <v>270</v>
      </c>
      <c r="D100" s="255"/>
      <c r="E100" s="255"/>
      <c r="F100" s="255"/>
      <c r="G100" s="255"/>
      <c r="H100" s="255"/>
      <c r="I100" s="255"/>
      <c r="J100" s="255"/>
      <c r="K100" s="255"/>
      <c r="L100" s="255"/>
      <c r="M100" s="255"/>
      <c r="N100" s="255"/>
      <c r="O100" s="255"/>
      <c r="P100" s="255"/>
      <c r="Q100" s="255"/>
      <c r="R100" s="255"/>
      <c r="S100" s="255"/>
      <c r="T100" s="255"/>
      <c r="U100" s="255"/>
      <c r="V100" s="255"/>
      <c r="W100" s="255"/>
      <c r="X100" s="255"/>
      <c r="Y100" s="255"/>
      <c r="Z100" s="255"/>
      <c r="AA100" s="255"/>
      <c r="AB100" s="255"/>
      <c r="AC100" s="255"/>
      <c r="AD100" s="255"/>
      <c r="AE100" s="255"/>
      <c r="AF100" s="255"/>
      <c r="AG100" s="255"/>
      <c r="AH100" s="255"/>
      <c r="AI100" s="255"/>
      <c r="AJ100" s="255"/>
      <c r="AK100" s="255"/>
      <c r="AL100" s="255"/>
      <c r="AM100" s="255"/>
      <c r="AN100" s="255"/>
      <c r="AO100" s="255"/>
      <c r="AP100" s="255"/>
      <c r="AQ100" s="255"/>
      <c r="AR100" s="255"/>
      <c r="AS100" s="255"/>
      <c r="AT100" s="255"/>
      <c r="AU100" s="255"/>
      <c r="AV100" s="255"/>
      <c r="AW100" s="255"/>
      <c r="AX100" s="255"/>
      <c r="AY100" s="255"/>
      <c r="AZ100" s="255"/>
      <c r="BA100" s="255"/>
      <c r="BB100" s="255"/>
      <c r="BC100" s="255"/>
      <c r="BD100" s="255"/>
      <c r="BE100" s="255"/>
      <c r="BF100" s="255"/>
      <c r="BG100" s="255"/>
      <c r="BH100" s="255"/>
      <c r="BI100" s="255"/>
      <c r="BJ100" s="255"/>
      <c r="BK100" s="255"/>
      <c r="BL100" s="255"/>
      <c r="BM100" s="255"/>
      <c r="BN100" s="255"/>
      <c r="BO100" s="255"/>
      <c r="BP100" s="255"/>
      <c r="BQ100" s="255"/>
      <c r="BR100" s="255"/>
      <c r="BS100" s="255"/>
      <c r="BT100" s="255"/>
      <c r="BU100" s="255"/>
      <c r="BV100" s="255"/>
      <c r="BW100" s="255"/>
    </row>
    <row r="101" spans="1:75" s="234" customFormat="1" ht="13.8" outlineLevel="1" thickTop="1">
      <c r="A101" s="223"/>
      <c r="B101" s="223" t="s">
        <v>292</v>
      </c>
      <c r="D101" s="256">
        <f t="shared" ref="D101:AI101" si="391">D48</f>
        <v>0</v>
      </c>
      <c r="E101" s="256">
        <f t="shared" si="391"/>
        <v>0</v>
      </c>
      <c r="F101" s="256">
        <f t="shared" si="391"/>
        <v>0</v>
      </c>
      <c r="G101" s="256">
        <f t="shared" si="391"/>
        <v>0</v>
      </c>
      <c r="H101" s="256">
        <f t="shared" si="391"/>
        <v>0</v>
      </c>
      <c r="I101" s="256">
        <f t="shared" si="391"/>
        <v>-44340.6732826273</v>
      </c>
      <c r="J101" s="256">
        <f t="shared" si="391"/>
        <v>-44181.3465652546</v>
      </c>
      <c r="K101" s="256">
        <f t="shared" si="391"/>
        <v>-44022.0198478819</v>
      </c>
      <c r="L101" s="256">
        <f t="shared" si="391"/>
        <v>-43862.6931305092</v>
      </c>
      <c r="M101" s="256">
        <f t="shared" si="391"/>
        <v>-43703.3664131365</v>
      </c>
      <c r="N101" s="256">
        <f t="shared" si="391"/>
        <v>-43544.0396957638</v>
      </c>
      <c r="O101" s="256">
        <f t="shared" si="391"/>
        <v>-43384.7129783911</v>
      </c>
      <c r="P101" s="256">
        <f t="shared" si="391"/>
        <v>-148637.64673335772</v>
      </c>
      <c r="Q101" s="256">
        <f t="shared" si="391"/>
        <v>-146916.57562300575</v>
      </c>
      <c r="R101" s="256">
        <f t="shared" si="391"/>
        <v>-145195.50451265363</v>
      </c>
      <c r="S101" s="256">
        <f t="shared" si="391"/>
        <v>-143474.43340230154</v>
      </c>
      <c r="T101" s="256">
        <f t="shared" si="391"/>
        <v>-141753.36229194942</v>
      </c>
      <c r="U101" s="256">
        <f t="shared" si="391"/>
        <v>-138325.62118159723</v>
      </c>
      <c r="V101" s="256">
        <f t="shared" si="391"/>
        <v>-136414.92007124514</v>
      </c>
      <c r="W101" s="256">
        <f t="shared" si="391"/>
        <v>-134504.21896089305</v>
      </c>
      <c r="X101" s="256">
        <f t="shared" si="391"/>
        <v>-132593.51785054099</v>
      </c>
      <c r="Y101" s="256">
        <f t="shared" si="391"/>
        <v>-130682.81674018889</v>
      </c>
      <c r="Z101" s="256">
        <f t="shared" si="391"/>
        <v>-128772.1156298368</v>
      </c>
      <c r="AA101" s="256">
        <f t="shared" si="391"/>
        <v>-126861.41451948474</v>
      </c>
      <c r="AB101" s="256">
        <f t="shared" si="391"/>
        <v>-137095.89533607097</v>
      </c>
      <c r="AC101" s="256">
        <f t="shared" si="391"/>
        <v>-120537.77700636175</v>
      </c>
      <c r="AD101" s="256">
        <f t="shared" si="391"/>
        <v>-103979.65867665241</v>
      </c>
      <c r="AE101" s="256">
        <f t="shared" si="391"/>
        <v>-87421.540346943133</v>
      </c>
      <c r="AF101" s="256">
        <f t="shared" si="391"/>
        <v>-70863.422017233766</v>
      </c>
      <c r="AG101" s="256">
        <f t="shared" si="391"/>
        <v>-54305.303687524545</v>
      </c>
      <c r="AH101" s="256">
        <f t="shared" si="391"/>
        <v>-37747.185357815295</v>
      </c>
      <c r="AI101" s="256">
        <f t="shared" si="391"/>
        <v>-21189.067028105841</v>
      </c>
      <c r="AJ101" s="256">
        <f t="shared" ref="AJ101:BO101" si="392">AJ48</f>
        <v>-4630.9486983965617</v>
      </c>
      <c r="AK101" s="256">
        <f t="shared" si="392"/>
        <v>11927.169631312659</v>
      </c>
      <c r="AL101" s="256">
        <f t="shared" si="392"/>
        <v>28485.287961021881</v>
      </c>
      <c r="AM101" s="256">
        <f t="shared" si="392"/>
        <v>45043.40629073116</v>
      </c>
      <c r="AN101" s="256">
        <f t="shared" si="392"/>
        <v>100071.09918008244</v>
      </c>
      <c r="AO101" s="256">
        <f t="shared" si="392"/>
        <v>162314.760611301</v>
      </c>
      <c r="AP101" s="256">
        <f t="shared" si="392"/>
        <v>224558.4220425199</v>
      </c>
      <c r="AQ101" s="256">
        <f t="shared" si="392"/>
        <v>286802.08347373852</v>
      </c>
      <c r="AR101" s="256">
        <f t="shared" si="392"/>
        <v>349045.74490495713</v>
      </c>
      <c r="AS101" s="256">
        <f t="shared" si="392"/>
        <v>411289.40633617574</v>
      </c>
      <c r="AT101" s="256">
        <f t="shared" si="392"/>
        <v>473533.06776739459</v>
      </c>
      <c r="AU101" s="256">
        <f t="shared" si="392"/>
        <v>535776.72919861309</v>
      </c>
      <c r="AV101" s="256">
        <f t="shared" si="392"/>
        <v>598020.39062983159</v>
      </c>
      <c r="AW101" s="256">
        <f t="shared" si="392"/>
        <v>660264.05206105043</v>
      </c>
      <c r="AX101" s="256">
        <f t="shared" si="392"/>
        <v>722507.71349226963</v>
      </c>
      <c r="AY101" s="256">
        <f t="shared" si="392"/>
        <v>784751.37492348789</v>
      </c>
      <c r="AZ101" s="256">
        <f t="shared" si="392"/>
        <v>416263.07806110429</v>
      </c>
      <c r="BA101" s="256">
        <f t="shared" si="392"/>
        <v>521427.42114076717</v>
      </c>
      <c r="BB101" s="256">
        <f t="shared" si="392"/>
        <v>626591.76422043052</v>
      </c>
      <c r="BC101" s="256">
        <f t="shared" si="392"/>
        <v>731756.10730009433</v>
      </c>
      <c r="BD101" s="256">
        <f t="shared" si="392"/>
        <v>836920.45037975768</v>
      </c>
      <c r="BE101" s="256">
        <f t="shared" si="392"/>
        <v>942084.79345942196</v>
      </c>
      <c r="BF101" s="256">
        <f t="shared" si="392"/>
        <v>1047249.1365390848</v>
      </c>
      <c r="BG101" s="256">
        <f t="shared" si="392"/>
        <v>1152413.4796187473</v>
      </c>
      <c r="BH101" s="256">
        <f t="shared" si="392"/>
        <v>1257577.822698412</v>
      </c>
      <c r="BI101" s="256">
        <f t="shared" si="392"/>
        <v>1362742.1657780763</v>
      </c>
      <c r="BJ101" s="256">
        <f t="shared" si="392"/>
        <v>1467906.5088577382</v>
      </c>
      <c r="BK101" s="256">
        <f t="shared" si="392"/>
        <v>1573070.851937403</v>
      </c>
      <c r="BL101" s="256">
        <f t="shared" si="392"/>
        <v>1955353.742771402</v>
      </c>
      <c r="BM101" s="256">
        <f t="shared" si="392"/>
        <v>2213229.7907142667</v>
      </c>
      <c r="BN101" s="256">
        <f t="shared" si="392"/>
        <v>2471105.8386571314</v>
      </c>
      <c r="BO101" s="256">
        <f t="shared" si="392"/>
        <v>2728981.8865999924</v>
      </c>
      <c r="BP101" s="256">
        <f t="shared" ref="BP101:BW101" si="393">BP48</f>
        <v>2986857.9345428562</v>
      </c>
      <c r="BQ101" s="256">
        <f t="shared" si="393"/>
        <v>3244733.9824857172</v>
      </c>
      <c r="BR101" s="256">
        <f t="shared" si="393"/>
        <v>3502610.0304285819</v>
      </c>
      <c r="BS101" s="256">
        <f t="shared" si="393"/>
        <v>3760486.0783714466</v>
      </c>
      <c r="BT101" s="256">
        <f t="shared" si="393"/>
        <v>4018362.1263143076</v>
      </c>
      <c r="BU101" s="256">
        <f t="shared" si="393"/>
        <v>4276238.1742571741</v>
      </c>
      <c r="BV101" s="256">
        <f t="shared" si="393"/>
        <v>4534114.222200036</v>
      </c>
      <c r="BW101" s="256">
        <f t="shared" si="393"/>
        <v>4791990.2701428998</v>
      </c>
    </row>
    <row r="102" spans="1:75" s="234" customFormat="1" outlineLevel="1">
      <c r="A102" s="223"/>
      <c r="B102" s="223"/>
    </row>
    <row r="103" spans="1:75" s="234" customFormat="1" outlineLevel="1">
      <c r="A103" s="223"/>
      <c r="B103" s="223" t="s">
        <v>293</v>
      </c>
      <c r="D103" s="257">
        <f>ABS(Assumptions!H125)</f>
        <v>200000</v>
      </c>
      <c r="E103" s="258">
        <f t="shared" ref="E103:AA103" si="394">+D106</f>
        <v>200000</v>
      </c>
      <c r="F103" s="258">
        <f t="shared" si="394"/>
        <v>200000</v>
      </c>
      <c r="G103" s="258">
        <f t="shared" si="394"/>
        <v>200000</v>
      </c>
      <c r="H103" s="258">
        <f t="shared" si="394"/>
        <v>200000</v>
      </c>
      <c r="I103" s="258">
        <f t="shared" si="394"/>
        <v>200000</v>
      </c>
      <c r="J103" s="258">
        <f t="shared" si="394"/>
        <v>244340.67328262731</v>
      </c>
      <c r="K103" s="258">
        <f t="shared" si="394"/>
        <v>288522.01984788192</v>
      </c>
      <c r="L103" s="258">
        <f t="shared" si="394"/>
        <v>332544.03969576384</v>
      </c>
      <c r="M103" s="258">
        <f t="shared" si="394"/>
        <v>376406.73282627307</v>
      </c>
      <c r="N103" s="258">
        <f t="shared" si="394"/>
        <v>420110.09923940955</v>
      </c>
      <c r="O103" s="258">
        <f t="shared" si="394"/>
        <v>463654.13893517334</v>
      </c>
      <c r="P103" s="258">
        <f t="shared" si="394"/>
        <v>507038.85191356443</v>
      </c>
      <c r="Q103" s="258">
        <f t="shared" si="394"/>
        <v>655676.49864692218</v>
      </c>
      <c r="R103" s="258">
        <f t="shared" si="394"/>
        <v>802593.07426992792</v>
      </c>
      <c r="S103" s="258">
        <f t="shared" si="394"/>
        <v>947788.57878258149</v>
      </c>
      <c r="T103" s="258">
        <f t="shared" si="394"/>
        <v>1091263.012184883</v>
      </c>
      <c r="U103" s="258">
        <f t="shared" si="394"/>
        <v>1233016.3744768323</v>
      </c>
      <c r="V103" s="258">
        <f t="shared" si="394"/>
        <v>1371341.9956584296</v>
      </c>
      <c r="W103" s="258">
        <f t="shared" si="394"/>
        <v>1507756.9157296747</v>
      </c>
      <c r="X103" s="258">
        <f t="shared" si="394"/>
        <v>1642261.1346905679</v>
      </c>
      <c r="Y103" s="258">
        <f t="shared" si="394"/>
        <v>1774854.6525411089</v>
      </c>
      <c r="Z103" s="258">
        <f t="shared" si="394"/>
        <v>1905537.4692812979</v>
      </c>
      <c r="AA103" s="258">
        <f t="shared" si="394"/>
        <v>2034309.5849111346</v>
      </c>
      <c r="AB103" s="258">
        <f t="shared" ref="AB103" si="395">+AA106</f>
        <v>2161170.9994306192</v>
      </c>
      <c r="AC103" s="258">
        <f t="shared" ref="AC103" si="396">+AB106</f>
        <v>2298266.8947666902</v>
      </c>
      <c r="AD103" s="258">
        <f t="shared" ref="AD103" si="397">+AC106</f>
        <v>2418804.6717730518</v>
      </c>
      <c r="AE103" s="258">
        <f t="shared" ref="AE103" si="398">+AD106</f>
        <v>2522784.3304497041</v>
      </c>
      <c r="AF103" s="258">
        <f t="shared" ref="AF103" si="399">+AE106</f>
        <v>2610205.8707966474</v>
      </c>
      <c r="AG103" s="258">
        <f t="shared" ref="AG103" si="400">+AF106</f>
        <v>2681069.2928138813</v>
      </c>
      <c r="AH103" s="258">
        <f t="shared" ref="AH103" si="401">+AG106</f>
        <v>2735374.5965014058</v>
      </c>
      <c r="AI103" s="258">
        <f t="shared" ref="AI103" si="402">+AH106</f>
        <v>2773121.7818592209</v>
      </c>
      <c r="AJ103" s="258">
        <f t="shared" ref="AJ103" si="403">+AI106</f>
        <v>2794310.8488873267</v>
      </c>
      <c r="AK103" s="258">
        <f t="shared" ref="AK103" si="404">+AJ106</f>
        <v>2798941.797585723</v>
      </c>
      <c r="AL103" s="258">
        <f t="shared" ref="AL103" si="405">+AK106</f>
        <v>2787014.6279544104</v>
      </c>
      <c r="AM103" s="258">
        <f t="shared" ref="AM103" si="406">+AL106</f>
        <v>2758529.3399933884</v>
      </c>
      <c r="AN103" s="258">
        <f t="shared" ref="AN103" si="407">+AM106</f>
        <v>2713485.933702657</v>
      </c>
      <c r="AO103" s="258">
        <f t="shared" ref="AO103" si="408">+AN106</f>
        <v>2613414.8345225747</v>
      </c>
      <c r="AP103" s="258">
        <f t="shared" ref="AP103" si="409">+AO106</f>
        <v>2451100.0739112739</v>
      </c>
      <c r="AQ103" s="258">
        <f t="shared" ref="AQ103" si="410">+AP106</f>
        <v>2226541.6518687541</v>
      </c>
      <c r="AR103" s="258">
        <f t="shared" ref="AR103" si="411">+AQ106</f>
        <v>1939739.5683950156</v>
      </c>
      <c r="AS103" s="258">
        <f t="shared" ref="AS103" si="412">+AR106</f>
        <v>1590693.8234900585</v>
      </c>
      <c r="AT103" s="258">
        <f t="shared" ref="AT103" si="413">+AS106</f>
        <v>1179404.4171538828</v>
      </c>
      <c r="AU103" s="258">
        <f t="shared" ref="AU103" si="414">+AT106</f>
        <v>705871.3493864882</v>
      </c>
      <c r="AV103" s="258">
        <f t="shared" ref="AV103" si="415">+AU106</f>
        <v>170094.62018787512</v>
      </c>
      <c r="AW103" s="258">
        <f t="shared" ref="AW103" si="416">+AV106</f>
        <v>0</v>
      </c>
      <c r="AX103" s="258">
        <f t="shared" ref="AX103" si="417">+AW106</f>
        <v>0</v>
      </c>
      <c r="AY103" s="258">
        <f t="shared" ref="AY103" si="418">+AX106</f>
        <v>0</v>
      </c>
      <c r="AZ103" s="258">
        <f t="shared" ref="AZ103" si="419">+AY106</f>
        <v>0</v>
      </c>
      <c r="BA103" s="258">
        <f t="shared" ref="BA103" si="420">+AZ106</f>
        <v>0</v>
      </c>
      <c r="BB103" s="258">
        <f t="shared" ref="BB103" si="421">+BA106</f>
        <v>0</v>
      </c>
      <c r="BC103" s="258">
        <f t="shared" ref="BC103" si="422">+BB106</f>
        <v>0</v>
      </c>
      <c r="BD103" s="258">
        <f t="shared" ref="BD103" si="423">+BC106</f>
        <v>0</v>
      </c>
      <c r="BE103" s="258">
        <f t="shared" ref="BE103" si="424">+BD106</f>
        <v>0</v>
      </c>
      <c r="BF103" s="258">
        <f t="shared" ref="BF103" si="425">+BE106</f>
        <v>0</v>
      </c>
      <c r="BG103" s="258">
        <f t="shared" ref="BG103" si="426">+BF106</f>
        <v>0</v>
      </c>
      <c r="BH103" s="258">
        <f t="shared" ref="BH103" si="427">+BG106</f>
        <v>0</v>
      </c>
      <c r="BI103" s="258">
        <f t="shared" ref="BI103" si="428">+BH106</f>
        <v>0</v>
      </c>
      <c r="BJ103" s="258">
        <f t="shared" ref="BJ103" si="429">+BI106</f>
        <v>0</v>
      </c>
      <c r="BK103" s="258">
        <f t="shared" ref="BK103" si="430">+BJ106</f>
        <v>0</v>
      </c>
      <c r="BL103" s="258">
        <f t="shared" ref="BL103" si="431">+BK106</f>
        <v>0</v>
      </c>
      <c r="BM103" s="258">
        <f t="shared" ref="BM103" si="432">+BL106</f>
        <v>0</v>
      </c>
      <c r="BN103" s="258">
        <f t="shared" ref="BN103" si="433">+BM106</f>
        <v>0</v>
      </c>
      <c r="BO103" s="258">
        <f t="shared" ref="BO103" si="434">+BN106</f>
        <v>0</v>
      </c>
      <c r="BP103" s="258">
        <f t="shared" ref="BP103" si="435">+BO106</f>
        <v>0</v>
      </c>
      <c r="BQ103" s="258">
        <f t="shared" ref="BQ103" si="436">+BP106</f>
        <v>0</v>
      </c>
      <c r="BR103" s="258">
        <f t="shared" ref="BR103" si="437">+BQ106</f>
        <v>0</v>
      </c>
      <c r="BS103" s="258">
        <f t="shared" ref="BS103" si="438">+BR106</f>
        <v>0</v>
      </c>
      <c r="BT103" s="258">
        <f t="shared" ref="BT103" si="439">+BS106</f>
        <v>0</v>
      </c>
      <c r="BU103" s="258">
        <f t="shared" ref="BU103" si="440">+BT106</f>
        <v>0</v>
      </c>
      <c r="BV103" s="258">
        <f t="shared" ref="BV103" si="441">+BU106</f>
        <v>0</v>
      </c>
      <c r="BW103" s="258">
        <f t="shared" ref="BW103" si="442">+BV106</f>
        <v>0</v>
      </c>
    </row>
    <row r="104" spans="1:75" s="234" customFormat="1" outlineLevel="1">
      <c r="A104" s="223"/>
      <c r="B104" s="223" t="s">
        <v>294</v>
      </c>
      <c r="D104" s="256">
        <f t="shared" ref="D104:AA104" si="443">IF(D101&lt;0,-D101,)</f>
        <v>0</v>
      </c>
      <c r="E104" s="256">
        <f t="shared" si="443"/>
        <v>0</v>
      </c>
      <c r="F104" s="256">
        <f t="shared" si="443"/>
        <v>0</v>
      </c>
      <c r="G104" s="256">
        <f t="shared" si="443"/>
        <v>0</v>
      </c>
      <c r="H104" s="256">
        <f t="shared" si="443"/>
        <v>0</v>
      </c>
      <c r="I104" s="256">
        <f t="shared" si="443"/>
        <v>44340.6732826273</v>
      </c>
      <c r="J104" s="256">
        <f t="shared" si="443"/>
        <v>44181.3465652546</v>
      </c>
      <c r="K104" s="256">
        <f t="shared" si="443"/>
        <v>44022.0198478819</v>
      </c>
      <c r="L104" s="256">
        <f t="shared" si="443"/>
        <v>43862.6931305092</v>
      </c>
      <c r="M104" s="256">
        <f t="shared" si="443"/>
        <v>43703.3664131365</v>
      </c>
      <c r="N104" s="256">
        <f t="shared" si="443"/>
        <v>43544.0396957638</v>
      </c>
      <c r="O104" s="256">
        <f t="shared" si="443"/>
        <v>43384.7129783911</v>
      </c>
      <c r="P104" s="256">
        <f t="shared" si="443"/>
        <v>148637.64673335772</v>
      </c>
      <c r="Q104" s="256">
        <f t="shared" si="443"/>
        <v>146916.57562300575</v>
      </c>
      <c r="R104" s="256">
        <f t="shared" si="443"/>
        <v>145195.50451265363</v>
      </c>
      <c r="S104" s="256">
        <f t="shared" si="443"/>
        <v>143474.43340230154</v>
      </c>
      <c r="T104" s="256">
        <f t="shared" si="443"/>
        <v>141753.36229194942</v>
      </c>
      <c r="U104" s="256">
        <f t="shared" si="443"/>
        <v>138325.62118159723</v>
      </c>
      <c r="V104" s="256">
        <f t="shared" si="443"/>
        <v>136414.92007124514</v>
      </c>
      <c r="W104" s="256">
        <f t="shared" si="443"/>
        <v>134504.21896089305</v>
      </c>
      <c r="X104" s="256">
        <f t="shared" si="443"/>
        <v>132593.51785054099</v>
      </c>
      <c r="Y104" s="256">
        <f t="shared" si="443"/>
        <v>130682.81674018889</v>
      </c>
      <c r="Z104" s="256">
        <f t="shared" si="443"/>
        <v>128772.1156298368</v>
      </c>
      <c r="AA104" s="256">
        <f t="shared" si="443"/>
        <v>126861.41451948474</v>
      </c>
      <c r="AB104" s="256">
        <f t="shared" ref="AB104:BW104" si="444">IF(AB101&lt;0,-AB101,)</f>
        <v>137095.89533607097</v>
      </c>
      <c r="AC104" s="256">
        <f t="shared" si="444"/>
        <v>120537.77700636175</v>
      </c>
      <c r="AD104" s="256">
        <f t="shared" si="444"/>
        <v>103979.65867665241</v>
      </c>
      <c r="AE104" s="256">
        <f t="shared" si="444"/>
        <v>87421.540346943133</v>
      </c>
      <c r="AF104" s="256">
        <f t="shared" si="444"/>
        <v>70863.422017233766</v>
      </c>
      <c r="AG104" s="256">
        <f t="shared" si="444"/>
        <v>54305.303687524545</v>
      </c>
      <c r="AH104" s="256">
        <f t="shared" si="444"/>
        <v>37747.185357815295</v>
      </c>
      <c r="AI104" s="256">
        <f t="shared" si="444"/>
        <v>21189.067028105841</v>
      </c>
      <c r="AJ104" s="256">
        <f t="shared" si="444"/>
        <v>4630.9486983965617</v>
      </c>
      <c r="AK104" s="256">
        <f t="shared" si="444"/>
        <v>0</v>
      </c>
      <c r="AL104" s="256">
        <f t="shared" si="444"/>
        <v>0</v>
      </c>
      <c r="AM104" s="256">
        <f t="shared" si="444"/>
        <v>0</v>
      </c>
      <c r="AN104" s="256">
        <f t="shared" si="444"/>
        <v>0</v>
      </c>
      <c r="AO104" s="256">
        <f t="shared" si="444"/>
        <v>0</v>
      </c>
      <c r="AP104" s="256">
        <f t="shared" si="444"/>
        <v>0</v>
      </c>
      <c r="AQ104" s="256">
        <f t="shared" si="444"/>
        <v>0</v>
      </c>
      <c r="AR104" s="256">
        <f t="shared" si="444"/>
        <v>0</v>
      </c>
      <c r="AS104" s="256">
        <f t="shared" si="444"/>
        <v>0</v>
      </c>
      <c r="AT104" s="256">
        <f t="shared" si="444"/>
        <v>0</v>
      </c>
      <c r="AU104" s="256">
        <f t="shared" si="444"/>
        <v>0</v>
      </c>
      <c r="AV104" s="256">
        <f t="shared" si="444"/>
        <v>0</v>
      </c>
      <c r="AW104" s="256">
        <f t="shared" si="444"/>
        <v>0</v>
      </c>
      <c r="AX104" s="256">
        <f t="shared" si="444"/>
        <v>0</v>
      </c>
      <c r="AY104" s="256">
        <f t="shared" si="444"/>
        <v>0</v>
      </c>
      <c r="AZ104" s="256">
        <f t="shared" si="444"/>
        <v>0</v>
      </c>
      <c r="BA104" s="256">
        <f t="shared" si="444"/>
        <v>0</v>
      </c>
      <c r="BB104" s="256">
        <f t="shared" si="444"/>
        <v>0</v>
      </c>
      <c r="BC104" s="256">
        <f t="shared" si="444"/>
        <v>0</v>
      </c>
      <c r="BD104" s="256">
        <f t="shared" si="444"/>
        <v>0</v>
      </c>
      <c r="BE104" s="256">
        <f t="shared" si="444"/>
        <v>0</v>
      </c>
      <c r="BF104" s="256">
        <f t="shared" si="444"/>
        <v>0</v>
      </c>
      <c r="BG104" s="256">
        <f t="shared" si="444"/>
        <v>0</v>
      </c>
      <c r="BH104" s="256">
        <f t="shared" si="444"/>
        <v>0</v>
      </c>
      <c r="BI104" s="256">
        <f t="shared" si="444"/>
        <v>0</v>
      </c>
      <c r="BJ104" s="256">
        <f t="shared" si="444"/>
        <v>0</v>
      </c>
      <c r="BK104" s="256">
        <f t="shared" si="444"/>
        <v>0</v>
      </c>
      <c r="BL104" s="256">
        <f t="shared" si="444"/>
        <v>0</v>
      </c>
      <c r="BM104" s="256">
        <f t="shared" si="444"/>
        <v>0</v>
      </c>
      <c r="BN104" s="256">
        <f t="shared" si="444"/>
        <v>0</v>
      </c>
      <c r="BO104" s="256">
        <f t="shared" si="444"/>
        <v>0</v>
      </c>
      <c r="BP104" s="256">
        <f t="shared" si="444"/>
        <v>0</v>
      </c>
      <c r="BQ104" s="256">
        <f t="shared" si="444"/>
        <v>0</v>
      </c>
      <c r="BR104" s="256">
        <f t="shared" si="444"/>
        <v>0</v>
      </c>
      <c r="BS104" s="256">
        <f t="shared" si="444"/>
        <v>0</v>
      </c>
      <c r="BT104" s="256">
        <f t="shared" si="444"/>
        <v>0</v>
      </c>
      <c r="BU104" s="256">
        <f t="shared" si="444"/>
        <v>0</v>
      </c>
      <c r="BV104" s="256">
        <f t="shared" si="444"/>
        <v>0</v>
      </c>
      <c r="BW104" s="256">
        <f t="shared" si="444"/>
        <v>0</v>
      </c>
    </row>
    <row r="105" spans="1:75" s="234" customFormat="1" ht="13.8" outlineLevel="1" thickBot="1">
      <c r="A105" s="223"/>
      <c r="B105" s="223" t="s">
        <v>295</v>
      </c>
      <c r="D105" s="259">
        <f t="shared" ref="D105:AA105" si="445">IF(D101&gt;=0,-MIN(D101,D103),0)</f>
        <v>0</v>
      </c>
      <c r="E105" s="259">
        <f t="shared" si="445"/>
        <v>0</v>
      </c>
      <c r="F105" s="259">
        <f t="shared" si="445"/>
        <v>0</v>
      </c>
      <c r="G105" s="259">
        <f t="shared" si="445"/>
        <v>0</v>
      </c>
      <c r="H105" s="259">
        <f t="shared" si="445"/>
        <v>0</v>
      </c>
      <c r="I105" s="259">
        <f t="shared" si="445"/>
        <v>0</v>
      </c>
      <c r="J105" s="259">
        <f t="shared" si="445"/>
        <v>0</v>
      </c>
      <c r="K105" s="259">
        <f t="shared" si="445"/>
        <v>0</v>
      </c>
      <c r="L105" s="259">
        <f t="shared" si="445"/>
        <v>0</v>
      </c>
      <c r="M105" s="259">
        <f t="shared" si="445"/>
        <v>0</v>
      </c>
      <c r="N105" s="259">
        <f t="shared" si="445"/>
        <v>0</v>
      </c>
      <c r="O105" s="259">
        <f t="shared" si="445"/>
        <v>0</v>
      </c>
      <c r="P105" s="259">
        <f t="shared" si="445"/>
        <v>0</v>
      </c>
      <c r="Q105" s="259">
        <f t="shared" si="445"/>
        <v>0</v>
      </c>
      <c r="R105" s="259">
        <f t="shared" si="445"/>
        <v>0</v>
      </c>
      <c r="S105" s="259">
        <f t="shared" si="445"/>
        <v>0</v>
      </c>
      <c r="T105" s="259">
        <f t="shared" si="445"/>
        <v>0</v>
      </c>
      <c r="U105" s="259">
        <f t="shared" si="445"/>
        <v>0</v>
      </c>
      <c r="V105" s="259">
        <f t="shared" si="445"/>
        <v>0</v>
      </c>
      <c r="W105" s="259">
        <f t="shared" si="445"/>
        <v>0</v>
      </c>
      <c r="X105" s="259">
        <f t="shared" si="445"/>
        <v>0</v>
      </c>
      <c r="Y105" s="259">
        <f t="shared" si="445"/>
        <v>0</v>
      </c>
      <c r="Z105" s="259">
        <f t="shared" si="445"/>
        <v>0</v>
      </c>
      <c r="AA105" s="259">
        <f t="shared" si="445"/>
        <v>0</v>
      </c>
      <c r="AB105" s="259">
        <f t="shared" ref="AB105:BW105" si="446">IF(AB101&gt;=0,-MIN(AB101,AB103),0)</f>
        <v>0</v>
      </c>
      <c r="AC105" s="259">
        <f t="shared" si="446"/>
        <v>0</v>
      </c>
      <c r="AD105" s="259">
        <f t="shared" si="446"/>
        <v>0</v>
      </c>
      <c r="AE105" s="259">
        <f t="shared" si="446"/>
        <v>0</v>
      </c>
      <c r="AF105" s="259">
        <f t="shared" si="446"/>
        <v>0</v>
      </c>
      <c r="AG105" s="259">
        <f t="shared" si="446"/>
        <v>0</v>
      </c>
      <c r="AH105" s="259">
        <f t="shared" si="446"/>
        <v>0</v>
      </c>
      <c r="AI105" s="259">
        <f t="shared" si="446"/>
        <v>0</v>
      </c>
      <c r="AJ105" s="259">
        <f t="shared" si="446"/>
        <v>0</v>
      </c>
      <c r="AK105" s="259">
        <f t="shared" si="446"/>
        <v>-11927.169631312659</v>
      </c>
      <c r="AL105" s="259">
        <f t="shared" si="446"/>
        <v>-28485.287961021881</v>
      </c>
      <c r="AM105" s="259">
        <f t="shared" si="446"/>
        <v>-45043.40629073116</v>
      </c>
      <c r="AN105" s="259">
        <f t="shared" si="446"/>
        <v>-100071.09918008244</v>
      </c>
      <c r="AO105" s="259">
        <f t="shared" si="446"/>
        <v>-162314.760611301</v>
      </c>
      <c r="AP105" s="259">
        <f t="shared" si="446"/>
        <v>-224558.4220425199</v>
      </c>
      <c r="AQ105" s="259">
        <f t="shared" si="446"/>
        <v>-286802.08347373852</v>
      </c>
      <c r="AR105" s="259">
        <f t="shared" si="446"/>
        <v>-349045.74490495713</v>
      </c>
      <c r="AS105" s="259">
        <f t="shared" si="446"/>
        <v>-411289.40633617574</v>
      </c>
      <c r="AT105" s="259">
        <f t="shared" si="446"/>
        <v>-473533.06776739459</v>
      </c>
      <c r="AU105" s="259">
        <f t="shared" si="446"/>
        <v>-535776.72919861309</v>
      </c>
      <c r="AV105" s="259">
        <f t="shared" si="446"/>
        <v>-170094.62018787512</v>
      </c>
      <c r="AW105" s="259">
        <f t="shared" si="446"/>
        <v>0</v>
      </c>
      <c r="AX105" s="259">
        <f t="shared" si="446"/>
        <v>0</v>
      </c>
      <c r="AY105" s="259">
        <f t="shared" si="446"/>
        <v>0</v>
      </c>
      <c r="AZ105" s="259">
        <f t="shared" si="446"/>
        <v>0</v>
      </c>
      <c r="BA105" s="259">
        <f t="shared" si="446"/>
        <v>0</v>
      </c>
      <c r="BB105" s="259">
        <f t="shared" si="446"/>
        <v>0</v>
      </c>
      <c r="BC105" s="259">
        <f t="shared" si="446"/>
        <v>0</v>
      </c>
      <c r="BD105" s="259">
        <f t="shared" si="446"/>
        <v>0</v>
      </c>
      <c r="BE105" s="259">
        <f t="shared" si="446"/>
        <v>0</v>
      </c>
      <c r="BF105" s="259">
        <f t="shared" si="446"/>
        <v>0</v>
      </c>
      <c r="BG105" s="259">
        <f t="shared" si="446"/>
        <v>0</v>
      </c>
      <c r="BH105" s="259">
        <f t="shared" si="446"/>
        <v>0</v>
      </c>
      <c r="BI105" s="259">
        <f t="shared" si="446"/>
        <v>0</v>
      </c>
      <c r="BJ105" s="259">
        <f t="shared" si="446"/>
        <v>0</v>
      </c>
      <c r="BK105" s="259">
        <f t="shared" si="446"/>
        <v>0</v>
      </c>
      <c r="BL105" s="259">
        <f t="shared" si="446"/>
        <v>0</v>
      </c>
      <c r="BM105" s="259">
        <f t="shared" si="446"/>
        <v>0</v>
      </c>
      <c r="BN105" s="259">
        <f t="shared" si="446"/>
        <v>0</v>
      </c>
      <c r="BO105" s="259">
        <f t="shared" si="446"/>
        <v>0</v>
      </c>
      <c r="BP105" s="259">
        <f t="shared" si="446"/>
        <v>0</v>
      </c>
      <c r="BQ105" s="259">
        <f t="shared" si="446"/>
        <v>0</v>
      </c>
      <c r="BR105" s="259">
        <f t="shared" si="446"/>
        <v>0</v>
      </c>
      <c r="BS105" s="259">
        <f t="shared" si="446"/>
        <v>0</v>
      </c>
      <c r="BT105" s="259">
        <f t="shared" si="446"/>
        <v>0</v>
      </c>
      <c r="BU105" s="259">
        <f t="shared" si="446"/>
        <v>0</v>
      </c>
      <c r="BV105" s="259">
        <f t="shared" si="446"/>
        <v>0</v>
      </c>
      <c r="BW105" s="259">
        <f t="shared" si="446"/>
        <v>0</v>
      </c>
    </row>
    <row r="106" spans="1:75" s="234" customFormat="1" outlineLevel="1">
      <c r="A106" s="223"/>
      <c r="B106" s="223" t="s">
        <v>296</v>
      </c>
      <c r="D106" s="260">
        <f t="shared" ref="D106:AA106" si="447">+SUM(D103:D105)</f>
        <v>200000</v>
      </c>
      <c r="E106" s="260">
        <f t="shared" si="447"/>
        <v>200000</v>
      </c>
      <c r="F106" s="260">
        <f t="shared" si="447"/>
        <v>200000</v>
      </c>
      <c r="G106" s="260">
        <f t="shared" si="447"/>
        <v>200000</v>
      </c>
      <c r="H106" s="260">
        <f t="shared" si="447"/>
        <v>200000</v>
      </c>
      <c r="I106" s="260">
        <f t="shared" si="447"/>
        <v>244340.67328262731</v>
      </c>
      <c r="J106" s="260">
        <f t="shared" si="447"/>
        <v>288522.01984788192</v>
      </c>
      <c r="K106" s="260">
        <f t="shared" si="447"/>
        <v>332544.03969576384</v>
      </c>
      <c r="L106" s="260">
        <f t="shared" si="447"/>
        <v>376406.73282627307</v>
      </c>
      <c r="M106" s="260">
        <f t="shared" si="447"/>
        <v>420110.09923940955</v>
      </c>
      <c r="N106" s="260">
        <f t="shared" si="447"/>
        <v>463654.13893517334</v>
      </c>
      <c r="O106" s="260">
        <f t="shared" si="447"/>
        <v>507038.85191356443</v>
      </c>
      <c r="P106" s="260">
        <f t="shared" si="447"/>
        <v>655676.49864692218</v>
      </c>
      <c r="Q106" s="260">
        <f t="shared" si="447"/>
        <v>802593.07426992792</v>
      </c>
      <c r="R106" s="260">
        <f t="shared" si="447"/>
        <v>947788.57878258149</v>
      </c>
      <c r="S106" s="260">
        <f t="shared" si="447"/>
        <v>1091263.012184883</v>
      </c>
      <c r="T106" s="260">
        <f t="shared" si="447"/>
        <v>1233016.3744768323</v>
      </c>
      <c r="U106" s="260">
        <f t="shared" si="447"/>
        <v>1371341.9956584296</v>
      </c>
      <c r="V106" s="260">
        <f t="shared" si="447"/>
        <v>1507756.9157296747</v>
      </c>
      <c r="W106" s="260">
        <f t="shared" si="447"/>
        <v>1642261.1346905679</v>
      </c>
      <c r="X106" s="260">
        <f t="shared" si="447"/>
        <v>1774854.6525411089</v>
      </c>
      <c r="Y106" s="260">
        <f t="shared" si="447"/>
        <v>1905537.4692812979</v>
      </c>
      <c r="Z106" s="260">
        <f t="shared" si="447"/>
        <v>2034309.5849111346</v>
      </c>
      <c r="AA106" s="260">
        <f t="shared" si="447"/>
        <v>2161170.9994306192</v>
      </c>
      <c r="AB106" s="260">
        <f t="shared" ref="AB106:BW106" si="448">+SUM(AB103:AB105)</f>
        <v>2298266.8947666902</v>
      </c>
      <c r="AC106" s="260">
        <f t="shared" si="448"/>
        <v>2418804.6717730518</v>
      </c>
      <c r="AD106" s="260">
        <f t="shared" si="448"/>
        <v>2522784.3304497041</v>
      </c>
      <c r="AE106" s="260">
        <f t="shared" si="448"/>
        <v>2610205.8707966474</v>
      </c>
      <c r="AF106" s="260">
        <f t="shared" si="448"/>
        <v>2681069.2928138813</v>
      </c>
      <c r="AG106" s="260">
        <f t="shared" si="448"/>
        <v>2735374.5965014058</v>
      </c>
      <c r="AH106" s="260">
        <f t="shared" si="448"/>
        <v>2773121.7818592209</v>
      </c>
      <c r="AI106" s="260">
        <f t="shared" si="448"/>
        <v>2794310.8488873267</v>
      </c>
      <c r="AJ106" s="260">
        <f t="shared" si="448"/>
        <v>2798941.797585723</v>
      </c>
      <c r="AK106" s="260">
        <f t="shared" si="448"/>
        <v>2787014.6279544104</v>
      </c>
      <c r="AL106" s="260">
        <f t="shared" si="448"/>
        <v>2758529.3399933884</v>
      </c>
      <c r="AM106" s="260">
        <f t="shared" si="448"/>
        <v>2713485.933702657</v>
      </c>
      <c r="AN106" s="260">
        <f t="shared" si="448"/>
        <v>2613414.8345225747</v>
      </c>
      <c r="AO106" s="260">
        <f t="shared" si="448"/>
        <v>2451100.0739112739</v>
      </c>
      <c r="AP106" s="260">
        <f t="shared" si="448"/>
        <v>2226541.6518687541</v>
      </c>
      <c r="AQ106" s="260">
        <f t="shared" si="448"/>
        <v>1939739.5683950156</v>
      </c>
      <c r="AR106" s="260">
        <f t="shared" si="448"/>
        <v>1590693.8234900585</v>
      </c>
      <c r="AS106" s="260">
        <f t="shared" si="448"/>
        <v>1179404.4171538828</v>
      </c>
      <c r="AT106" s="260">
        <f t="shared" si="448"/>
        <v>705871.3493864882</v>
      </c>
      <c r="AU106" s="260">
        <f t="shared" si="448"/>
        <v>170094.62018787512</v>
      </c>
      <c r="AV106" s="260">
        <f t="shared" si="448"/>
        <v>0</v>
      </c>
      <c r="AW106" s="260">
        <f t="shared" si="448"/>
        <v>0</v>
      </c>
      <c r="AX106" s="260">
        <f t="shared" si="448"/>
        <v>0</v>
      </c>
      <c r="AY106" s="260">
        <f t="shared" si="448"/>
        <v>0</v>
      </c>
      <c r="AZ106" s="260">
        <f t="shared" si="448"/>
        <v>0</v>
      </c>
      <c r="BA106" s="260">
        <f t="shared" si="448"/>
        <v>0</v>
      </c>
      <c r="BB106" s="260">
        <f t="shared" si="448"/>
        <v>0</v>
      </c>
      <c r="BC106" s="260">
        <f t="shared" si="448"/>
        <v>0</v>
      </c>
      <c r="BD106" s="260">
        <f t="shared" si="448"/>
        <v>0</v>
      </c>
      <c r="BE106" s="260">
        <f t="shared" si="448"/>
        <v>0</v>
      </c>
      <c r="BF106" s="260">
        <f t="shared" si="448"/>
        <v>0</v>
      </c>
      <c r="BG106" s="260">
        <f t="shared" si="448"/>
        <v>0</v>
      </c>
      <c r="BH106" s="260">
        <f t="shared" si="448"/>
        <v>0</v>
      </c>
      <c r="BI106" s="260">
        <f t="shared" si="448"/>
        <v>0</v>
      </c>
      <c r="BJ106" s="260">
        <f t="shared" si="448"/>
        <v>0</v>
      </c>
      <c r="BK106" s="260">
        <f t="shared" si="448"/>
        <v>0</v>
      </c>
      <c r="BL106" s="260">
        <f t="shared" si="448"/>
        <v>0</v>
      </c>
      <c r="BM106" s="260">
        <f t="shared" si="448"/>
        <v>0</v>
      </c>
      <c r="BN106" s="260">
        <f t="shared" si="448"/>
        <v>0</v>
      </c>
      <c r="BO106" s="260">
        <f t="shared" si="448"/>
        <v>0</v>
      </c>
      <c r="BP106" s="260">
        <f t="shared" si="448"/>
        <v>0</v>
      </c>
      <c r="BQ106" s="260">
        <f t="shared" si="448"/>
        <v>0</v>
      </c>
      <c r="BR106" s="260">
        <f t="shared" si="448"/>
        <v>0</v>
      </c>
      <c r="BS106" s="260">
        <f t="shared" si="448"/>
        <v>0</v>
      </c>
      <c r="BT106" s="260">
        <f t="shared" si="448"/>
        <v>0</v>
      </c>
      <c r="BU106" s="260">
        <f t="shared" si="448"/>
        <v>0</v>
      </c>
      <c r="BV106" s="260">
        <f t="shared" si="448"/>
        <v>0</v>
      </c>
      <c r="BW106" s="260">
        <f t="shared" si="448"/>
        <v>0</v>
      </c>
    </row>
    <row r="107" spans="1:75" s="234" customFormat="1" outlineLevel="1">
      <c r="A107" s="223"/>
      <c r="B107" s="223"/>
    </row>
    <row r="108" spans="1:75" s="234" customFormat="1" outlineLevel="1">
      <c r="A108" s="223"/>
      <c r="B108" s="223" t="s">
        <v>297</v>
      </c>
      <c r="D108" s="234">
        <f t="shared" ref="D108:AA108" si="449">D101+D105</f>
        <v>0</v>
      </c>
      <c r="E108" s="234">
        <f t="shared" si="449"/>
        <v>0</v>
      </c>
      <c r="F108" s="234">
        <f t="shared" si="449"/>
        <v>0</v>
      </c>
      <c r="G108" s="234">
        <f t="shared" si="449"/>
        <v>0</v>
      </c>
      <c r="H108" s="234">
        <f t="shared" si="449"/>
        <v>0</v>
      </c>
      <c r="I108" s="234">
        <f t="shared" si="449"/>
        <v>-44340.6732826273</v>
      </c>
      <c r="J108" s="234">
        <f t="shared" si="449"/>
        <v>-44181.3465652546</v>
      </c>
      <c r="K108" s="234">
        <f t="shared" si="449"/>
        <v>-44022.0198478819</v>
      </c>
      <c r="L108" s="234">
        <f t="shared" si="449"/>
        <v>-43862.6931305092</v>
      </c>
      <c r="M108" s="234">
        <f t="shared" si="449"/>
        <v>-43703.3664131365</v>
      </c>
      <c r="N108" s="234">
        <f t="shared" si="449"/>
        <v>-43544.0396957638</v>
      </c>
      <c r="O108" s="234">
        <f t="shared" si="449"/>
        <v>-43384.7129783911</v>
      </c>
      <c r="P108" s="234">
        <f t="shared" si="449"/>
        <v>-148637.64673335772</v>
      </c>
      <c r="Q108" s="234">
        <f t="shared" si="449"/>
        <v>-146916.57562300575</v>
      </c>
      <c r="R108" s="234">
        <f t="shared" si="449"/>
        <v>-145195.50451265363</v>
      </c>
      <c r="S108" s="234">
        <f t="shared" si="449"/>
        <v>-143474.43340230154</v>
      </c>
      <c r="T108" s="234">
        <f t="shared" si="449"/>
        <v>-141753.36229194942</v>
      </c>
      <c r="U108" s="234">
        <f t="shared" si="449"/>
        <v>-138325.62118159723</v>
      </c>
      <c r="V108" s="234">
        <f t="shared" si="449"/>
        <v>-136414.92007124514</v>
      </c>
      <c r="W108" s="234">
        <f t="shared" si="449"/>
        <v>-134504.21896089305</v>
      </c>
      <c r="X108" s="234">
        <f t="shared" si="449"/>
        <v>-132593.51785054099</v>
      </c>
      <c r="Y108" s="234">
        <f t="shared" si="449"/>
        <v>-130682.81674018889</v>
      </c>
      <c r="Z108" s="234">
        <f t="shared" si="449"/>
        <v>-128772.1156298368</v>
      </c>
      <c r="AA108" s="234">
        <f t="shared" si="449"/>
        <v>-126861.41451948474</v>
      </c>
      <c r="AB108" s="234">
        <f t="shared" ref="AB108:BW108" si="450">AB101+AB105</f>
        <v>-137095.89533607097</v>
      </c>
      <c r="AC108" s="234">
        <f t="shared" si="450"/>
        <v>-120537.77700636175</v>
      </c>
      <c r="AD108" s="234">
        <f t="shared" si="450"/>
        <v>-103979.65867665241</v>
      </c>
      <c r="AE108" s="234">
        <f t="shared" si="450"/>
        <v>-87421.540346943133</v>
      </c>
      <c r="AF108" s="234">
        <f t="shared" si="450"/>
        <v>-70863.422017233766</v>
      </c>
      <c r="AG108" s="234">
        <f t="shared" si="450"/>
        <v>-54305.303687524545</v>
      </c>
      <c r="AH108" s="234">
        <f t="shared" si="450"/>
        <v>-37747.185357815295</v>
      </c>
      <c r="AI108" s="234">
        <f t="shared" si="450"/>
        <v>-21189.067028105841</v>
      </c>
      <c r="AJ108" s="234">
        <f t="shared" si="450"/>
        <v>-4630.9486983965617</v>
      </c>
      <c r="AK108" s="234">
        <f t="shared" si="450"/>
        <v>0</v>
      </c>
      <c r="AL108" s="234">
        <f t="shared" si="450"/>
        <v>0</v>
      </c>
      <c r="AM108" s="234">
        <f t="shared" si="450"/>
        <v>0</v>
      </c>
      <c r="AN108" s="234">
        <f t="shared" si="450"/>
        <v>0</v>
      </c>
      <c r="AO108" s="234">
        <f t="shared" si="450"/>
        <v>0</v>
      </c>
      <c r="AP108" s="234">
        <f t="shared" si="450"/>
        <v>0</v>
      </c>
      <c r="AQ108" s="234">
        <f t="shared" si="450"/>
        <v>0</v>
      </c>
      <c r="AR108" s="234">
        <f t="shared" si="450"/>
        <v>0</v>
      </c>
      <c r="AS108" s="234">
        <f t="shared" si="450"/>
        <v>0</v>
      </c>
      <c r="AT108" s="234">
        <f t="shared" si="450"/>
        <v>0</v>
      </c>
      <c r="AU108" s="234">
        <f t="shared" si="450"/>
        <v>0</v>
      </c>
      <c r="AV108" s="234">
        <f t="shared" si="450"/>
        <v>427925.77044195647</v>
      </c>
      <c r="AW108" s="234">
        <f t="shared" si="450"/>
        <v>660264.05206105043</v>
      </c>
      <c r="AX108" s="234">
        <f t="shared" si="450"/>
        <v>722507.71349226963</v>
      </c>
      <c r="AY108" s="234">
        <f t="shared" si="450"/>
        <v>784751.37492348789</v>
      </c>
      <c r="AZ108" s="234">
        <f t="shared" si="450"/>
        <v>416263.07806110429</v>
      </c>
      <c r="BA108" s="234">
        <f t="shared" si="450"/>
        <v>521427.42114076717</v>
      </c>
      <c r="BB108" s="234">
        <f t="shared" si="450"/>
        <v>626591.76422043052</v>
      </c>
      <c r="BC108" s="234">
        <f t="shared" si="450"/>
        <v>731756.10730009433</v>
      </c>
      <c r="BD108" s="234">
        <f t="shared" si="450"/>
        <v>836920.45037975768</v>
      </c>
      <c r="BE108" s="234">
        <f t="shared" si="450"/>
        <v>942084.79345942196</v>
      </c>
      <c r="BF108" s="234">
        <f t="shared" si="450"/>
        <v>1047249.1365390848</v>
      </c>
      <c r="BG108" s="234">
        <f t="shared" si="450"/>
        <v>1152413.4796187473</v>
      </c>
      <c r="BH108" s="234">
        <f t="shared" si="450"/>
        <v>1257577.822698412</v>
      </c>
      <c r="BI108" s="234">
        <f t="shared" si="450"/>
        <v>1362742.1657780763</v>
      </c>
      <c r="BJ108" s="234">
        <f t="shared" si="450"/>
        <v>1467906.5088577382</v>
      </c>
      <c r="BK108" s="234">
        <f t="shared" si="450"/>
        <v>1573070.851937403</v>
      </c>
      <c r="BL108" s="234">
        <f t="shared" si="450"/>
        <v>1955353.742771402</v>
      </c>
      <c r="BM108" s="234">
        <f t="shared" si="450"/>
        <v>2213229.7907142667</v>
      </c>
      <c r="BN108" s="234">
        <f t="shared" si="450"/>
        <v>2471105.8386571314</v>
      </c>
      <c r="BO108" s="234">
        <f t="shared" si="450"/>
        <v>2728981.8865999924</v>
      </c>
      <c r="BP108" s="234">
        <f t="shared" si="450"/>
        <v>2986857.9345428562</v>
      </c>
      <c r="BQ108" s="234">
        <f t="shared" si="450"/>
        <v>3244733.9824857172</v>
      </c>
      <c r="BR108" s="234">
        <f t="shared" si="450"/>
        <v>3502610.0304285819</v>
      </c>
      <c r="BS108" s="234">
        <f t="shared" si="450"/>
        <v>3760486.0783714466</v>
      </c>
      <c r="BT108" s="234">
        <f t="shared" si="450"/>
        <v>4018362.1263143076</v>
      </c>
      <c r="BU108" s="234">
        <f t="shared" si="450"/>
        <v>4276238.1742571741</v>
      </c>
      <c r="BV108" s="234">
        <f t="shared" si="450"/>
        <v>4534114.222200036</v>
      </c>
      <c r="BW108" s="234">
        <f t="shared" si="450"/>
        <v>4791990.2701428998</v>
      </c>
    </row>
    <row r="109" spans="1:75" s="234" customFormat="1" outlineLevel="1">
      <c r="A109" s="223"/>
      <c r="B109" s="223"/>
    </row>
    <row r="110" spans="1:75" s="234" customFormat="1" outlineLevel="1">
      <c r="A110" s="223"/>
      <c r="B110" s="223" t="s">
        <v>298</v>
      </c>
      <c r="D110" s="435">
        <v>0.21</v>
      </c>
      <c r="E110" s="435">
        <v>0.21</v>
      </c>
      <c r="F110" s="435">
        <v>0.21</v>
      </c>
      <c r="G110" s="435">
        <v>0.21</v>
      </c>
      <c r="H110" s="435">
        <v>0.21</v>
      </c>
      <c r="I110" s="435">
        <v>0.21</v>
      </c>
      <c r="J110" s="435">
        <v>0.21</v>
      </c>
      <c r="K110" s="435">
        <v>0.21</v>
      </c>
      <c r="L110" s="435">
        <v>0.21</v>
      </c>
      <c r="M110" s="435">
        <v>0.21</v>
      </c>
      <c r="N110" s="435">
        <v>0.21</v>
      </c>
      <c r="O110" s="435">
        <v>0.21</v>
      </c>
      <c r="P110" s="435">
        <v>0.21</v>
      </c>
      <c r="Q110" s="435">
        <v>0.21</v>
      </c>
      <c r="R110" s="435">
        <v>0.21</v>
      </c>
      <c r="S110" s="435">
        <v>0.21</v>
      </c>
      <c r="T110" s="435">
        <v>0.21</v>
      </c>
      <c r="U110" s="435">
        <v>0.21</v>
      </c>
      <c r="V110" s="435">
        <v>0.21</v>
      </c>
      <c r="W110" s="435">
        <v>0.21</v>
      </c>
      <c r="X110" s="435">
        <v>0.21</v>
      </c>
      <c r="Y110" s="435">
        <v>0.21</v>
      </c>
      <c r="Z110" s="435">
        <v>0.21</v>
      </c>
      <c r="AA110" s="435">
        <v>0.21</v>
      </c>
      <c r="AB110" s="435">
        <v>0.21</v>
      </c>
      <c r="AC110" s="435">
        <v>0.21</v>
      </c>
      <c r="AD110" s="435">
        <v>0.21</v>
      </c>
      <c r="AE110" s="435">
        <v>0.21</v>
      </c>
      <c r="AF110" s="435">
        <v>0.21</v>
      </c>
      <c r="AG110" s="435">
        <v>0.21</v>
      </c>
      <c r="AH110" s="435">
        <v>0.21</v>
      </c>
      <c r="AI110" s="435">
        <v>0.21</v>
      </c>
      <c r="AJ110" s="435">
        <v>0.21</v>
      </c>
      <c r="AK110" s="435">
        <v>0.21</v>
      </c>
      <c r="AL110" s="435">
        <v>0.21</v>
      </c>
      <c r="AM110" s="435">
        <v>0.21</v>
      </c>
      <c r="AN110" s="435">
        <v>0.21</v>
      </c>
      <c r="AO110" s="435">
        <v>0.21</v>
      </c>
      <c r="AP110" s="435">
        <v>0.21</v>
      </c>
      <c r="AQ110" s="435">
        <v>0.21</v>
      </c>
      <c r="AR110" s="435">
        <v>0.21</v>
      </c>
      <c r="AS110" s="435">
        <v>0.21</v>
      </c>
      <c r="AT110" s="435">
        <v>0.21</v>
      </c>
      <c r="AU110" s="435">
        <v>0.21</v>
      </c>
      <c r="AV110" s="435">
        <v>0.21</v>
      </c>
      <c r="AW110" s="435">
        <v>0.21</v>
      </c>
      <c r="AX110" s="435">
        <v>0.21</v>
      </c>
      <c r="AY110" s="435">
        <v>0.21</v>
      </c>
      <c r="AZ110" s="435">
        <v>0.21</v>
      </c>
      <c r="BA110" s="435">
        <v>0.21</v>
      </c>
      <c r="BB110" s="435">
        <v>0.21</v>
      </c>
      <c r="BC110" s="435">
        <v>0.21</v>
      </c>
      <c r="BD110" s="435">
        <v>0.21</v>
      </c>
      <c r="BE110" s="435">
        <v>0.21</v>
      </c>
      <c r="BF110" s="435">
        <v>0.21</v>
      </c>
      <c r="BG110" s="435">
        <v>0.21</v>
      </c>
      <c r="BH110" s="435">
        <v>0.21</v>
      </c>
      <c r="BI110" s="435">
        <v>0.21</v>
      </c>
      <c r="BJ110" s="435">
        <v>0.21</v>
      </c>
      <c r="BK110" s="435">
        <v>0.21</v>
      </c>
      <c r="BL110" s="435">
        <v>0.21</v>
      </c>
      <c r="BM110" s="435">
        <v>0.21</v>
      </c>
      <c r="BN110" s="435">
        <v>0.21</v>
      </c>
      <c r="BO110" s="435">
        <v>0.21</v>
      </c>
      <c r="BP110" s="435">
        <v>0.21</v>
      </c>
      <c r="BQ110" s="435">
        <v>0.21</v>
      </c>
      <c r="BR110" s="435">
        <v>0.21</v>
      </c>
      <c r="BS110" s="435">
        <v>0.21</v>
      </c>
      <c r="BT110" s="435">
        <v>0.21</v>
      </c>
      <c r="BU110" s="435">
        <v>0.21</v>
      </c>
      <c r="BV110" s="435">
        <v>0.21</v>
      </c>
      <c r="BW110" s="435">
        <v>0.21</v>
      </c>
    </row>
    <row r="111" spans="1:75" s="234" customFormat="1" outlineLevel="1">
      <c r="A111" s="223"/>
      <c r="B111" s="223"/>
    </row>
    <row r="112" spans="1:75" s="234" customFormat="1" outlineLevel="1">
      <c r="A112" s="223"/>
      <c r="B112" s="237" t="s">
        <v>299</v>
      </c>
      <c r="C112" s="260"/>
      <c r="D112" s="260">
        <f t="shared" ref="D112:AA112" si="451">+IF(D108&lt;0,0,D108*D110)</f>
        <v>0</v>
      </c>
      <c r="E112" s="260">
        <f t="shared" si="451"/>
        <v>0</v>
      </c>
      <c r="F112" s="260">
        <f t="shared" si="451"/>
        <v>0</v>
      </c>
      <c r="G112" s="260">
        <f t="shared" si="451"/>
        <v>0</v>
      </c>
      <c r="H112" s="260">
        <f t="shared" si="451"/>
        <v>0</v>
      </c>
      <c r="I112" s="260">
        <f t="shared" si="451"/>
        <v>0</v>
      </c>
      <c r="J112" s="260">
        <f t="shared" si="451"/>
        <v>0</v>
      </c>
      <c r="K112" s="260">
        <f t="shared" si="451"/>
        <v>0</v>
      </c>
      <c r="L112" s="260">
        <f t="shared" si="451"/>
        <v>0</v>
      </c>
      <c r="M112" s="260">
        <f t="shared" si="451"/>
        <v>0</v>
      </c>
      <c r="N112" s="260">
        <f t="shared" si="451"/>
        <v>0</v>
      </c>
      <c r="O112" s="260">
        <f t="shared" si="451"/>
        <v>0</v>
      </c>
      <c r="P112" s="260">
        <f t="shared" si="451"/>
        <v>0</v>
      </c>
      <c r="Q112" s="260">
        <f t="shared" si="451"/>
        <v>0</v>
      </c>
      <c r="R112" s="260">
        <f t="shared" si="451"/>
        <v>0</v>
      </c>
      <c r="S112" s="260">
        <f t="shared" si="451"/>
        <v>0</v>
      </c>
      <c r="T112" s="260">
        <f t="shared" si="451"/>
        <v>0</v>
      </c>
      <c r="U112" s="260">
        <f t="shared" si="451"/>
        <v>0</v>
      </c>
      <c r="V112" s="260">
        <f t="shared" si="451"/>
        <v>0</v>
      </c>
      <c r="W112" s="260">
        <f t="shared" si="451"/>
        <v>0</v>
      </c>
      <c r="X112" s="260">
        <f t="shared" si="451"/>
        <v>0</v>
      </c>
      <c r="Y112" s="260">
        <f t="shared" si="451"/>
        <v>0</v>
      </c>
      <c r="Z112" s="260">
        <f t="shared" si="451"/>
        <v>0</v>
      </c>
      <c r="AA112" s="260">
        <f t="shared" si="451"/>
        <v>0</v>
      </c>
      <c r="AB112" s="260">
        <f t="shared" ref="AB112:BW112" si="452">+IF(AB108&lt;0,0,AB108*AB110)</f>
        <v>0</v>
      </c>
      <c r="AC112" s="260">
        <f t="shared" si="452"/>
        <v>0</v>
      </c>
      <c r="AD112" s="260">
        <f t="shared" si="452"/>
        <v>0</v>
      </c>
      <c r="AE112" s="260">
        <f t="shared" si="452"/>
        <v>0</v>
      </c>
      <c r="AF112" s="260">
        <f t="shared" si="452"/>
        <v>0</v>
      </c>
      <c r="AG112" s="260">
        <f t="shared" si="452"/>
        <v>0</v>
      </c>
      <c r="AH112" s="260">
        <f t="shared" si="452"/>
        <v>0</v>
      </c>
      <c r="AI112" s="260">
        <f t="shared" si="452"/>
        <v>0</v>
      </c>
      <c r="AJ112" s="260">
        <f t="shared" si="452"/>
        <v>0</v>
      </c>
      <c r="AK112" s="260">
        <f t="shared" si="452"/>
        <v>0</v>
      </c>
      <c r="AL112" s="260">
        <f t="shared" si="452"/>
        <v>0</v>
      </c>
      <c r="AM112" s="260">
        <f t="shared" si="452"/>
        <v>0</v>
      </c>
      <c r="AN112" s="260">
        <f t="shared" si="452"/>
        <v>0</v>
      </c>
      <c r="AO112" s="260">
        <f t="shared" si="452"/>
        <v>0</v>
      </c>
      <c r="AP112" s="260">
        <f t="shared" si="452"/>
        <v>0</v>
      </c>
      <c r="AQ112" s="260">
        <f t="shared" si="452"/>
        <v>0</v>
      </c>
      <c r="AR112" s="260">
        <f t="shared" si="452"/>
        <v>0</v>
      </c>
      <c r="AS112" s="260">
        <f t="shared" si="452"/>
        <v>0</v>
      </c>
      <c r="AT112" s="260">
        <f t="shared" si="452"/>
        <v>0</v>
      </c>
      <c r="AU112" s="260">
        <f t="shared" si="452"/>
        <v>0</v>
      </c>
      <c r="AV112" s="260">
        <f t="shared" si="452"/>
        <v>89864.411792810861</v>
      </c>
      <c r="AW112" s="260">
        <f t="shared" si="452"/>
        <v>138655.45093282059</v>
      </c>
      <c r="AX112" s="260">
        <f t="shared" si="452"/>
        <v>151726.61983337661</v>
      </c>
      <c r="AY112" s="260">
        <f t="shared" si="452"/>
        <v>164797.78873393245</v>
      </c>
      <c r="AZ112" s="260">
        <f t="shared" si="452"/>
        <v>87415.24639283189</v>
      </c>
      <c r="BA112" s="260">
        <f t="shared" si="452"/>
        <v>109499.7584395611</v>
      </c>
      <c r="BB112" s="260">
        <f t="shared" si="452"/>
        <v>131584.27048629039</v>
      </c>
      <c r="BC112" s="260">
        <f t="shared" si="452"/>
        <v>153668.78253301981</v>
      </c>
      <c r="BD112" s="260">
        <f t="shared" si="452"/>
        <v>175753.29457974911</v>
      </c>
      <c r="BE112" s="260">
        <f t="shared" si="452"/>
        <v>197837.80662647862</v>
      </c>
      <c r="BF112" s="260">
        <f t="shared" si="452"/>
        <v>219922.3186732078</v>
      </c>
      <c r="BG112" s="260">
        <f t="shared" si="452"/>
        <v>242006.8307199369</v>
      </c>
      <c r="BH112" s="260">
        <f t="shared" si="452"/>
        <v>264091.34276666649</v>
      </c>
      <c r="BI112" s="260">
        <f t="shared" si="452"/>
        <v>286175.854813396</v>
      </c>
      <c r="BJ112" s="260">
        <f t="shared" si="452"/>
        <v>308260.36686012504</v>
      </c>
      <c r="BK112" s="260">
        <f t="shared" si="452"/>
        <v>330344.8789068546</v>
      </c>
      <c r="BL112" s="260">
        <f t="shared" si="452"/>
        <v>410624.28598199441</v>
      </c>
      <c r="BM112" s="260">
        <f t="shared" si="452"/>
        <v>464778.25604999601</v>
      </c>
      <c r="BN112" s="260">
        <f t="shared" si="452"/>
        <v>518932.2261179976</v>
      </c>
      <c r="BO112" s="260">
        <f t="shared" si="452"/>
        <v>573086.19618599839</v>
      </c>
      <c r="BP112" s="260">
        <f t="shared" si="452"/>
        <v>627240.16625399981</v>
      </c>
      <c r="BQ112" s="260">
        <f t="shared" si="452"/>
        <v>681394.13632200053</v>
      </c>
      <c r="BR112" s="260">
        <f t="shared" si="452"/>
        <v>735548.10639000218</v>
      </c>
      <c r="BS112" s="260">
        <f t="shared" si="452"/>
        <v>789702.07645800372</v>
      </c>
      <c r="BT112" s="260">
        <f t="shared" si="452"/>
        <v>843856.04652600456</v>
      </c>
      <c r="BU112" s="260">
        <f t="shared" si="452"/>
        <v>898010.01659400656</v>
      </c>
      <c r="BV112" s="260">
        <f t="shared" si="452"/>
        <v>952163.98666200752</v>
      </c>
      <c r="BW112" s="260">
        <f t="shared" si="452"/>
        <v>1006317.9567300089</v>
      </c>
    </row>
    <row r="113"/>
  </sheetData>
  <conditionalFormatting sqref="E14:BW15 D14:D16">
    <cfRule type="containsText" dxfId="4" priority="3" operator="containsText" text="false">
      <formula>NOT(ISERROR(SEARCH("false",D14)))</formula>
    </cfRule>
    <cfRule type="cellIs" dxfId="3" priority="4" operator="equal">
      <formula>TRUE</formula>
    </cfRule>
  </conditionalFormatting>
  <conditionalFormatting sqref="E15:BW16">
    <cfRule type="containsText" dxfId="2" priority="1" operator="containsText" text="false">
      <formula>NOT(ISERROR(SEARCH("false",E15)))</formula>
    </cfRule>
    <cfRule type="cellIs" dxfId="1" priority="2" operator="equal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F9FF-5C70-49B6-85A6-AF9143A68E5A}">
  <sheetPr>
    <tabColor theme="9"/>
  </sheetPr>
  <dimension ref="A1:P90"/>
  <sheetViews>
    <sheetView showGridLines="0" topLeftCell="A52" zoomScale="95" zoomScaleNormal="95" workbookViewId="0">
      <selection activeCell="J78" sqref="J78"/>
    </sheetView>
  </sheetViews>
  <sheetFormatPr defaultColWidth="0" defaultRowHeight="13.2" zeroHeight="1" outlineLevelRow="1"/>
  <cols>
    <col min="1" max="1" width="3.33203125" style="64" customWidth="1"/>
    <col min="2" max="2" width="2.33203125" style="64" customWidth="1"/>
    <col min="3" max="3" width="2.6640625" style="64" customWidth="1"/>
    <col min="4" max="4" width="39.6640625" style="64" bestFit="1" customWidth="1"/>
    <col min="5" max="5" width="12" style="64" bestFit="1" customWidth="1"/>
    <col min="6" max="6" width="3.5546875" style="64" customWidth="1"/>
    <col min="7" max="7" width="2.5546875" style="64" customWidth="1"/>
    <col min="8" max="9" width="3.33203125" style="64" customWidth="1"/>
    <col min="10" max="15" width="19" style="64" customWidth="1"/>
    <col min="16" max="16" width="9.33203125" style="64" customWidth="1"/>
    <col min="17" max="18" width="9.33203125" style="64" hidden="1" customWidth="1"/>
    <col min="19" max="16384" width="9.33203125" style="64" hidden="1"/>
  </cols>
  <sheetData>
    <row r="1" spans="1:15"/>
    <row r="2" spans="1:15" s="73" customFormat="1">
      <c r="A2" s="64"/>
      <c r="B2" s="64"/>
      <c r="C2" s="64"/>
      <c r="D2" s="422" t="str">
        <f>Cover!D3</f>
        <v>Canoja Technologies</v>
      </c>
      <c r="E2" s="422"/>
      <c r="F2" s="422"/>
      <c r="G2" s="422"/>
      <c r="H2" s="422"/>
      <c r="I2" s="422"/>
      <c r="J2" s="423"/>
      <c r="K2" s="423"/>
      <c r="L2" s="423"/>
      <c r="M2" s="423"/>
      <c r="N2" s="423"/>
      <c r="O2" s="423"/>
    </row>
    <row r="3" spans="1:15" s="73" customFormat="1">
      <c r="A3" s="64"/>
      <c r="B3" s="64"/>
      <c r="C3" s="64"/>
      <c r="D3" s="424" t="s">
        <v>194</v>
      </c>
      <c r="E3" s="425" t="s">
        <v>58</v>
      </c>
      <c r="F3" s="425"/>
      <c r="G3" s="425"/>
      <c r="H3" s="425"/>
      <c r="I3" s="425"/>
      <c r="J3" s="426">
        <v>45658</v>
      </c>
      <c r="K3" s="426">
        <v>46023</v>
      </c>
      <c r="L3" s="426">
        <v>46388</v>
      </c>
      <c r="M3" s="426">
        <v>46753</v>
      </c>
      <c r="N3" s="426">
        <v>47119</v>
      </c>
      <c r="O3" s="426">
        <v>47484</v>
      </c>
    </row>
    <row r="4" spans="1:15" s="73" customFormat="1">
      <c r="A4" s="64"/>
      <c r="B4" s="64"/>
      <c r="C4" s="64"/>
      <c r="D4" s="422"/>
      <c r="E4" s="425" t="s">
        <v>59</v>
      </c>
      <c r="F4" s="425"/>
      <c r="G4" s="425"/>
      <c r="H4" s="425"/>
      <c r="I4" s="425"/>
      <c r="J4" s="426">
        <v>46022</v>
      </c>
      <c r="K4" s="426">
        <v>46387</v>
      </c>
      <c r="L4" s="426">
        <v>46752</v>
      </c>
      <c r="M4" s="426">
        <v>47118</v>
      </c>
      <c r="N4" s="426">
        <v>47483</v>
      </c>
      <c r="O4" s="426">
        <v>47848</v>
      </c>
    </row>
    <row r="5" spans="1:15" s="73" customFormat="1">
      <c r="A5" s="64"/>
      <c r="B5" s="64"/>
      <c r="C5" s="64"/>
      <c r="D5" s="422"/>
      <c r="E5" s="425"/>
      <c r="F5" s="425"/>
      <c r="G5" s="425"/>
      <c r="H5" s="425"/>
      <c r="I5" s="425"/>
      <c r="J5" s="427">
        <v>2025</v>
      </c>
      <c r="K5" s="427">
        <v>2026</v>
      </c>
      <c r="L5" s="427">
        <v>2027</v>
      </c>
      <c r="M5" s="427">
        <v>2028</v>
      </c>
      <c r="N5" s="427">
        <v>2029</v>
      </c>
      <c r="O5" s="427">
        <v>2030</v>
      </c>
    </row>
    <row r="6" spans="1:15"/>
    <row r="7" spans="1:15" ht="13.8" outlineLevel="1" thickBot="1">
      <c r="D7" s="65" t="str">
        <f>CONCATENATE("Income statement in ", "USD' million ")</f>
        <v xml:space="preserve">Income statement in USD' million </v>
      </c>
      <c r="E7" s="65"/>
      <c r="F7" s="65"/>
      <c r="G7" s="65"/>
      <c r="H7" s="65"/>
      <c r="I7" s="65"/>
      <c r="J7" s="66"/>
      <c r="K7" s="66"/>
      <c r="L7" s="66"/>
      <c r="M7" s="66"/>
      <c r="N7" s="66"/>
      <c r="O7" s="66"/>
    </row>
    <row r="8" spans="1:15" ht="13.8" outlineLevel="1" thickTop="1">
      <c r="D8" s="64" t="s">
        <v>179</v>
      </c>
      <c r="J8" s="156">
        <f>SUMIFS('Monthly Financials'!$D$28:$BW$28,'Monthly Financials'!$D$10:$BW$10,J$5)</f>
        <v>4857.7022678647845</v>
      </c>
      <c r="K8" s="156">
        <f>SUMIFS('Monthly Financials'!$D$28:$BW$28,'Monthly Financials'!$D$10:$BW$10,K$5)</f>
        <v>306641.78573585185</v>
      </c>
      <c r="L8" s="156">
        <f>SUMIFS('Monthly Financials'!$D$28:$BW$28,'Monthly Financials'!$D$10:$BW$10,L$5)</f>
        <v>3217887.7744749393</v>
      </c>
      <c r="M8" s="156">
        <f>SUMIFS('Monthly Financials'!$D$28:$BW$28,'Monthly Financials'!$D$10:$BW$10,M$5)</f>
        <v>14172623.714497223</v>
      </c>
      <c r="N8" s="156">
        <f>SUMIFS('Monthly Financials'!$D$28:$BW$28,'Monthly Financials'!$D$10:$BW$10,N$5)</f>
        <v>48400461.401080437</v>
      </c>
      <c r="O8" s="156">
        <f>SUMIFS('Monthly Financials'!$D$28:$BW$28,'Monthly Financials'!$D$10:$BW$10,O$5)</f>
        <v>136697374.54367048</v>
      </c>
    </row>
    <row r="9" spans="1:15" outlineLevel="1">
      <c r="D9" s="77" t="s">
        <v>195</v>
      </c>
      <c r="J9" s="311">
        <f>SUMIFS('Monthly Financials'!$D$35:$BW$35,'Monthly Financials'!$D$10:$BW$10,J$5)</f>
        <v>396.55418142918273</v>
      </c>
      <c r="K9" s="311">
        <f>SUMIFS('Monthly Financials'!$D$35:$BW$35,'Monthly Financials'!$D$10:$BW$10,K$5)</f>
        <v>35679.471822868145</v>
      </c>
      <c r="L9" s="311">
        <f>SUMIFS('Monthly Financials'!$D$35:$BW$35,'Monthly Financials'!$D$10:$BW$10,L$5)</f>
        <v>313355.51186599518</v>
      </c>
      <c r="M9" s="311">
        <f>SUMIFS('Monthly Financials'!$D$35:$BW$35,'Monthly Financials'!$D$10:$BW$10,M$5)</f>
        <v>1294103.7678851779</v>
      </c>
      <c r="N9" s="311">
        <f>SUMIFS('Monthly Financials'!$D$35:$BW$35,'Monthly Financials'!$D$10:$BW$10,N$5)</f>
        <v>4268294.876118334</v>
      </c>
      <c r="O9" s="311">
        <f>SUMIFS('Monthly Financials'!$D$35:$BW$35,'Monthly Financials'!$D$10:$BW$10,O$5)</f>
        <v>11842861.729758505</v>
      </c>
    </row>
    <row r="10" spans="1:15" outlineLevel="1">
      <c r="D10" s="78" t="s">
        <v>196</v>
      </c>
      <c r="E10" s="79"/>
      <c r="F10" s="79"/>
      <c r="G10" s="79"/>
      <c r="H10" s="79"/>
      <c r="I10" s="79"/>
      <c r="J10" s="155">
        <f>J8-J9</f>
        <v>4461.1480864356017</v>
      </c>
      <c r="K10" s="155">
        <f t="shared" ref="K10:O10" si="0">K8-K9</f>
        <v>270962.31391298369</v>
      </c>
      <c r="L10" s="155">
        <f t="shared" si="0"/>
        <v>2904532.262608944</v>
      </c>
      <c r="M10" s="155">
        <f t="shared" si="0"/>
        <v>12878519.946612045</v>
      </c>
      <c r="N10" s="155">
        <f t="shared" si="0"/>
        <v>44132166.524962105</v>
      </c>
      <c r="O10" s="155">
        <f t="shared" si="0"/>
        <v>124854512.81391197</v>
      </c>
    </row>
    <row r="11" spans="1:15" ht="13.5" customHeight="1" outlineLevel="1">
      <c r="D11" s="90" t="s">
        <v>197</v>
      </c>
      <c r="E11" s="72"/>
      <c r="F11" s="72"/>
      <c r="G11" s="72"/>
      <c r="H11" s="72"/>
      <c r="I11" s="72"/>
      <c r="J11" s="91">
        <f>J8/J10</f>
        <v>1.0888906115075916</v>
      </c>
      <c r="K11" s="91">
        <f t="shared" ref="K11:O11" si="1">K8/K10</f>
        <v>1.1316768790006946</v>
      </c>
      <c r="L11" s="91">
        <f t="shared" si="1"/>
        <v>1.1078850167718672</v>
      </c>
      <c r="M11" s="91">
        <f t="shared" si="1"/>
        <v>1.1004854419024772</v>
      </c>
      <c r="N11" s="91">
        <f t="shared" si="1"/>
        <v>1.0967161871308559</v>
      </c>
      <c r="O11" s="91">
        <f t="shared" si="1"/>
        <v>1.0948532933479911</v>
      </c>
    </row>
    <row r="12" spans="1:15" outlineLevel="1">
      <c r="D12" s="64" t="s">
        <v>39</v>
      </c>
      <c r="J12" s="156">
        <f>-SUMIFS('Monthly Financials'!$D$47:$BW$47,'Monthly Financials'!$D$10:$BW$10,J$5)</f>
        <v>-311500</v>
      </c>
      <c r="K12" s="156">
        <f>-SUMIFS('Monthly Financials'!$D$47:$BW$47,'Monthly Financials'!$D$10:$BW$10,K$5)</f>
        <v>-1925094.4614300388</v>
      </c>
      <c r="L12" s="156">
        <f>-SUMIFS('Monthly Financials'!$D$47:$BW$47,'Monthly Financials'!$D$10:$BW$10,L$5)</f>
        <v>-3456847.1968809832</v>
      </c>
      <c r="M12" s="156">
        <f>-SUMIFS('Monthly Financials'!$D$47:$BW$47,'Monthly Financials'!$D$10:$BW$10,M$5)</f>
        <v>-7569585.1019906234</v>
      </c>
      <c r="N12" s="156">
        <f>-SUMIFS('Monthly Financials'!$D$47:$BW$47,'Monthly Financials'!$D$10:$BW$10,N$5)</f>
        <v>-32196162.94497107</v>
      </c>
      <c r="O12" s="156">
        <f>-SUMIFS('Monthly Financials'!$D$47:$BW$47,'Monthly Financials'!$D$10:$BW$10,O$5)</f>
        <v>-84370448.736426145</v>
      </c>
    </row>
    <row r="13" spans="1:15" outlineLevel="1">
      <c r="D13" s="78" t="s">
        <v>198</v>
      </c>
      <c r="E13" s="79"/>
      <c r="F13" s="79"/>
      <c r="G13" s="79"/>
      <c r="H13" s="79"/>
      <c r="I13" s="79"/>
      <c r="J13" s="155">
        <f>SUM(J10,J12)</f>
        <v>-307038.85191356437</v>
      </c>
      <c r="K13" s="155">
        <f t="shared" ref="K13:O13" si="2">SUM(K10,K12)</f>
        <v>-1654132.147517055</v>
      </c>
      <c r="L13" s="155">
        <f t="shared" si="2"/>
        <v>-552314.93427203922</v>
      </c>
      <c r="M13" s="155">
        <f t="shared" si="2"/>
        <v>5308934.8446214218</v>
      </c>
      <c r="N13" s="155">
        <f t="shared" si="2"/>
        <v>11936003.579991035</v>
      </c>
      <c r="O13" s="155">
        <f t="shared" si="2"/>
        <v>40484064.07748583</v>
      </c>
    </row>
    <row r="14" spans="1:15" outlineLevel="1">
      <c r="D14" s="64" t="s">
        <v>452</v>
      </c>
      <c r="J14" s="156">
        <f>-SUMIFS('Monthly Financials'!$D$49:$BW$49,'Monthly Financials'!$D$10:$BW$10,J$5)</f>
        <v>0</v>
      </c>
      <c r="K14" s="156">
        <f>-SUMIFS('Monthly Financials'!$D$49:$BW$49,'Monthly Financials'!$D$10:$BW$10,K$5)</f>
        <v>-20537.710783431965</v>
      </c>
      <c r="L14" s="156">
        <f>-SUMIFS('Monthly Financials'!$D$49:$BW$49,'Monthly Financials'!$D$10:$BW$10,L$5)</f>
        <v>-56628.719956959292</v>
      </c>
      <c r="M14" s="156">
        <f>-SUMIFS('Monthly Financials'!$D$49:$BW$49,'Monthly Financials'!$D$10:$BW$10,M$5)</f>
        <v>-48387.363416235487</v>
      </c>
      <c r="N14" s="156">
        <f>-SUMIFS('Monthly Financials'!$D$49:$BW$49,'Monthly Financials'!$D$10:$BW$10,N$5)</f>
        <v>-39054.719025290382</v>
      </c>
      <c r="O14" s="156">
        <f>-SUMIFS('Monthly Financials'!$D$49:$BW$49,'Monthly Financials'!$D$10:$BW$10,O$5)</f>
        <v>-28486.282761496615</v>
      </c>
    </row>
    <row r="15" spans="1:15" outlineLevel="1">
      <c r="D15" s="64" t="s">
        <v>199</v>
      </c>
      <c r="J15" s="156">
        <f>-SUMIFS('Monthly Financials'!$D$50:$BW$50,'Monthly Financials'!$D$10:$BW$10,J$5)</f>
        <v>0</v>
      </c>
      <c r="K15" s="156">
        <f>-SUMIFS('Monthly Financials'!$D$50:$BW$50,'Monthly Financials'!$D$10:$BW$10,K$5)</f>
        <v>0</v>
      </c>
      <c r="L15" s="156">
        <f>-SUMIFS('Monthly Financials'!$D$50:$BW$50,'Monthly Financials'!$D$10:$BW$10,L$5)</f>
        <v>0</v>
      </c>
      <c r="M15" s="156">
        <f>-SUMIFS('Monthly Financials'!$D$50:$BW$50,'Monthly Financials'!$D$10:$BW$10,M$5)</f>
        <v>-545044.27129294048</v>
      </c>
      <c r="N15" s="156">
        <f>-SUMIFS('Monthly Financials'!$D$50:$BW$50,'Monthly Financials'!$D$10:$BW$10,N$5)</f>
        <v>-2506560.7517981175</v>
      </c>
      <c r="O15" s="156">
        <f>-SUMIFS('Monthly Financials'!$D$50:$BW$50,'Monthly Financials'!$D$10:$BW$10,O$5)</f>
        <v>-8501653.4562720209</v>
      </c>
    </row>
    <row r="16" spans="1:15" s="73" customFormat="1" ht="13.8" outlineLevel="1" thickBot="1">
      <c r="D16" s="80" t="s">
        <v>271</v>
      </c>
      <c r="E16" s="81"/>
      <c r="F16" s="81"/>
      <c r="G16" s="81"/>
      <c r="H16" s="81"/>
      <c r="I16" s="81"/>
      <c r="J16" s="157">
        <f>SUM(J13:J15)</f>
        <v>-307038.85191356437</v>
      </c>
      <c r="K16" s="157">
        <f t="shared" ref="K16:O16" si="3">SUM(K13:K15)</f>
        <v>-1674669.858300487</v>
      </c>
      <c r="L16" s="157">
        <f t="shared" si="3"/>
        <v>-608943.65422899846</v>
      </c>
      <c r="M16" s="157">
        <f t="shared" si="3"/>
        <v>4715503.2099122452</v>
      </c>
      <c r="N16" s="157">
        <f t="shared" si="3"/>
        <v>9390388.109167628</v>
      </c>
      <c r="O16" s="157">
        <f t="shared" si="3"/>
        <v>31953924.338452309</v>
      </c>
    </row>
    <row r="17" spans="4:15" s="73" customFormat="1" outlineLevel="1">
      <c r="D17" s="82" t="s">
        <v>458</v>
      </c>
      <c r="E17" s="74"/>
      <c r="F17" s="74"/>
      <c r="G17" s="74"/>
      <c r="H17" s="74"/>
      <c r="I17" s="74"/>
      <c r="J17" s="91">
        <f t="shared" ref="J17:O17" si="4">IFERROR(J16/J8,0)</f>
        <v>-63.206601595310225</v>
      </c>
      <c r="K17" s="91">
        <f t="shared" si="4"/>
        <v>-5.4613230688106071</v>
      </c>
      <c r="L17" s="91">
        <f t="shared" si="4"/>
        <v>-0.1892370700616989</v>
      </c>
      <c r="M17" s="91">
        <f t="shared" si="4"/>
        <v>0.33271914254583229</v>
      </c>
      <c r="N17" s="91">
        <f t="shared" si="4"/>
        <v>0.19401443369211369</v>
      </c>
      <c r="O17" s="91">
        <f t="shared" si="4"/>
        <v>0.23375667927143726</v>
      </c>
    </row>
    <row r="18" spans="4:15" outlineLevel="1"/>
    <row r="19" spans="4:15"/>
    <row r="20" spans="4:15">
      <c r="D20" s="422" t="str">
        <f>Cover!D3</f>
        <v>Canoja Technologies</v>
      </c>
      <c r="E20" s="422"/>
      <c r="F20" s="422"/>
      <c r="G20" s="422"/>
      <c r="H20" s="422"/>
      <c r="I20" s="422"/>
      <c r="J20" s="423"/>
      <c r="K20" s="423"/>
      <c r="L20" s="423"/>
      <c r="M20" s="423"/>
      <c r="N20" s="423"/>
      <c r="O20" s="423"/>
    </row>
    <row r="21" spans="4:15">
      <c r="D21" s="424" t="s">
        <v>200</v>
      </c>
      <c r="E21" s="425" t="s">
        <v>58</v>
      </c>
      <c r="F21" s="425"/>
      <c r="G21" s="425"/>
      <c r="H21" s="425"/>
      <c r="I21" s="425"/>
      <c r="J21" s="426">
        <f>'Financial Reports'!J3</f>
        <v>45658</v>
      </c>
      <c r="K21" s="426">
        <f>'Financial Reports'!K3</f>
        <v>46023</v>
      </c>
      <c r="L21" s="426">
        <f>'Financial Reports'!L3</f>
        <v>46388</v>
      </c>
      <c r="M21" s="426">
        <f>'Financial Reports'!M3</f>
        <v>46753</v>
      </c>
      <c r="N21" s="426">
        <f>'Financial Reports'!N3</f>
        <v>47119</v>
      </c>
      <c r="O21" s="426">
        <f>'Financial Reports'!O3</f>
        <v>47484</v>
      </c>
    </row>
    <row r="22" spans="4:15">
      <c r="D22" s="422"/>
      <c r="E22" s="425" t="s">
        <v>59</v>
      </c>
      <c r="F22" s="425"/>
      <c r="G22" s="425"/>
      <c r="H22" s="425"/>
      <c r="I22" s="425"/>
      <c r="J22" s="426">
        <f>'Financial Reports'!J4</f>
        <v>46022</v>
      </c>
      <c r="K22" s="426">
        <f>'Financial Reports'!K4</f>
        <v>46387</v>
      </c>
      <c r="L22" s="426">
        <f>'Financial Reports'!L4</f>
        <v>46752</v>
      </c>
      <c r="M22" s="426">
        <f>'Financial Reports'!M4</f>
        <v>47118</v>
      </c>
      <c r="N22" s="426">
        <f>'Financial Reports'!N4</f>
        <v>47483</v>
      </c>
      <c r="O22" s="426">
        <f>'Financial Reports'!O4</f>
        <v>47848</v>
      </c>
    </row>
    <row r="23" spans="4:15">
      <c r="D23" s="422"/>
      <c r="E23" s="422"/>
      <c r="F23" s="422"/>
      <c r="G23" s="422"/>
      <c r="H23" s="422"/>
      <c r="I23" s="422"/>
      <c r="J23" s="427">
        <f>'Financial Reports'!J5</f>
        <v>2025</v>
      </c>
      <c r="K23" s="427">
        <f>'Financial Reports'!K5</f>
        <v>2026</v>
      </c>
      <c r="L23" s="427">
        <f>'Financial Reports'!L5</f>
        <v>2027</v>
      </c>
      <c r="M23" s="427">
        <f>'Financial Reports'!M5</f>
        <v>2028</v>
      </c>
      <c r="N23" s="427">
        <f>'Financial Reports'!N5</f>
        <v>2029</v>
      </c>
      <c r="O23" s="427">
        <f>'Financial Reports'!O5</f>
        <v>2030</v>
      </c>
    </row>
    <row r="24" spans="4:15" outlineLevel="1"/>
    <row r="25" spans="4:15" ht="13.8" outlineLevel="1" thickBot="1">
      <c r="D25" s="65" t="str">
        <f>CONCATENATE("Cashflow statement in ", "USD' million ")</f>
        <v xml:space="preserve">Cashflow statement in USD' million </v>
      </c>
      <c r="E25" s="65"/>
      <c r="F25" s="65"/>
      <c r="G25" s="65"/>
      <c r="H25" s="65"/>
      <c r="J25" s="66"/>
      <c r="K25" s="66"/>
      <c r="L25" s="66"/>
      <c r="M25" s="66"/>
      <c r="N25" s="66"/>
      <c r="O25" s="66"/>
    </row>
    <row r="26" spans="4:15" ht="13.8" outlineLevel="1" thickTop="1">
      <c r="D26" s="83" t="s">
        <v>201</v>
      </c>
      <c r="E26" s="83"/>
      <c r="F26" s="83"/>
      <c r="G26" s="83"/>
      <c r="H26" s="83"/>
      <c r="J26" s="66"/>
      <c r="K26" s="66"/>
      <c r="L26" s="66"/>
      <c r="M26" s="66"/>
      <c r="N26" s="66"/>
      <c r="O26" s="66"/>
    </row>
    <row r="27" spans="4:15" outlineLevel="1">
      <c r="D27" s="64" t="s">
        <v>271</v>
      </c>
      <c r="J27" s="156">
        <f>J16</f>
        <v>-307038.85191356437</v>
      </c>
      <c r="K27" s="156">
        <f t="shared" ref="K27:O27" si="5">K16</f>
        <v>-1674669.858300487</v>
      </c>
      <c r="L27" s="156">
        <f t="shared" si="5"/>
        <v>-608943.65422899846</v>
      </c>
      <c r="M27" s="156">
        <f t="shared" si="5"/>
        <v>4715503.2099122452</v>
      </c>
      <c r="N27" s="156">
        <f t="shared" si="5"/>
        <v>9390388.109167628</v>
      </c>
      <c r="O27" s="156">
        <f t="shared" si="5"/>
        <v>31953924.338452309</v>
      </c>
    </row>
    <row r="28" spans="4:15" outlineLevel="1">
      <c r="D28" s="73" t="s">
        <v>202</v>
      </c>
      <c r="J28" s="101"/>
      <c r="K28" s="101"/>
      <c r="L28" s="101"/>
      <c r="M28" s="101"/>
      <c r="N28" s="101"/>
      <c r="O28" s="101"/>
    </row>
    <row r="29" spans="4:15" outlineLevel="1">
      <c r="D29" s="64" t="s">
        <v>203</v>
      </c>
      <c r="J29" s="156">
        <f>SUMIFS('Monthly Financials'!$D83:$BW83,'Monthly Financials'!$D$10:$BW$10,J$5)</f>
        <v>-23.290353339077733</v>
      </c>
      <c r="K29" s="156">
        <f>SUMIFS('Monthly Financials'!$D83:$BW83,'Monthly Financials'!$D$10:$BW$10,K$5)</f>
        <v>-740.03385305478866</v>
      </c>
      <c r="L29" s="156">
        <f>SUMIFS('Monthly Financials'!$D83:$BW83,'Monthly Financials'!$D$10:$BW$10,L$5)</f>
        <v>-6894.8185441845526</v>
      </c>
      <c r="M29" s="156">
        <f>SUMIFS('Monthly Financials'!$D83:$BW83,'Monthly Financials'!$D$10:$BW$10,M$5)</f>
        <v>-24659.693418468738</v>
      </c>
      <c r="N29" s="156">
        <f>SUMIFS('Monthly Financials'!$D83:$BW83,'Monthly Financials'!$D$10:$BW$10,N$5)</f>
        <v>-74236.164924830824</v>
      </c>
      <c r="O29" s="156">
        <f>SUMIFS('Monthly Financials'!$D83:$BW83,'Monthly Financials'!$D$10:$BW$10,O$5)</f>
        <v>-183843.33302812531</v>
      </c>
    </row>
    <row r="30" spans="4:15" outlineLevel="1">
      <c r="D30" s="64" t="s">
        <v>204</v>
      </c>
      <c r="J30" s="156">
        <f>'Financial Reports'!J64-'Financial Reports'!I64</f>
        <v>8.1483735910106034</v>
      </c>
      <c r="K30" s="156">
        <f>'Financial Reports'!K64-'Financial Reports'!J64</f>
        <v>251.16144727044812</v>
      </c>
      <c r="L30" s="156">
        <f>'Financial Reports'!L64-'Financial Reports'!K64</f>
        <v>2357.4069304131776</v>
      </c>
      <c r="M30" s="156">
        <f>'Financial Reports'!M64-'Financial Reports'!L64</f>
        <v>8437.8502141207882</v>
      </c>
      <c r="N30" s="156">
        <f>'Financial Reports'!N64-'Financial Reports'!M64</f>
        <v>25427.510026086813</v>
      </c>
      <c r="O30" s="156">
        <f>'Financial Reports'!O64-'Financial Reports'!N64</f>
        <v>62973.907730973668</v>
      </c>
    </row>
    <row r="31" spans="4:15" outlineLevel="1">
      <c r="D31" s="78" t="s">
        <v>205</v>
      </c>
      <c r="E31" s="78"/>
      <c r="F31" s="78"/>
      <c r="G31" s="78"/>
      <c r="H31" s="78"/>
      <c r="I31" s="78"/>
      <c r="J31" s="132">
        <f t="shared" ref="J31:O31" si="6">SUM(J29:J30)</f>
        <v>-15.141979748067129</v>
      </c>
      <c r="K31" s="132">
        <f t="shared" si="6"/>
        <v>-488.87240578434057</v>
      </c>
      <c r="L31" s="132">
        <f t="shared" si="6"/>
        <v>-4537.4116137713754</v>
      </c>
      <c r="M31" s="132">
        <f t="shared" si="6"/>
        <v>-16221.84320434795</v>
      </c>
      <c r="N31" s="132">
        <f t="shared" si="6"/>
        <v>-48808.654898744011</v>
      </c>
      <c r="O31" s="132">
        <f t="shared" si="6"/>
        <v>-120869.42529715164</v>
      </c>
    </row>
    <row r="32" spans="4:15" outlineLevel="1">
      <c r="D32" s="79" t="s">
        <v>206</v>
      </c>
      <c r="E32" s="79"/>
      <c r="F32" s="79"/>
      <c r="G32" s="79"/>
      <c r="H32" s="79"/>
      <c r="I32" s="79"/>
      <c r="J32" s="155">
        <f>SUM(J31,J27)</f>
        <v>-307053.99389331246</v>
      </c>
      <c r="K32" s="155">
        <f t="shared" ref="K32:O32" si="7">SUM(K31,K27)</f>
        <v>-1675158.7307062715</v>
      </c>
      <c r="L32" s="155">
        <f t="shared" si="7"/>
        <v>-613481.06584276981</v>
      </c>
      <c r="M32" s="155">
        <f t="shared" si="7"/>
        <v>4699281.3667078968</v>
      </c>
      <c r="N32" s="155">
        <f t="shared" si="7"/>
        <v>9341579.4542688839</v>
      </c>
      <c r="O32" s="155">
        <f t="shared" si="7"/>
        <v>31833054.913155157</v>
      </c>
    </row>
    <row r="33" spans="4:15" outlineLevel="1">
      <c r="J33" s="98"/>
      <c r="K33" s="98"/>
      <c r="L33" s="98"/>
      <c r="M33" s="98"/>
      <c r="N33" s="98"/>
      <c r="O33" s="98"/>
    </row>
    <row r="34" spans="4:15" outlineLevel="1">
      <c r="D34" s="83" t="s">
        <v>207</v>
      </c>
      <c r="E34" s="83"/>
      <c r="F34" s="83"/>
      <c r="G34" s="83"/>
      <c r="H34" s="83"/>
      <c r="J34" s="98"/>
      <c r="K34" s="98"/>
      <c r="L34" s="98"/>
      <c r="M34" s="98"/>
      <c r="N34" s="98"/>
      <c r="O34" s="98"/>
    </row>
    <row r="35" spans="4:15" outlineLevel="1">
      <c r="D35" s="78" t="s">
        <v>208</v>
      </c>
      <c r="E35" s="78"/>
      <c r="F35" s="78"/>
      <c r="G35" s="78"/>
      <c r="H35" s="78"/>
      <c r="I35" s="78"/>
      <c r="J35" s="102">
        <v>0</v>
      </c>
      <c r="K35" s="102">
        <v>0</v>
      </c>
      <c r="L35" s="102">
        <v>0</v>
      </c>
      <c r="M35" s="102">
        <v>0</v>
      </c>
      <c r="N35" s="102">
        <v>0</v>
      </c>
      <c r="O35" s="102">
        <v>0</v>
      </c>
    </row>
    <row r="36" spans="4:15" outlineLevel="1">
      <c r="J36" s="98"/>
      <c r="K36" s="98"/>
      <c r="L36" s="98"/>
      <c r="M36" s="98"/>
      <c r="N36" s="98"/>
      <c r="O36" s="98"/>
    </row>
    <row r="37" spans="4:15" outlineLevel="1">
      <c r="D37" s="83" t="s">
        <v>209</v>
      </c>
      <c r="E37" s="83"/>
      <c r="F37" s="83"/>
      <c r="G37" s="83"/>
      <c r="H37" s="83"/>
      <c r="J37" s="98"/>
      <c r="K37" s="98"/>
      <c r="L37" s="98"/>
      <c r="M37" s="98"/>
      <c r="N37" s="98"/>
      <c r="O37" s="98"/>
    </row>
    <row r="38" spans="4:15" outlineLevel="1">
      <c r="D38" s="64" t="str">
        <f>'Monthly Financials'!B89</f>
        <v>SAFE</v>
      </c>
      <c r="J38" s="156">
        <f>SUMIFS('Monthly Financials'!$D89:$BW89,'Monthly Financials'!$D$10:$BW$10,J$5)</f>
        <v>549000</v>
      </c>
      <c r="K38" s="156">
        <f>SUMIFS('Monthly Financials'!$D89:$BW89,'Monthly Financials'!$D$10:$BW$10,K$5)</f>
        <v>0</v>
      </c>
      <c r="L38" s="156">
        <f>SUMIFS('Monthly Financials'!$D89:$BW89,'Monthly Financials'!$D$10:$BW$10,L$5)</f>
        <v>0</v>
      </c>
      <c r="M38" s="156">
        <f>SUMIFS('Monthly Financials'!$D89:$BW89,'Monthly Financials'!$D$10:$BW$10,M$5)</f>
        <v>0</v>
      </c>
      <c r="N38" s="156">
        <f>SUMIFS('Monthly Financials'!$D89:$BW89,'Monthly Financials'!$D$10:$BW$10,N$5)</f>
        <v>0</v>
      </c>
      <c r="O38" s="156">
        <f>SUMIFS('Monthly Financials'!$D89:$BW89,'Monthly Financials'!$D$10:$BW$10,O$5)</f>
        <v>0</v>
      </c>
    </row>
    <row r="39" spans="4:15" outlineLevel="1">
      <c r="D39" s="64" t="str">
        <f>'Monthly Financials'!B90</f>
        <v>Seed</v>
      </c>
      <c r="J39" s="156">
        <f>SUMIFS('Monthly Financials'!$D90:$BW90,'Monthly Financials'!$D$10:$BW$10,J$5)</f>
        <v>0</v>
      </c>
      <c r="K39" s="156">
        <f>SUMIFS('Monthly Financials'!$D90:$BW90,'Monthly Financials'!$D$10:$BW$10,K$5)</f>
        <v>3000000</v>
      </c>
      <c r="L39" s="156">
        <f>SUMIFS('Monthly Financials'!$D90:$BW90,'Monthly Financials'!$D$10:$BW$10,L$5)</f>
        <v>0</v>
      </c>
      <c r="M39" s="156">
        <f>SUMIFS('Monthly Financials'!$D90:$BW90,'Monthly Financials'!$D$10:$BW$10,M$5)</f>
        <v>0</v>
      </c>
      <c r="N39" s="156">
        <f>SUMIFS('Monthly Financials'!$D90:$BW90,'Monthly Financials'!$D$10:$BW$10,N$5)</f>
        <v>0</v>
      </c>
      <c r="O39" s="156">
        <f>SUMIFS('Monthly Financials'!$D90:$BW90,'Monthly Financials'!$D$10:$BW$10,O$5)</f>
        <v>0</v>
      </c>
    </row>
    <row r="40" spans="4:15" outlineLevel="1">
      <c r="D40" s="64" t="str">
        <f>'Monthly Financials'!B91</f>
        <v>Series A</v>
      </c>
      <c r="J40" s="156">
        <f>SUMIFS('Monthly Financials'!$D91:$BW91,'Monthly Financials'!$D$10:$BW$10,J$5)</f>
        <v>0</v>
      </c>
      <c r="K40" s="156">
        <f>SUMIFS('Monthly Financials'!$D91:$BW91,'Monthly Financials'!$D$10:$BW$10,K$5)</f>
        <v>0</v>
      </c>
      <c r="L40" s="156">
        <f>SUMIFS('Monthly Financials'!$D91:$BW91,'Monthly Financials'!$D$10:$BW$10,L$5)</f>
        <v>10000000</v>
      </c>
      <c r="M40" s="156">
        <f>SUMIFS('Monthly Financials'!$D91:$BW91,'Monthly Financials'!$D$10:$BW$10,M$5)</f>
        <v>0</v>
      </c>
      <c r="N40" s="156">
        <f>SUMIFS('Monthly Financials'!$D91:$BW91,'Monthly Financials'!$D$10:$BW$10,N$5)</f>
        <v>0</v>
      </c>
      <c r="O40" s="156">
        <f>SUMIFS('Monthly Financials'!$D91:$BW91,'Monthly Financials'!$D$10:$BW$10,O$5)</f>
        <v>0</v>
      </c>
    </row>
    <row r="41" spans="4:15" outlineLevel="1">
      <c r="D41" s="64" t="str">
        <f>'Monthly Financials'!B92</f>
        <v>Series B</v>
      </c>
      <c r="J41" s="156">
        <f>SUMIFS('Monthly Financials'!$D92:$BW92,'Monthly Financials'!$D$10:$BW$10,J$5)</f>
        <v>0</v>
      </c>
      <c r="K41" s="156">
        <f>SUMIFS('Monthly Financials'!$D92:$BW92,'Monthly Financials'!$D$10:$BW$10,K$5)</f>
        <v>0</v>
      </c>
      <c r="L41" s="156">
        <f>SUMIFS('Monthly Financials'!$D92:$BW92,'Monthly Financials'!$D$10:$BW$10,L$5)</f>
        <v>0</v>
      </c>
      <c r="M41" s="156">
        <f>SUMIFS('Monthly Financials'!$D92:$BW92,'Monthly Financials'!$D$10:$BW$10,M$5)</f>
        <v>25000000</v>
      </c>
      <c r="N41" s="156">
        <f>SUMIFS('Monthly Financials'!$D92:$BW92,'Monthly Financials'!$D$10:$BW$10,N$5)</f>
        <v>0</v>
      </c>
      <c r="O41" s="156">
        <f>SUMIFS('Monthly Financials'!$D92:$BW92,'Monthly Financials'!$D$10:$BW$10,O$5)</f>
        <v>0</v>
      </c>
    </row>
    <row r="42" spans="4:15" outlineLevel="1">
      <c r="D42" s="64" t="str">
        <f>'Monthly Financials'!B93</f>
        <v>Bank Debt</v>
      </c>
      <c r="J42" s="156">
        <f>SUMIFS('Monthly Financials'!$D93:$BW93,'Monthly Financials'!$D$10:$BW$10,J$5)</f>
        <v>0</v>
      </c>
      <c r="K42" s="156">
        <f>SUMIFS('Monthly Financials'!$D93:$BW93,'Monthly Financials'!$D$10:$BW$10,K$5)</f>
        <v>480915.35338016186</v>
      </c>
      <c r="L42" s="156">
        <f>SUMIFS('Monthly Financials'!$D93:$BW93,'Monthly Financials'!$D$10:$BW$10,L$5)</f>
        <v>-62238.352252851066</v>
      </c>
      <c r="M42" s="156">
        <f>SUMIFS('Monthly Financials'!$D93:$BW93,'Monthly Financials'!$D$10:$BW$10,M$5)</f>
        <v>-70479.708793574944</v>
      </c>
      <c r="N42" s="156">
        <f>SUMIFS('Monthly Financials'!$D93:$BW93,'Monthly Financials'!$D$10:$BW$10,N$5)</f>
        <v>-79812.353184520034</v>
      </c>
      <c r="O42" s="156">
        <f>SUMIFS('Monthly Financials'!$D93:$BW93,'Monthly Financials'!$D$10:$BW$10,O$5)</f>
        <v>-90380.789448313764</v>
      </c>
    </row>
    <row r="43" spans="4:15" outlineLevel="1">
      <c r="D43" s="78" t="s">
        <v>210</v>
      </c>
      <c r="E43" s="78"/>
      <c r="F43" s="78"/>
      <c r="G43" s="78"/>
      <c r="H43" s="78"/>
      <c r="I43" s="78"/>
      <c r="J43" s="155">
        <f t="shared" ref="J43:O43" si="8">SUM(J38:J42)</f>
        <v>549000</v>
      </c>
      <c r="K43" s="155">
        <f t="shared" si="8"/>
        <v>3480915.3533801618</v>
      </c>
      <c r="L43" s="155">
        <f t="shared" si="8"/>
        <v>9937761.6477471497</v>
      </c>
      <c r="M43" s="155">
        <f t="shared" si="8"/>
        <v>24929520.291206427</v>
      </c>
      <c r="N43" s="155">
        <f t="shared" si="8"/>
        <v>-79812.353184520034</v>
      </c>
      <c r="O43" s="155">
        <f t="shared" si="8"/>
        <v>-90380.789448313764</v>
      </c>
    </row>
    <row r="44" spans="4:15" outlineLevel="1">
      <c r="J44" s="101"/>
      <c r="K44" s="101"/>
      <c r="L44" s="101"/>
      <c r="M44" s="101"/>
      <c r="N44" s="101"/>
      <c r="O44" s="101"/>
    </row>
    <row r="45" spans="4:15" outlineLevel="1">
      <c r="D45" s="64" t="s">
        <v>212</v>
      </c>
      <c r="J45" s="392">
        <f>'Monthly Financials'!D96</f>
        <v>0</v>
      </c>
      <c r="K45" s="87">
        <f>J47</f>
        <v>241946.00610668754</v>
      </c>
      <c r="L45" s="87">
        <f>K47</f>
        <v>2047702.6287805778</v>
      </c>
      <c r="M45" s="87">
        <f>L47</f>
        <v>11371983.210684957</v>
      </c>
      <c r="N45" s="87">
        <f>M47</f>
        <v>41000784.868599281</v>
      </c>
      <c r="O45" s="87">
        <f>N47</f>
        <v>50262551.969683647</v>
      </c>
    </row>
    <row r="46" spans="4:15" outlineLevel="1">
      <c r="D46" s="64" t="s">
        <v>211</v>
      </c>
      <c r="J46" s="87">
        <f t="shared" ref="J46:O46" si="9">J32+J35+J43</f>
        <v>241946.00610668754</v>
      </c>
      <c r="K46" s="87">
        <f t="shared" si="9"/>
        <v>1805756.6226738903</v>
      </c>
      <c r="L46" s="87">
        <f t="shared" si="9"/>
        <v>9324280.5819043797</v>
      </c>
      <c r="M46" s="87">
        <f t="shared" si="9"/>
        <v>29628801.657914326</v>
      </c>
      <c r="N46" s="87">
        <f t="shared" si="9"/>
        <v>9261767.1010843646</v>
      </c>
      <c r="O46" s="87">
        <f t="shared" si="9"/>
        <v>31742674.123706844</v>
      </c>
    </row>
    <row r="47" spans="4:15" ht="13.8" outlineLevel="1" thickBot="1">
      <c r="D47" s="81" t="s">
        <v>213</v>
      </c>
      <c r="E47" s="81"/>
      <c r="F47" s="81"/>
      <c r="G47" s="81"/>
      <c r="H47" s="81"/>
      <c r="I47" s="81"/>
      <c r="J47" s="157">
        <f>SUM(J45:J46)</f>
        <v>241946.00610668754</v>
      </c>
      <c r="K47" s="157">
        <f t="shared" ref="K47:O47" si="10">SUM(K45:K46)</f>
        <v>2047702.6287805778</v>
      </c>
      <c r="L47" s="157">
        <f t="shared" si="10"/>
        <v>11371983.210684957</v>
      </c>
      <c r="M47" s="157">
        <f t="shared" si="10"/>
        <v>41000784.868599281</v>
      </c>
      <c r="N47" s="157">
        <f t="shared" si="10"/>
        <v>50262551.969683647</v>
      </c>
      <c r="O47" s="157">
        <f t="shared" si="10"/>
        <v>82005226.093390495</v>
      </c>
    </row>
    <row r="48" spans="4:15" outlineLevel="1">
      <c r="D48" s="74"/>
      <c r="E48" s="74"/>
      <c r="F48" s="74"/>
      <c r="G48" s="74"/>
      <c r="H48" s="74"/>
      <c r="I48" s="74"/>
      <c r="J48" s="104"/>
      <c r="K48" s="104"/>
      <c r="L48" s="104"/>
      <c r="M48" s="104"/>
      <c r="N48" s="104"/>
      <c r="O48" s="104"/>
    </row>
    <row r="49" spans="4:15" outlineLevel="1"/>
    <row r="50" spans="4:15"/>
    <row r="51" spans="4:15">
      <c r="D51" s="422" t="str">
        <f>Cover!D3</f>
        <v>Canoja Technologies</v>
      </c>
      <c r="E51" s="422"/>
      <c r="F51" s="422"/>
      <c r="G51" s="422"/>
      <c r="H51" s="422"/>
      <c r="I51" s="422"/>
      <c r="J51" s="423"/>
      <c r="K51" s="423"/>
      <c r="L51" s="423"/>
      <c r="M51" s="423"/>
      <c r="N51" s="423"/>
      <c r="O51" s="423"/>
    </row>
    <row r="52" spans="4:15">
      <c r="D52" s="424" t="s">
        <v>214</v>
      </c>
      <c r="E52" s="425" t="s">
        <v>58</v>
      </c>
      <c r="F52" s="425"/>
      <c r="G52" s="425"/>
      <c r="H52" s="425"/>
      <c r="I52" s="425"/>
      <c r="J52" s="426">
        <f>'Financial Reports'!J21</f>
        <v>45658</v>
      </c>
      <c r="K52" s="426">
        <f>'Financial Reports'!K21</f>
        <v>46023</v>
      </c>
      <c r="L52" s="426">
        <f>'Financial Reports'!L21</f>
        <v>46388</v>
      </c>
      <c r="M52" s="426">
        <f>'Financial Reports'!M21</f>
        <v>46753</v>
      </c>
      <c r="N52" s="426">
        <f>'Financial Reports'!N21</f>
        <v>47119</v>
      </c>
      <c r="O52" s="426">
        <f>'Financial Reports'!O21</f>
        <v>47484</v>
      </c>
    </row>
    <row r="53" spans="4:15">
      <c r="D53" s="422"/>
      <c r="E53" s="425" t="s">
        <v>59</v>
      </c>
      <c r="F53" s="425"/>
      <c r="G53" s="425"/>
      <c r="H53" s="425"/>
      <c r="I53" s="425"/>
      <c r="J53" s="426">
        <f>'Financial Reports'!J22</f>
        <v>46022</v>
      </c>
      <c r="K53" s="426">
        <f>'Financial Reports'!K22</f>
        <v>46387</v>
      </c>
      <c r="L53" s="426">
        <f>'Financial Reports'!L22</f>
        <v>46752</v>
      </c>
      <c r="M53" s="426">
        <f>'Financial Reports'!M22</f>
        <v>47118</v>
      </c>
      <c r="N53" s="426">
        <f>'Financial Reports'!N22</f>
        <v>47483</v>
      </c>
      <c r="O53" s="426">
        <f>'Financial Reports'!O22</f>
        <v>47848</v>
      </c>
    </row>
    <row r="54" spans="4:15">
      <c r="D54" s="422"/>
      <c r="E54" s="422"/>
      <c r="F54" s="422"/>
      <c r="G54" s="422"/>
      <c r="H54" s="422"/>
      <c r="I54" s="422"/>
      <c r="J54" s="427">
        <f>'Financial Reports'!J5</f>
        <v>2025</v>
      </c>
      <c r="K54" s="427">
        <f>'Financial Reports'!K5</f>
        <v>2026</v>
      </c>
      <c r="L54" s="427">
        <f>'Financial Reports'!L5</f>
        <v>2027</v>
      </c>
      <c r="M54" s="427">
        <f>'Financial Reports'!M5</f>
        <v>2028</v>
      </c>
      <c r="N54" s="427">
        <f>'Financial Reports'!N5</f>
        <v>2029</v>
      </c>
      <c r="O54" s="427">
        <f>'Financial Reports'!O5</f>
        <v>2030</v>
      </c>
    </row>
    <row r="55" spans="4:15" outlineLevel="1"/>
    <row r="56" spans="4:15" ht="13.8" outlineLevel="1" thickBot="1">
      <c r="D56" s="65" t="str">
        <f>CONCATENATE("Statement of financial position in ", "USD' million ")</f>
        <v xml:space="preserve">Statement of financial position in USD' million </v>
      </c>
      <c r="E56" s="65"/>
      <c r="F56" s="65"/>
      <c r="G56" s="65"/>
      <c r="H56" s="65"/>
      <c r="I56" s="65"/>
      <c r="J56" s="71"/>
      <c r="K56" s="66"/>
      <c r="L56" s="66"/>
      <c r="M56" s="66"/>
      <c r="N56" s="66"/>
      <c r="O56" s="66"/>
    </row>
    <row r="57" spans="4:15" ht="13.8" outlineLevel="1" thickTop="1">
      <c r="D57" s="83" t="s">
        <v>215</v>
      </c>
      <c r="E57" s="83"/>
      <c r="F57" s="83"/>
      <c r="G57" s="83"/>
      <c r="H57" s="83"/>
      <c r="I57" s="83"/>
      <c r="J57" s="87"/>
      <c r="K57" s="87"/>
      <c r="L57" s="87"/>
      <c r="M57" s="87"/>
      <c r="N57" s="87"/>
      <c r="O57" s="87"/>
    </row>
    <row r="58" spans="4:15" outlineLevel="1">
      <c r="D58" s="64" t="s">
        <v>216</v>
      </c>
      <c r="J58" s="156">
        <f>J47</f>
        <v>241946.00610668754</v>
      </c>
      <c r="K58" s="156">
        <f t="shared" ref="K58:O58" si="11">K47</f>
        <v>2047702.6287805778</v>
      </c>
      <c r="L58" s="156">
        <f t="shared" si="11"/>
        <v>11371983.210684957</v>
      </c>
      <c r="M58" s="156">
        <f t="shared" si="11"/>
        <v>41000784.868599281</v>
      </c>
      <c r="N58" s="156">
        <f t="shared" si="11"/>
        <v>50262551.969683647</v>
      </c>
      <c r="O58" s="156">
        <f t="shared" si="11"/>
        <v>82005226.093390495</v>
      </c>
    </row>
    <row r="59" spans="4:15" outlineLevel="1">
      <c r="D59" s="64" t="s">
        <v>192</v>
      </c>
      <c r="J59" s="156">
        <f>SUMIFS('Monthly Financials'!$D$57:$BW$57,'Monthly Financials'!$D$6:$BW$6,J$53)</f>
        <v>23.290353339077733</v>
      </c>
      <c r="K59" s="156">
        <f>SUMIFS('Monthly Financials'!$D$57:$BW$57,'Monthly Financials'!$D$6:$BW$6,K$53)</f>
        <v>763.32420639386635</v>
      </c>
      <c r="L59" s="156">
        <f>SUMIFS('Monthly Financials'!$D$57:$BW$57,'Monthly Financials'!$D$6:$BW$6,L$53)</f>
        <v>7658.1427505784195</v>
      </c>
      <c r="M59" s="156">
        <f>SUMIFS('Monthly Financials'!$D$57:$BW$57,'Monthly Financials'!$D$6:$BW$6,M$53)</f>
        <v>32317.836169047157</v>
      </c>
      <c r="N59" s="156">
        <f>SUMIFS('Monthly Financials'!$D$57:$BW$57,'Monthly Financials'!$D$6:$BW$6,N$53)</f>
        <v>106554.00109387799</v>
      </c>
      <c r="O59" s="156">
        <f>SUMIFS('Monthly Financials'!$D$57:$BW$57,'Monthly Financials'!$D$6:$BW$6,O$53)</f>
        <v>290397.33412200329</v>
      </c>
    </row>
    <row r="60" spans="4:15" outlineLevel="1">
      <c r="D60" s="78" t="s">
        <v>217</v>
      </c>
      <c r="E60" s="78"/>
      <c r="F60" s="78"/>
      <c r="G60" s="78"/>
      <c r="H60" s="78"/>
      <c r="I60" s="78"/>
      <c r="J60" s="155">
        <f t="shared" ref="J60:O60" si="12">SUM(J58:J59)</f>
        <v>241969.29646002661</v>
      </c>
      <c r="K60" s="155">
        <f t="shared" si="12"/>
        <v>2048465.9529869717</v>
      </c>
      <c r="L60" s="155">
        <f t="shared" si="12"/>
        <v>11379641.353435535</v>
      </c>
      <c r="M60" s="155">
        <f t="shared" si="12"/>
        <v>41033102.70476833</v>
      </c>
      <c r="N60" s="155">
        <f t="shared" si="12"/>
        <v>50369105.970777526</v>
      </c>
      <c r="O60" s="155">
        <f t="shared" si="12"/>
        <v>82295623.427512497</v>
      </c>
    </row>
    <row r="61" spans="4:15" outlineLevel="1">
      <c r="D61" s="73" t="s">
        <v>218</v>
      </c>
      <c r="E61" s="73"/>
      <c r="F61" s="73"/>
      <c r="G61" s="73"/>
      <c r="H61" s="73"/>
      <c r="I61" s="73"/>
      <c r="J61" s="158">
        <f>J60</f>
        <v>241969.29646002661</v>
      </c>
      <c r="K61" s="158">
        <f t="shared" ref="K61:O61" si="13">K60</f>
        <v>2048465.9529869717</v>
      </c>
      <c r="L61" s="158">
        <f t="shared" si="13"/>
        <v>11379641.353435535</v>
      </c>
      <c r="M61" s="158">
        <f t="shared" si="13"/>
        <v>41033102.70476833</v>
      </c>
      <c r="N61" s="158">
        <f t="shared" si="13"/>
        <v>50369105.970777526</v>
      </c>
      <c r="O61" s="158">
        <f t="shared" si="13"/>
        <v>82295623.427512497</v>
      </c>
    </row>
    <row r="62" spans="4:15" outlineLevel="1">
      <c r="J62" s="87"/>
      <c r="K62" s="87"/>
      <c r="L62" s="87"/>
      <c r="M62" s="87"/>
      <c r="N62" s="87"/>
      <c r="O62" s="87"/>
    </row>
    <row r="63" spans="4:15" outlineLevel="1">
      <c r="D63" s="83" t="s">
        <v>219</v>
      </c>
      <c r="E63" s="83"/>
      <c r="F63" s="83"/>
      <c r="G63" s="83"/>
      <c r="H63" s="83"/>
      <c r="I63" s="83"/>
      <c r="J63" s="87"/>
      <c r="K63" s="87"/>
      <c r="L63" s="87"/>
      <c r="M63" s="87"/>
      <c r="N63" s="87"/>
      <c r="O63" s="87"/>
    </row>
    <row r="64" spans="4:15" outlineLevel="1">
      <c r="D64" s="64" t="s">
        <v>193</v>
      </c>
      <c r="J64" s="156">
        <f>SUMIFS('Monthly Financials'!$D$62:$BW$62,'Monthly Financials'!$D$6:$BW$6,J$53)</f>
        <v>8.1483735910106034</v>
      </c>
      <c r="K64" s="156">
        <f>SUMIFS('Monthly Financials'!$D$62:$BW$62,'Monthly Financials'!$D$6:$BW$6,K$53)</f>
        <v>259.30982086145872</v>
      </c>
      <c r="L64" s="156">
        <f>SUMIFS('Monthly Financials'!$D$62:$BW$62,'Monthly Financials'!$D$6:$BW$6,L$53)</f>
        <v>2616.7167512746364</v>
      </c>
      <c r="M64" s="156">
        <f>SUMIFS('Monthly Financials'!$D$62:$BW$62,'Monthly Financials'!$D$6:$BW$6,M$53)</f>
        <v>11054.566965395425</v>
      </c>
      <c r="N64" s="156">
        <f>SUMIFS('Monthly Financials'!$D$62:$BW$62,'Monthly Financials'!$D$6:$BW$6,N$53)</f>
        <v>36482.076991482238</v>
      </c>
      <c r="O64" s="156">
        <f>SUMIFS('Monthly Financials'!$D$62:$BW$62,'Monthly Financials'!$D$6:$BW$6,O$53)</f>
        <v>99455.984722455905</v>
      </c>
    </row>
    <row r="65" spans="4:15" outlineLevel="1">
      <c r="D65" s="78" t="s">
        <v>220</v>
      </c>
      <c r="E65" s="78"/>
      <c r="F65" s="78"/>
      <c r="G65" s="78"/>
      <c r="H65" s="78"/>
      <c r="I65" s="84"/>
      <c r="J65" s="155">
        <f t="shared" ref="J65:O65" si="14">SUM(J64:J64)</f>
        <v>8.1483735910106034</v>
      </c>
      <c r="K65" s="155">
        <f t="shared" si="14"/>
        <v>259.30982086145872</v>
      </c>
      <c r="L65" s="155">
        <f t="shared" si="14"/>
        <v>2616.7167512746364</v>
      </c>
      <c r="M65" s="155">
        <f t="shared" si="14"/>
        <v>11054.566965395425</v>
      </c>
      <c r="N65" s="155">
        <f t="shared" si="14"/>
        <v>36482.076991482238</v>
      </c>
      <c r="O65" s="155">
        <f t="shared" si="14"/>
        <v>99455.984722455905</v>
      </c>
    </row>
    <row r="66" spans="4:15" outlineLevel="1">
      <c r="D66" s="74"/>
      <c r="E66" s="74"/>
      <c r="F66" s="74"/>
      <c r="G66" s="74"/>
      <c r="H66" s="74"/>
      <c r="I66" s="436"/>
      <c r="J66" s="391"/>
      <c r="K66" s="391"/>
      <c r="L66" s="391"/>
      <c r="M66" s="391"/>
      <c r="N66" s="391"/>
      <c r="O66" s="391"/>
    </row>
    <row r="67" spans="4:15" outlineLevel="1">
      <c r="D67" s="83" t="s">
        <v>459</v>
      </c>
      <c r="E67" s="83"/>
      <c r="F67" s="83"/>
      <c r="G67" s="83"/>
      <c r="H67" s="83"/>
      <c r="I67" s="83"/>
      <c r="J67" s="87"/>
      <c r="K67" s="87"/>
      <c r="L67" s="87"/>
      <c r="M67" s="87"/>
      <c r="N67" s="87"/>
      <c r="O67" s="87"/>
    </row>
    <row r="68" spans="4:15" outlineLevel="1">
      <c r="D68" s="64" t="s">
        <v>449</v>
      </c>
      <c r="J68" s="156">
        <f>SUMIFS('Monthly Financials'!$D$65:$BW$65,'Monthly Financials'!$D$6:$BW$6,J$53)</f>
        <v>0</v>
      </c>
      <c r="K68" s="156">
        <f>SUMIFS('Monthly Financials'!$D$65:$BW$65,'Monthly Financials'!$D$6:$BW$6,K$53)</f>
        <v>480915.35338016186</v>
      </c>
      <c r="L68" s="156">
        <f>SUMIFS('Monthly Financials'!$D$65:$BW$65,'Monthly Financials'!$D$6:$BW$6,L$53)</f>
        <v>418677.0011273108</v>
      </c>
      <c r="M68" s="156">
        <f>SUMIFS('Monthly Financials'!$D$65:$BW$65,'Monthly Financials'!$D$6:$BW$6,M$53)</f>
        <v>348197.29233373585</v>
      </c>
      <c r="N68" s="156">
        <f>SUMIFS('Monthly Financials'!$D$65:$BW$65,'Monthly Financials'!$D$6:$BW$6,N$53)</f>
        <v>268384.93914921582</v>
      </c>
      <c r="O68" s="156">
        <f>SUMIFS('Monthly Financials'!$D$65:$BW$65,'Monthly Financials'!$D$6:$BW$6,O$53)</f>
        <v>178004.14970090205</v>
      </c>
    </row>
    <row r="69" spans="4:15" outlineLevel="1">
      <c r="D69" s="78" t="s">
        <v>460</v>
      </c>
      <c r="E69" s="78"/>
      <c r="F69" s="78"/>
      <c r="G69" s="78"/>
      <c r="H69" s="78"/>
      <c r="I69" s="84"/>
      <c r="J69" s="155">
        <f t="shared" ref="J69:O69" si="15">SUM(J68:J68)</f>
        <v>0</v>
      </c>
      <c r="K69" s="155">
        <f t="shared" si="15"/>
        <v>480915.35338016186</v>
      </c>
      <c r="L69" s="155">
        <f t="shared" si="15"/>
        <v>418677.0011273108</v>
      </c>
      <c r="M69" s="155">
        <f t="shared" si="15"/>
        <v>348197.29233373585</v>
      </c>
      <c r="N69" s="155">
        <f t="shared" si="15"/>
        <v>268384.93914921582</v>
      </c>
      <c r="O69" s="155">
        <f t="shared" si="15"/>
        <v>178004.14970090205</v>
      </c>
    </row>
    <row r="70" spans="4:15" outlineLevel="1">
      <c r="D70" s="73" t="s">
        <v>221</v>
      </c>
      <c r="E70" s="73"/>
      <c r="F70" s="73"/>
      <c r="G70" s="73"/>
      <c r="H70" s="73"/>
      <c r="I70" s="73"/>
      <c r="J70" s="158">
        <f>J65+J69</f>
        <v>8.1483735910106034</v>
      </c>
      <c r="K70" s="158">
        <f t="shared" ref="K70:O70" si="16">K65+K69</f>
        <v>481174.6632010233</v>
      </c>
      <c r="L70" s="158">
        <f t="shared" si="16"/>
        <v>421293.71787858545</v>
      </c>
      <c r="M70" s="158">
        <f t="shared" si="16"/>
        <v>359251.85929913126</v>
      </c>
      <c r="N70" s="158">
        <f t="shared" si="16"/>
        <v>304867.01614069805</v>
      </c>
      <c r="O70" s="158">
        <f t="shared" si="16"/>
        <v>277460.13442335796</v>
      </c>
    </row>
    <row r="71" spans="4:15" outlineLevel="1">
      <c r="J71" s="87"/>
      <c r="K71" s="87"/>
      <c r="L71" s="87"/>
      <c r="M71" s="87"/>
      <c r="N71" s="87"/>
      <c r="O71" s="87"/>
    </row>
    <row r="72" spans="4:15" outlineLevel="1">
      <c r="D72" s="83" t="s">
        <v>222</v>
      </c>
      <c r="E72" s="83"/>
      <c r="F72" s="83"/>
      <c r="G72" s="83"/>
      <c r="H72" s="83"/>
      <c r="I72" s="83"/>
      <c r="J72" s="87"/>
      <c r="K72" s="87"/>
      <c r="L72" s="87"/>
      <c r="M72" s="87"/>
      <c r="N72" s="87"/>
      <c r="O72" s="87"/>
    </row>
    <row r="73" spans="4:15" outlineLevel="1">
      <c r="D73" s="64" t="str">
        <f>'Monthly Financials'!B69</f>
        <v>Founders</v>
      </c>
      <c r="I73" s="71"/>
      <c r="J73" s="156">
        <f>SUMIFS('Monthly Financials'!$D69:$BW69,'Monthly Financials'!$D$6:$BW$6,J$53)</f>
        <v>200000</v>
      </c>
      <c r="K73" s="156">
        <f>SUMIFS('Monthly Financials'!$D69:$BW69,'Monthly Financials'!$D$6:$BW$6,K$53)</f>
        <v>200000</v>
      </c>
      <c r="L73" s="156">
        <f>SUMIFS('Monthly Financials'!$D69:$BW69,'Monthly Financials'!$D$6:$BW$6,L$53)</f>
        <v>200000</v>
      </c>
      <c r="M73" s="156">
        <f>SUMIFS('Monthly Financials'!$D69:$BW69,'Monthly Financials'!$D$6:$BW$6,M$53)</f>
        <v>200000</v>
      </c>
      <c r="N73" s="156">
        <f>SUMIFS('Monthly Financials'!$D69:$BW69,'Monthly Financials'!$D$6:$BW$6,N$53)</f>
        <v>200000</v>
      </c>
      <c r="O73" s="156">
        <f>SUMIFS('Monthly Financials'!$D69:$BW69,'Monthly Financials'!$D$6:$BW$6,O$53)</f>
        <v>200000</v>
      </c>
    </row>
    <row r="74" spans="4:15" outlineLevel="1">
      <c r="D74" s="64" t="str">
        <f>'Monthly Financials'!B70</f>
        <v>SAFE</v>
      </c>
      <c r="I74" s="71"/>
      <c r="J74" s="156">
        <f>SUMIFS('Monthly Financials'!$D70:$BW70,'Monthly Financials'!$D$6:$BW$6,J$53)</f>
        <v>549000</v>
      </c>
      <c r="K74" s="156">
        <f>SUMIFS('Monthly Financials'!$D70:$BW70,'Monthly Financials'!$D$6:$BW$6,K$53)</f>
        <v>549000</v>
      </c>
      <c r="L74" s="156">
        <f>SUMIFS('Monthly Financials'!$D70:$BW70,'Monthly Financials'!$D$6:$BW$6,L$53)</f>
        <v>549000</v>
      </c>
      <c r="M74" s="156">
        <f>SUMIFS('Monthly Financials'!$D70:$BW70,'Monthly Financials'!$D$6:$BW$6,M$53)</f>
        <v>549000</v>
      </c>
      <c r="N74" s="156">
        <f>SUMIFS('Monthly Financials'!$D70:$BW70,'Monthly Financials'!$D$6:$BW$6,N$53)</f>
        <v>549000</v>
      </c>
      <c r="O74" s="156">
        <f>SUMIFS('Monthly Financials'!$D70:$BW70,'Monthly Financials'!$D$6:$BW$6,O$53)</f>
        <v>549000</v>
      </c>
    </row>
    <row r="75" spans="4:15" outlineLevel="1">
      <c r="D75" s="64" t="str">
        <f>'Monthly Financials'!B71</f>
        <v>Seed</v>
      </c>
      <c r="I75" s="71"/>
      <c r="J75" s="156">
        <f>SUMIFS('Monthly Financials'!$D71:$BW71,'Monthly Financials'!$D$6:$BW$6,J$53)</f>
        <v>0</v>
      </c>
      <c r="K75" s="156">
        <f>SUMIFS('Monthly Financials'!$D71:$BW71,'Monthly Financials'!$D$6:$BW$6,K$53)</f>
        <v>3000000</v>
      </c>
      <c r="L75" s="156">
        <f>SUMIFS('Monthly Financials'!$D71:$BW71,'Monthly Financials'!$D$6:$BW$6,L$53)</f>
        <v>3000000</v>
      </c>
      <c r="M75" s="156">
        <f>SUMIFS('Monthly Financials'!$D71:$BW71,'Monthly Financials'!$D$6:$BW$6,M$53)</f>
        <v>3000000</v>
      </c>
      <c r="N75" s="156">
        <f>SUMIFS('Monthly Financials'!$D71:$BW71,'Monthly Financials'!$D$6:$BW$6,N$53)</f>
        <v>3000000</v>
      </c>
      <c r="O75" s="156">
        <f>SUMIFS('Monthly Financials'!$D71:$BW71,'Monthly Financials'!$D$6:$BW$6,O$53)</f>
        <v>3000000</v>
      </c>
    </row>
    <row r="76" spans="4:15" outlineLevel="1">
      <c r="D76" s="64" t="str">
        <f>'Monthly Financials'!B72</f>
        <v>Series A</v>
      </c>
      <c r="I76" s="71"/>
      <c r="J76" s="156">
        <f>SUMIFS('Monthly Financials'!$D72:$BW72,'Monthly Financials'!$D$6:$BW$6,J$53)</f>
        <v>0</v>
      </c>
      <c r="K76" s="156">
        <f>SUMIFS('Monthly Financials'!$D72:$BW72,'Monthly Financials'!$D$6:$BW$6,K$53)</f>
        <v>0</v>
      </c>
      <c r="L76" s="156">
        <f>SUMIFS('Monthly Financials'!$D72:$BW72,'Monthly Financials'!$D$6:$BW$6,L$53)</f>
        <v>10000000</v>
      </c>
      <c r="M76" s="156">
        <f>SUMIFS('Monthly Financials'!$D72:$BW72,'Monthly Financials'!$D$6:$BW$6,M$53)</f>
        <v>10000000</v>
      </c>
      <c r="N76" s="156">
        <f>SUMIFS('Monthly Financials'!$D72:$BW72,'Monthly Financials'!$D$6:$BW$6,N$53)</f>
        <v>10000000</v>
      </c>
      <c r="O76" s="156">
        <f>SUMIFS('Monthly Financials'!$D72:$BW72,'Monthly Financials'!$D$6:$BW$6,O$53)</f>
        <v>10000000</v>
      </c>
    </row>
    <row r="77" spans="4:15" outlineLevel="1">
      <c r="D77" s="64" t="str">
        <f>'Monthly Financials'!B73</f>
        <v>Series B</v>
      </c>
      <c r="I77" s="71"/>
      <c r="J77" s="156">
        <f>SUMIFS('Monthly Financials'!$D73:$BW73,'Monthly Financials'!$D$6:$BW$6,J$53)</f>
        <v>0</v>
      </c>
      <c r="K77" s="156">
        <f>SUMIFS('Monthly Financials'!$D73:$BW73,'Monthly Financials'!$D$6:$BW$6,K$53)</f>
        <v>0</v>
      </c>
      <c r="L77" s="156">
        <f>SUMIFS('Monthly Financials'!$D73:$BW73,'Monthly Financials'!$D$6:$BW$6,L$53)</f>
        <v>0</v>
      </c>
      <c r="M77" s="156">
        <f>SUMIFS('Monthly Financials'!$D73:$BW73,'Monthly Financials'!$D$6:$BW$6,M$53)</f>
        <v>25000000</v>
      </c>
      <c r="N77" s="156">
        <f>SUMIFS('Monthly Financials'!$D73:$BW73,'Monthly Financials'!$D$6:$BW$6,N$53)</f>
        <v>25000000</v>
      </c>
      <c r="O77" s="156">
        <f>SUMIFS('Monthly Financials'!$D73:$BW73,'Monthly Financials'!$D$6:$BW$6,O$53)</f>
        <v>25000000</v>
      </c>
    </row>
    <row r="78" spans="4:15" outlineLevel="1">
      <c r="D78" s="64" t="s">
        <v>271</v>
      </c>
      <c r="I78" s="71"/>
      <c r="J78" s="156">
        <f>SUMIFS('Monthly Financials'!$D74:$BW74,'Monthly Financials'!$D$6:$BW$6,J$53)</f>
        <v>-507038.85191356443</v>
      </c>
      <c r="K78" s="156">
        <f>SUMIFS('Monthly Financials'!$D74:$BW74,'Monthly Financials'!$D$6:$BW$6,K$53)</f>
        <v>-2181708.7102140514</v>
      </c>
      <c r="L78" s="156">
        <f>SUMIFS('Monthly Financials'!$D74:$BW74,'Monthly Financials'!$D$6:$BW$6,L$53)</f>
        <v>-2790652.3644430493</v>
      </c>
      <c r="M78" s="156">
        <f>SUMIFS('Monthly Financials'!$D74:$BW74,'Monthly Financials'!$D$6:$BW$6,M$53)</f>
        <v>1924850.8454691968</v>
      </c>
      <c r="N78" s="156">
        <f>SUMIFS('Monthly Financials'!$D74:$BW74,'Monthly Financials'!$D$6:$BW$6,N$53)</f>
        <v>11315238.954636827</v>
      </c>
      <c r="O78" s="156">
        <f>SUMIFS('Monthly Financials'!$D74:$BW74,'Monthly Financials'!$D$6:$BW$6,O$53)</f>
        <v>43269163.293089129</v>
      </c>
    </row>
    <row r="79" spans="4:15" outlineLevel="1">
      <c r="D79" s="79" t="s">
        <v>223</v>
      </c>
      <c r="E79" s="79"/>
      <c r="F79" s="79"/>
      <c r="G79" s="79"/>
      <c r="H79" s="79"/>
      <c r="I79" s="79"/>
      <c r="J79" s="132">
        <f t="shared" ref="J79:O79" si="17">SUM(J73:J78)</f>
        <v>241961.14808643557</v>
      </c>
      <c r="K79" s="132">
        <f t="shared" si="17"/>
        <v>1567291.2897859486</v>
      </c>
      <c r="L79" s="132">
        <f t="shared" si="17"/>
        <v>10958347.635556951</v>
      </c>
      <c r="M79" s="132">
        <f t="shared" si="17"/>
        <v>40673850.845469199</v>
      </c>
      <c r="N79" s="132">
        <f t="shared" si="17"/>
        <v>50064238.954636827</v>
      </c>
      <c r="O79" s="132">
        <f t="shared" si="17"/>
        <v>82018163.293089122</v>
      </c>
    </row>
    <row r="80" spans="4:15" outlineLevel="1">
      <c r="D80" s="78" t="s">
        <v>224</v>
      </c>
      <c r="E80" s="78"/>
      <c r="F80" s="78"/>
      <c r="G80" s="78"/>
      <c r="H80" s="78"/>
      <c r="I80" s="78"/>
      <c r="J80" s="155">
        <f t="shared" ref="J80:O80" si="18">J79</f>
        <v>241961.14808643557</v>
      </c>
      <c r="K80" s="155">
        <f t="shared" si="18"/>
        <v>1567291.2897859486</v>
      </c>
      <c r="L80" s="155">
        <f t="shared" si="18"/>
        <v>10958347.635556951</v>
      </c>
      <c r="M80" s="155">
        <f t="shared" si="18"/>
        <v>40673850.845469199</v>
      </c>
      <c r="N80" s="155">
        <f t="shared" si="18"/>
        <v>50064238.954636827</v>
      </c>
      <c r="O80" s="155">
        <f t="shared" si="18"/>
        <v>82018163.293089122</v>
      </c>
    </row>
    <row r="81" spans="4:15" ht="13.8" outlineLevel="1" thickBot="1">
      <c r="D81" s="81" t="s">
        <v>225</v>
      </c>
      <c r="E81" s="81"/>
      <c r="F81" s="81"/>
      <c r="G81" s="81"/>
      <c r="H81" s="81"/>
      <c r="I81" s="81"/>
      <c r="J81" s="157">
        <f t="shared" ref="J81:O81" si="19">J70+J80</f>
        <v>241969.29646002658</v>
      </c>
      <c r="K81" s="157">
        <f t="shared" si="19"/>
        <v>2048465.9529869719</v>
      </c>
      <c r="L81" s="157">
        <f t="shared" si="19"/>
        <v>11379641.353435537</v>
      </c>
      <c r="M81" s="157">
        <f t="shared" si="19"/>
        <v>41033102.70476833</v>
      </c>
      <c r="N81" s="157">
        <f t="shared" si="19"/>
        <v>50369105.970777526</v>
      </c>
      <c r="O81" s="157">
        <f t="shared" si="19"/>
        <v>82295623.427512482</v>
      </c>
    </row>
    <row r="82" spans="4:15" outlineLevel="1">
      <c r="J82" s="85" t="b">
        <f t="shared" ref="J82:O82" si="20">ROUND(J81,0)=ROUND(J61,0)</f>
        <v>1</v>
      </c>
      <c r="K82" s="85" t="b">
        <f t="shared" si="20"/>
        <v>1</v>
      </c>
      <c r="L82" s="85" t="b">
        <f t="shared" si="20"/>
        <v>1</v>
      </c>
      <c r="M82" s="85" t="b">
        <f t="shared" si="20"/>
        <v>1</v>
      </c>
      <c r="N82" s="85" t="b">
        <f t="shared" si="20"/>
        <v>1</v>
      </c>
      <c r="O82" s="85" t="b">
        <f t="shared" si="20"/>
        <v>1</v>
      </c>
    </row>
    <row r="83" spans="4:15" outlineLevel="1">
      <c r="D83" s="86"/>
      <c r="E83" s="86"/>
      <c r="F83" s="86"/>
      <c r="G83" s="86"/>
      <c r="H83" s="86"/>
      <c r="I83" s="86"/>
      <c r="J83" s="88">
        <f t="shared" ref="J83:O83" si="21">ROUND(J81-J61,0)</f>
        <v>0</v>
      </c>
      <c r="K83" s="88">
        <f t="shared" si="21"/>
        <v>0</v>
      </c>
      <c r="L83" s="88">
        <f t="shared" si="21"/>
        <v>0</v>
      </c>
      <c r="M83" s="88">
        <f t="shared" si="21"/>
        <v>0</v>
      </c>
      <c r="N83" s="88">
        <f t="shared" si="21"/>
        <v>0</v>
      </c>
      <c r="O83" s="88">
        <f t="shared" si="21"/>
        <v>0</v>
      </c>
    </row>
    <row r="84" spans="4:15"/>
    <row r="85" spans="4:15"/>
    <row r="86" spans="4:15"/>
    <row r="87" spans="4:15"/>
    <row r="88" spans="4:15"/>
    <row r="89" spans="4:15"/>
    <row r="90" spans="4:15"/>
  </sheetData>
  <pageMargins left="0.7" right="0.7" top="0.75" bottom="0.75" header="0.3" footer="0.3"/>
  <pageSetup scale="46" orientation="portrait" r:id="rId1"/>
  <cellWatches>
    <cellWatch r="J8"/>
    <cellWatch r="K8"/>
    <cellWatch r="L8"/>
    <cellWatch r="M8"/>
    <cellWatch r="N8"/>
    <cellWatch r="O8"/>
  </cellWatch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D3DD-3D93-4570-B2BF-531B8AE36712}">
  <sheetPr>
    <tabColor theme="9"/>
  </sheetPr>
  <dimension ref="A1:AM33"/>
  <sheetViews>
    <sheetView showGridLines="0" zoomScale="95" zoomScaleNormal="90" workbookViewId="0">
      <selection activeCell="E27" sqref="E27"/>
    </sheetView>
  </sheetViews>
  <sheetFormatPr defaultColWidth="0" defaultRowHeight="15" zeroHeight="1"/>
  <cols>
    <col min="1" max="1" width="3.33203125" style="19" customWidth="1"/>
    <col min="2" max="2" width="2.33203125" style="19" customWidth="1"/>
    <col min="3" max="3" width="2.6640625" style="19" customWidth="1"/>
    <col min="4" max="4" width="44.5546875" style="19" customWidth="1"/>
    <col min="5" max="5" width="22.109375" style="19" bestFit="1" customWidth="1"/>
    <col min="6" max="10" width="15.44140625" style="24" customWidth="1"/>
    <col min="11" max="11" width="17.21875" style="24" bestFit="1" customWidth="1"/>
    <col min="12" max="12" width="3" style="412" customWidth="1"/>
    <col min="13" max="14" width="12.44140625" style="24" hidden="1" customWidth="1"/>
    <col min="15" max="15" width="9.33203125" style="19" hidden="1" customWidth="1"/>
    <col min="16" max="39" width="0" style="19" hidden="1" customWidth="1"/>
    <col min="40" max="16384" width="9.33203125" style="19" hidden="1"/>
  </cols>
  <sheetData>
    <row r="1" spans="4:25"/>
    <row r="2" spans="4:25" ht="15.6">
      <c r="D2" s="416" t="str">
        <f>Cover!D3</f>
        <v>Canoja Technologies</v>
      </c>
      <c r="E2" s="417"/>
      <c r="F2" s="418"/>
      <c r="G2" s="418"/>
      <c r="H2" s="418"/>
      <c r="I2" s="418"/>
      <c r="J2" s="418"/>
      <c r="K2" s="418"/>
      <c r="M2" s="393"/>
      <c r="N2" s="393"/>
    </row>
    <row r="3" spans="4:25" ht="15.6">
      <c r="D3" s="419" t="s">
        <v>457</v>
      </c>
      <c r="E3" s="417"/>
      <c r="F3" s="418"/>
      <c r="G3" s="418"/>
      <c r="H3" s="418"/>
      <c r="I3" s="418"/>
      <c r="J3" s="418"/>
      <c r="K3" s="418"/>
      <c r="M3" s="393"/>
      <c r="N3" s="393"/>
    </row>
    <row r="4" spans="4:25">
      <c r="D4" s="417"/>
      <c r="E4" s="417" t="s">
        <v>58</v>
      </c>
      <c r="F4" s="420">
        <f>'Financial Reports'!J52</f>
        <v>45658</v>
      </c>
      <c r="G4" s="420">
        <f>'Financial Reports'!K52</f>
        <v>46023</v>
      </c>
      <c r="H4" s="420">
        <f>'Financial Reports'!L52</f>
        <v>46388</v>
      </c>
      <c r="I4" s="420">
        <f>'Financial Reports'!M52</f>
        <v>46753</v>
      </c>
      <c r="J4" s="420">
        <f>'Financial Reports'!N52</f>
        <v>47119</v>
      </c>
      <c r="K4" s="420">
        <f>'Financial Reports'!O52</f>
        <v>47484</v>
      </c>
      <c r="M4" s="393"/>
      <c r="N4" s="393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</row>
    <row r="5" spans="4:25">
      <c r="D5" s="417"/>
      <c r="E5" s="417" t="s">
        <v>59</v>
      </c>
      <c r="F5" s="420">
        <f>'Financial Reports'!J53</f>
        <v>46022</v>
      </c>
      <c r="G5" s="420">
        <f>'Financial Reports'!K53</f>
        <v>46387</v>
      </c>
      <c r="H5" s="420">
        <f>'Financial Reports'!L53</f>
        <v>46752</v>
      </c>
      <c r="I5" s="420">
        <f>'Financial Reports'!M53</f>
        <v>47118</v>
      </c>
      <c r="J5" s="420">
        <f>'Financial Reports'!N53</f>
        <v>47483</v>
      </c>
      <c r="K5" s="420">
        <f>'Financial Reports'!O53</f>
        <v>47848</v>
      </c>
      <c r="M5" s="393"/>
      <c r="N5" s="393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</row>
    <row r="6" spans="4:25" ht="15.6">
      <c r="D6" s="417"/>
      <c r="E6" s="417"/>
      <c r="F6" s="421">
        <f>'Financial Reports'!J54</f>
        <v>2025</v>
      </c>
      <c r="G6" s="421">
        <f>'Financial Reports'!K54</f>
        <v>2026</v>
      </c>
      <c r="H6" s="421">
        <f>'Financial Reports'!L54</f>
        <v>2027</v>
      </c>
      <c r="I6" s="421">
        <f>'Financial Reports'!M54</f>
        <v>2028</v>
      </c>
      <c r="J6" s="421">
        <f>'Financial Reports'!N54</f>
        <v>2029</v>
      </c>
      <c r="K6" s="421">
        <f>'Financial Reports'!O54</f>
        <v>2030</v>
      </c>
      <c r="M6" s="393"/>
      <c r="N6" s="393"/>
    </row>
    <row r="7" spans="4:25"/>
    <row r="8" spans="4:25" ht="15.6">
      <c r="D8" s="281" t="str">
        <f>CONCATENATE("DCF Valuation in ","USD' million ")</f>
        <v xml:space="preserve">DCF Valuation in USD' million </v>
      </c>
      <c r="E8" s="281"/>
      <c r="F8" s="281"/>
      <c r="G8" s="281"/>
      <c r="H8" s="281"/>
      <c r="I8" s="281"/>
      <c r="J8" s="281"/>
      <c r="K8" s="281"/>
    </row>
    <row r="9" spans="4:25">
      <c r="D9" s="19" t="s">
        <v>461</v>
      </c>
      <c r="F9" s="395">
        <f>'Financial Reports'!J13</f>
        <v>-307038.85191356437</v>
      </c>
      <c r="G9" s="395">
        <f>'Financial Reports'!K13</f>
        <v>-1654132.147517055</v>
      </c>
      <c r="H9" s="395">
        <f>'Financial Reports'!L13</f>
        <v>-552314.93427203922</v>
      </c>
      <c r="I9" s="395">
        <f>'Financial Reports'!M13</f>
        <v>5308934.8446214218</v>
      </c>
      <c r="J9" s="395">
        <f>'Financial Reports'!N13</f>
        <v>11936003.579991035</v>
      </c>
      <c r="K9" s="395">
        <f>'Financial Reports'!O13</f>
        <v>40484064.07748583</v>
      </c>
    </row>
    <row r="10" spans="4:25">
      <c r="D10" s="19" t="s">
        <v>456</v>
      </c>
      <c r="F10" s="398"/>
      <c r="G10" s="398"/>
      <c r="H10" s="398"/>
      <c r="I10" s="398"/>
      <c r="J10" s="398"/>
      <c r="K10" s="411">
        <f>'Financial Reports'!O8*Assumptions!H129</f>
        <v>410092123.63101143</v>
      </c>
    </row>
    <row r="11" spans="4:25" ht="15.6">
      <c r="D11" s="153" t="s">
        <v>226</v>
      </c>
      <c r="E11" s="153"/>
      <c r="F11" s="397">
        <f>SUM(F9:F10)</f>
        <v>-307038.85191356437</v>
      </c>
      <c r="G11" s="397">
        <f t="shared" ref="G11:K11" si="0">SUM(G9:G10)</f>
        <v>-1654132.147517055</v>
      </c>
      <c r="H11" s="397">
        <f t="shared" si="0"/>
        <v>-552314.93427203922</v>
      </c>
      <c r="I11" s="397">
        <f t="shared" si="0"/>
        <v>5308934.8446214218</v>
      </c>
      <c r="J11" s="397">
        <f t="shared" si="0"/>
        <v>11936003.579991035</v>
      </c>
      <c r="K11" s="397">
        <f t="shared" si="0"/>
        <v>450576187.70849729</v>
      </c>
      <c r="L11" s="413"/>
      <c r="M11" s="399"/>
      <c r="N11" s="399"/>
    </row>
    <row r="12" spans="4:25" ht="15.6">
      <c r="D12" s="61"/>
      <c r="E12" s="61"/>
      <c r="F12" s="400"/>
      <c r="G12" s="400"/>
      <c r="H12" s="400"/>
      <c r="I12" s="400"/>
      <c r="J12" s="400"/>
      <c r="K12" s="400"/>
      <c r="L12" s="413"/>
      <c r="M12" s="399"/>
      <c r="N12" s="399"/>
    </row>
    <row r="13" spans="4:25">
      <c r="F13" s="21"/>
      <c r="G13" s="21"/>
      <c r="H13" s="21"/>
      <c r="I13" s="21"/>
      <c r="J13" s="21"/>
      <c r="K13" s="21"/>
    </row>
    <row r="14" spans="4:25">
      <c r="D14" s="322" t="s">
        <v>227</v>
      </c>
      <c r="F14" s="401">
        <f>Assumptions!$H$130</f>
        <v>0.5</v>
      </c>
      <c r="G14" s="401">
        <f>Assumptions!$H$130</f>
        <v>0.5</v>
      </c>
      <c r="H14" s="401">
        <f>Assumptions!$H$130</f>
        <v>0.5</v>
      </c>
      <c r="I14" s="401">
        <f>Assumptions!$H$130</f>
        <v>0.5</v>
      </c>
      <c r="J14" s="401">
        <f>Assumptions!$H$130</f>
        <v>0.5</v>
      </c>
      <c r="K14" s="401">
        <f>Assumptions!$H$130</f>
        <v>0.5</v>
      </c>
    </row>
    <row r="15" spans="4:25">
      <c r="D15" s="322" t="s">
        <v>228</v>
      </c>
      <c r="F15" s="47">
        <v>1</v>
      </c>
      <c r="G15" s="47">
        <v>2</v>
      </c>
      <c r="H15" s="47">
        <v>3</v>
      </c>
      <c r="I15" s="47">
        <v>4</v>
      </c>
      <c r="J15" s="47">
        <v>5</v>
      </c>
      <c r="K15" s="47">
        <v>6</v>
      </c>
    </row>
    <row r="16" spans="4:25">
      <c r="D16" s="322" t="s">
        <v>229</v>
      </c>
      <c r="F16" s="21">
        <f>(1+F14)^-F15</f>
        <v>0.66666666666666663</v>
      </c>
      <c r="G16" s="21">
        <f t="shared" ref="G16:K16" si="1">(1+G14)^-G15</f>
        <v>0.44444444444444442</v>
      </c>
      <c r="H16" s="21">
        <f t="shared" si="1"/>
        <v>0.29629629629629628</v>
      </c>
      <c r="I16" s="21">
        <f t="shared" si="1"/>
        <v>0.19753086419753085</v>
      </c>
      <c r="J16" s="21">
        <f t="shared" si="1"/>
        <v>0.13168724279835392</v>
      </c>
      <c r="K16" s="21">
        <f t="shared" si="1"/>
        <v>8.77914951989026E-2</v>
      </c>
    </row>
    <row r="17" spans="4:11">
      <c r="D17" s="402" t="s">
        <v>230</v>
      </c>
      <c r="E17" s="402"/>
      <c r="F17" s="396">
        <f>PRODUCT(F11,F16)</f>
        <v>-204692.56794237625</v>
      </c>
      <c r="G17" s="396">
        <f>PRODUCT(G11,G16)</f>
        <v>-735169.8433409133</v>
      </c>
      <c r="H17" s="396">
        <f>PRODUCT(H11,H16)</f>
        <v>-163648.86941393753</v>
      </c>
      <c r="I17" s="396">
        <f>PRODUCT(I11,I16)</f>
        <v>1048678.4878264535</v>
      </c>
      <c r="J17" s="396">
        <f t="shared" ref="J17:K17" si="2">PRODUCT(J11,J16)</f>
        <v>1571819.4014803011</v>
      </c>
      <c r="K17" s="396">
        <f t="shared" si="2"/>
        <v>39556757.219950378</v>
      </c>
    </row>
    <row r="18" spans="4:11" ht="15.6">
      <c r="D18" s="403" t="s">
        <v>231</v>
      </c>
      <c r="E18" s="403"/>
      <c r="F18" s="403">
        <f>SUM(F17:K17)</f>
        <v>41073743.828559905</v>
      </c>
      <c r="G18" s="404"/>
      <c r="H18" s="404"/>
      <c r="I18" s="404"/>
      <c r="J18" s="404"/>
      <c r="K18" s="404"/>
    </row>
    <row r="19" spans="4:11" ht="15.6">
      <c r="D19" s="403" t="s">
        <v>232</v>
      </c>
      <c r="E19" s="403"/>
      <c r="F19" s="405">
        <f>IRR(F11:K11,F5:K5)</f>
        <v>2.7274213814540245</v>
      </c>
      <c r="G19" s="406"/>
      <c r="H19" s="404"/>
      <c r="I19" s="404"/>
      <c r="J19" s="404"/>
      <c r="K19" s="404"/>
    </row>
    <row r="20" spans="4:11" ht="15.6">
      <c r="D20" s="61"/>
      <c r="E20" s="61"/>
      <c r="F20" s="400"/>
      <c r="G20" s="400"/>
      <c r="H20" s="400"/>
      <c r="I20" s="400"/>
      <c r="J20" s="400"/>
      <c r="K20" s="400"/>
    </row>
    <row r="21" spans="4:11" ht="15.6">
      <c r="D21" s="407" t="s">
        <v>474</v>
      </c>
      <c r="E21" s="408">
        <f>F18</f>
        <v>41073743.828559905</v>
      </c>
      <c r="F21" s="400"/>
      <c r="G21" s="400"/>
      <c r="H21" s="400"/>
      <c r="I21" s="400"/>
      <c r="J21" s="400"/>
      <c r="K21" s="400"/>
    </row>
    <row r="22" spans="4:11" ht="15.6">
      <c r="D22" s="409" t="s">
        <v>233</v>
      </c>
      <c r="E22" s="410">
        <f>F19</f>
        <v>2.7274213814540245</v>
      </c>
      <c r="F22" s="400"/>
      <c r="G22" s="400"/>
      <c r="H22" s="400"/>
      <c r="I22" s="400"/>
      <c r="J22" s="400"/>
      <c r="K22" s="400"/>
    </row>
    <row r="23" spans="4:11" ht="15.6">
      <c r="D23" s="414" t="s">
        <v>234</v>
      </c>
      <c r="E23" s="415">
        <f>K10</f>
        <v>410092123.63101143</v>
      </c>
      <c r="F23" s="400"/>
      <c r="G23" s="400"/>
      <c r="H23" s="400"/>
      <c r="I23" s="400"/>
      <c r="J23" s="400"/>
      <c r="K23" s="400"/>
    </row>
    <row r="24" spans="4:11" ht="15.6">
      <c r="D24" s="61"/>
      <c r="E24" s="61"/>
      <c r="F24" s="400"/>
      <c r="G24" s="400"/>
      <c r="H24" s="400"/>
      <c r="I24" s="400"/>
      <c r="J24" s="400"/>
      <c r="K24" s="400"/>
    </row>
    <row r="26" spans="4:11"/>
    <row r="27" spans="4:11"/>
    <row r="28" spans="4:11"/>
    <row r="29" spans="4:11"/>
    <row r="30" spans="4:11"/>
    <row r="31" spans="4:11"/>
    <row r="32" spans="4:11"/>
    <row r="33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8F3B-8409-4ACB-B00C-0555CC572735}">
  <sheetPr>
    <tabColor theme="9"/>
  </sheetPr>
  <dimension ref="A1:U30"/>
  <sheetViews>
    <sheetView showGridLines="0" zoomScaleNormal="100" workbookViewId="0">
      <pane xSplit="2" topLeftCell="C1" activePane="topRight" state="frozen"/>
      <selection pane="topRight"/>
    </sheetView>
  </sheetViews>
  <sheetFormatPr defaultColWidth="0" defaultRowHeight="13.2" zeroHeight="1" outlineLevelCol="1"/>
  <cols>
    <col min="1" max="1" width="3.33203125" style="195" customWidth="1"/>
    <col min="2" max="2" width="27.6640625" style="195" customWidth="1"/>
    <col min="3" max="3" width="3.33203125" style="195" customWidth="1"/>
    <col min="4" max="4" width="21.5546875" style="196" bestFit="1" customWidth="1" outlineLevel="1"/>
    <col min="5" max="5" width="11.109375" style="195" bestFit="1" customWidth="1" outlineLevel="1"/>
    <col min="6" max="6" width="13.6640625" style="195" bestFit="1" customWidth="1" outlineLevel="1"/>
    <col min="7" max="7" width="3.44140625" style="195" customWidth="1"/>
    <col min="8" max="8" width="24.33203125" style="196" customWidth="1" outlineLevel="1"/>
    <col min="9" max="9" width="11" style="195" customWidth="1" outlineLevel="1"/>
    <col min="10" max="10" width="13.77734375" style="195" bestFit="1" customWidth="1" outlineLevel="1"/>
    <col min="11" max="11" width="3.44140625" style="195" customWidth="1"/>
    <col min="12" max="12" width="21.5546875" style="195" bestFit="1" customWidth="1" outlineLevel="1"/>
    <col min="13" max="13" width="11" style="195" customWidth="1" outlineLevel="1"/>
    <col min="14" max="14" width="15" style="195" bestFit="1" customWidth="1" outlineLevel="1"/>
    <col min="15" max="15" width="3.44140625" style="195" customWidth="1"/>
    <col min="16" max="16" width="21.5546875" style="195" bestFit="1" customWidth="1" outlineLevel="1"/>
    <col min="17" max="17" width="11" style="195" customWidth="1" outlineLevel="1"/>
    <col min="18" max="18" width="15" style="195" bestFit="1" customWidth="1" outlineLevel="1"/>
    <col min="19" max="19" width="3.44140625" style="195" customWidth="1"/>
    <col min="20" max="21" width="11" style="195" customWidth="1"/>
    <col min="22" max="16384" width="11" style="195" hidden="1"/>
  </cols>
  <sheetData>
    <row r="1" spans="2:20">
      <c r="B1" s="193"/>
      <c r="C1" s="193"/>
      <c r="D1" s="194"/>
      <c r="E1" s="193"/>
      <c r="F1" s="193"/>
    </row>
    <row r="2" spans="2:20" ht="15.6">
      <c r="B2" s="20" t="s">
        <v>328</v>
      </c>
      <c r="C2" s="197"/>
      <c r="D2" s="198"/>
      <c r="E2" s="197"/>
      <c r="F2" s="197"/>
    </row>
    <row r="3" spans="2:20"/>
    <row r="4" spans="2:20" ht="15" customHeight="1">
      <c r="B4" s="474" t="s">
        <v>329</v>
      </c>
      <c r="C4" s="200"/>
      <c r="D4" s="473" t="s">
        <v>330</v>
      </c>
      <c r="E4" s="473"/>
      <c r="F4" s="473"/>
      <c r="G4" s="200"/>
      <c r="H4" s="473" t="s">
        <v>414</v>
      </c>
      <c r="I4" s="473"/>
      <c r="J4" s="473"/>
      <c r="K4" s="200"/>
      <c r="L4" s="473" t="s">
        <v>416</v>
      </c>
      <c r="M4" s="473"/>
      <c r="N4" s="473"/>
      <c r="O4" s="200"/>
      <c r="P4" s="473" t="s">
        <v>417</v>
      </c>
      <c r="Q4" s="473"/>
      <c r="R4" s="473"/>
      <c r="S4" s="200"/>
      <c r="T4" s="199" t="s">
        <v>331</v>
      </c>
    </row>
    <row r="5" spans="2:20" ht="15" customHeight="1">
      <c r="B5" s="474"/>
      <c r="C5" s="200"/>
      <c r="D5" s="199" t="s">
        <v>412</v>
      </c>
      <c r="E5" s="199" t="s">
        <v>313</v>
      </c>
      <c r="F5" s="199" t="s">
        <v>332</v>
      </c>
      <c r="H5" s="199" t="s">
        <v>412</v>
      </c>
      <c r="I5" s="199" t="s">
        <v>313</v>
      </c>
      <c r="J5" s="199" t="s">
        <v>332</v>
      </c>
      <c r="K5" s="200"/>
      <c r="L5" s="199" t="s">
        <v>412</v>
      </c>
      <c r="M5" s="199" t="s">
        <v>313</v>
      </c>
      <c r="N5" s="199" t="s">
        <v>332</v>
      </c>
      <c r="O5" s="200"/>
      <c r="P5" s="199" t="s">
        <v>412</v>
      </c>
      <c r="Q5" s="199" t="s">
        <v>313</v>
      </c>
      <c r="R5" s="199" t="s">
        <v>332</v>
      </c>
      <c r="S5" s="200"/>
      <c r="T5" s="199" t="s">
        <v>333</v>
      </c>
    </row>
    <row r="6" spans="2:20" ht="15" customHeight="1">
      <c r="B6" s="305" t="str">
        <f>Assumptions!E98</f>
        <v>Richard Campbell</v>
      </c>
      <c r="C6" s="201"/>
      <c r="D6" s="307">
        <f>Assumptions!G98</f>
        <v>1000000</v>
      </c>
      <c r="E6" s="202">
        <f>+D6/$D$16</f>
        <v>0.83333333333333337</v>
      </c>
      <c r="F6" s="300" t="s">
        <v>411</v>
      </c>
      <c r="H6" s="203">
        <f>D6</f>
        <v>1000000</v>
      </c>
      <c r="I6" s="204">
        <f>H6/$H$16</f>
        <v>0.50518598674695081</v>
      </c>
      <c r="J6" s="205">
        <f>H6*$J$24</f>
        <v>6062230.820112057</v>
      </c>
      <c r="K6" s="206"/>
      <c r="L6" s="203">
        <f>H6</f>
        <v>1000000</v>
      </c>
      <c r="M6" s="204">
        <f>L6/$L$16</f>
        <v>0.41677850223143209</v>
      </c>
      <c r="N6" s="205">
        <f>L6*$N$24</f>
        <v>23815910.803784829</v>
      </c>
      <c r="O6" s="206"/>
      <c r="P6" s="203">
        <f>L6</f>
        <v>1000000</v>
      </c>
      <c r="Q6" s="204">
        <f t="shared" ref="Q6:Q12" si="0">P6/$P$16</f>
        <v>0.36468120845141405</v>
      </c>
      <c r="R6" s="205">
        <f>P6*$R$24</f>
        <v>72936237.89050062</v>
      </c>
      <c r="S6" s="206"/>
    </row>
    <row r="7" spans="2:20" ht="15" customHeight="1">
      <c r="B7" s="305" t="str">
        <f>Assumptions!E99</f>
        <v>Myles Campbell</v>
      </c>
      <c r="C7" s="201"/>
      <c r="D7" s="307">
        <f>Assumptions!G99</f>
        <v>100000</v>
      </c>
      <c r="E7" s="202">
        <f>+D7/$D$16</f>
        <v>8.3333333333333329E-2</v>
      </c>
      <c r="F7" s="300" t="s">
        <v>411</v>
      </c>
      <c r="H7" s="203">
        <f>D7</f>
        <v>100000</v>
      </c>
      <c r="I7" s="204">
        <f>H7/$H$16</f>
        <v>5.0518598674695082E-2</v>
      </c>
      <c r="J7" s="205">
        <f>H7*$J$24</f>
        <v>606223.08201120573</v>
      </c>
      <c r="K7" s="206"/>
      <c r="L7" s="203">
        <f>H7</f>
        <v>100000</v>
      </c>
      <c r="M7" s="204">
        <f>L7/$L$16</f>
        <v>4.1677850223143208E-2</v>
      </c>
      <c r="N7" s="205">
        <f>L7*$N$24</f>
        <v>2381591.0803784826</v>
      </c>
      <c r="O7" s="206"/>
      <c r="P7" s="203">
        <f>L7</f>
        <v>100000</v>
      </c>
      <c r="Q7" s="204">
        <f t="shared" si="0"/>
        <v>3.6468120845141408E-2</v>
      </c>
      <c r="R7" s="205">
        <f t="shared" ref="R7:R15" si="1">P7*$R$24</f>
        <v>7293623.7890500622</v>
      </c>
      <c r="S7" s="206"/>
    </row>
    <row r="8" spans="2:20" ht="15" customHeight="1">
      <c r="B8" s="305" t="str">
        <f>Assumptions!E100</f>
        <v>Tyler Campbell</v>
      </c>
      <c r="C8" s="201"/>
      <c r="D8" s="307">
        <f>Assumptions!G100</f>
        <v>100000</v>
      </c>
      <c r="E8" s="202">
        <f>+D8/$D$16</f>
        <v>8.3333333333333329E-2</v>
      </c>
      <c r="F8" s="300" t="s">
        <v>411</v>
      </c>
      <c r="H8" s="203">
        <f>D8</f>
        <v>100000</v>
      </c>
      <c r="I8" s="204">
        <f>H8/$H$16</f>
        <v>5.0518598674695082E-2</v>
      </c>
      <c r="J8" s="205">
        <f>H8*$J$24</f>
        <v>606223.08201120573</v>
      </c>
      <c r="K8" s="206"/>
      <c r="L8" s="203">
        <f t="shared" ref="L8:L13" si="2">H8</f>
        <v>100000</v>
      </c>
      <c r="M8" s="204">
        <f t="shared" ref="M8:M11" si="3">L8/$L$16</f>
        <v>4.1677850223143208E-2</v>
      </c>
      <c r="N8" s="205">
        <f t="shared" ref="N8:N11" si="4">L8*$N$24</f>
        <v>2381591.0803784826</v>
      </c>
      <c r="O8" s="206"/>
      <c r="P8" s="203">
        <f t="shared" ref="P8:P13" si="5">L8</f>
        <v>100000</v>
      </c>
      <c r="Q8" s="204">
        <f t="shared" si="0"/>
        <v>3.6468120845141408E-2</v>
      </c>
      <c r="R8" s="205">
        <f t="shared" si="1"/>
        <v>7293623.7890500622</v>
      </c>
      <c r="S8" s="206"/>
    </row>
    <row r="9" spans="2:20" ht="15" customHeight="1">
      <c r="B9" s="305" t="str">
        <f>Assumptions!E101</f>
        <v>Other Member 1</v>
      </c>
      <c r="C9" s="201"/>
      <c r="D9" s="307">
        <f>Assumptions!G101</f>
        <v>0</v>
      </c>
      <c r="E9" s="202">
        <f t="shared" ref="E9:E11" si="6">+D9/$D$16</f>
        <v>0</v>
      </c>
      <c r="F9" s="300" t="s">
        <v>411</v>
      </c>
      <c r="H9" s="203">
        <f t="shared" ref="H9:H11" si="7">D9</f>
        <v>0</v>
      </c>
      <c r="I9" s="204">
        <f t="shared" ref="I9:I11" si="8">H9/$H$16</f>
        <v>0</v>
      </c>
      <c r="J9" s="205">
        <f t="shared" ref="J9:J11" si="9">H9*$J$24</f>
        <v>0</v>
      </c>
      <c r="K9" s="206"/>
      <c r="L9" s="203">
        <f t="shared" si="2"/>
        <v>0</v>
      </c>
      <c r="M9" s="204">
        <f t="shared" si="3"/>
        <v>0</v>
      </c>
      <c r="N9" s="205">
        <f t="shared" si="4"/>
        <v>0</v>
      </c>
      <c r="O9" s="206"/>
      <c r="P9" s="203">
        <f t="shared" si="5"/>
        <v>0</v>
      </c>
      <c r="Q9" s="204">
        <f t="shared" si="0"/>
        <v>0</v>
      </c>
      <c r="R9" s="205">
        <f t="shared" si="1"/>
        <v>0</v>
      </c>
      <c r="S9" s="206"/>
    </row>
    <row r="10" spans="2:20" ht="15" customHeight="1">
      <c r="B10" s="305" t="str">
        <f>Assumptions!E102</f>
        <v>Other Member 2</v>
      </c>
      <c r="C10" s="201"/>
      <c r="D10" s="307">
        <f>Assumptions!G102</f>
        <v>0</v>
      </c>
      <c r="E10" s="202">
        <f t="shared" si="6"/>
        <v>0</v>
      </c>
      <c r="F10" s="300" t="s">
        <v>411</v>
      </c>
      <c r="H10" s="203">
        <f t="shared" si="7"/>
        <v>0</v>
      </c>
      <c r="I10" s="204">
        <f t="shared" si="8"/>
        <v>0</v>
      </c>
      <c r="J10" s="205">
        <f t="shared" si="9"/>
        <v>0</v>
      </c>
      <c r="K10" s="206"/>
      <c r="L10" s="203">
        <f t="shared" si="2"/>
        <v>0</v>
      </c>
      <c r="M10" s="204">
        <f t="shared" si="3"/>
        <v>0</v>
      </c>
      <c r="N10" s="205">
        <f t="shared" si="4"/>
        <v>0</v>
      </c>
      <c r="O10" s="206"/>
      <c r="P10" s="203">
        <f t="shared" si="5"/>
        <v>0</v>
      </c>
      <c r="Q10" s="204">
        <f t="shared" si="0"/>
        <v>0</v>
      </c>
      <c r="R10" s="205">
        <f t="shared" si="1"/>
        <v>0</v>
      </c>
      <c r="S10" s="206"/>
    </row>
    <row r="11" spans="2:20" ht="15" customHeight="1">
      <c r="B11" s="305" t="str">
        <f>Assumptions!E103</f>
        <v>Other Member 3</v>
      </c>
      <c r="C11" s="201"/>
      <c r="D11" s="307">
        <f>Assumptions!G103</f>
        <v>0</v>
      </c>
      <c r="E11" s="202">
        <f t="shared" si="6"/>
        <v>0</v>
      </c>
      <c r="F11" s="300" t="s">
        <v>411</v>
      </c>
      <c r="H11" s="203">
        <f t="shared" si="7"/>
        <v>0</v>
      </c>
      <c r="I11" s="204">
        <f t="shared" si="8"/>
        <v>0</v>
      </c>
      <c r="J11" s="205">
        <f t="shared" si="9"/>
        <v>0</v>
      </c>
      <c r="K11" s="206"/>
      <c r="L11" s="203">
        <f t="shared" si="2"/>
        <v>0</v>
      </c>
      <c r="M11" s="204">
        <f t="shared" si="3"/>
        <v>0</v>
      </c>
      <c r="N11" s="205">
        <f t="shared" si="4"/>
        <v>0</v>
      </c>
      <c r="O11" s="206"/>
      <c r="P11" s="203">
        <f t="shared" si="5"/>
        <v>0</v>
      </c>
      <c r="Q11" s="204">
        <f t="shared" si="0"/>
        <v>0</v>
      </c>
      <c r="R11" s="205">
        <f t="shared" si="1"/>
        <v>0</v>
      </c>
      <c r="S11" s="206"/>
    </row>
    <row r="12" spans="2:20" ht="15" customHeight="1">
      <c r="B12" s="305" t="str">
        <f>Assumptions!E87&amp;" Investors"</f>
        <v>SAFE Investors</v>
      </c>
      <c r="C12" s="201"/>
      <c r="D12" s="306" t="s">
        <v>411</v>
      </c>
      <c r="E12" s="300" t="s">
        <v>411</v>
      </c>
      <c r="F12" s="300" t="s">
        <v>411</v>
      </c>
      <c r="H12" s="203">
        <f>+F24</f>
        <v>284602</v>
      </c>
      <c r="I12" s="204">
        <f>H12/$H$16</f>
        <v>0.14377694220015569</v>
      </c>
      <c r="J12" s="205">
        <f>H12*$J$24</f>
        <v>1725323.0158655315</v>
      </c>
      <c r="K12" s="206"/>
      <c r="L12" s="203">
        <f t="shared" si="2"/>
        <v>284602</v>
      </c>
      <c r="M12" s="204">
        <f>L12/$L$16</f>
        <v>0.11861599529207004</v>
      </c>
      <c r="N12" s="205">
        <f>L12*$N$24</f>
        <v>6778055.8465787694</v>
      </c>
      <c r="O12" s="206"/>
      <c r="P12" s="203">
        <f t="shared" si="5"/>
        <v>284602</v>
      </c>
      <c r="Q12" s="204">
        <f t="shared" si="0"/>
        <v>0.10378900128768935</v>
      </c>
      <c r="R12" s="205">
        <f t="shared" si="1"/>
        <v>20757799.176112257</v>
      </c>
      <c r="S12" s="206"/>
    </row>
    <row r="13" spans="2:20" ht="15" customHeight="1">
      <c r="B13" s="305" t="str">
        <f>Assumptions!E88&amp;" Investors"</f>
        <v>Seed Investors</v>
      </c>
      <c r="C13" s="201"/>
      <c r="D13" s="300" t="s">
        <v>411</v>
      </c>
      <c r="E13" s="300" t="s">
        <v>411</v>
      </c>
      <c r="F13" s="300" t="s">
        <v>411</v>
      </c>
      <c r="H13" s="203">
        <f>IFERROR(J25,0)</f>
        <v>494867</v>
      </c>
      <c r="I13" s="204">
        <f>H13/$H$16</f>
        <v>0.24999987370350332</v>
      </c>
      <c r="J13" s="205">
        <f>H13*$J$24</f>
        <v>2999997.9792563934</v>
      </c>
      <c r="K13" s="206"/>
      <c r="L13" s="203">
        <f t="shared" si="2"/>
        <v>494867</v>
      </c>
      <c r="M13" s="204">
        <f>L13/$L$16</f>
        <v>0.20624992706376211</v>
      </c>
      <c r="N13" s="205">
        <f>L13*$N$24</f>
        <v>11785708.331736587</v>
      </c>
      <c r="O13" s="206"/>
      <c r="P13" s="203">
        <f t="shared" si="5"/>
        <v>494867</v>
      </c>
      <c r="Q13" s="204">
        <f>P13/$P$16</f>
        <v>0.18046869558272594</v>
      </c>
      <c r="R13" s="205">
        <f t="shared" si="1"/>
        <v>36093737.236158371</v>
      </c>
      <c r="S13" s="206"/>
    </row>
    <row r="14" spans="2:20" ht="15" customHeight="1">
      <c r="B14" s="305" t="str">
        <f>Assumptions!E89&amp;" Investors"</f>
        <v>Series A Investors</v>
      </c>
      <c r="C14" s="201"/>
      <c r="D14" s="300" t="s">
        <v>411</v>
      </c>
      <c r="E14" s="300" t="s">
        <v>411</v>
      </c>
      <c r="F14" s="300" t="s">
        <v>411</v>
      </c>
      <c r="H14" s="300" t="s">
        <v>411</v>
      </c>
      <c r="I14" s="300" t="s">
        <v>411</v>
      </c>
      <c r="J14" s="300" t="s">
        <v>411</v>
      </c>
      <c r="K14" s="206"/>
      <c r="L14" s="203">
        <f>+N25</f>
        <v>419887</v>
      </c>
      <c r="M14" s="204">
        <f>L14/$L$16</f>
        <v>0.17499987496644934</v>
      </c>
      <c r="N14" s="205">
        <f>L14*$N$24</f>
        <v>9999991.3396687992</v>
      </c>
      <c r="O14" s="206"/>
      <c r="P14" s="203">
        <f t="shared" ref="P14" si="10">L14</f>
        <v>419887</v>
      </c>
      <c r="Q14" s="204">
        <f>P14/$P$16</f>
        <v>0.1531248985730389</v>
      </c>
      <c r="R14" s="205">
        <f t="shared" si="1"/>
        <v>30624978.119128633</v>
      </c>
      <c r="S14" s="206"/>
    </row>
    <row r="15" spans="2:20" ht="15" customHeight="1">
      <c r="B15" s="305" t="str">
        <f>Assumptions!E90&amp;" Investors"</f>
        <v>Series B Investors</v>
      </c>
      <c r="C15" s="201"/>
      <c r="D15" s="300" t="s">
        <v>411</v>
      </c>
      <c r="E15" s="300" t="s">
        <v>411</v>
      </c>
      <c r="F15" s="300" t="s">
        <v>411</v>
      </c>
      <c r="H15" s="300" t="s">
        <v>411</v>
      </c>
      <c r="I15" s="300" t="s">
        <v>411</v>
      </c>
      <c r="J15" s="300" t="s">
        <v>411</v>
      </c>
      <c r="K15" s="206"/>
      <c r="L15" s="300" t="s">
        <v>411</v>
      </c>
      <c r="M15" s="300" t="s">
        <v>411</v>
      </c>
      <c r="N15" s="300" t="s">
        <v>411</v>
      </c>
      <c r="O15" s="206"/>
      <c r="P15" s="203">
        <f>+R25</f>
        <v>342765</v>
      </c>
      <c r="Q15" s="204">
        <f>P15/$P$16</f>
        <v>0.12499995441484894</v>
      </c>
      <c r="R15" s="205">
        <f t="shared" si="1"/>
        <v>24999989.580537446</v>
      </c>
      <c r="S15" s="206"/>
    </row>
    <row r="16" spans="2:20" ht="15" customHeight="1">
      <c r="B16" s="207" t="s">
        <v>181</v>
      </c>
      <c r="C16" s="208"/>
      <c r="D16" s="209">
        <f>+SUM(D6:D15)</f>
        <v>1200000</v>
      </c>
      <c r="E16" s="210">
        <f>+SUM(E6:E15)</f>
        <v>1</v>
      </c>
      <c r="F16" s="209"/>
      <c r="G16" s="211"/>
      <c r="H16" s="209">
        <f>+SUM(H6:H15)</f>
        <v>1979469</v>
      </c>
      <c r="I16" s="210">
        <f>+SUM(I6:I15)</f>
        <v>1</v>
      </c>
      <c r="J16" s="212">
        <f>+SUM(J6:J15)</f>
        <v>11999997.979256393</v>
      </c>
      <c r="K16" s="213"/>
      <c r="L16" s="209">
        <f>+SUM(L6:L15)</f>
        <v>2399356</v>
      </c>
      <c r="M16" s="210">
        <f>+SUM(M6:M15)</f>
        <v>0.99999999999999989</v>
      </c>
      <c r="N16" s="212">
        <f>+SUM(N6:N15)</f>
        <v>57142848.48252596</v>
      </c>
      <c r="O16" s="214"/>
      <c r="P16" s="209">
        <f>+SUM(P6:P15)</f>
        <v>2742121</v>
      </c>
      <c r="Q16" s="210">
        <f>+SUM(Q6:Q15)</f>
        <v>0.99999999999999989</v>
      </c>
      <c r="R16" s="212">
        <f>+SUM(R6:R15)</f>
        <v>199999989.58053744</v>
      </c>
      <c r="S16" s="214"/>
      <c r="T16" s="301"/>
    </row>
    <row r="17" spans="4:18" ht="15" customHeight="1"/>
    <row r="18" spans="4:18">
      <c r="D18" s="473" t="s">
        <v>415</v>
      </c>
      <c r="E18" s="473"/>
      <c r="F18" s="473"/>
      <c r="H18" s="473" t="s">
        <v>337</v>
      </c>
      <c r="I18" s="473"/>
      <c r="J18" s="473"/>
      <c r="L18" s="473" t="s">
        <v>338</v>
      </c>
      <c r="M18" s="473"/>
      <c r="N18" s="473"/>
      <c r="P18" s="473" t="s">
        <v>418</v>
      </c>
      <c r="Q18" s="473"/>
      <c r="R18" s="473"/>
    </row>
    <row r="19" spans="4:18">
      <c r="D19" s="215" t="s">
        <v>339</v>
      </c>
      <c r="F19" s="216">
        <f>Assumptions!F122</f>
        <v>549000</v>
      </c>
      <c r="G19" s="217"/>
      <c r="H19" s="215" t="s">
        <v>339</v>
      </c>
      <c r="J19" s="216">
        <f>Assumptions!G88</f>
        <v>3000000</v>
      </c>
      <c r="L19" s="215" t="s">
        <v>339</v>
      </c>
      <c r="N19" s="216">
        <f>Assumptions!G89</f>
        <v>10000000</v>
      </c>
      <c r="P19" s="215" t="s">
        <v>339</v>
      </c>
      <c r="R19" s="216">
        <f>Assumptions!G90</f>
        <v>25000000</v>
      </c>
    </row>
    <row r="20" spans="4:18">
      <c r="D20" s="215" t="s">
        <v>309</v>
      </c>
      <c r="F20" s="299">
        <f>Assumptions!L87</f>
        <v>0.2</v>
      </c>
      <c r="G20" s="217"/>
      <c r="H20" s="215" t="s">
        <v>340</v>
      </c>
      <c r="J20" s="218">
        <f>Assumptions!J88</f>
        <v>0.25</v>
      </c>
      <c r="L20" s="215" t="s">
        <v>340</v>
      </c>
      <c r="N20" s="218">
        <f>Assumptions!J89</f>
        <v>0.17499999999999999</v>
      </c>
      <c r="P20" s="215" t="s">
        <v>340</v>
      </c>
      <c r="R20" s="218">
        <f>Assumptions!J90</f>
        <v>0.125</v>
      </c>
    </row>
    <row r="21" spans="4:18">
      <c r="D21" s="215" t="s">
        <v>310</v>
      </c>
      <c r="F21" s="216">
        <f>Assumptions!G122</f>
        <v>2464663.0236794171</v>
      </c>
      <c r="G21" s="217"/>
      <c r="H21" s="215" t="s">
        <v>341</v>
      </c>
      <c r="J21" s="219">
        <f>J19/J20</f>
        <v>12000000</v>
      </c>
      <c r="L21" s="215" t="s">
        <v>341</v>
      </c>
      <c r="N21" s="219">
        <f>N19/N20</f>
        <v>57142857.142857149</v>
      </c>
      <c r="P21" s="215" t="s">
        <v>341</v>
      </c>
      <c r="R21" s="219">
        <f>R19/R20</f>
        <v>200000000</v>
      </c>
    </row>
    <row r="22" spans="4:18">
      <c r="D22" s="220" t="s">
        <v>343</v>
      </c>
      <c r="F22" s="309">
        <f>Assumptions!I122</f>
        <v>2.053885853066181</v>
      </c>
      <c r="G22" s="217"/>
      <c r="H22" s="215" t="s">
        <v>342</v>
      </c>
      <c r="J22" s="219">
        <f>J21-J19</f>
        <v>9000000</v>
      </c>
      <c r="L22" s="215" t="s">
        <v>342</v>
      </c>
      <c r="N22" s="219">
        <f>N21-N19</f>
        <v>47142857.142857149</v>
      </c>
      <c r="P22" s="215" t="s">
        <v>342</v>
      </c>
      <c r="R22" s="219">
        <f>R21-R19</f>
        <v>175000000</v>
      </c>
    </row>
    <row r="23" spans="4:18" ht="26.4">
      <c r="D23" s="220" t="s">
        <v>344</v>
      </c>
      <c r="F23" s="221">
        <f>+J21/D16</f>
        <v>10</v>
      </c>
      <c r="H23" s="215" t="s">
        <v>421</v>
      </c>
      <c r="J23" s="222">
        <f>+D16+F24</f>
        <v>1484602</v>
      </c>
      <c r="L23" s="215" t="s">
        <v>421</v>
      </c>
      <c r="N23" s="222">
        <f>H16</f>
        <v>1979469</v>
      </c>
      <c r="P23" s="215" t="s">
        <v>421</v>
      </c>
      <c r="R23" s="222">
        <f>L16</f>
        <v>2399356</v>
      </c>
    </row>
    <row r="24" spans="4:18" ht="26.4">
      <c r="D24" s="220" t="s">
        <v>413</v>
      </c>
      <c r="F24" s="308">
        <f>Assumptions!J122</f>
        <v>284602</v>
      </c>
      <c r="H24" s="220" t="s">
        <v>345</v>
      </c>
      <c r="J24" s="221">
        <f>J22/J23</f>
        <v>6.0622308201120569</v>
      </c>
      <c r="L24" s="220" t="s">
        <v>345</v>
      </c>
      <c r="N24" s="221">
        <f>N22/N23</f>
        <v>23.815910803784828</v>
      </c>
      <c r="P24" s="220" t="s">
        <v>345</v>
      </c>
      <c r="R24" s="221">
        <f>R22/R23</f>
        <v>72.936237890500621</v>
      </c>
    </row>
    <row r="25" spans="4:18">
      <c r="G25" s="217"/>
      <c r="H25" s="220" t="s">
        <v>413</v>
      </c>
      <c r="J25" s="222">
        <f>ROUND(J19/J24,0)</f>
        <v>494867</v>
      </c>
      <c r="L25" s="220" t="s">
        <v>413</v>
      </c>
      <c r="N25" s="222">
        <f>ROUND(N19/N24,0)</f>
        <v>419887</v>
      </c>
      <c r="P25" s="220" t="s">
        <v>413</v>
      </c>
      <c r="R25" s="222">
        <f>ROUND(R19/R24,0)</f>
        <v>342765</v>
      </c>
    </row>
    <row r="26" spans="4:18">
      <c r="J26" s="221"/>
      <c r="N26" s="221"/>
      <c r="R26" s="221"/>
    </row>
    <row r="27" spans="4:18"/>
    <row r="28" spans="4:18"/>
    <row r="29" spans="4:18"/>
    <row r="30" spans="4:18"/>
  </sheetData>
  <mergeCells count="9">
    <mergeCell ref="P4:R4"/>
    <mergeCell ref="P18:R18"/>
    <mergeCell ref="B4:B5"/>
    <mergeCell ref="D4:F4"/>
    <mergeCell ref="H4:J4"/>
    <mergeCell ref="L4:N4"/>
    <mergeCell ref="D18:F18"/>
    <mergeCell ref="H18:J18"/>
    <mergeCell ref="L18:N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5A3C-330A-4106-B0F2-20DD49643B8C}">
  <sheetPr>
    <tabColor theme="9" tint="0.39997558519241921"/>
    <pageSetUpPr autoPageBreaks="0" fitToPage="1"/>
  </sheetPr>
  <dimension ref="B2:O84"/>
  <sheetViews>
    <sheetView workbookViewId="0">
      <selection activeCell="C5" sqref="C5:D5"/>
    </sheetView>
  </sheetViews>
  <sheetFormatPr defaultColWidth="10.21875" defaultRowHeight="13.2"/>
  <cols>
    <col min="1" max="1" width="3" style="330" customWidth="1"/>
    <col min="2" max="2" width="7.88671875" style="330" customWidth="1"/>
    <col min="3" max="3" width="17.109375" style="330" customWidth="1"/>
    <col min="4" max="4" width="19.109375" style="330" customWidth="1"/>
    <col min="5" max="10" width="17.88671875" style="330" customWidth="1"/>
    <col min="11" max="11" width="20.109375" style="330" customWidth="1"/>
    <col min="12" max="12" width="19.77734375" style="330" customWidth="1"/>
    <col min="13" max="14" width="10.21875" style="330"/>
    <col min="15" max="15" width="13.33203125" style="330" bestFit="1" customWidth="1"/>
    <col min="16" max="16384" width="10.21875" style="330"/>
  </cols>
  <sheetData>
    <row r="2" spans="2:12" ht="30" customHeight="1" thickBot="1">
      <c r="B2" s="329" t="s">
        <v>424</v>
      </c>
      <c r="C2" s="329"/>
      <c r="D2" s="329"/>
      <c r="E2" s="329"/>
      <c r="F2" s="329"/>
      <c r="G2" s="329"/>
      <c r="H2" s="329"/>
      <c r="I2" s="329"/>
      <c r="J2" s="329"/>
      <c r="K2" s="329"/>
    </row>
    <row r="3" spans="2:12" ht="20.100000000000001" customHeight="1" thickTop="1" thickBot="1">
      <c r="C3" s="331" t="s">
        <v>425</v>
      </c>
      <c r="D3" s="331"/>
      <c r="E3" s="331"/>
      <c r="G3" s="331" t="s">
        <v>426</v>
      </c>
      <c r="H3" s="331"/>
      <c r="I3" s="331"/>
    </row>
    <row r="4" spans="2:12" ht="14.25" customHeight="1">
      <c r="C4" s="476" t="s">
        <v>427</v>
      </c>
      <c r="D4" s="476"/>
      <c r="E4" s="332">
        <f>Assumptions!G93</f>
        <v>500000</v>
      </c>
      <c r="G4" s="476" t="s">
        <v>428</v>
      </c>
      <c r="H4" s="476"/>
      <c r="I4" s="333">
        <f>IF(LoanIsGood,-PMT(InterestRate/PaymentsPerYear,ScheduledNumberOfPayments,LoanAmount),"")</f>
        <v>9905.5893508175304</v>
      </c>
    </row>
    <row r="5" spans="2:12">
      <c r="C5" s="475" t="s">
        <v>429</v>
      </c>
      <c r="D5" s="475"/>
      <c r="E5" s="334">
        <f>Assumptions!J93</f>
        <v>0.125</v>
      </c>
      <c r="G5" s="475" t="s">
        <v>430</v>
      </c>
      <c r="H5" s="475"/>
      <c r="I5" s="335">
        <f>IF(LoanIsGood,LoanPeriod*PaymentsPerYear,"")</f>
        <v>72</v>
      </c>
    </row>
    <row r="6" spans="2:12">
      <c r="C6" s="475" t="s">
        <v>431</v>
      </c>
      <c r="D6" s="475"/>
      <c r="E6" s="336">
        <f>Assumptions!K93/Months_Per_Year</f>
        <v>6</v>
      </c>
      <c r="G6" s="475" t="s">
        <v>432</v>
      </c>
      <c r="H6" s="475"/>
      <c r="I6" s="335">
        <v>60</v>
      </c>
    </row>
    <row r="7" spans="2:12">
      <c r="C7" s="475" t="s">
        <v>433</v>
      </c>
      <c r="D7" s="475"/>
      <c r="E7" s="337">
        <f>Months_Per_Year</f>
        <v>12</v>
      </c>
      <c r="G7" s="475" t="s">
        <v>434</v>
      </c>
      <c r="H7" s="475"/>
      <c r="I7" s="338">
        <v>0</v>
      </c>
    </row>
    <row r="8" spans="2:12">
      <c r="C8" s="475" t="s">
        <v>435</v>
      </c>
      <c r="D8" s="475"/>
      <c r="E8" s="339">
        <f>Assumptions!I93</f>
        <v>46266</v>
      </c>
      <c r="G8" s="475" t="s">
        <v>436</v>
      </c>
      <c r="H8" s="475"/>
      <c r="I8" s="338">
        <v>5496.4536535219277</v>
      </c>
    </row>
    <row r="10" spans="2:12">
      <c r="C10" s="475" t="s">
        <v>437</v>
      </c>
      <c r="D10" s="475"/>
      <c r="E10" s="340">
        <v>0</v>
      </c>
    </row>
    <row r="12" spans="2:12" ht="35.1" customHeight="1">
      <c r="B12" s="444" t="s">
        <v>438</v>
      </c>
      <c r="C12" s="444" t="s">
        <v>439</v>
      </c>
      <c r="D12" s="445" t="s">
        <v>440</v>
      </c>
      <c r="E12" s="445" t="s">
        <v>441</v>
      </c>
      <c r="F12" s="445" t="s">
        <v>442</v>
      </c>
      <c r="G12" s="445" t="s">
        <v>443</v>
      </c>
      <c r="H12" s="445" t="s">
        <v>444</v>
      </c>
      <c r="I12" s="445" t="s">
        <v>445</v>
      </c>
      <c r="J12" s="445" t="s">
        <v>446</v>
      </c>
      <c r="K12" s="445" t="s">
        <v>447</v>
      </c>
      <c r="L12" s="446" t="s">
        <v>448</v>
      </c>
    </row>
    <row r="13" spans="2:12">
      <c r="B13" s="341">
        <f>IF(LoanIsGood,IF(ROW()-ROW(PaymentSchedule[[#Headers],[PMT NO]])&gt;ScheduledNumberOfPayments,"",ROW()-ROW(PaymentSchedule[[#Headers],[PMT NO]])),"")</f>
        <v>1</v>
      </c>
      <c r="C13" s="342">
        <f>IF(PaymentSchedule[[#This Row],[PMT NO]]&lt;&gt;"",EOMONTH(LoanStartDate,ROW(PaymentSchedule[[#This Row],[PMT NO]])-ROW(PaymentSchedule[[#Headers],[PMT NO]])-2)+DAY(LoanStartDate),"")</f>
        <v>46266</v>
      </c>
      <c r="D13" s="343">
        <f>IF(PaymentSchedule[[#This Row],[PMT NO]]&lt;&gt;"",IF(ROW()-ROW(PaymentSchedule[[#Headers],[BEGINNING BALANCE]])=1,LoanAmount,INDEX(PaymentSchedule[ENDING BALANCE],ROW()-ROW(PaymentSchedule[[#Headers],[BEGINNING BALANCE]])-1)),"")</f>
        <v>500000</v>
      </c>
      <c r="E13" s="343">
        <f>IF(PaymentSchedule[[#This Row],[PMT NO]]&lt;&gt;"",ScheduledPayment,"")</f>
        <v>9905.5893508175304</v>
      </c>
      <c r="F13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3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3" s="343">
        <f>IF(PaymentSchedule[[#This Row],[PMT NO]]&lt;&gt;"",PaymentSchedule[[#This Row],[TOTAL PAYMENT]]-PaymentSchedule[[#This Row],[INTEREST]],"")</f>
        <v>4697.2560174841974</v>
      </c>
      <c r="I13" s="343">
        <f>IF(PaymentSchedule[[#This Row],[PMT NO]]&lt;&gt;"",PaymentSchedule[[#This Row],[BEGINNING BALANCE]]*(InterestRate/PaymentsPerYear),"")</f>
        <v>5208.333333333333</v>
      </c>
      <c r="J13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495302.74398251582</v>
      </c>
      <c r="K13" s="343">
        <f>IF(PaymentSchedule[[#This Row],[PMT NO]]&lt;&gt;"",SUM(INDEX(PaymentSchedule[INTEREST],1,1):PaymentSchedule[[#This Row],[INTEREST]]),"")</f>
        <v>5208.333333333333</v>
      </c>
      <c r="L13" s="344">
        <f>IFERROR(_xlfn.XLOOKUP(PaymentSchedule[[#This Row],[PAYMENT DATE]],Dates!$C$4:$C$75,Dates!$D$4:$D$75),"Out of Scope")</f>
        <v>2</v>
      </c>
    </row>
    <row r="14" spans="2:12">
      <c r="B14" s="341">
        <f>IF(LoanIsGood,IF(ROW()-ROW(PaymentSchedule[[#Headers],[PMT NO]])&gt;ScheduledNumberOfPayments,"",ROW()-ROW(PaymentSchedule[[#Headers],[PMT NO]])),"")</f>
        <v>2</v>
      </c>
      <c r="C14" s="342">
        <f>IF(PaymentSchedule[[#This Row],[PMT NO]]&lt;&gt;"",EOMONTH(LoanStartDate,ROW(PaymentSchedule[[#This Row],[PMT NO]])-ROW(PaymentSchedule[[#Headers],[PMT NO]])-2)+DAY(LoanStartDate),"")</f>
        <v>46296</v>
      </c>
      <c r="D14" s="343">
        <f>IF(PaymentSchedule[[#This Row],[PMT NO]]&lt;&gt;"",IF(ROW()-ROW(PaymentSchedule[[#Headers],[BEGINNING BALANCE]])=1,LoanAmount,INDEX(PaymentSchedule[ENDING BALANCE],ROW()-ROW(PaymentSchedule[[#Headers],[BEGINNING BALANCE]])-1)),"")</f>
        <v>495302.74398251582</v>
      </c>
      <c r="E14" s="343">
        <f>IF(PaymentSchedule[[#This Row],[PMT NO]]&lt;&gt;"",ScheduledPayment,"")</f>
        <v>9905.5893508175304</v>
      </c>
      <c r="F14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4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4" s="343">
        <f>IF(PaymentSchedule[[#This Row],[PMT NO]]&lt;&gt;"",PaymentSchedule[[#This Row],[TOTAL PAYMENT]]-PaymentSchedule[[#This Row],[INTEREST]],"")</f>
        <v>4746.185767666324</v>
      </c>
      <c r="I14" s="343">
        <f>IF(PaymentSchedule[[#This Row],[PMT NO]]&lt;&gt;"",PaymentSchedule[[#This Row],[BEGINNING BALANCE]]*(InterestRate/PaymentsPerYear),"")</f>
        <v>5159.4035831512065</v>
      </c>
      <c r="J14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490556.5582148495</v>
      </c>
      <c r="K14" s="343">
        <f>IF(PaymentSchedule[[#This Row],[PMT NO]]&lt;&gt;"",SUM(INDEX(PaymentSchedule[INTEREST],1,1):PaymentSchedule[[#This Row],[INTEREST]]),"")</f>
        <v>10367.73691648454</v>
      </c>
      <c r="L14" s="344">
        <f>IFERROR(_xlfn.XLOOKUP(PaymentSchedule[[#This Row],[PAYMENT DATE]],Dates!$C$4:$C$75,Dates!$D$4:$D$75),"Out of Scope")</f>
        <v>2</v>
      </c>
    </row>
    <row r="15" spans="2:12">
      <c r="B15" s="341">
        <f>IF(LoanIsGood,IF(ROW()-ROW(PaymentSchedule[[#Headers],[PMT NO]])&gt;ScheduledNumberOfPayments,"",ROW()-ROW(PaymentSchedule[[#Headers],[PMT NO]])),"")</f>
        <v>3</v>
      </c>
      <c r="C15" s="342">
        <f>IF(PaymentSchedule[[#This Row],[PMT NO]]&lt;&gt;"",EOMONTH(LoanStartDate,ROW(PaymentSchedule[[#This Row],[PMT NO]])-ROW(PaymentSchedule[[#Headers],[PMT NO]])-2)+DAY(LoanStartDate),"")</f>
        <v>46327</v>
      </c>
      <c r="D15" s="343">
        <f>IF(PaymentSchedule[[#This Row],[PMT NO]]&lt;&gt;"",IF(ROW()-ROW(PaymentSchedule[[#Headers],[BEGINNING BALANCE]])=1,LoanAmount,INDEX(PaymentSchedule[ENDING BALANCE],ROW()-ROW(PaymentSchedule[[#Headers],[BEGINNING BALANCE]])-1)),"")</f>
        <v>490556.5582148495</v>
      </c>
      <c r="E15" s="343">
        <f>IF(PaymentSchedule[[#This Row],[PMT NO]]&lt;&gt;"",ScheduledPayment,"")</f>
        <v>9905.5893508175304</v>
      </c>
      <c r="F15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5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5" s="343">
        <f>IF(PaymentSchedule[[#This Row],[PMT NO]]&lt;&gt;"",PaymentSchedule[[#This Row],[TOTAL PAYMENT]]-PaymentSchedule[[#This Row],[INTEREST]],"")</f>
        <v>4795.6252027461815</v>
      </c>
      <c r="I15" s="343">
        <f>IF(PaymentSchedule[[#This Row],[PMT NO]]&lt;&gt;"",PaymentSchedule[[#This Row],[BEGINNING BALANCE]]*(InterestRate/PaymentsPerYear),"")</f>
        <v>5109.964148071349</v>
      </c>
      <c r="J15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485760.93301210331</v>
      </c>
      <c r="K15" s="343">
        <f>IF(PaymentSchedule[[#This Row],[PMT NO]]&lt;&gt;"",SUM(INDEX(PaymentSchedule[INTEREST],1,1):PaymentSchedule[[#This Row],[INTEREST]]),"")</f>
        <v>15477.701064555889</v>
      </c>
      <c r="L15" s="344">
        <f>IFERROR(_xlfn.XLOOKUP(PaymentSchedule[[#This Row],[PAYMENT DATE]],Dates!$C$4:$C$75,Dates!$D$4:$D$75),"Out of Scope")</f>
        <v>2</v>
      </c>
    </row>
    <row r="16" spans="2:12">
      <c r="B16" s="341">
        <f>IF(LoanIsGood,IF(ROW()-ROW(PaymentSchedule[[#Headers],[PMT NO]])&gt;ScheduledNumberOfPayments,"",ROW()-ROW(PaymentSchedule[[#Headers],[PMT NO]])),"")</f>
        <v>4</v>
      </c>
      <c r="C16" s="342">
        <f>IF(PaymentSchedule[[#This Row],[PMT NO]]&lt;&gt;"",EOMONTH(LoanStartDate,ROW(PaymentSchedule[[#This Row],[PMT NO]])-ROW(PaymentSchedule[[#Headers],[PMT NO]])-2)+DAY(LoanStartDate),"")</f>
        <v>46357</v>
      </c>
      <c r="D16" s="343">
        <f>IF(PaymentSchedule[[#This Row],[PMT NO]]&lt;&gt;"",IF(ROW()-ROW(PaymentSchedule[[#Headers],[BEGINNING BALANCE]])=1,LoanAmount,INDEX(PaymentSchedule[ENDING BALANCE],ROW()-ROW(PaymentSchedule[[#Headers],[BEGINNING BALANCE]])-1)),"")</f>
        <v>485760.93301210331</v>
      </c>
      <c r="E16" s="343">
        <f>IF(PaymentSchedule[[#This Row],[PMT NO]]&lt;&gt;"",ScheduledPayment,"")</f>
        <v>9905.5893508175304</v>
      </c>
      <c r="F16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6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6" s="343">
        <f>IF(PaymentSchedule[[#This Row],[PMT NO]]&lt;&gt;"",PaymentSchedule[[#This Row],[TOTAL PAYMENT]]-PaymentSchedule[[#This Row],[INTEREST]],"")</f>
        <v>4845.5796319414549</v>
      </c>
      <c r="I16" s="343">
        <f>IF(PaymentSchedule[[#This Row],[PMT NO]]&lt;&gt;"",PaymentSchedule[[#This Row],[BEGINNING BALANCE]]*(InterestRate/PaymentsPerYear),"")</f>
        <v>5060.0097188760756</v>
      </c>
      <c r="J16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480915.35338016186</v>
      </c>
      <c r="K16" s="343">
        <f>IF(PaymentSchedule[[#This Row],[PMT NO]]&lt;&gt;"",SUM(INDEX(PaymentSchedule[INTEREST],1,1):PaymentSchedule[[#This Row],[INTEREST]]),"")</f>
        <v>20537.710783431965</v>
      </c>
      <c r="L16" s="344">
        <f>IFERROR(_xlfn.XLOOKUP(PaymentSchedule[[#This Row],[PAYMENT DATE]],Dates!$C$4:$C$75,Dates!$D$4:$D$75),"Out of Scope")</f>
        <v>2</v>
      </c>
    </row>
    <row r="17" spans="2:12">
      <c r="B17" s="341">
        <f>IF(LoanIsGood,IF(ROW()-ROW(PaymentSchedule[[#Headers],[PMT NO]])&gt;ScheduledNumberOfPayments,"",ROW()-ROW(PaymentSchedule[[#Headers],[PMT NO]])),"")</f>
        <v>5</v>
      </c>
      <c r="C17" s="342">
        <f>IF(PaymentSchedule[[#This Row],[PMT NO]]&lt;&gt;"",EOMONTH(LoanStartDate,ROW(PaymentSchedule[[#This Row],[PMT NO]])-ROW(PaymentSchedule[[#Headers],[PMT NO]])-2)+DAY(LoanStartDate),"")</f>
        <v>46388</v>
      </c>
      <c r="D17" s="343">
        <f>IF(PaymentSchedule[[#This Row],[PMT NO]]&lt;&gt;"",IF(ROW()-ROW(PaymentSchedule[[#Headers],[BEGINNING BALANCE]])=1,LoanAmount,INDEX(PaymentSchedule[ENDING BALANCE],ROW()-ROW(PaymentSchedule[[#Headers],[BEGINNING BALANCE]])-1)),"")</f>
        <v>480915.35338016186</v>
      </c>
      <c r="E17" s="343">
        <f>IF(PaymentSchedule[[#This Row],[PMT NO]]&lt;&gt;"",ScheduledPayment,"")</f>
        <v>9905.5893508175304</v>
      </c>
      <c r="F17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7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7" s="343">
        <f>IF(PaymentSchedule[[#This Row],[PMT NO]]&lt;&gt;"",PaymentSchedule[[#This Row],[TOTAL PAYMENT]]-PaymentSchedule[[#This Row],[INTEREST]],"")</f>
        <v>4896.0544197741783</v>
      </c>
      <c r="I17" s="343">
        <f>IF(PaymentSchedule[[#This Row],[PMT NO]]&lt;&gt;"",PaymentSchedule[[#This Row],[BEGINNING BALANCE]]*(InterestRate/PaymentsPerYear),"")</f>
        <v>5009.5349310433521</v>
      </c>
      <c r="J17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476019.29896038771</v>
      </c>
      <c r="K17" s="343">
        <f>IF(PaymentSchedule[[#This Row],[PMT NO]]&lt;&gt;"",SUM(INDEX(PaymentSchedule[INTEREST],1,1):PaymentSchedule[[#This Row],[INTEREST]]),"")</f>
        <v>25547.245714475317</v>
      </c>
      <c r="L17" s="344">
        <f>IFERROR(_xlfn.XLOOKUP(PaymentSchedule[[#This Row],[PAYMENT DATE]],Dates!$C$4:$C$75,Dates!$D$4:$D$75),"Out of Scope")</f>
        <v>3</v>
      </c>
    </row>
    <row r="18" spans="2:12">
      <c r="B18" s="341">
        <f>IF(LoanIsGood,IF(ROW()-ROW(PaymentSchedule[[#Headers],[PMT NO]])&gt;ScheduledNumberOfPayments,"",ROW()-ROW(PaymentSchedule[[#Headers],[PMT NO]])),"")</f>
        <v>6</v>
      </c>
      <c r="C18" s="342">
        <f>IF(PaymentSchedule[[#This Row],[PMT NO]]&lt;&gt;"",EOMONTH(LoanStartDate,ROW(PaymentSchedule[[#This Row],[PMT NO]])-ROW(PaymentSchedule[[#Headers],[PMT NO]])-2)+DAY(LoanStartDate),"")</f>
        <v>46419</v>
      </c>
      <c r="D18" s="343">
        <f>IF(PaymentSchedule[[#This Row],[PMT NO]]&lt;&gt;"",IF(ROW()-ROW(PaymentSchedule[[#Headers],[BEGINNING BALANCE]])=1,LoanAmount,INDEX(PaymentSchedule[ENDING BALANCE],ROW()-ROW(PaymentSchedule[[#Headers],[BEGINNING BALANCE]])-1)),"")</f>
        <v>476019.29896038771</v>
      </c>
      <c r="E18" s="343">
        <f>IF(PaymentSchedule[[#This Row],[PMT NO]]&lt;&gt;"",ScheduledPayment,"")</f>
        <v>9905.5893508175304</v>
      </c>
      <c r="F18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8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8" s="343">
        <f>IF(PaymentSchedule[[#This Row],[PMT NO]]&lt;&gt;"",PaymentSchedule[[#This Row],[TOTAL PAYMENT]]-PaymentSchedule[[#This Row],[INTEREST]],"")</f>
        <v>4947.0549866468255</v>
      </c>
      <c r="I18" s="343">
        <f>IF(PaymentSchedule[[#This Row],[PMT NO]]&lt;&gt;"",PaymentSchedule[[#This Row],[BEGINNING BALANCE]]*(InterestRate/PaymentsPerYear),"")</f>
        <v>4958.534364170705</v>
      </c>
      <c r="J18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471072.2439737409</v>
      </c>
      <c r="K18" s="343">
        <f>IF(PaymentSchedule[[#This Row],[PMT NO]]&lt;&gt;"",SUM(INDEX(PaymentSchedule[INTEREST],1,1):PaymentSchedule[[#This Row],[INTEREST]]),"")</f>
        <v>30505.780078646021</v>
      </c>
      <c r="L18" s="344">
        <f>IFERROR(_xlfn.XLOOKUP(PaymentSchedule[[#This Row],[PAYMENT DATE]],Dates!$C$4:$C$75,Dates!$D$4:$D$75),"Out of Scope")</f>
        <v>3</v>
      </c>
    </row>
    <row r="19" spans="2:12">
      <c r="B19" s="341">
        <f>IF(LoanIsGood,IF(ROW()-ROW(PaymentSchedule[[#Headers],[PMT NO]])&gt;ScheduledNumberOfPayments,"",ROW()-ROW(PaymentSchedule[[#Headers],[PMT NO]])),"")</f>
        <v>7</v>
      </c>
      <c r="C19" s="342">
        <f>IF(PaymentSchedule[[#This Row],[PMT NO]]&lt;&gt;"",EOMONTH(LoanStartDate,ROW(PaymentSchedule[[#This Row],[PMT NO]])-ROW(PaymentSchedule[[#Headers],[PMT NO]])-2)+DAY(LoanStartDate),"")</f>
        <v>46447</v>
      </c>
      <c r="D19" s="343">
        <f>IF(PaymentSchedule[[#This Row],[PMT NO]]&lt;&gt;"",IF(ROW()-ROW(PaymentSchedule[[#Headers],[BEGINNING BALANCE]])=1,LoanAmount,INDEX(PaymentSchedule[ENDING BALANCE],ROW()-ROW(PaymentSchedule[[#Headers],[BEGINNING BALANCE]])-1)),"")</f>
        <v>471072.2439737409</v>
      </c>
      <c r="E19" s="343">
        <f>IF(PaymentSchedule[[#This Row],[PMT NO]]&lt;&gt;"",ScheduledPayment,"")</f>
        <v>9905.5893508175304</v>
      </c>
      <c r="F19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19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19" s="343">
        <f>IF(PaymentSchedule[[#This Row],[PMT NO]]&lt;&gt;"",PaymentSchedule[[#This Row],[TOTAL PAYMENT]]-PaymentSchedule[[#This Row],[INTEREST]],"")</f>
        <v>4998.5868094243961</v>
      </c>
      <c r="I19" s="343">
        <f>IF(PaymentSchedule[[#This Row],[PMT NO]]&lt;&gt;"",PaymentSchedule[[#This Row],[BEGINNING BALANCE]]*(InterestRate/PaymentsPerYear),"")</f>
        <v>4907.0025413931344</v>
      </c>
      <c r="J19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466073.65716431651</v>
      </c>
      <c r="K19" s="343">
        <f>IF(PaymentSchedule[[#This Row],[PMT NO]]&lt;&gt;"",SUM(INDEX(PaymentSchedule[INTEREST],1,1):PaymentSchedule[[#This Row],[INTEREST]]),"")</f>
        <v>35412.782620039157</v>
      </c>
      <c r="L19" s="344">
        <f>IFERROR(_xlfn.XLOOKUP(PaymentSchedule[[#This Row],[PAYMENT DATE]],Dates!$C$4:$C$75,Dates!$D$4:$D$75),"Out of Scope")</f>
        <v>3</v>
      </c>
    </row>
    <row r="20" spans="2:12">
      <c r="B20" s="341">
        <f>IF(LoanIsGood,IF(ROW()-ROW(PaymentSchedule[[#Headers],[PMT NO]])&gt;ScheduledNumberOfPayments,"",ROW()-ROW(PaymentSchedule[[#Headers],[PMT NO]])),"")</f>
        <v>8</v>
      </c>
      <c r="C20" s="342">
        <f>IF(PaymentSchedule[[#This Row],[PMT NO]]&lt;&gt;"",EOMONTH(LoanStartDate,ROW(PaymentSchedule[[#This Row],[PMT NO]])-ROW(PaymentSchedule[[#Headers],[PMT NO]])-2)+DAY(LoanStartDate),"")</f>
        <v>46478</v>
      </c>
      <c r="D20" s="343">
        <f>IF(PaymentSchedule[[#This Row],[PMT NO]]&lt;&gt;"",IF(ROW()-ROW(PaymentSchedule[[#Headers],[BEGINNING BALANCE]])=1,LoanAmount,INDEX(PaymentSchedule[ENDING BALANCE],ROW()-ROW(PaymentSchedule[[#Headers],[BEGINNING BALANCE]])-1)),"")</f>
        <v>466073.65716431651</v>
      </c>
      <c r="E20" s="343">
        <f>IF(PaymentSchedule[[#This Row],[PMT NO]]&lt;&gt;"",ScheduledPayment,"")</f>
        <v>9905.5893508175304</v>
      </c>
      <c r="F20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0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0" s="343">
        <f>IF(PaymentSchedule[[#This Row],[PMT NO]]&lt;&gt;"",PaymentSchedule[[#This Row],[TOTAL PAYMENT]]-PaymentSchedule[[#This Row],[INTEREST]],"")</f>
        <v>5050.6554220225671</v>
      </c>
      <c r="I20" s="343">
        <f>IF(PaymentSchedule[[#This Row],[PMT NO]]&lt;&gt;"",PaymentSchedule[[#This Row],[BEGINNING BALANCE]]*(InterestRate/PaymentsPerYear),"")</f>
        <v>4854.9339287949633</v>
      </c>
      <c r="J20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461023.00174229394</v>
      </c>
      <c r="K20" s="343">
        <f>IF(PaymentSchedule[[#This Row],[PMT NO]]&lt;&gt;"",SUM(INDEX(PaymentSchedule[INTEREST],1,1):PaymentSchedule[[#This Row],[INTEREST]]),"")</f>
        <v>40267.71654883412</v>
      </c>
      <c r="L20" s="344">
        <f>IFERROR(_xlfn.XLOOKUP(PaymentSchedule[[#This Row],[PAYMENT DATE]],Dates!$C$4:$C$75,Dates!$D$4:$D$75),"Out of Scope")</f>
        <v>3</v>
      </c>
    </row>
    <row r="21" spans="2:12">
      <c r="B21" s="341">
        <f>IF(LoanIsGood,IF(ROW()-ROW(PaymentSchedule[[#Headers],[PMT NO]])&gt;ScheduledNumberOfPayments,"",ROW()-ROW(PaymentSchedule[[#Headers],[PMT NO]])),"")</f>
        <v>9</v>
      </c>
      <c r="C21" s="342">
        <f>IF(PaymentSchedule[[#This Row],[PMT NO]]&lt;&gt;"",EOMONTH(LoanStartDate,ROW(PaymentSchedule[[#This Row],[PMT NO]])-ROW(PaymentSchedule[[#Headers],[PMT NO]])-2)+DAY(LoanStartDate),"")</f>
        <v>46508</v>
      </c>
      <c r="D21" s="343">
        <f>IF(PaymentSchedule[[#This Row],[PMT NO]]&lt;&gt;"",IF(ROW()-ROW(PaymentSchedule[[#Headers],[BEGINNING BALANCE]])=1,LoanAmount,INDEX(PaymentSchedule[ENDING BALANCE],ROW()-ROW(PaymentSchedule[[#Headers],[BEGINNING BALANCE]])-1)),"")</f>
        <v>461023.00174229394</v>
      </c>
      <c r="E21" s="343">
        <f>IF(PaymentSchedule[[#This Row],[PMT NO]]&lt;&gt;"",ScheduledPayment,"")</f>
        <v>9905.5893508175304</v>
      </c>
      <c r="F21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1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1" s="343">
        <f>IF(PaymentSchedule[[#This Row],[PMT NO]]&lt;&gt;"",PaymentSchedule[[#This Row],[TOTAL PAYMENT]]-PaymentSchedule[[#This Row],[INTEREST]],"")</f>
        <v>5103.2664160019685</v>
      </c>
      <c r="I21" s="343">
        <f>IF(PaymentSchedule[[#This Row],[PMT NO]]&lt;&gt;"",PaymentSchedule[[#This Row],[BEGINNING BALANCE]]*(InterestRate/PaymentsPerYear),"")</f>
        <v>4802.3229348155619</v>
      </c>
      <c r="J21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455919.73532629199</v>
      </c>
      <c r="K21" s="343">
        <f>IF(PaymentSchedule[[#This Row],[PMT NO]]&lt;&gt;"",SUM(INDEX(PaymentSchedule[INTEREST],1,1):PaymentSchedule[[#This Row],[INTEREST]]),"")</f>
        <v>45070.039483649685</v>
      </c>
      <c r="L21" s="344">
        <f>IFERROR(_xlfn.XLOOKUP(PaymentSchedule[[#This Row],[PAYMENT DATE]],Dates!$C$4:$C$75,Dates!$D$4:$D$75),"Out of Scope")</f>
        <v>3</v>
      </c>
    </row>
    <row r="22" spans="2:12">
      <c r="B22" s="341">
        <f>IF(LoanIsGood,IF(ROW()-ROW(PaymentSchedule[[#Headers],[PMT NO]])&gt;ScheduledNumberOfPayments,"",ROW()-ROW(PaymentSchedule[[#Headers],[PMT NO]])),"")</f>
        <v>10</v>
      </c>
      <c r="C22" s="342">
        <f>IF(PaymentSchedule[[#This Row],[PMT NO]]&lt;&gt;"",EOMONTH(LoanStartDate,ROW(PaymentSchedule[[#This Row],[PMT NO]])-ROW(PaymentSchedule[[#Headers],[PMT NO]])-2)+DAY(LoanStartDate),"")</f>
        <v>46539</v>
      </c>
      <c r="D22" s="343">
        <f>IF(PaymentSchedule[[#This Row],[PMT NO]]&lt;&gt;"",IF(ROW()-ROW(PaymentSchedule[[#Headers],[BEGINNING BALANCE]])=1,LoanAmount,INDEX(PaymentSchedule[ENDING BALANCE],ROW()-ROW(PaymentSchedule[[#Headers],[BEGINNING BALANCE]])-1)),"")</f>
        <v>455919.73532629199</v>
      </c>
      <c r="E22" s="343">
        <f>IF(PaymentSchedule[[#This Row],[PMT NO]]&lt;&gt;"",ScheduledPayment,"")</f>
        <v>9905.5893508175304</v>
      </c>
      <c r="F22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2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2" s="343">
        <f>IF(PaymentSchedule[[#This Row],[PMT NO]]&lt;&gt;"",PaymentSchedule[[#This Row],[TOTAL PAYMENT]]-PaymentSchedule[[#This Row],[INTEREST]],"")</f>
        <v>5156.4254411686561</v>
      </c>
      <c r="I22" s="343">
        <f>IF(PaymentSchedule[[#This Row],[PMT NO]]&lt;&gt;"",PaymentSchedule[[#This Row],[BEGINNING BALANCE]]*(InterestRate/PaymentsPerYear),"")</f>
        <v>4749.1639096488743</v>
      </c>
      <c r="J22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450763.30988512334</v>
      </c>
      <c r="K22" s="343">
        <f>IF(PaymentSchedule[[#This Row],[PMT NO]]&lt;&gt;"",SUM(INDEX(PaymentSchedule[INTEREST],1,1):PaymentSchedule[[#This Row],[INTEREST]]),"")</f>
        <v>49819.203393298558</v>
      </c>
      <c r="L22" s="344">
        <f>IFERROR(_xlfn.XLOOKUP(PaymentSchedule[[#This Row],[PAYMENT DATE]],Dates!$C$4:$C$75,Dates!$D$4:$D$75),"Out of Scope")</f>
        <v>3</v>
      </c>
    </row>
    <row r="23" spans="2:12">
      <c r="B23" s="341">
        <f>IF(LoanIsGood,IF(ROW()-ROW(PaymentSchedule[[#Headers],[PMT NO]])&gt;ScheduledNumberOfPayments,"",ROW()-ROW(PaymentSchedule[[#Headers],[PMT NO]])),"")</f>
        <v>11</v>
      </c>
      <c r="C23" s="342">
        <f>IF(PaymentSchedule[[#This Row],[PMT NO]]&lt;&gt;"",EOMONTH(LoanStartDate,ROW(PaymentSchedule[[#This Row],[PMT NO]])-ROW(PaymentSchedule[[#Headers],[PMT NO]])-2)+DAY(LoanStartDate),"")</f>
        <v>46569</v>
      </c>
      <c r="D23" s="343">
        <f>IF(PaymentSchedule[[#This Row],[PMT NO]]&lt;&gt;"",IF(ROW()-ROW(PaymentSchedule[[#Headers],[BEGINNING BALANCE]])=1,LoanAmount,INDEX(PaymentSchedule[ENDING BALANCE],ROW()-ROW(PaymentSchedule[[#Headers],[BEGINNING BALANCE]])-1)),"")</f>
        <v>450763.30988512334</v>
      </c>
      <c r="E23" s="343">
        <f>IF(PaymentSchedule[[#This Row],[PMT NO]]&lt;&gt;"",ScheduledPayment,"")</f>
        <v>9905.5893508175304</v>
      </c>
      <c r="F23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3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3" s="343">
        <f>IF(PaymentSchedule[[#This Row],[PMT NO]]&lt;&gt;"",PaymentSchedule[[#This Row],[TOTAL PAYMENT]]-PaymentSchedule[[#This Row],[INTEREST]],"")</f>
        <v>5210.138206180829</v>
      </c>
      <c r="I23" s="343">
        <f>IF(PaymentSchedule[[#This Row],[PMT NO]]&lt;&gt;"",PaymentSchedule[[#This Row],[BEGINNING BALANCE]]*(InterestRate/PaymentsPerYear),"")</f>
        <v>4695.4511446367014</v>
      </c>
      <c r="J23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445553.17167894251</v>
      </c>
      <c r="K23" s="343">
        <f>IF(PaymentSchedule[[#This Row],[PMT NO]]&lt;&gt;"",SUM(INDEX(PaymentSchedule[INTEREST],1,1):PaymentSchedule[[#This Row],[INTEREST]]),"")</f>
        <v>54514.654537935261</v>
      </c>
      <c r="L23" s="344">
        <f>IFERROR(_xlfn.XLOOKUP(PaymentSchedule[[#This Row],[PAYMENT DATE]],Dates!$C$4:$C$75,Dates!$D$4:$D$75),"Out of Scope")</f>
        <v>3</v>
      </c>
    </row>
    <row r="24" spans="2:12">
      <c r="B24" s="341">
        <f>IF(LoanIsGood,IF(ROW()-ROW(PaymentSchedule[[#Headers],[PMT NO]])&gt;ScheduledNumberOfPayments,"",ROW()-ROW(PaymentSchedule[[#Headers],[PMT NO]])),"")</f>
        <v>12</v>
      </c>
      <c r="C24" s="342">
        <f>IF(PaymentSchedule[[#This Row],[PMT NO]]&lt;&gt;"",EOMONTH(LoanStartDate,ROW(PaymentSchedule[[#This Row],[PMT NO]])-ROW(PaymentSchedule[[#Headers],[PMT NO]])-2)+DAY(LoanStartDate),"")</f>
        <v>46600</v>
      </c>
      <c r="D24" s="343">
        <f>IF(PaymentSchedule[[#This Row],[PMT NO]]&lt;&gt;"",IF(ROW()-ROW(PaymentSchedule[[#Headers],[BEGINNING BALANCE]])=1,LoanAmount,INDEX(PaymentSchedule[ENDING BALANCE],ROW()-ROW(PaymentSchedule[[#Headers],[BEGINNING BALANCE]])-1)),"")</f>
        <v>445553.17167894251</v>
      </c>
      <c r="E24" s="343">
        <f>IF(PaymentSchedule[[#This Row],[PMT NO]]&lt;&gt;"",ScheduledPayment,"")</f>
        <v>9905.5893508175304</v>
      </c>
      <c r="F24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4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4" s="343">
        <f>IF(PaymentSchedule[[#This Row],[PMT NO]]&lt;&gt;"",PaymentSchedule[[#This Row],[TOTAL PAYMENT]]-PaymentSchedule[[#This Row],[INTEREST]],"")</f>
        <v>5264.4104791618793</v>
      </c>
      <c r="I24" s="343">
        <f>IF(PaymentSchedule[[#This Row],[PMT NO]]&lt;&gt;"",PaymentSchedule[[#This Row],[BEGINNING BALANCE]]*(InterestRate/PaymentsPerYear),"")</f>
        <v>4641.1788716556512</v>
      </c>
      <c r="J24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440288.76119978062</v>
      </c>
      <c r="K24" s="343">
        <f>IF(PaymentSchedule[[#This Row],[PMT NO]]&lt;&gt;"",SUM(INDEX(PaymentSchedule[INTEREST],1,1):PaymentSchedule[[#This Row],[INTEREST]]),"")</f>
        <v>59155.833409590909</v>
      </c>
      <c r="L24" s="344">
        <f>IFERROR(_xlfn.XLOOKUP(PaymentSchedule[[#This Row],[PAYMENT DATE]],Dates!$C$4:$C$75,Dates!$D$4:$D$75),"Out of Scope")</f>
        <v>3</v>
      </c>
    </row>
    <row r="25" spans="2:12">
      <c r="B25" s="341">
        <f>IF(LoanIsGood,IF(ROW()-ROW(PaymentSchedule[[#Headers],[PMT NO]])&gt;ScheduledNumberOfPayments,"",ROW()-ROW(PaymentSchedule[[#Headers],[PMT NO]])),"")</f>
        <v>13</v>
      </c>
      <c r="C25" s="342">
        <f>IF(PaymentSchedule[[#This Row],[PMT NO]]&lt;&gt;"",EOMONTH(LoanStartDate,ROW(PaymentSchedule[[#This Row],[PMT NO]])-ROW(PaymentSchedule[[#Headers],[PMT NO]])-2)+DAY(LoanStartDate),"")</f>
        <v>46631</v>
      </c>
      <c r="D25" s="343">
        <f>IF(PaymentSchedule[[#This Row],[PMT NO]]&lt;&gt;"",IF(ROW()-ROW(PaymentSchedule[[#Headers],[BEGINNING BALANCE]])=1,LoanAmount,INDEX(PaymentSchedule[ENDING BALANCE],ROW()-ROW(PaymentSchedule[[#Headers],[BEGINNING BALANCE]])-1)),"")</f>
        <v>440288.76119978062</v>
      </c>
      <c r="E25" s="343">
        <f>IF(PaymentSchedule[[#This Row],[PMT NO]]&lt;&gt;"",ScheduledPayment,"")</f>
        <v>9905.5893508175304</v>
      </c>
      <c r="F25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5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5" s="343">
        <f>IF(PaymentSchedule[[#This Row],[PMT NO]]&lt;&gt;"",PaymentSchedule[[#This Row],[TOTAL PAYMENT]]-PaymentSchedule[[#This Row],[INTEREST]],"")</f>
        <v>5319.2480883198159</v>
      </c>
      <c r="I25" s="343">
        <f>IF(PaymentSchedule[[#This Row],[PMT NO]]&lt;&gt;"",PaymentSchedule[[#This Row],[BEGINNING BALANCE]]*(InterestRate/PaymentsPerYear),"")</f>
        <v>4586.3412624977145</v>
      </c>
      <c r="J25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434969.51311146078</v>
      </c>
      <c r="K25" s="343">
        <f>IF(PaymentSchedule[[#This Row],[PMT NO]]&lt;&gt;"",SUM(INDEX(PaymentSchedule[INTEREST],1,1):PaymentSchedule[[#This Row],[INTEREST]]),"")</f>
        <v>63742.174672088622</v>
      </c>
      <c r="L25" s="344">
        <f>IFERROR(_xlfn.XLOOKUP(PaymentSchedule[[#This Row],[PAYMENT DATE]],Dates!$C$4:$C$75,Dates!$D$4:$D$75),"Out of Scope")</f>
        <v>3</v>
      </c>
    </row>
    <row r="26" spans="2:12">
      <c r="B26" s="341">
        <f>IF(LoanIsGood,IF(ROW()-ROW(PaymentSchedule[[#Headers],[PMT NO]])&gt;ScheduledNumberOfPayments,"",ROW()-ROW(PaymentSchedule[[#Headers],[PMT NO]])),"")</f>
        <v>14</v>
      </c>
      <c r="C26" s="342">
        <f>IF(PaymentSchedule[[#This Row],[PMT NO]]&lt;&gt;"",EOMONTH(LoanStartDate,ROW(PaymentSchedule[[#This Row],[PMT NO]])-ROW(PaymentSchedule[[#Headers],[PMT NO]])-2)+DAY(LoanStartDate),"")</f>
        <v>46661</v>
      </c>
      <c r="D26" s="343">
        <f>IF(PaymentSchedule[[#This Row],[PMT NO]]&lt;&gt;"",IF(ROW()-ROW(PaymentSchedule[[#Headers],[BEGINNING BALANCE]])=1,LoanAmount,INDEX(PaymentSchedule[ENDING BALANCE],ROW()-ROW(PaymentSchedule[[#Headers],[BEGINNING BALANCE]])-1)),"")</f>
        <v>434969.51311146078</v>
      </c>
      <c r="E26" s="343">
        <f>IF(PaymentSchedule[[#This Row],[PMT NO]]&lt;&gt;"",ScheduledPayment,"")</f>
        <v>9905.5893508175304</v>
      </c>
      <c r="F26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6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6" s="343">
        <f>IF(PaymentSchedule[[#This Row],[PMT NO]]&lt;&gt;"",PaymentSchedule[[#This Row],[TOTAL PAYMENT]]-PaymentSchedule[[#This Row],[INTEREST]],"")</f>
        <v>5374.6569225731473</v>
      </c>
      <c r="I26" s="343">
        <f>IF(PaymentSchedule[[#This Row],[PMT NO]]&lt;&gt;"",PaymentSchedule[[#This Row],[BEGINNING BALANCE]]*(InterestRate/PaymentsPerYear),"")</f>
        <v>4530.9324282443831</v>
      </c>
      <c r="J26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429594.85618888761</v>
      </c>
      <c r="K26" s="343">
        <f>IF(PaymentSchedule[[#This Row],[PMT NO]]&lt;&gt;"",SUM(INDEX(PaymentSchedule[INTEREST],1,1):PaymentSchedule[[#This Row],[INTEREST]]),"")</f>
        <v>68273.107100333</v>
      </c>
      <c r="L26" s="344">
        <f>IFERROR(_xlfn.XLOOKUP(PaymentSchedule[[#This Row],[PAYMENT DATE]],Dates!$C$4:$C$75,Dates!$D$4:$D$75),"Out of Scope")</f>
        <v>3</v>
      </c>
    </row>
    <row r="27" spans="2:12">
      <c r="B27" s="341">
        <f>IF(LoanIsGood,IF(ROW()-ROW(PaymentSchedule[[#Headers],[PMT NO]])&gt;ScheduledNumberOfPayments,"",ROW()-ROW(PaymentSchedule[[#Headers],[PMT NO]])),"")</f>
        <v>15</v>
      </c>
      <c r="C27" s="342">
        <f>IF(PaymentSchedule[[#This Row],[PMT NO]]&lt;&gt;"",EOMONTH(LoanStartDate,ROW(PaymentSchedule[[#This Row],[PMT NO]])-ROW(PaymentSchedule[[#Headers],[PMT NO]])-2)+DAY(LoanStartDate),"")</f>
        <v>46692</v>
      </c>
      <c r="D27" s="343">
        <f>IF(PaymentSchedule[[#This Row],[PMT NO]]&lt;&gt;"",IF(ROW()-ROW(PaymentSchedule[[#Headers],[BEGINNING BALANCE]])=1,LoanAmount,INDEX(PaymentSchedule[ENDING BALANCE],ROW()-ROW(PaymentSchedule[[#Headers],[BEGINNING BALANCE]])-1)),"")</f>
        <v>429594.85618888761</v>
      </c>
      <c r="E27" s="343">
        <f>IF(PaymentSchedule[[#This Row],[PMT NO]]&lt;&gt;"",ScheduledPayment,"")</f>
        <v>9905.5893508175304</v>
      </c>
      <c r="F27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7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7" s="343">
        <f>IF(PaymentSchedule[[#This Row],[PMT NO]]&lt;&gt;"",PaymentSchedule[[#This Row],[TOTAL PAYMENT]]-PaymentSchedule[[#This Row],[INTEREST]],"")</f>
        <v>5430.6429321832848</v>
      </c>
      <c r="I27" s="343">
        <f>IF(PaymentSchedule[[#This Row],[PMT NO]]&lt;&gt;"",PaymentSchedule[[#This Row],[BEGINNING BALANCE]]*(InterestRate/PaymentsPerYear),"")</f>
        <v>4474.9464186342457</v>
      </c>
      <c r="J27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424164.21325670433</v>
      </c>
      <c r="K27" s="343">
        <f>IF(PaymentSchedule[[#This Row],[PMT NO]]&lt;&gt;"",SUM(INDEX(PaymentSchedule[INTEREST],1,1):PaymentSchedule[[#This Row],[INTEREST]]),"")</f>
        <v>72748.053518967252</v>
      </c>
      <c r="L27" s="344">
        <f>IFERROR(_xlfn.XLOOKUP(PaymentSchedule[[#This Row],[PAYMENT DATE]],Dates!$C$4:$C$75,Dates!$D$4:$D$75),"Out of Scope")</f>
        <v>3</v>
      </c>
    </row>
    <row r="28" spans="2:12">
      <c r="B28" s="341">
        <f>IF(LoanIsGood,IF(ROW()-ROW(PaymentSchedule[[#Headers],[PMT NO]])&gt;ScheduledNumberOfPayments,"",ROW()-ROW(PaymentSchedule[[#Headers],[PMT NO]])),"")</f>
        <v>16</v>
      </c>
      <c r="C28" s="342">
        <f>IF(PaymentSchedule[[#This Row],[PMT NO]]&lt;&gt;"",EOMONTH(LoanStartDate,ROW(PaymentSchedule[[#This Row],[PMT NO]])-ROW(PaymentSchedule[[#Headers],[PMT NO]])-2)+DAY(LoanStartDate),"")</f>
        <v>46722</v>
      </c>
      <c r="D28" s="343">
        <f>IF(PaymentSchedule[[#This Row],[PMT NO]]&lt;&gt;"",IF(ROW()-ROW(PaymentSchedule[[#Headers],[BEGINNING BALANCE]])=1,LoanAmount,INDEX(PaymentSchedule[ENDING BALANCE],ROW()-ROW(PaymentSchedule[[#Headers],[BEGINNING BALANCE]])-1)),"")</f>
        <v>424164.21325670433</v>
      </c>
      <c r="E28" s="343">
        <f>IF(PaymentSchedule[[#This Row],[PMT NO]]&lt;&gt;"",ScheduledPayment,"")</f>
        <v>9905.5893508175304</v>
      </c>
      <c r="F28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8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8" s="343">
        <f>IF(PaymentSchedule[[#This Row],[PMT NO]]&lt;&gt;"",PaymentSchedule[[#This Row],[TOTAL PAYMENT]]-PaymentSchedule[[#This Row],[INTEREST]],"")</f>
        <v>5487.212129393527</v>
      </c>
      <c r="I28" s="343">
        <f>IF(PaymentSchedule[[#This Row],[PMT NO]]&lt;&gt;"",PaymentSchedule[[#This Row],[BEGINNING BALANCE]]*(InterestRate/PaymentsPerYear),"")</f>
        <v>4418.3772214240034</v>
      </c>
      <c r="J28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418677.0011273108</v>
      </c>
      <c r="K28" s="343">
        <f>IF(PaymentSchedule[[#This Row],[PMT NO]]&lt;&gt;"",SUM(INDEX(PaymentSchedule[INTEREST],1,1):PaymentSchedule[[#This Row],[INTEREST]]),"")</f>
        <v>77166.430740391253</v>
      </c>
      <c r="L28" s="344">
        <f>IFERROR(_xlfn.XLOOKUP(PaymentSchedule[[#This Row],[PAYMENT DATE]],Dates!$C$4:$C$75,Dates!$D$4:$D$75),"Out of Scope")</f>
        <v>3</v>
      </c>
    </row>
    <row r="29" spans="2:12">
      <c r="B29" s="341">
        <f>IF(LoanIsGood,IF(ROW()-ROW(PaymentSchedule[[#Headers],[PMT NO]])&gt;ScheduledNumberOfPayments,"",ROW()-ROW(PaymentSchedule[[#Headers],[PMT NO]])),"")</f>
        <v>17</v>
      </c>
      <c r="C29" s="342">
        <f>IF(PaymentSchedule[[#This Row],[PMT NO]]&lt;&gt;"",EOMONTH(LoanStartDate,ROW(PaymentSchedule[[#This Row],[PMT NO]])-ROW(PaymentSchedule[[#Headers],[PMT NO]])-2)+DAY(LoanStartDate),"")</f>
        <v>46753</v>
      </c>
      <c r="D29" s="343">
        <f>IF(PaymentSchedule[[#This Row],[PMT NO]]&lt;&gt;"",IF(ROW()-ROW(PaymentSchedule[[#Headers],[BEGINNING BALANCE]])=1,LoanAmount,INDEX(PaymentSchedule[ENDING BALANCE],ROW()-ROW(PaymentSchedule[[#Headers],[BEGINNING BALANCE]])-1)),"")</f>
        <v>418677.0011273108</v>
      </c>
      <c r="E29" s="343">
        <f>IF(PaymentSchedule[[#This Row],[PMT NO]]&lt;&gt;"",ScheduledPayment,"")</f>
        <v>9905.5893508175304</v>
      </c>
      <c r="F29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29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29" s="343">
        <f>IF(PaymentSchedule[[#This Row],[PMT NO]]&lt;&gt;"",PaymentSchedule[[#This Row],[TOTAL PAYMENT]]-PaymentSchedule[[#This Row],[INTEREST]],"")</f>
        <v>5544.3705890747096</v>
      </c>
      <c r="I29" s="343">
        <f>IF(PaymentSchedule[[#This Row],[PMT NO]]&lt;&gt;"",PaymentSchedule[[#This Row],[BEGINNING BALANCE]]*(InterestRate/PaymentsPerYear),"")</f>
        <v>4361.2187617428208</v>
      </c>
      <c r="J29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413132.63053823606</v>
      </c>
      <c r="K29" s="343">
        <f>IF(PaymentSchedule[[#This Row],[PMT NO]]&lt;&gt;"",SUM(INDEX(PaymentSchedule[INTEREST],1,1):PaymentSchedule[[#This Row],[INTEREST]]),"")</f>
        <v>81527.649502134067</v>
      </c>
      <c r="L29" s="344">
        <f>IFERROR(_xlfn.XLOOKUP(PaymentSchedule[[#This Row],[PAYMENT DATE]],Dates!$C$4:$C$75,Dates!$D$4:$D$75),"Out of Scope")</f>
        <v>4</v>
      </c>
    </row>
    <row r="30" spans="2:12">
      <c r="B30" s="341">
        <f>IF(LoanIsGood,IF(ROW()-ROW(PaymentSchedule[[#Headers],[PMT NO]])&gt;ScheduledNumberOfPayments,"",ROW()-ROW(PaymentSchedule[[#Headers],[PMT NO]])),"")</f>
        <v>18</v>
      </c>
      <c r="C30" s="342">
        <f>IF(PaymentSchedule[[#This Row],[PMT NO]]&lt;&gt;"",EOMONTH(LoanStartDate,ROW(PaymentSchedule[[#This Row],[PMT NO]])-ROW(PaymentSchedule[[#Headers],[PMT NO]])-2)+DAY(LoanStartDate),"")</f>
        <v>46784</v>
      </c>
      <c r="D30" s="343">
        <f>IF(PaymentSchedule[[#This Row],[PMT NO]]&lt;&gt;"",IF(ROW()-ROW(PaymentSchedule[[#Headers],[BEGINNING BALANCE]])=1,LoanAmount,INDEX(PaymentSchedule[ENDING BALANCE],ROW()-ROW(PaymentSchedule[[#Headers],[BEGINNING BALANCE]])-1)),"")</f>
        <v>413132.63053823606</v>
      </c>
      <c r="E30" s="343">
        <f>IF(PaymentSchedule[[#This Row],[PMT NO]]&lt;&gt;"",ScheduledPayment,"")</f>
        <v>9905.5893508175304</v>
      </c>
      <c r="F30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0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0" s="343">
        <f>IF(PaymentSchedule[[#This Row],[PMT NO]]&lt;&gt;"",PaymentSchedule[[#This Row],[TOTAL PAYMENT]]-PaymentSchedule[[#This Row],[INTEREST]],"")</f>
        <v>5602.1244493775721</v>
      </c>
      <c r="I30" s="343">
        <f>IF(PaymentSchedule[[#This Row],[PMT NO]]&lt;&gt;"",PaymentSchedule[[#This Row],[BEGINNING BALANCE]]*(InterestRate/PaymentsPerYear),"")</f>
        <v>4303.4649014399583</v>
      </c>
      <c r="J30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407530.50608885847</v>
      </c>
      <c r="K30" s="343">
        <f>IF(PaymentSchedule[[#This Row],[PMT NO]]&lt;&gt;"",SUM(INDEX(PaymentSchedule[INTEREST],1,1):PaymentSchedule[[#This Row],[INTEREST]]),"")</f>
        <v>85831.114403574029</v>
      </c>
      <c r="L30" s="344">
        <f>IFERROR(_xlfn.XLOOKUP(PaymentSchedule[[#This Row],[PAYMENT DATE]],Dates!$C$4:$C$75,Dates!$D$4:$D$75),"Out of Scope")</f>
        <v>4</v>
      </c>
    </row>
    <row r="31" spans="2:12">
      <c r="B31" s="341">
        <f>IF(LoanIsGood,IF(ROW()-ROW(PaymentSchedule[[#Headers],[PMT NO]])&gt;ScheduledNumberOfPayments,"",ROW()-ROW(PaymentSchedule[[#Headers],[PMT NO]])),"")</f>
        <v>19</v>
      </c>
      <c r="C31" s="342">
        <f>IF(PaymentSchedule[[#This Row],[PMT NO]]&lt;&gt;"",EOMONTH(LoanStartDate,ROW(PaymentSchedule[[#This Row],[PMT NO]])-ROW(PaymentSchedule[[#Headers],[PMT NO]])-2)+DAY(LoanStartDate),"")</f>
        <v>46813</v>
      </c>
      <c r="D31" s="343">
        <f>IF(PaymentSchedule[[#This Row],[PMT NO]]&lt;&gt;"",IF(ROW()-ROW(PaymentSchedule[[#Headers],[BEGINNING BALANCE]])=1,LoanAmount,INDEX(PaymentSchedule[ENDING BALANCE],ROW()-ROW(PaymentSchedule[[#Headers],[BEGINNING BALANCE]])-1)),"")</f>
        <v>407530.50608885847</v>
      </c>
      <c r="E31" s="343">
        <f>IF(PaymentSchedule[[#This Row],[PMT NO]]&lt;&gt;"",ScheduledPayment,"")</f>
        <v>9905.5893508175304</v>
      </c>
      <c r="F31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1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1" s="343">
        <f>IF(PaymentSchedule[[#This Row],[PMT NO]]&lt;&gt;"",PaymentSchedule[[#This Row],[TOTAL PAYMENT]]-PaymentSchedule[[#This Row],[INTEREST]],"")</f>
        <v>5660.479912391922</v>
      </c>
      <c r="I31" s="343">
        <f>IF(PaymentSchedule[[#This Row],[PMT NO]]&lt;&gt;"",PaymentSchedule[[#This Row],[BEGINNING BALANCE]]*(InterestRate/PaymentsPerYear),"")</f>
        <v>4245.1094384256085</v>
      </c>
      <c r="J31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401870.02617646655</v>
      </c>
      <c r="K31" s="343">
        <f>IF(PaymentSchedule[[#This Row],[PMT NO]]&lt;&gt;"",SUM(INDEX(PaymentSchedule[INTEREST],1,1):PaymentSchedule[[#This Row],[INTEREST]]),"")</f>
        <v>90076.223841999643</v>
      </c>
      <c r="L31" s="344">
        <f>IFERROR(_xlfn.XLOOKUP(PaymentSchedule[[#This Row],[PAYMENT DATE]],Dates!$C$4:$C$75,Dates!$D$4:$D$75),"Out of Scope")</f>
        <v>4</v>
      </c>
    </row>
    <row r="32" spans="2:12">
      <c r="B32" s="341">
        <f>IF(LoanIsGood,IF(ROW()-ROW(PaymentSchedule[[#Headers],[PMT NO]])&gt;ScheduledNumberOfPayments,"",ROW()-ROW(PaymentSchedule[[#Headers],[PMT NO]])),"")</f>
        <v>20</v>
      </c>
      <c r="C32" s="342">
        <f>IF(PaymentSchedule[[#This Row],[PMT NO]]&lt;&gt;"",EOMONTH(LoanStartDate,ROW(PaymentSchedule[[#This Row],[PMT NO]])-ROW(PaymentSchedule[[#Headers],[PMT NO]])-2)+DAY(LoanStartDate),"")</f>
        <v>46844</v>
      </c>
      <c r="D32" s="343">
        <f>IF(PaymentSchedule[[#This Row],[PMT NO]]&lt;&gt;"",IF(ROW()-ROW(PaymentSchedule[[#Headers],[BEGINNING BALANCE]])=1,LoanAmount,INDEX(PaymentSchedule[ENDING BALANCE],ROW()-ROW(PaymentSchedule[[#Headers],[BEGINNING BALANCE]])-1)),"")</f>
        <v>401870.02617646655</v>
      </c>
      <c r="E32" s="343">
        <f>IF(PaymentSchedule[[#This Row],[PMT NO]]&lt;&gt;"",ScheduledPayment,"")</f>
        <v>9905.5893508175304</v>
      </c>
      <c r="F32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2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2" s="343">
        <f>IF(PaymentSchedule[[#This Row],[PMT NO]]&lt;&gt;"",PaymentSchedule[[#This Row],[TOTAL PAYMENT]]-PaymentSchedule[[#This Row],[INTEREST]],"")</f>
        <v>5719.4432448126709</v>
      </c>
      <c r="I32" s="343">
        <f>IF(PaymentSchedule[[#This Row],[PMT NO]]&lt;&gt;"",PaymentSchedule[[#This Row],[BEGINNING BALANCE]]*(InterestRate/PaymentsPerYear),"")</f>
        <v>4186.1461060048596</v>
      </c>
      <c r="J32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396150.58293165389</v>
      </c>
      <c r="K32" s="343">
        <f>IF(PaymentSchedule[[#This Row],[PMT NO]]&lt;&gt;"",SUM(INDEX(PaymentSchedule[INTEREST],1,1):PaymentSchedule[[#This Row],[INTEREST]]),"")</f>
        <v>94262.369948004503</v>
      </c>
      <c r="L32" s="344">
        <f>IFERROR(_xlfn.XLOOKUP(PaymentSchedule[[#This Row],[PAYMENT DATE]],Dates!$C$4:$C$75,Dates!$D$4:$D$75),"Out of Scope")</f>
        <v>4</v>
      </c>
    </row>
    <row r="33" spans="2:15">
      <c r="B33" s="341">
        <f>IF(LoanIsGood,IF(ROW()-ROW(PaymentSchedule[[#Headers],[PMT NO]])&gt;ScheduledNumberOfPayments,"",ROW()-ROW(PaymentSchedule[[#Headers],[PMT NO]])),"")</f>
        <v>21</v>
      </c>
      <c r="C33" s="342">
        <f>IF(PaymentSchedule[[#This Row],[PMT NO]]&lt;&gt;"",EOMONTH(LoanStartDate,ROW(PaymentSchedule[[#This Row],[PMT NO]])-ROW(PaymentSchedule[[#Headers],[PMT NO]])-2)+DAY(LoanStartDate),"")</f>
        <v>46874</v>
      </c>
      <c r="D33" s="343">
        <f>IF(PaymentSchedule[[#This Row],[PMT NO]]&lt;&gt;"",IF(ROW()-ROW(PaymentSchedule[[#Headers],[BEGINNING BALANCE]])=1,LoanAmount,INDEX(PaymentSchedule[ENDING BALANCE],ROW()-ROW(PaymentSchedule[[#Headers],[BEGINNING BALANCE]])-1)),"")</f>
        <v>396150.58293165389</v>
      </c>
      <c r="E33" s="343">
        <f>IF(PaymentSchedule[[#This Row],[PMT NO]]&lt;&gt;"",ScheduledPayment,"")</f>
        <v>9905.5893508175304</v>
      </c>
      <c r="F33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3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3" s="343">
        <f>IF(PaymentSchedule[[#This Row],[PMT NO]]&lt;&gt;"",PaymentSchedule[[#This Row],[TOTAL PAYMENT]]-PaymentSchedule[[#This Row],[INTEREST]],"")</f>
        <v>5779.020778612803</v>
      </c>
      <c r="I33" s="343">
        <f>IF(PaymentSchedule[[#This Row],[PMT NO]]&lt;&gt;"",PaymentSchedule[[#This Row],[BEGINNING BALANCE]]*(InterestRate/PaymentsPerYear),"")</f>
        <v>4126.5685722047274</v>
      </c>
      <c r="J33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390371.56215304107</v>
      </c>
      <c r="K33" s="343">
        <f>IF(PaymentSchedule[[#This Row],[PMT NO]]&lt;&gt;"",SUM(INDEX(PaymentSchedule[INTEREST],1,1):PaymentSchedule[[#This Row],[INTEREST]]),"")</f>
        <v>98388.938520209223</v>
      </c>
      <c r="L33" s="344">
        <f>IFERROR(_xlfn.XLOOKUP(PaymentSchedule[[#This Row],[PAYMENT DATE]],Dates!$C$4:$C$75,Dates!$D$4:$D$75),"Out of Scope")</f>
        <v>4</v>
      </c>
    </row>
    <row r="34" spans="2:15">
      <c r="B34" s="341">
        <f>IF(LoanIsGood,IF(ROW()-ROW(PaymentSchedule[[#Headers],[PMT NO]])&gt;ScheduledNumberOfPayments,"",ROW()-ROW(PaymentSchedule[[#Headers],[PMT NO]])),"")</f>
        <v>22</v>
      </c>
      <c r="C34" s="342">
        <f>IF(PaymentSchedule[[#This Row],[PMT NO]]&lt;&gt;"",EOMONTH(LoanStartDate,ROW(PaymentSchedule[[#This Row],[PMT NO]])-ROW(PaymentSchedule[[#Headers],[PMT NO]])-2)+DAY(LoanStartDate),"")</f>
        <v>46905</v>
      </c>
      <c r="D34" s="343">
        <f>IF(PaymentSchedule[[#This Row],[PMT NO]]&lt;&gt;"",IF(ROW()-ROW(PaymentSchedule[[#Headers],[BEGINNING BALANCE]])=1,LoanAmount,INDEX(PaymentSchedule[ENDING BALANCE],ROW()-ROW(PaymentSchedule[[#Headers],[BEGINNING BALANCE]])-1)),"")</f>
        <v>390371.56215304107</v>
      </c>
      <c r="E34" s="343">
        <f>IF(PaymentSchedule[[#This Row],[PMT NO]]&lt;&gt;"",ScheduledPayment,"")</f>
        <v>9905.5893508175304</v>
      </c>
      <c r="F34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4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4" s="343">
        <f>IF(PaymentSchedule[[#This Row],[PMT NO]]&lt;&gt;"",PaymentSchedule[[#This Row],[TOTAL PAYMENT]]-PaymentSchedule[[#This Row],[INTEREST]],"")</f>
        <v>5839.2189117233529</v>
      </c>
      <c r="I34" s="343">
        <f>IF(PaymentSchedule[[#This Row],[PMT NO]]&lt;&gt;"",PaymentSchedule[[#This Row],[BEGINNING BALANCE]]*(InterestRate/PaymentsPerYear),"")</f>
        <v>4066.3704390941775</v>
      </c>
      <c r="J34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384532.34324131772</v>
      </c>
      <c r="K34" s="343">
        <f>IF(PaymentSchedule[[#This Row],[PMT NO]]&lt;&gt;"",SUM(INDEX(PaymentSchedule[INTEREST],1,1):PaymentSchedule[[#This Row],[INTEREST]]),"")</f>
        <v>102455.30895930339</v>
      </c>
      <c r="L34" s="344">
        <f>IFERROR(_xlfn.XLOOKUP(PaymentSchedule[[#This Row],[PAYMENT DATE]],Dates!$C$4:$C$75,Dates!$D$4:$D$75),"Out of Scope")</f>
        <v>4</v>
      </c>
    </row>
    <row r="35" spans="2:15">
      <c r="B35" s="341">
        <f>IF(LoanIsGood,IF(ROW()-ROW(PaymentSchedule[[#Headers],[PMT NO]])&gt;ScheduledNumberOfPayments,"",ROW()-ROW(PaymentSchedule[[#Headers],[PMT NO]])),"")</f>
        <v>23</v>
      </c>
      <c r="C35" s="342">
        <f>IF(PaymentSchedule[[#This Row],[PMT NO]]&lt;&gt;"",EOMONTH(LoanStartDate,ROW(PaymentSchedule[[#This Row],[PMT NO]])-ROW(PaymentSchedule[[#Headers],[PMT NO]])-2)+DAY(LoanStartDate),"")</f>
        <v>46935</v>
      </c>
      <c r="D35" s="343">
        <f>IF(PaymentSchedule[[#This Row],[PMT NO]]&lt;&gt;"",IF(ROW()-ROW(PaymentSchedule[[#Headers],[BEGINNING BALANCE]])=1,LoanAmount,INDEX(PaymentSchedule[ENDING BALANCE],ROW()-ROW(PaymentSchedule[[#Headers],[BEGINNING BALANCE]])-1)),"")</f>
        <v>384532.34324131772</v>
      </c>
      <c r="E35" s="343">
        <f>IF(PaymentSchedule[[#This Row],[PMT NO]]&lt;&gt;"",ScheduledPayment,"")</f>
        <v>9905.5893508175304</v>
      </c>
      <c r="F35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5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5" s="343">
        <f>IF(PaymentSchedule[[#This Row],[PMT NO]]&lt;&gt;"",PaymentSchedule[[#This Row],[TOTAL PAYMENT]]-PaymentSchedule[[#This Row],[INTEREST]],"")</f>
        <v>5900.0441087204708</v>
      </c>
      <c r="I35" s="343">
        <f>IF(PaymentSchedule[[#This Row],[PMT NO]]&lt;&gt;"",PaymentSchedule[[#This Row],[BEGINNING BALANCE]]*(InterestRate/PaymentsPerYear),"")</f>
        <v>4005.5452420970596</v>
      </c>
      <c r="J35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378632.29913259723</v>
      </c>
      <c r="K35" s="343">
        <f>IF(PaymentSchedule[[#This Row],[PMT NO]]&lt;&gt;"",SUM(INDEX(PaymentSchedule[INTEREST],1,1):PaymentSchedule[[#This Row],[INTEREST]]),"")</f>
        <v>106460.85420140045</v>
      </c>
      <c r="L35" s="344">
        <f>IFERROR(_xlfn.XLOOKUP(PaymentSchedule[[#This Row],[PAYMENT DATE]],Dates!$C$4:$C$75,Dates!$D$4:$D$75),"Out of Scope")</f>
        <v>4</v>
      </c>
    </row>
    <row r="36" spans="2:15">
      <c r="B36" s="341">
        <f>IF(LoanIsGood,IF(ROW()-ROW(PaymentSchedule[[#Headers],[PMT NO]])&gt;ScheduledNumberOfPayments,"",ROW()-ROW(PaymentSchedule[[#Headers],[PMT NO]])),"")</f>
        <v>24</v>
      </c>
      <c r="C36" s="342">
        <f>IF(PaymentSchedule[[#This Row],[PMT NO]]&lt;&gt;"",EOMONTH(LoanStartDate,ROW(PaymentSchedule[[#This Row],[PMT NO]])-ROW(PaymentSchedule[[#Headers],[PMT NO]])-2)+DAY(LoanStartDate),"")</f>
        <v>46966</v>
      </c>
      <c r="D36" s="343">
        <f>IF(PaymentSchedule[[#This Row],[PMT NO]]&lt;&gt;"",IF(ROW()-ROW(PaymentSchedule[[#Headers],[BEGINNING BALANCE]])=1,LoanAmount,INDEX(PaymentSchedule[ENDING BALANCE],ROW()-ROW(PaymentSchedule[[#Headers],[BEGINNING BALANCE]])-1)),"")</f>
        <v>378632.29913259723</v>
      </c>
      <c r="E36" s="343">
        <f>IF(PaymentSchedule[[#This Row],[PMT NO]]&lt;&gt;"",ScheduledPayment,"")</f>
        <v>9905.5893508175304</v>
      </c>
      <c r="F36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6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6" s="343">
        <f>IF(PaymentSchedule[[#This Row],[PMT NO]]&lt;&gt;"",PaymentSchedule[[#This Row],[TOTAL PAYMENT]]-PaymentSchedule[[#This Row],[INTEREST]],"")</f>
        <v>5961.5029015196433</v>
      </c>
      <c r="I36" s="343">
        <f>IF(PaymentSchedule[[#This Row],[PMT NO]]&lt;&gt;"",PaymentSchedule[[#This Row],[BEGINNING BALANCE]]*(InterestRate/PaymentsPerYear),"")</f>
        <v>3944.0864492978876</v>
      </c>
      <c r="J36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372670.79623107758</v>
      </c>
      <c r="K36" s="343">
        <f>IF(PaymentSchedule[[#This Row],[PMT NO]]&lt;&gt;"",SUM(INDEX(PaymentSchedule[INTEREST],1,1):PaymentSchedule[[#This Row],[INTEREST]]),"")</f>
        <v>110404.94065069834</v>
      </c>
      <c r="L36" s="344">
        <f>IFERROR(_xlfn.XLOOKUP(PaymentSchedule[[#This Row],[PAYMENT DATE]],Dates!$C$4:$C$75,Dates!$D$4:$D$75),"Out of Scope")</f>
        <v>4</v>
      </c>
      <c r="O36" s="345"/>
    </row>
    <row r="37" spans="2:15">
      <c r="B37" s="341">
        <f>IF(LoanIsGood,IF(ROW()-ROW(PaymentSchedule[[#Headers],[PMT NO]])&gt;ScheduledNumberOfPayments,"",ROW()-ROW(PaymentSchedule[[#Headers],[PMT NO]])),"")</f>
        <v>25</v>
      </c>
      <c r="C37" s="342">
        <f>IF(PaymentSchedule[[#This Row],[PMT NO]]&lt;&gt;"",EOMONTH(LoanStartDate,ROW(PaymentSchedule[[#This Row],[PMT NO]])-ROW(PaymentSchedule[[#Headers],[PMT NO]])-2)+DAY(LoanStartDate),"")</f>
        <v>46997</v>
      </c>
      <c r="D37" s="343">
        <f>IF(PaymentSchedule[[#This Row],[PMT NO]]&lt;&gt;"",IF(ROW()-ROW(PaymentSchedule[[#Headers],[BEGINNING BALANCE]])=1,LoanAmount,INDEX(PaymentSchedule[ENDING BALANCE],ROW()-ROW(PaymentSchedule[[#Headers],[BEGINNING BALANCE]])-1)),"")</f>
        <v>372670.79623107758</v>
      </c>
      <c r="E37" s="343">
        <f>IF(PaymentSchedule[[#This Row],[PMT NO]]&lt;&gt;"",ScheduledPayment,"")</f>
        <v>9905.5893508175304</v>
      </c>
      <c r="F37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7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7" s="343">
        <f>IF(PaymentSchedule[[#This Row],[PMT NO]]&lt;&gt;"",PaymentSchedule[[#This Row],[TOTAL PAYMENT]]-PaymentSchedule[[#This Row],[INTEREST]],"")</f>
        <v>6023.6018900771396</v>
      </c>
      <c r="I37" s="343">
        <f>IF(PaymentSchedule[[#This Row],[PMT NO]]&lt;&gt;"",PaymentSchedule[[#This Row],[BEGINNING BALANCE]]*(InterestRate/PaymentsPerYear),"")</f>
        <v>3881.9874607403913</v>
      </c>
      <c r="J37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366647.19434100046</v>
      </c>
      <c r="K37" s="343">
        <f>IF(PaymentSchedule[[#This Row],[PMT NO]]&lt;&gt;"",SUM(INDEX(PaymentSchedule[INTEREST],1,1):PaymentSchedule[[#This Row],[INTEREST]]),"")</f>
        <v>114286.92811143873</v>
      </c>
      <c r="L37" s="344">
        <f>IFERROR(_xlfn.XLOOKUP(PaymentSchedule[[#This Row],[PAYMENT DATE]],Dates!$C$4:$C$75,Dates!$D$4:$D$75),"Out of Scope")</f>
        <v>4</v>
      </c>
    </row>
    <row r="38" spans="2:15">
      <c r="B38" s="341">
        <f>IF(LoanIsGood,IF(ROW()-ROW(PaymentSchedule[[#Headers],[PMT NO]])&gt;ScheduledNumberOfPayments,"",ROW()-ROW(PaymentSchedule[[#Headers],[PMT NO]])),"")</f>
        <v>26</v>
      </c>
      <c r="C38" s="342">
        <f>IF(PaymentSchedule[[#This Row],[PMT NO]]&lt;&gt;"",EOMONTH(LoanStartDate,ROW(PaymentSchedule[[#This Row],[PMT NO]])-ROW(PaymentSchedule[[#Headers],[PMT NO]])-2)+DAY(LoanStartDate),"")</f>
        <v>47027</v>
      </c>
      <c r="D38" s="343">
        <f>IF(PaymentSchedule[[#This Row],[PMT NO]]&lt;&gt;"",IF(ROW()-ROW(PaymentSchedule[[#Headers],[BEGINNING BALANCE]])=1,LoanAmount,INDEX(PaymentSchedule[ENDING BALANCE],ROW()-ROW(PaymentSchedule[[#Headers],[BEGINNING BALANCE]])-1)),"")</f>
        <v>366647.19434100046</v>
      </c>
      <c r="E38" s="343">
        <f>IF(PaymentSchedule[[#This Row],[PMT NO]]&lt;&gt;"",ScheduledPayment,"")</f>
        <v>9905.5893508175304</v>
      </c>
      <c r="F38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8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8" s="343">
        <f>IF(PaymentSchedule[[#This Row],[PMT NO]]&lt;&gt;"",PaymentSchedule[[#This Row],[TOTAL PAYMENT]]-PaymentSchedule[[#This Row],[INTEREST]],"")</f>
        <v>6086.3477430987759</v>
      </c>
      <c r="I38" s="343">
        <f>IF(PaymentSchedule[[#This Row],[PMT NO]]&lt;&gt;"",PaymentSchedule[[#This Row],[BEGINNING BALANCE]]*(InterestRate/PaymentsPerYear),"")</f>
        <v>3819.2416077187545</v>
      </c>
      <c r="J38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360560.84659790166</v>
      </c>
      <c r="K38" s="343">
        <f>IF(PaymentSchedule[[#This Row],[PMT NO]]&lt;&gt;"",SUM(INDEX(PaymentSchedule[INTEREST],1,1):PaymentSchedule[[#This Row],[INTEREST]]),"")</f>
        <v>118106.16971915748</v>
      </c>
      <c r="L38" s="344">
        <f>IFERROR(_xlfn.XLOOKUP(PaymentSchedule[[#This Row],[PAYMENT DATE]],Dates!$C$4:$C$75,Dates!$D$4:$D$75),"Out of Scope")</f>
        <v>4</v>
      </c>
    </row>
    <row r="39" spans="2:15">
      <c r="B39" s="341">
        <f>IF(LoanIsGood,IF(ROW()-ROW(PaymentSchedule[[#Headers],[PMT NO]])&gt;ScheduledNumberOfPayments,"",ROW()-ROW(PaymentSchedule[[#Headers],[PMT NO]])),"")</f>
        <v>27</v>
      </c>
      <c r="C39" s="342">
        <f>IF(PaymentSchedule[[#This Row],[PMT NO]]&lt;&gt;"",EOMONTH(LoanStartDate,ROW(PaymentSchedule[[#This Row],[PMT NO]])-ROW(PaymentSchedule[[#Headers],[PMT NO]])-2)+DAY(LoanStartDate),"")</f>
        <v>47058</v>
      </c>
      <c r="D39" s="343">
        <f>IF(PaymentSchedule[[#This Row],[PMT NO]]&lt;&gt;"",IF(ROW()-ROW(PaymentSchedule[[#Headers],[BEGINNING BALANCE]])=1,LoanAmount,INDEX(PaymentSchedule[ENDING BALANCE],ROW()-ROW(PaymentSchedule[[#Headers],[BEGINNING BALANCE]])-1)),"")</f>
        <v>360560.84659790166</v>
      </c>
      <c r="E39" s="343">
        <f>IF(PaymentSchedule[[#This Row],[PMT NO]]&lt;&gt;"",ScheduledPayment,"")</f>
        <v>9905.5893508175304</v>
      </c>
      <c r="F39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39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39" s="343">
        <f>IF(PaymentSchedule[[#This Row],[PMT NO]]&lt;&gt;"",PaymentSchedule[[#This Row],[TOTAL PAYMENT]]-PaymentSchedule[[#This Row],[INTEREST]],"")</f>
        <v>6149.7471987560548</v>
      </c>
      <c r="I39" s="343">
        <f>IF(PaymentSchedule[[#This Row],[PMT NO]]&lt;&gt;"",PaymentSchedule[[#This Row],[BEGINNING BALANCE]]*(InterestRate/PaymentsPerYear),"")</f>
        <v>3755.8421520614756</v>
      </c>
      <c r="J39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354411.09939914563</v>
      </c>
      <c r="K39" s="343">
        <f>IF(PaymentSchedule[[#This Row],[PMT NO]]&lt;&gt;"",SUM(INDEX(PaymentSchedule[INTEREST],1,1):PaymentSchedule[[#This Row],[INTEREST]]),"")</f>
        <v>121862.01187121896</v>
      </c>
      <c r="L39" s="344">
        <f>IFERROR(_xlfn.XLOOKUP(PaymentSchedule[[#This Row],[PAYMENT DATE]],Dates!$C$4:$C$75,Dates!$D$4:$D$75),"Out of Scope")</f>
        <v>4</v>
      </c>
    </row>
    <row r="40" spans="2:15">
      <c r="B40" s="341">
        <f>IF(LoanIsGood,IF(ROW()-ROW(PaymentSchedule[[#Headers],[PMT NO]])&gt;ScheduledNumberOfPayments,"",ROW()-ROW(PaymentSchedule[[#Headers],[PMT NO]])),"")</f>
        <v>28</v>
      </c>
      <c r="C40" s="342">
        <f>IF(PaymentSchedule[[#This Row],[PMT NO]]&lt;&gt;"",EOMONTH(LoanStartDate,ROW(PaymentSchedule[[#This Row],[PMT NO]])-ROW(PaymentSchedule[[#Headers],[PMT NO]])-2)+DAY(LoanStartDate),"")</f>
        <v>47088</v>
      </c>
      <c r="D40" s="343">
        <f>IF(PaymentSchedule[[#This Row],[PMT NO]]&lt;&gt;"",IF(ROW()-ROW(PaymentSchedule[[#Headers],[BEGINNING BALANCE]])=1,LoanAmount,INDEX(PaymentSchedule[ENDING BALANCE],ROW()-ROW(PaymentSchedule[[#Headers],[BEGINNING BALANCE]])-1)),"")</f>
        <v>354411.09939914563</v>
      </c>
      <c r="E40" s="343">
        <f>IF(PaymentSchedule[[#This Row],[PMT NO]]&lt;&gt;"",ScheduledPayment,"")</f>
        <v>9905.5893508175304</v>
      </c>
      <c r="F40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0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0" s="343">
        <f>IF(PaymentSchedule[[#This Row],[PMT NO]]&lt;&gt;"",PaymentSchedule[[#This Row],[TOTAL PAYMENT]]-PaymentSchedule[[#This Row],[INTEREST]],"")</f>
        <v>6213.8070654097637</v>
      </c>
      <c r="I40" s="343">
        <f>IF(PaymentSchedule[[#This Row],[PMT NO]]&lt;&gt;"",PaymentSchedule[[#This Row],[BEGINNING BALANCE]]*(InterestRate/PaymentsPerYear),"")</f>
        <v>3691.7822854077667</v>
      </c>
      <c r="J40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348197.29233373585</v>
      </c>
      <c r="K40" s="343">
        <f>IF(PaymentSchedule[[#This Row],[PMT NO]]&lt;&gt;"",SUM(INDEX(PaymentSchedule[INTEREST],1,1):PaymentSchedule[[#This Row],[INTEREST]]),"")</f>
        <v>125553.79415662673</v>
      </c>
      <c r="L40" s="344">
        <f>IFERROR(_xlfn.XLOOKUP(PaymentSchedule[[#This Row],[PAYMENT DATE]],Dates!$C$4:$C$75,Dates!$D$4:$D$75),"Out of Scope")</f>
        <v>4</v>
      </c>
    </row>
    <row r="41" spans="2:15">
      <c r="B41" s="341">
        <f>IF(LoanIsGood,IF(ROW()-ROW(PaymentSchedule[[#Headers],[PMT NO]])&gt;ScheduledNumberOfPayments,"",ROW()-ROW(PaymentSchedule[[#Headers],[PMT NO]])),"")</f>
        <v>29</v>
      </c>
      <c r="C41" s="342">
        <f>IF(PaymentSchedule[[#This Row],[PMT NO]]&lt;&gt;"",EOMONTH(LoanStartDate,ROW(PaymentSchedule[[#This Row],[PMT NO]])-ROW(PaymentSchedule[[#Headers],[PMT NO]])-2)+DAY(LoanStartDate),"")</f>
        <v>47119</v>
      </c>
      <c r="D41" s="343">
        <f>IF(PaymentSchedule[[#This Row],[PMT NO]]&lt;&gt;"",IF(ROW()-ROW(PaymentSchedule[[#Headers],[BEGINNING BALANCE]])=1,LoanAmount,INDEX(PaymentSchedule[ENDING BALANCE],ROW()-ROW(PaymentSchedule[[#Headers],[BEGINNING BALANCE]])-1)),"")</f>
        <v>348197.29233373585</v>
      </c>
      <c r="E41" s="343">
        <f>IF(PaymentSchedule[[#This Row],[PMT NO]]&lt;&gt;"",ScheduledPayment,"")</f>
        <v>9905.5893508175304</v>
      </c>
      <c r="F41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1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1" s="343">
        <f>IF(PaymentSchedule[[#This Row],[PMT NO]]&lt;&gt;"",PaymentSchedule[[#This Row],[TOTAL PAYMENT]]-PaymentSchedule[[#This Row],[INTEREST]],"")</f>
        <v>6278.5342223411153</v>
      </c>
      <c r="I41" s="343">
        <f>IF(PaymentSchedule[[#This Row],[PMT NO]]&lt;&gt;"",PaymentSchedule[[#This Row],[BEGINNING BALANCE]]*(InterestRate/PaymentsPerYear),"")</f>
        <v>3627.0551284764151</v>
      </c>
      <c r="J41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341918.75811139471</v>
      </c>
      <c r="K41" s="343">
        <f>IF(PaymentSchedule[[#This Row],[PMT NO]]&lt;&gt;"",SUM(INDEX(PaymentSchedule[INTEREST],1,1):PaymentSchedule[[#This Row],[INTEREST]]),"")</f>
        <v>129180.84928510315</v>
      </c>
      <c r="L41" s="344">
        <f>IFERROR(_xlfn.XLOOKUP(PaymentSchedule[[#This Row],[PAYMENT DATE]],Dates!$C$4:$C$75,Dates!$D$4:$D$75),"Out of Scope")</f>
        <v>5</v>
      </c>
    </row>
    <row r="42" spans="2:15">
      <c r="B42" s="341">
        <f>IF(LoanIsGood,IF(ROW()-ROW(PaymentSchedule[[#Headers],[PMT NO]])&gt;ScheduledNumberOfPayments,"",ROW()-ROW(PaymentSchedule[[#Headers],[PMT NO]])),"")</f>
        <v>30</v>
      </c>
      <c r="C42" s="342">
        <f>IF(PaymentSchedule[[#This Row],[PMT NO]]&lt;&gt;"",EOMONTH(LoanStartDate,ROW(PaymentSchedule[[#This Row],[PMT NO]])-ROW(PaymentSchedule[[#Headers],[PMT NO]])-2)+DAY(LoanStartDate),"")</f>
        <v>47150</v>
      </c>
      <c r="D42" s="343">
        <f>IF(PaymentSchedule[[#This Row],[PMT NO]]&lt;&gt;"",IF(ROW()-ROW(PaymentSchedule[[#Headers],[BEGINNING BALANCE]])=1,LoanAmount,INDEX(PaymentSchedule[ENDING BALANCE],ROW()-ROW(PaymentSchedule[[#Headers],[BEGINNING BALANCE]])-1)),"")</f>
        <v>341918.75811139471</v>
      </c>
      <c r="E42" s="343">
        <f>IF(PaymentSchedule[[#This Row],[PMT NO]]&lt;&gt;"",ScheduledPayment,"")</f>
        <v>9905.5893508175304</v>
      </c>
      <c r="F42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2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2" s="343">
        <f>IF(PaymentSchedule[[#This Row],[PMT NO]]&lt;&gt;"",PaymentSchedule[[#This Row],[TOTAL PAYMENT]]-PaymentSchedule[[#This Row],[INTEREST]],"")</f>
        <v>6343.9356204905025</v>
      </c>
      <c r="I42" s="343">
        <f>IF(PaymentSchedule[[#This Row],[PMT NO]]&lt;&gt;"",PaymentSchedule[[#This Row],[BEGINNING BALANCE]]*(InterestRate/PaymentsPerYear),"")</f>
        <v>3561.6537303270279</v>
      </c>
      <c r="J42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335574.82249090419</v>
      </c>
      <c r="K42" s="343">
        <f>IF(PaymentSchedule[[#This Row],[PMT NO]]&lt;&gt;"",SUM(INDEX(PaymentSchedule[INTEREST],1,1):PaymentSchedule[[#This Row],[INTEREST]]),"")</f>
        <v>132742.50301543018</v>
      </c>
      <c r="L42" s="344">
        <f>IFERROR(_xlfn.XLOOKUP(PaymentSchedule[[#This Row],[PAYMENT DATE]],Dates!$C$4:$C$75,Dates!$D$4:$D$75),"Out of Scope")</f>
        <v>5</v>
      </c>
    </row>
    <row r="43" spans="2:15">
      <c r="B43" s="341">
        <f>IF(LoanIsGood,IF(ROW()-ROW(PaymentSchedule[[#Headers],[PMT NO]])&gt;ScheduledNumberOfPayments,"",ROW()-ROW(PaymentSchedule[[#Headers],[PMT NO]])),"")</f>
        <v>31</v>
      </c>
      <c r="C43" s="342">
        <f>IF(PaymentSchedule[[#This Row],[PMT NO]]&lt;&gt;"",EOMONTH(LoanStartDate,ROW(PaymentSchedule[[#This Row],[PMT NO]])-ROW(PaymentSchedule[[#Headers],[PMT NO]])-2)+DAY(LoanStartDate),"")</f>
        <v>47178</v>
      </c>
      <c r="D43" s="343">
        <f>IF(PaymentSchedule[[#This Row],[PMT NO]]&lt;&gt;"",IF(ROW()-ROW(PaymentSchedule[[#Headers],[BEGINNING BALANCE]])=1,LoanAmount,INDEX(PaymentSchedule[ENDING BALANCE],ROW()-ROW(PaymentSchedule[[#Headers],[BEGINNING BALANCE]])-1)),"")</f>
        <v>335574.82249090419</v>
      </c>
      <c r="E43" s="343">
        <f>IF(PaymentSchedule[[#This Row],[PMT NO]]&lt;&gt;"",ScheduledPayment,"")</f>
        <v>9905.5893508175304</v>
      </c>
      <c r="F43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3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3" s="343">
        <f>IF(PaymentSchedule[[#This Row],[PMT NO]]&lt;&gt;"",PaymentSchedule[[#This Row],[TOTAL PAYMENT]]-PaymentSchedule[[#This Row],[INTEREST]],"")</f>
        <v>6410.0182832039454</v>
      </c>
      <c r="I43" s="343">
        <f>IF(PaymentSchedule[[#This Row],[PMT NO]]&lt;&gt;"",PaymentSchedule[[#This Row],[BEGINNING BALANCE]]*(InterestRate/PaymentsPerYear),"")</f>
        <v>3495.571067613585</v>
      </c>
      <c r="J43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329164.80420770025</v>
      </c>
      <c r="K43" s="343">
        <f>IF(PaymentSchedule[[#This Row],[PMT NO]]&lt;&gt;"",SUM(INDEX(PaymentSchedule[INTEREST],1,1):PaymentSchedule[[#This Row],[INTEREST]]),"")</f>
        <v>136238.07408304376</v>
      </c>
      <c r="L43" s="344">
        <f>IFERROR(_xlfn.XLOOKUP(PaymentSchedule[[#This Row],[PAYMENT DATE]],Dates!$C$4:$C$75,Dates!$D$4:$D$75),"Out of Scope")</f>
        <v>5</v>
      </c>
    </row>
    <row r="44" spans="2:15">
      <c r="B44" s="341">
        <f>IF(LoanIsGood,IF(ROW()-ROW(PaymentSchedule[[#Headers],[PMT NO]])&gt;ScheduledNumberOfPayments,"",ROW()-ROW(PaymentSchedule[[#Headers],[PMT NO]])),"")</f>
        <v>32</v>
      </c>
      <c r="C44" s="342">
        <f>IF(PaymentSchedule[[#This Row],[PMT NO]]&lt;&gt;"",EOMONTH(LoanStartDate,ROW(PaymentSchedule[[#This Row],[PMT NO]])-ROW(PaymentSchedule[[#Headers],[PMT NO]])-2)+DAY(LoanStartDate),"")</f>
        <v>47209</v>
      </c>
      <c r="D44" s="343">
        <f>IF(PaymentSchedule[[#This Row],[PMT NO]]&lt;&gt;"",IF(ROW()-ROW(PaymentSchedule[[#Headers],[BEGINNING BALANCE]])=1,LoanAmount,INDEX(PaymentSchedule[ENDING BALANCE],ROW()-ROW(PaymentSchedule[[#Headers],[BEGINNING BALANCE]])-1)),"")</f>
        <v>329164.80420770025</v>
      </c>
      <c r="E44" s="343">
        <f>IF(PaymentSchedule[[#This Row],[PMT NO]]&lt;&gt;"",ScheduledPayment,"")</f>
        <v>9905.5893508175304</v>
      </c>
      <c r="F44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4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4" s="343">
        <f>IF(PaymentSchedule[[#This Row],[PMT NO]]&lt;&gt;"",PaymentSchedule[[#This Row],[TOTAL PAYMENT]]-PaymentSchedule[[#This Row],[INTEREST]],"")</f>
        <v>6476.7893069873198</v>
      </c>
      <c r="I44" s="343">
        <f>IF(PaymentSchedule[[#This Row],[PMT NO]]&lt;&gt;"",PaymentSchedule[[#This Row],[BEGINNING BALANCE]]*(InterestRate/PaymentsPerYear),"")</f>
        <v>3428.8000438302106</v>
      </c>
      <c r="J44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322688.01490071294</v>
      </c>
      <c r="K44" s="343">
        <f>IF(PaymentSchedule[[#This Row],[PMT NO]]&lt;&gt;"",SUM(INDEX(PaymentSchedule[INTEREST],1,1):PaymentSchedule[[#This Row],[INTEREST]]),"")</f>
        <v>139666.87412687397</v>
      </c>
      <c r="L44" s="344">
        <f>IFERROR(_xlfn.XLOOKUP(PaymentSchedule[[#This Row],[PAYMENT DATE]],Dates!$C$4:$C$75,Dates!$D$4:$D$75),"Out of Scope")</f>
        <v>5</v>
      </c>
    </row>
    <row r="45" spans="2:15">
      <c r="B45" s="341">
        <f>IF(LoanIsGood,IF(ROW()-ROW(PaymentSchedule[[#Headers],[PMT NO]])&gt;ScheduledNumberOfPayments,"",ROW()-ROW(PaymentSchedule[[#Headers],[PMT NO]])),"")</f>
        <v>33</v>
      </c>
      <c r="C45" s="342">
        <f>IF(PaymentSchedule[[#This Row],[PMT NO]]&lt;&gt;"",EOMONTH(LoanStartDate,ROW(PaymentSchedule[[#This Row],[PMT NO]])-ROW(PaymentSchedule[[#Headers],[PMT NO]])-2)+DAY(LoanStartDate),"")</f>
        <v>47239</v>
      </c>
      <c r="D45" s="343">
        <f>IF(PaymentSchedule[[#This Row],[PMT NO]]&lt;&gt;"",IF(ROW()-ROW(PaymentSchedule[[#Headers],[BEGINNING BALANCE]])=1,LoanAmount,INDEX(PaymentSchedule[ENDING BALANCE],ROW()-ROW(PaymentSchedule[[#Headers],[BEGINNING BALANCE]])-1)),"")</f>
        <v>322688.01490071294</v>
      </c>
      <c r="E45" s="343">
        <f>IF(PaymentSchedule[[#This Row],[PMT NO]]&lt;&gt;"",ScheduledPayment,"")</f>
        <v>9905.5893508175304</v>
      </c>
      <c r="F45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5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5" s="343">
        <f>IF(PaymentSchedule[[#This Row],[PMT NO]]&lt;&gt;"",PaymentSchedule[[#This Row],[TOTAL PAYMENT]]-PaymentSchedule[[#This Row],[INTEREST]],"")</f>
        <v>6544.2558622684373</v>
      </c>
      <c r="I45" s="343">
        <f>IF(PaymentSchedule[[#This Row],[PMT NO]]&lt;&gt;"",PaymentSchedule[[#This Row],[BEGINNING BALANCE]]*(InterestRate/PaymentsPerYear),"")</f>
        <v>3361.3334885490931</v>
      </c>
      <c r="J45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316143.75903844449</v>
      </c>
      <c r="K45" s="343">
        <f>IF(PaymentSchedule[[#This Row],[PMT NO]]&lt;&gt;"",SUM(INDEX(PaymentSchedule[INTEREST],1,1):PaymentSchedule[[#This Row],[INTEREST]]),"")</f>
        <v>143028.20761542307</v>
      </c>
      <c r="L45" s="344">
        <f>IFERROR(_xlfn.XLOOKUP(PaymentSchedule[[#This Row],[PAYMENT DATE]],Dates!$C$4:$C$75,Dates!$D$4:$D$75),"Out of Scope")</f>
        <v>5</v>
      </c>
    </row>
    <row r="46" spans="2:15">
      <c r="B46" s="341">
        <f>IF(LoanIsGood,IF(ROW()-ROW(PaymentSchedule[[#Headers],[PMT NO]])&gt;ScheduledNumberOfPayments,"",ROW()-ROW(PaymentSchedule[[#Headers],[PMT NO]])),"")</f>
        <v>34</v>
      </c>
      <c r="C46" s="342">
        <f>IF(PaymentSchedule[[#This Row],[PMT NO]]&lt;&gt;"",EOMONTH(LoanStartDate,ROW(PaymentSchedule[[#This Row],[PMT NO]])-ROW(PaymentSchedule[[#Headers],[PMT NO]])-2)+DAY(LoanStartDate),"")</f>
        <v>47270</v>
      </c>
      <c r="D46" s="343">
        <f>IF(PaymentSchedule[[#This Row],[PMT NO]]&lt;&gt;"",IF(ROW()-ROW(PaymentSchedule[[#Headers],[BEGINNING BALANCE]])=1,LoanAmount,INDEX(PaymentSchedule[ENDING BALANCE],ROW()-ROW(PaymentSchedule[[#Headers],[BEGINNING BALANCE]])-1)),"")</f>
        <v>316143.75903844449</v>
      </c>
      <c r="E46" s="343">
        <f>IF(PaymentSchedule[[#This Row],[PMT NO]]&lt;&gt;"",ScheduledPayment,"")</f>
        <v>9905.5893508175304</v>
      </c>
      <c r="F46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6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6" s="343">
        <f>IF(PaymentSchedule[[#This Row],[PMT NO]]&lt;&gt;"",PaymentSchedule[[#This Row],[TOTAL PAYMENT]]-PaymentSchedule[[#This Row],[INTEREST]],"")</f>
        <v>6612.4251941670673</v>
      </c>
      <c r="I46" s="343">
        <f>IF(PaymentSchedule[[#This Row],[PMT NO]]&lt;&gt;"",PaymentSchedule[[#This Row],[BEGINNING BALANCE]]*(InterestRate/PaymentsPerYear),"")</f>
        <v>3293.1641566504632</v>
      </c>
      <c r="J46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309531.33384427743</v>
      </c>
      <c r="K46" s="343">
        <f>IF(PaymentSchedule[[#This Row],[PMT NO]]&lt;&gt;"",SUM(INDEX(PaymentSchedule[INTEREST],1,1):PaymentSchedule[[#This Row],[INTEREST]]),"")</f>
        <v>146321.37177207353</v>
      </c>
      <c r="L46" s="344">
        <f>IFERROR(_xlfn.XLOOKUP(PaymentSchedule[[#This Row],[PAYMENT DATE]],Dates!$C$4:$C$75,Dates!$D$4:$D$75),"Out of Scope")</f>
        <v>5</v>
      </c>
    </row>
    <row r="47" spans="2:15">
      <c r="B47" s="341">
        <f>IF(LoanIsGood,IF(ROW()-ROW(PaymentSchedule[[#Headers],[PMT NO]])&gt;ScheduledNumberOfPayments,"",ROW()-ROW(PaymentSchedule[[#Headers],[PMT NO]])),"")</f>
        <v>35</v>
      </c>
      <c r="C47" s="342">
        <f>IF(PaymentSchedule[[#This Row],[PMT NO]]&lt;&gt;"",EOMONTH(LoanStartDate,ROW(PaymentSchedule[[#This Row],[PMT NO]])-ROW(PaymentSchedule[[#Headers],[PMT NO]])-2)+DAY(LoanStartDate),"")</f>
        <v>47300</v>
      </c>
      <c r="D47" s="343">
        <f>IF(PaymentSchedule[[#This Row],[PMT NO]]&lt;&gt;"",IF(ROW()-ROW(PaymentSchedule[[#Headers],[BEGINNING BALANCE]])=1,LoanAmount,INDEX(PaymentSchedule[ENDING BALANCE],ROW()-ROW(PaymentSchedule[[#Headers],[BEGINNING BALANCE]])-1)),"")</f>
        <v>309531.33384427743</v>
      </c>
      <c r="E47" s="343">
        <f>IF(PaymentSchedule[[#This Row],[PMT NO]]&lt;&gt;"",ScheduledPayment,"")</f>
        <v>9905.5893508175304</v>
      </c>
      <c r="F47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7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7" s="343">
        <f>IF(PaymentSchedule[[#This Row],[PMT NO]]&lt;&gt;"",PaymentSchedule[[#This Row],[TOTAL PAYMENT]]-PaymentSchedule[[#This Row],[INTEREST]],"")</f>
        <v>6681.3046232729739</v>
      </c>
      <c r="I47" s="343">
        <f>IF(PaymentSchedule[[#This Row],[PMT NO]]&lt;&gt;"",PaymentSchedule[[#This Row],[BEGINNING BALANCE]]*(InterestRate/PaymentsPerYear),"")</f>
        <v>3224.2847275445565</v>
      </c>
      <c r="J47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302850.02922100446</v>
      </c>
      <c r="K47" s="343">
        <f>IF(PaymentSchedule[[#This Row],[PMT NO]]&lt;&gt;"",SUM(INDEX(PaymentSchedule[INTEREST],1,1):PaymentSchedule[[#This Row],[INTEREST]]),"")</f>
        <v>149545.65649961808</v>
      </c>
      <c r="L47" s="344">
        <f>IFERROR(_xlfn.XLOOKUP(PaymentSchedule[[#This Row],[PAYMENT DATE]],Dates!$C$4:$C$75,Dates!$D$4:$D$75),"Out of Scope")</f>
        <v>5</v>
      </c>
    </row>
    <row r="48" spans="2:15">
      <c r="B48" s="341">
        <f>IF(LoanIsGood,IF(ROW()-ROW(PaymentSchedule[[#Headers],[PMT NO]])&gt;ScheduledNumberOfPayments,"",ROW()-ROW(PaymentSchedule[[#Headers],[PMT NO]])),"")</f>
        <v>36</v>
      </c>
      <c r="C48" s="342">
        <f>IF(PaymentSchedule[[#This Row],[PMT NO]]&lt;&gt;"",EOMONTH(LoanStartDate,ROW(PaymentSchedule[[#This Row],[PMT NO]])-ROW(PaymentSchedule[[#Headers],[PMT NO]])-2)+DAY(LoanStartDate),"")</f>
        <v>47331</v>
      </c>
      <c r="D48" s="343">
        <f>IF(PaymentSchedule[[#This Row],[PMT NO]]&lt;&gt;"",IF(ROW()-ROW(PaymentSchedule[[#Headers],[BEGINNING BALANCE]])=1,LoanAmount,INDEX(PaymentSchedule[ENDING BALANCE],ROW()-ROW(PaymentSchedule[[#Headers],[BEGINNING BALANCE]])-1)),"")</f>
        <v>302850.02922100446</v>
      </c>
      <c r="E48" s="343">
        <f>IF(PaymentSchedule[[#This Row],[PMT NO]]&lt;&gt;"",ScheduledPayment,"")</f>
        <v>9905.5893508175304</v>
      </c>
      <c r="F48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8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8" s="343">
        <f>IF(PaymentSchedule[[#This Row],[PMT NO]]&lt;&gt;"",PaymentSchedule[[#This Row],[TOTAL PAYMENT]]-PaymentSchedule[[#This Row],[INTEREST]],"")</f>
        <v>6750.9015464320673</v>
      </c>
      <c r="I48" s="343">
        <f>IF(PaymentSchedule[[#This Row],[PMT NO]]&lt;&gt;"",PaymentSchedule[[#This Row],[BEGINNING BALANCE]]*(InterestRate/PaymentsPerYear),"")</f>
        <v>3154.6878043854631</v>
      </c>
      <c r="J48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296099.1276745724</v>
      </c>
      <c r="K48" s="343">
        <f>IF(PaymentSchedule[[#This Row],[PMT NO]]&lt;&gt;"",SUM(INDEX(PaymentSchedule[INTEREST],1,1):PaymentSchedule[[#This Row],[INTEREST]]),"")</f>
        <v>152700.34430400355</v>
      </c>
      <c r="L48" s="344">
        <f>IFERROR(_xlfn.XLOOKUP(PaymentSchedule[[#This Row],[PAYMENT DATE]],Dates!$C$4:$C$75,Dates!$D$4:$D$75),"Out of Scope")</f>
        <v>5</v>
      </c>
      <c r="O48" s="345"/>
    </row>
    <row r="49" spans="2:15">
      <c r="B49" s="341">
        <f>IF(LoanIsGood,IF(ROW()-ROW(PaymentSchedule[[#Headers],[PMT NO]])&gt;ScheduledNumberOfPayments,"",ROW()-ROW(PaymentSchedule[[#Headers],[PMT NO]])),"")</f>
        <v>37</v>
      </c>
      <c r="C49" s="342">
        <f>IF(PaymentSchedule[[#This Row],[PMT NO]]&lt;&gt;"",EOMONTH(LoanStartDate,ROW(PaymentSchedule[[#This Row],[PMT NO]])-ROW(PaymentSchedule[[#Headers],[PMT NO]])-2)+DAY(LoanStartDate),"")</f>
        <v>47362</v>
      </c>
      <c r="D49" s="343">
        <f>IF(PaymentSchedule[[#This Row],[PMT NO]]&lt;&gt;"",IF(ROW()-ROW(PaymentSchedule[[#Headers],[BEGINNING BALANCE]])=1,LoanAmount,INDEX(PaymentSchedule[ENDING BALANCE],ROW()-ROW(PaymentSchedule[[#Headers],[BEGINNING BALANCE]])-1)),"")</f>
        <v>296099.1276745724</v>
      </c>
      <c r="E49" s="343">
        <f>IF(PaymentSchedule[[#This Row],[PMT NO]]&lt;&gt;"",ScheduledPayment,"")</f>
        <v>9905.5893508175304</v>
      </c>
      <c r="F49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49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49" s="343">
        <f>IF(PaymentSchedule[[#This Row],[PMT NO]]&lt;&gt;"",PaymentSchedule[[#This Row],[TOTAL PAYMENT]]-PaymentSchedule[[#This Row],[INTEREST]],"")</f>
        <v>6821.2234375407352</v>
      </c>
      <c r="I49" s="343">
        <f>IF(PaymentSchedule[[#This Row],[PMT NO]]&lt;&gt;"",PaymentSchedule[[#This Row],[BEGINNING BALANCE]]*(InterestRate/PaymentsPerYear),"")</f>
        <v>3084.3659132767957</v>
      </c>
      <c r="J49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289277.90423703165</v>
      </c>
      <c r="K49" s="343">
        <f>IF(PaymentSchedule[[#This Row],[PMT NO]]&lt;&gt;"",SUM(INDEX(PaymentSchedule[INTEREST],1,1):PaymentSchedule[[#This Row],[INTEREST]]),"")</f>
        <v>155784.71021728034</v>
      </c>
      <c r="L49" s="344">
        <f>IFERROR(_xlfn.XLOOKUP(PaymentSchedule[[#This Row],[PAYMENT DATE]],Dates!$C$4:$C$75,Dates!$D$4:$D$75),"Out of Scope")</f>
        <v>5</v>
      </c>
    </row>
    <row r="50" spans="2:15">
      <c r="B50" s="341">
        <f>IF(LoanIsGood,IF(ROW()-ROW(PaymentSchedule[[#Headers],[PMT NO]])&gt;ScheduledNumberOfPayments,"",ROW()-ROW(PaymentSchedule[[#Headers],[PMT NO]])),"")</f>
        <v>38</v>
      </c>
      <c r="C50" s="342">
        <f>IF(PaymentSchedule[[#This Row],[PMT NO]]&lt;&gt;"",EOMONTH(LoanStartDate,ROW(PaymentSchedule[[#This Row],[PMT NO]])-ROW(PaymentSchedule[[#Headers],[PMT NO]])-2)+DAY(LoanStartDate),"")</f>
        <v>47392</v>
      </c>
      <c r="D50" s="343">
        <f>IF(PaymentSchedule[[#This Row],[PMT NO]]&lt;&gt;"",IF(ROW()-ROW(PaymentSchedule[[#Headers],[BEGINNING BALANCE]])=1,LoanAmount,INDEX(PaymentSchedule[ENDING BALANCE],ROW()-ROW(PaymentSchedule[[#Headers],[BEGINNING BALANCE]])-1)),"")</f>
        <v>289277.90423703165</v>
      </c>
      <c r="E50" s="343">
        <f>IF(PaymentSchedule[[#This Row],[PMT NO]]&lt;&gt;"",ScheduledPayment,"")</f>
        <v>9905.5893508175304</v>
      </c>
      <c r="F50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0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0" s="343">
        <f>IF(PaymentSchedule[[#This Row],[PMT NO]]&lt;&gt;"",PaymentSchedule[[#This Row],[TOTAL PAYMENT]]-PaymentSchedule[[#This Row],[INTEREST]],"")</f>
        <v>6892.2778483484508</v>
      </c>
      <c r="I50" s="343">
        <f>IF(PaymentSchedule[[#This Row],[PMT NO]]&lt;&gt;"",PaymentSchedule[[#This Row],[BEGINNING BALANCE]]*(InterestRate/PaymentsPerYear),"")</f>
        <v>3013.3115024690796</v>
      </c>
      <c r="J50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282385.62638868322</v>
      </c>
      <c r="K50" s="343">
        <f>IF(PaymentSchedule[[#This Row],[PMT NO]]&lt;&gt;"",SUM(INDEX(PaymentSchedule[INTEREST],1,1):PaymentSchedule[[#This Row],[INTEREST]]),"")</f>
        <v>158798.02171974943</v>
      </c>
      <c r="L50" s="344">
        <f>IFERROR(_xlfn.XLOOKUP(PaymentSchedule[[#This Row],[PAYMENT DATE]],Dates!$C$4:$C$75,Dates!$D$4:$D$75),"Out of Scope")</f>
        <v>5</v>
      </c>
    </row>
    <row r="51" spans="2:15">
      <c r="B51" s="341">
        <f>IF(LoanIsGood,IF(ROW()-ROW(PaymentSchedule[[#Headers],[PMT NO]])&gt;ScheduledNumberOfPayments,"",ROW()-ROW(PaymentSchedule[[#Headers],[PMT NO]])),"")</f>
        <v>39</v>
      </c>
      <c r="C51" s="342">
        <f>IF(PaymentSchedule[[#This Row],[PMT NO]]&lt;&gt;"",EOMONTH(LoanStartDate,ROW(PaymentSchedule[[#This Row],[PMT NO]])-ROW(PaymentSchedule[[#Headers],[PMT NO]])-2)+DAY(LoanStartDate),"")</f>
        <v>47423</v>
      </c>
      <c r="D51" s="343">
        <f>IF(PaymentSchedule[[#This Row],[PMT NO]]&lt;&gt;"",IF(ROW()-ROW(PaymentSchedule[[#Headers],[BEGINNING BALANCE]])=1,LoanAmount,INDEX(PaymentSchedule[ENDING BALANCE],ROW()-ROW(PaymentSchedule[[#Headers],[BEGINNING BALANCE]])-1)),"")</f>
        <v>282385.62638868322</v>
      </c>
      <c r="E51" s="343">
        <f>IF(PaymentSchedule[[#This Row],[PMT NO]]&lt;&gt;"",ScheduledPayment,"")</f>
        <v>9905.5893508175304</v>
      </c>
      <c r="F51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1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1" s="343">
        <f>IF(PaymentSchedule[[#This Row],[PMT NO]]&lt;&gt;"",PaymentSchedule[[#This Row],[TOTAL PAYMENT]]-PaymentSchedule[[#This Row],[INTEREST]],"")</f>
        <v>6964.0724092687469</v>
      </c>
      <c r="I51" s="343">
        <f>IF(PaymentSchedule[[#This Row],[PMT NO]]&lt;&gt;"",PaymentSchedule[[#This Row],[BEGINNING BALANCE]]*(InterestRate/PaymentsPerYear),"")</f>
        <v>2941.5169415487835</v>
      </c>
      <c r="J51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275421.55397941446</v>
      </c>
      <c r="K51" s="343">
        <f>IF(PaymentSchedule[[#This Row],[PMT NO]]&lt;&gt;"",SUM(INDEX(PaymentSchedule[INTEREST],1,1):PaymentSchedule[[#This Row],[INTEREST]]),"")</f>
        <v>161739.53866129823</v>
      </c>
      <c r="L51" s="344">
        <f>IFERROR(_xlfn.XLOOKUP(PaymentSchedule[[#This Row],[PAYMENT DATE]],Dates!$C$4:$C$75,Dates!$D$4:$D$75),"Out of Scope")</f>
        <v>5</v>
      </c>
    </row>
    <row r="52" spans="2:15">
      <c r="B52" s="341">
        <f>IF(LoanIsGood,IF(ROW()-ROW(PaymentSchedule[[#Headers],[PMT NO]])&gt;ScheduledNumberOfPayments,"",ROW()-ROW(PaymentSchedule[[#Headers],[PMT NO]])),"")</f>
        <v>40</v>
      </c>
      <c r="C52" s="342">
        <f>IF(PaymentSchedule[[#This Row],[PMT NO]]&lt;&gt;"",EOMONTH(LoanStartDate,ROW(PaymentSchedule[[#This Row],[PMT NO]])-ROW(PaymentSchedule[[#Headers],[PMT NO]])-2)+DAY(LoanStartDate),"")</f>
        <v>47453</v>
      </c>
      <c r="D52" s="343">
        <f>IF(PaymentSchedule[[#This Row],[PMT NO]]&lt;&gt;"",IF(ROW()-ROW(PaymentSchedule[[#Headers],[BEGINNING BALANCE]])=1,LoanAmount,INDEX(PaymentSchedule[ENDING BALANCE],ROW()-ROW(PaymentSchedule[[#Headers],[BEGINNING BALANCE]])-1)),"")</f>
        <v>275421.55397941446</v>
      </c>
      <c r="E52" s="343">
        <f>IF(PaymentSchedule[[#This Row],[PMT NO]]&lt;&gt;"",ScheduledPayment,"")</f>
        <v>9905.5893508175304</v>
      </c>
      <c r="F52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2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2" s="343">
        <f>IF(PaymentSchedule[[#This Row],[PMT NO]]&lt;&gt;"",PaymentSchedule[[#This Row],[TOTAL PAYMENT]]-PaymentSchedule[[#This Row],[INTEREST]],"")</f>
        <v>7036.6148301986304</v>
      </c>
      <c r="I52" s="343">
        <f>IF(PaymentSchedule[[#This Row],[PMT NO]]&lt;&gt;"",PaymentSchedule[[#This Row],[BEGINNING BALANCE]]*(InterestRate/PaymentsPerYear),"")</f>
        <v>2868.9745206189004</v>
      </c>
      <c r="J52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268384.93914921582</v>
      </c>
      <c r="K52" s="343">
        <f>IF(PaymentSchedule[[#This Row],[PMT NO]]&lt;&gt;"",SUM(INDEX(PaymentSchedule[INTEREST],1,1):PaymentSchedule[[#This Row],[INTEREST]]),"")</f>
        <v>164608.51318191714</v>
      </c>
      <c r="L52" s="344">
        <f>IFERROR(_xlfn.XLOOKUP(PaymentSchedule[[#This Row],[PAYMENT DATE]],Dates!$C$4:$C$75,Dates!$D$4:$D$75),"Out of Scope")</f>
        <v>5</v>
      </c>
    </row>
    <row r="53" spans="2:15">
      <c r="B53" s="341">
        <f>IF(LoanIsGood,IF(ROW()-ROW(PaymentSchedule[[#Headers],[PMT NO]])&gt;ScheduledNumberOfPayments,"",ROW()-ROW(PaymentSchedule[[#Headers],[PMT NO]])),"")</f>
        <v>41</v>
      </c>
      <c r="C53" s="342">
        <f>IF(PaymentSchedule[[#This Row],[PMT NO]]&lt;&gt;"",EOMONTH(LoanStartDate,ROW(PaymentSchedule[[#This Row],[PMT NO]])-ROW(PaymentSchedule[[#Headers],[PMT NO]])-2)+DAY(LoanStartDate),"")</f>
        <v>47484</v>
      </c>
      <c r="D53" s="343">
        <f>IF(PaymentSchedule[[#This Row],[PMT NO]]&lt;&gt;"",IF(ROW()-ROW(PaymentSchedule[[#Headers],[BEGINNING BALANCE]])=1,LoanAmount,INDEX(PaymentSchedule[ENDING BALANCE],ROW()-ROW(PaymentSchedule[[#Headers],[BEGINNING BALANCE]])-1)),"")</f>
        <v>268384.93914921582</v>
      </c>
      <c r="E53" s="343">
        <f>IF(PaymentSchedule[[#This Row],[PMT NO]]&lt;&gt;"",ScheduledPayment,"")</f>
        <v>9905.5893508175304</v>
      </c>
      <c r="F53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3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3" s="343">
        <f>IF(PaymentSchedule[[#This Row],[PMT NO]]&lt;&gt;"",PaymentSchedule[[#This Row],[TOTAL PAYMENT]]-PaymentSchedule[[#This Row],[INTEREST]],"")</f>
        <v>7109.9129013465326</v>
      </c>
      <c r="I53" s="343">
        <f>IF(PaymentSchedule[[#This Row],[PMT NO]]&lt;&gt;"",PaymentSchedule[[#This Row],[BEGINNING BALANCE]]*(InterestRate/PaymentsPerYear),"")</f>
        <v>2795.6764494709978</v>
      </c>
      <c r="J53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261275.02624786927</v>
      </c>
      <c r="K53" s="343">
        <f>IF(PaymentSchedule[[#This Row],[PMT NO]]&lt;&gt;"",SUM(INDEX(PaymentSchedule[INTEREST],1,1):PaymentSchedule[[#This Row],[INTEREST]]),"")</f>
        <v>167404.18963138814</v>
      </c>
      <c r="L53" s="344">
        <f>IFERROR(_xlfn.XLOOKUP(PaymentSchedule[[#This Row],[PAYMENT DATE]],Dates!$C$4:$C$75,Dates!$D$4:$D$75),"Out of Scope")</f>
        <v>6</v>
      </c>
    </row>
    <row r="54" spans="2:15">
      <c r="B54" s="341">
        <f>IF(LoanIsGood,IF(ROW()-ROW(PaymentSchedule[[#Headers],[PMT NO]])&gt;ScheduledNumberOfPayments,"",ROW()-ROW(PaymentSchedule[[#Headers],[PMT NO]])),"")</f>
        <v>42</v>
      </c>
      <c r="C54" s="342">
        <f>IF(PaymentSchedule[[#This Row],[PMT NO]]&lt;&gt;"",EOMONTH(LoanStartDate,ROW(PaymentSchedule[[#This Row],[PMT NO]])-ROW(PaymentSchedule[[#Headers],[PMT NO]])-2)+DAY(LoanStartDate),"")</f>
        <v>47515</v>
      </c>
      <c r="D54" s="343">
        <f>IF(PaymentSchedule[[#This Row],[PMT NO]]&lt;&gt;"",IF(ROW()-ROW(PaymentSchedule[[#Headers],[BEGINNING BALANCE]])=1,LoanAmount,INDEX(PaymentSchedule[ENDING BALANCE],ROW()-ROW(PaymentSchedule[[#Headers],[BEGINNING BALANCE]])-1)),"")</f>
        <v>261275.02624786927</v>
      </c>
      <c r="E54" s="343">
        <f>IF(PaymentSchedule[[#This Row],[PMT NO]]&lt;&gt;"",ScheduledPayment,"")</f>
        <v>9905.5893508175304</v>
      </c>
      <c r="F54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4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4" s="343">
        <f>IF(PaymentSchedule[[#This Row],[PMT NO]]&lt;&gt;"",PaymentSchedule[[#This Row],[TOTAL PAYMENT]]-PaymentSchedule[[#This Row],[INTEREST]],"")</f>
        <v>7183.9744940688925</v>
      </c>
      <c r="I54" s="343">
        <f>IF(PaymentSchedule[[#This Row],[PMT NO]]&lt;&gt;"",PaymentSchedule[[#This Row],[BEGINNING BALANCE]]*(InterestRate/PaymentsPerYear),"")</f>
        <v>2721.614856748638</v>
      </c>
      <c r="J54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254091.05175380039</v>
      </c>
      <c r="K54" s="343">
        <f>IF(PaymentSchedule[[#This Row],[PMT NO]]&lt;&gt;"",SUM(INDEX(PaymentSchedule[INTEREST],1,1):PaymentSchedule[[#This Row],[INTEREST]]),"")</f>
        <v>170125.80448813678</v>
      </c>
      <c r="L54" s="344">
        <f>IFERROR(_xlfn.XLOOKUP(PaymentSchedule[[#This Row],[PAYMENT DATE]],Dates!$C$4:$C$75,Dates!$D$4:$D$75),"Out of Scope")</f>
        <v>6</v>
      </c>
    </row>
    <row r="55" spans="2:15">
      <c r="B55" s="341">
        <f>IF(LoanIsGood,IF(ROW()-ROW(PaymentSchedule[[#Headers],[PMT NO]])&gt;ScheduledNumberOfPayments,"",ROW()-ROW(PaymentSchedule[[#Headers],[PMT NO]])),"")</f>
        <v>43</v>
      </c>
      <c r="C55" s="342">
        <f>IF(PaymentSchedule[[#This Row],[PMT NO]]&lt;&gt;"",EOMONTH(LoanStartDate,ROW(PaymentSchedule[[#This Row],[PMT NO]])-ROW(PaymentSchedule[[#Headers],[PMT NO]])-2)+DAY(LoanStartDate),"")</f>
        <v>47543</v>
      </c>
      <c r="D55" s="343">
        <f>IF(PaymentSchedule[[#This Row],[PMT NO]]&lt;&gt;"",IF(ROW()-ROW(PaymentSchedule[[#Headers],[BEGINNING BALANCE]])=1,LoanAmount,INDEX(PaymentSchedule[ENDING BALANCE],ROW()-ROW(PaymentSchedule[[#Headers],[BEGINNING BALANCE]])-1)),"")</f>
        <v>254091.05175380039</v>
      </c>
      <c r="E55" s="343">
        <f>IF(PaymentSchedule[[#This Row],[PMT NO]]&lt;&gt;"",ScheduledPayment,"")</f>
        <v>9905.5893508175304</v>
      </c>
      <c r="F55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5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5" s="343">
        <f>IF(PaymentSchedule[[#This Row],[PMT NO]]&lt;&gt;"",PaymentSchedule[[#This Row],[TOTAL PAYMENT]]-PaymentSchedule[[#This Row],[INTEREST]],"")</f>
        <v>7258.8075617154427</v>
      </c>
      <c r="I55" s="343">
        <f>IF(PaymentSchedule[[#This Row],[PMT NO]]&lt;&gt;"",PaymentSchedule[[#This Row],[BEGINNING BALANCE]]*(InterestRate/PaymentsPerYear),"")</f>
        <v>2646.7817891020873</v>
      </c>
      <c r="J55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246832.24419208494</v>
      </c>
      <c r="K55" s="343">
        <f>IF(PaymentSchedule[[#This Row],[PMT NO]]&lt;&gt;"",SUM(INDEX(PaymentSchedule[INTEREST],1,1):PaymentSchedule[[#This Row],[INTEREST]]),"")</f>
        <v>172772.58627723888</v>
      </c>
      <c r="L55" s="344">
        <f>IFERROR(_xlfn.XLOOKUP(PaymentSchedule[[#This Row],[PAYMENT DATE]],Dates!$C$4:$C$75,Dates!$D$4:$D$75),"Out of Scope")</f>
        <v>6</v>
      </c>
    </row>
    <row r="56" spans="2:15">
      <c r="B56" s="341">
        <f>IF(LoanIsGood,IF(ROW()-ROW(PaymentSchedule[[#Headers],[PMT NO]])&gt;ScheduledNumberOfPayments,"",ROW()-ROW(PaymentSchedule[[#Headers],[PMT NO]])),"")</f>
        <v>44</v>
      </c>
      <c r="C56" s="342">
        <f>IF(PaymentSchedule[[#This Row],[PMT NO]]&lt;&gt;"",EOMONTH(LoanStartDate,ROW(PaymentSchedule[[#This Row],[PMT NO]])-ROW(PaymentSchedule[[#Headers],[PMT NO]])-2)+DAY(LoanStartDate),"")</f>
        <v>47574</v>
      </c>
      <c r="D56" s="343">
        <f>IF(PaymentSchedule[[#This Row],[PMT NO]]&lt;&gt;"",IF(ROW()-ROW(PaymentSchedule[[#Headers],[BEGINNING BALANCE]])=1,LoanAmount,INDEX(PaymentSchedule[ENDING BALANCE],ROW()-ROW(PaymentSchedule[[#Headers],[BEGINNING BALANCE]])-1)),"")</f>
        <v>246832.24419208494</v>
      </c>
      <c r="E56" s="343">
        <f>IF(PaymentSchedule[[#This Row],[PMT NO]]&lt;&gt;"",ScheduledPayment,"")</f>
        <v>9905.5893508175304</v>
      </c>
      <c r="F56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6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6" s="343">
        <f>IF(PaymentSchedule[[#This Row],[PMT NO]]&lt;&gt;"",PaymentSchedule[[#This Row],[TOTAL PAYMENT]]-PaymentSchedule[[#This Row],[INTEREST]],"")</f>
        <v>7334.4201404833129</v>
      </c>
      <c r="I56" s="343">
        <f>IF(PaymentSchedule[[#This Row],[PMT NO]]&lt;&gt;"",PaymentSchedule[[#This Row],[BEGINNING BALANCE]]*(InterestRate/PaymentsPerYear),"")</f>
        <v>2571.169210334218</v>
      </c>
      <c r="J56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239497.82405160164</v>
      </c>
      <c r="K56" s="343">
        <f>IF(PaymentSchedule[[#This Row],[PMT NO]]&lt;&gt;"",SUM(INDEX(PaymentSchedule[INTEREST],1,1):PaymentSchedule[[#This Row],[INTEREST]]),"")</f>
        <v>175343.7554875731</v>
      </c>
      <c r="L56" s="344">
        <f>IFERROR(_xlfn.XLOOKUP(PaymentSchedule[[#This Row],[PAYMENT DATE]],Dates!$C$4:$C$75,Dates!$D$4:$D$75),"Out of Scope")</f>
        <v>6</v>
      </c>
    </row>
    <row r="57" spans="2:15">
      <c r="B57" s="341">
        <f>IF(LoanIsGood,IF(ROW()-ROW(PaymentSchedule[[#Headers],[PMT NO]])&gt;ScheduledNumberOfPayments,"",ROW()-ROW(PaymentSchedule[[#Headers],[PMT NO]])),"")</f>
        <v>45</v>
      </c>
      <c r="C57" s="342">
        <f>IF(PaymentSchedule[[#This Row],[PMT NO]]&lt;&gt;"",EOMONTH(LoanStartDate,ROW(PaymentSchedule[[#This Row],[PMT NO]])-ROW(PaymentSchedule[[#Headers],[PMT NO]])-2)+DAY(LoanStartDate),"")</f>
        <v>47604</v>
      </c>
      <c r="D57" s="343">
        <f>IF(PaymentSchedule[[#This Row],[PMT NO]]&lt;&gt;"",IF(ROW()-ROW(PaymentSchedule[[#Headers],[BEGINNING BALANCE]])=1,LoanAmount,INDEX(PaymentSchedule[ENDING BALANCE],ROW()-ROW(PaymentSchedule[[#Headers],[BEGINNING BALANCE]])-1)),"")</f>
        <v>239497.82405160164</v>
      </c>
      <c r="E57" s="343">
        <f>IF(PaymentSchedule[[#This Row],[PMT NO]]&lt;&gt;"",ScheduledPayment,"")</f>
        <v>9905.5893508175304</v>
      </c>
      <c r="F57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7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7" s="343">
        <f>IF(PaymentSchedule[[#This Row],[PMT NO]]&lt;&gt;"",PaymentSchedule[[#This Row],[TOTAL PAYMENT]]-PaymentSchedule[[#This Row],[INTEREST]],"")</f>
        <v>7410.8203502800134</v>
      </c>
      <c r="I57" s="343">
        <f>IF(PaymentSchedule[[#This Row],[PMT NO]]&lt;&gt;"",PaymentSchedule[[#This Row],[BEGINNING BALANCE]]*(InterestRate/PaymentsPerYear),"")</f>
        <v>2494.7690005375171</v>
      </c>
      <c r="J57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232087.00370132164</v>
      </c>
      <c r="K57" s="343">
        <f>IF(PaymentSchedule[[#This Row],[PMT NO]]&lt;&gt;"",SUM(INDEX(PaymentSchedule[INTEREST],1,1):PaymentSchedule[[#This Row],[INTEREST]]),"")</f>
        <v>177838.52448811062</v>
      </c>
      <c r="L57" s="344">
        <f>IFERROR(_xlfn.XLOOKUP(PaymentSchedule[[#This Row],[PAYMENT DATE]],Dates!$C$4:$C$75,Dates!$D$4:$D$75),"Out of Scope")</f>
        <v>6</v>
      </c>
    </row>
    <row r="58" spans="2:15">
      <c r="B58" s="341">
        <f>IF(LoanIsGood,IF(ROW()-ROW(PaymentSchedule[[#Headers],[PMT NO]])&gt;ScheduledNumberOfPayments,"",ROW()-ROW(PaymentSchedule[[#Headers],[PMT NO]])),"")</f>
        <v>46</v>
      </c>
      <c r="C58" s="342">
        <f>IF(PaymentSchedule[[#This Row],[PMT NO]]&lt;&gt;"",EOMONTH(LoanStartDate,ROW(PaymentSchedule[[#This Row],[PMT NO]])-ROW(PaymentSchedule[[#Headers],[PMT NO]])-2)+DAY(LoanStartDate),"")</f>
        <v>47635</v>
      </c>
      <c r="D58" s="343">
        <f>IF(PaymentSchedule[[#This Row],[PMT NO]]&lt;&gt;"",IF(ROW()-ROW(PaymentSchedule[[#Headers],[BEGINNING BALANCE]])=1,LoanAmount,INDEX(PaymentSchedule[ENDING BALANCE],ROW()-ROW(PaymentSchedule[[#Headers],[BEGINNING BALANCE]])-1)),"")</f>
        <v>232087.00370132164</v>
      </c>
      <c r="E58" s="343">
        <f>IF(PaymentSchedule[[#This Row],[PMT NO]]&lt;&gt;"",ScheduledPayment,"")</f>
        <v>9905.5893508175304</v>
      </c>
      <c r="F58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8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8" s="343">
        <f>IF(PaymentSchedule[[#This Row],[PMT NO]]&lt;&gt;"",PaymentSchedule[[#This Row],[TOTAL PAYMENT]]-PaymentSchedule[[#This Row],[INTEREST]],"")</f>
        <v>7488.0163955954304</v>
      </c>
      <c r="I58" s="343">
        <f>IF(PaymentSchedule[[#This Row],[PMT NO]]&lt;&gt;"",PaymentSchedule[[#This Row],[BEGINNING BALANCE]]*(InterestRate/PaymentsPerYear),"")</f>
        <v>2417.5729552221001</v>
      </c>
      <c r="J58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224598.98730572622</v>
      </c>
      <c r="K58" s="343">
        <f>IF(PaymentSchedule[[#This Row],[PMT NO]]&lt;&gt;"",SUM(INDEX(PaymentSchedule[INTEREST],1,1):PaymentSchedule[[#This Row],[INTEREST]]),"")</f>
        <v>180256.09744333272</v>
      </c>
      <c r="L58" s="344">
        <f>IFERROR(_xlfn.XLOOKUP(PaymentSchedule[[#This Row],[PAYMENT DATE]],Dates!$C$4:$C$75,Dates!$D$4:$D$75),"Out of Scope")</f>
        <v>6</v>
      </c>
    </row>
    <row r="59" spans="2:15">
      <c r="B59" s="341">
        <f>IF(LoanIsGood,IF(ROW()-ROW(PaymentSchedule[[#Headers],[PMT NO]])&gt;ScheduledNumberOfPayments,"",ROW()-ROW(PaymentSchedule[[#Headers],[PMT NO]])),"")</f>
        <v>47</v>
      </c>
      <c r="C59" s="342">
        <f>IF(PaymentSchedule[[#This Row],[PMT NO]]&lt;&gt;"",EOMONTH(LoanStartDate,ROW(PaymentSchedule[[#This Row],[PMT NO]])-ROW(PaymentSchedule[[#Headers],[PMT NO]])-2)+DAY(LoanStartDate),"")</f>
        <v>47665</v>
      </c>
      <c r="D59" s="343">
        <f>IF(PaymentSchedule[[#This Row],[PMT NO]]&lt;&gt;"",IF(ROW()-ROW(PaymentSchedule[[#Headers],[BEGINNING BALANCE]])=1,LoanAmount,INDEX(PaymentSchedule[ENDING BALANCE],ROW()-ROW(PaymentSchedule[[#Headers],[BEGINNING BALANCE]])-1)),"")</f>
        <v>224598.98730572622</v>
      </c>
      <c r="E59" s="343">
        <f>IF(PaymentSchedule[[#This Row],[PMT NO]]&lt;&gt;"",ScheduledPayment,"")</f>
        <v>9905.5893508175304</v>
      </c>
      <c r="F59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59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59" s="343">
        <f>IF(PaymentSchedule[[#This Row],[PMT NO]]&lt;&gt;"",PaymentSchedule[[#This Row],[TOTAL PAYMENT]]-PaymentSchedule[[#This Row],[INTEREST]],"")</f>
        <v>7566.016566382883</v>
      </c>
      <c r="I59" s="343">
        <f>IF(PaymentSchedule[[#This Row],[PMT NO]]&lt;&gt;"",PaymentSchedule[[#This Row],[BEGINNING BALANCE]]*(InterestRate/PaymentsPerYear),"")</f>
        <v>2339.5727844346479</v>
      </c>
      <c r="J59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217032.97073934332</v>
      </c>
      <c r="K59" s="343">
        <f>IF(PaymentSchedule[[#This Row],[PMT NO]]&lt;&gt;"",SUM(INDEX(PaymentSchedule[INTEREST],1,1):PaymentSchedule[[#This Row],[INTEREST]]),"")</f>
        <v>182595.67022776738</v>
      </c>
      <c r="L59" s="344">
        <f>IFERROR(_xlfn.XLOOKUP(PaymentSchedule[[#This Row],[PAYMENT DATE]],Dates!$C$4:$C$75,Dates!$D$4:$D$75),"Out of Scope")</f>
        <v>6</v>
      </c>
    </row>
    <row r="60" spans="2:15">
      <c r="B60" s="341">
        <f>IF(LoanIsGood,IF(ROW()-ROW(PaymentSchedule[[#Headers],[PMT NO]])&gt;ScheduledNumberOfPayments,"",ROW()-ROW(PaymentSchedule[[#Headers],[PMT NO]])),"")</f>
        <v>48</v>
      </c>
      <c r="C60" s="342">
        <f>IF(PaymentSchedule[[#This Row],[PMT NO]]&lt;&gt;"",EOMONTH(LoanStartDate,ROW(PaymentSchedule[[#This Row],[PMT NO]])-ROW(PaymentSchedule[[#Headers],[PMT NO]])-2)+DAY(LoanStartDate),"")</f>
        <v>47696</v>
      </c>
      <c r="D60" s="343">
        <f>IF(PaymentSchedule[[#This Row],[PMT NO]]&lt;&gt;"",IF(ROW()-ROW(PaymentSchedule[[#Headers],[BEGINNING BALANCE]])=1,LoanAmount,INDEX(PaymentSchedule[ENDING BALANCE],ROW()-ROW(PaymentSchedule[[#Headers],[BEGINNING BALANCE]])-1)),"")</f>
        <v>217032.97073934332</v>
      </c>
      <c r="E60" s="343">
        <f>IF(PaymentSchedule[[#This Row],[PMT NO]]&lt;&gt;"",ScheduledPayment,"")</f>
        <v>9905.5893508175304</v>
      </c>
      <c r="F60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0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0" s="343">
        <f>IF(PaymentSchedule[[#This Row],[PMT NO]]&lt;&gt;"",PaymentSchedule[[#This Row],[TOTAL PAYMENT]]-PaymentSchedule[[#This Row],[INTEREST]],"")</f>
        <v>7644.8292389493708</v>
      </c>
      <c r="I60" s="343">
        <f>IF(PaymentSchedule[[#This Row],[PMT NO]]&lt;&gt;"",PaymentSchedule[[#This Row],[BEGINNING BALANCE]]*(InterestRate/PaymentsPerYear),"")</f>
        <v>2260.7601118681596</v>
      </c>
      <c r="J60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209388.14150039395</v>
      </c>
      <c r="K60" s="343">
        <f>IF(PaymentSchedule[[#This Row],[PMT NO]]&lt;&gt;"",SUM(INDEX(PaymentSchedule[INTEREST],1,1):PaymentSchedule[[#This Row],[INTEREST]]),"")</f>
        <v>184856.43033963552</v>
      </c>
      <c r="L60" s="344">
        <f>IFERROR(_xlfn.XLOOKUP(PaymentSchedule[[#This Row],[PAYMENT DATE]],Dates!$C$4:$C$75,Dates!$D$4:$D$75),"Out of Scope")</f>
        <v>6</v>
      </c>
      <c r="O60" s="345"/>
    </row>
    <row r="61" spans="2:15">
      <c r="B61" s="341">
        <f>IF(LoanIsGood,IF(ROW()-ROW(PaymentSchedule[[#Headers],[PMT NO]])&gt;ScheduledNumberOfPayments,"",ROW()-ROW(PaymentSchedule[[#Headers],[PMT NO]])),"")</f>
        <v>49</v>
      </c>
      <c r="C61" s="342">
        <f>IF(PaymentSchedule[[#This Row],[PMT NO]]&lt;&gt;"",EOMONTH(LoanStartDate,ROW(PaymentSchedule[[#This Row],[PMT NO]])-ROW(PaymentSchedule[[#Headers],[PMT NO]])-2)+DAY(LoanStartDate),"")</f>
        <v>47727</v>
      </c>
      <c r="D61" s="343">
        <f>IF(PaymentSchedule[[#This Row],[PMT NO]]&lt;&gt;"",IF(ROW()-ROW(PaymentSchedule[[#Headers],[BEGINNING BALANCE]])=1,LoanAmount,INDEX(PaymentSchedule[ENDING BALANCE],ROW()-ROW(PaymentSchedule[[#Headers],[BEGINNING BALANCE]])-1)),"")</f>
        <v>209388.14150039395</v>
      </c>
      <c r="E61" s="343">
        <f>IF(PaymentSchedule[[#This Row],[PMT NO]]&lt;&gt;"",ScheduledPayment,"")</f>
        <v>9905.5893508175304</v>
      </c>
      <c r="F61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1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1" s="343">
        <f>IF(PaymentSchedule[[#This Row],[PMT NO]]&lt;&gt;"",PaymentSchedule[[#This Row],[TOTAL PAYMENT]]-PaymentSchedule[[#This Row],[INTEREST]],"")</f>
        <v>7724.4628768550938</v>
      </c>
      <c r="I61" s="343">
        <f>IF(PaymentSchedule[[#This Row],[PMT NO]]&lt;&gt;"",PaymentSchedule[[#This Row],[BEGINNING BALANCE]]*(InterestRate/PaymentsPerYear),"")</f>
        <v>2181.1264739624366</v>
      </c>
      <c r="J61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201663.67862353884</v>
      </c>
      <c r="K61" s="343">
        <f>IF(PaymentSchedule[[#This Row],[PMT NO]]&lt;&gt;"",SUM(INDEX(PaymentSchedule[INTEREST],1,1):PaymentSchedule[[#This Row],[INTEREST]]),"")</f>
        <v>187037.55681359797</v>
      </c>
      <c r="L61" s="344">
        <f>IFERROR(_xlfn.XLOOKUP(PaymentSchedule[[#This Row],[PAYMENT DATE]],Dates!$C$4:$C$75,Dates!$D$4:$D$75),"Out of Scope")</f>
        <v>6</v>
      </c>
    </row>
    <row r="62" spans="2:15">
      <c r="B62" s="341">
        <f>IF(LoanIsGood,IF(ROW()-ROW(PaymentSchedule[[#Headers],[PMT NO]])&gt;ScheduledNumberOfPayments,"",ROW()-ROW(PaymentSchedule[[#Headers],[PMT NO]])),"")</f>
        <v>50</v>
      </c>
      <c r="C62" s="342">
        <f>IF(PaymentSchedule[[#This Row],[PMT NO]]&lt;&gt;"",EOMONTH(LoanStartDate,ROW(PaymentSchedule[[#This Row],[PMT NO]])-ROW(PaymentSchedule[[#Headers],[PMT NO]])-2)+DAY(LoanStartDate),"")</f>
        <v>47757</v>
      </c>
      <c r="D62" s="343">
        <f>IF(PaymentSchedule[[#This Row],[PMT NO]]&lt;&gt;"",IF(ROW()-ROW(PaymentSchedule[[#Headers],[BEGINNING BALANCE]])=1,LoanAmount,INDEX(PaymentSchedule[ENDING BALANCE],ROW()-ROW(PaymentSchedule[[#Headers],[BEGINNING BALANCE]])-1)),"")</f>
        <v>201663.67862353884</v>
      </c>
      <c r="E62" s="343">
        <f>IF(PaymentSchedule[[#This Row],[PMT NO]]&lt;&gt;"",ScheduledPayment,"")</f>
        <v>9905.5893508175304</v>
      </c>
      <c r="F62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2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2" s="343">
        <f>IF(PaymentSchedule[[#This Row],[PMT NO]]&lt;&gt;"",PaymentSchedule[[#This Row],[TOTAL PAYMENT]]-PaymentSchedule[[#This Row],[INTEREST]],"")</f>
        <v>7804.9260318223342</v>
      </c>
      <c r="I62" s="343">
        <f>IF(PaymentSchedule[[#This Row],[PMT NO]]&lt;&gt;"",PaymentSchedule[[#This Row],[BEGINNING BALANCE]]*(InterestRate/PaymentsPerYear),"")</f>
        <v>2100.6633189951963</v>
      </c>
      <c r="J62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193858.7525917165</v>
      </c>
      <c r="K62" s="343">
        <f>IF(PaymentSchedule[[#This Row],[PMT NO]]&lt;&gt;"",SUM(INDEX(PaymentSchedule[INTEREST],1,1):PaymentSchedule[[#This Row],[INTEREST]]),"")</f>
        <v>189138.22013259315</v>
      </c>
      <c r="L62" s="344">
        <f>IFERROR(_xlfn.XLOOKUP(PaymentSchedule[[#This Row],[PAYMENT DATE]],Dates!$C$4:$C$75,Dates!$D$4:$D$75),"Out of Scope")</f>
        <v>6</v>
      </c>
    </row>
    <row r="63" spans="2:15">
      <c r="B63" s="341">
        <f>IF(LoanIsGood,IF(ROW()-ROW(PaymentSchedule[[#Headers],[PMT NO]])&gt;ScheduledNumberOfPayments,"",ROW()-ROW(PaymentSchedule[[#Headers],[PMT NO]])),"")</f>
        <v>51</v>
      </c>
      <c r="C63" s="342">
        <f>IF(PaymentSchedule[[#This Row],[PMT NO]]&lt;&gt;"",EOMONTH(LoanStartDate,ROW(PaymentSchedule[[#This Row],[PMT NO]])-ROW(PaymentSchedule[[#Headers],[PMT NO]])-2)+DAY(LoanStartDate),"")</f>
        <v>47788</v>
      </c>
      <c r="D63" s="343">
        <f>IF(PaymentSchedule[[#This Row],[PMT NO]]&lt;&gt;"",IF(ROW()-ROW(PaymentSchedule[[#Headers],[BEGINNING BALANCE]])=1,LoanAmount,INDEX(PaymentSchedule[ENDING BALANCE],ROW()-ROW(PaymentSchedule[[#Headers],[BEGINNING BALANCE]])-1)),"")</f>
        <v>193858.7525917165</v>
      </c>
      <c r="E63" s="343">
        <f>IF(PaymentSchedule[[#This Row],[PMT NO]]&lt;&gt;"",ScheduledPayment,"")</f>
        <v>9905.5893508175304</v>
      </c>
      <c r="F63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3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3" s="343">
        <f>IF(PaymentSchedule[[#This Row],[PMT NO]]&lt;&gt;"",PaymentSchedule[[#This Row],[TOTAL PAYMENT]]-PaymentSchedule[[#This Row],[INTEREST]],"")</f>
        <v>7886.2273446538165</v>
      </c>
      <c r="I63" s="343">
        <f>IF(PaymentSchedule[[#This Row],[PMT NO]]&lt;&gt;"",PaymentSchedule[[#This Row],[BEGINNING BALANCE]]*(InterestRate/PaymentsPerYear),"")</f>
        <v>2019.3620061637134</v>
      </c>
      <c r="J63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185972.52524706267</v>
      </c>
      <c r="K63" s="343">
        <f>IF(PaymentSchedule[[#This Row],[PMT NO]]&lt;&gt;"",SUM(INDEX(PaymentSchedule[INTEREST],1,1):PaymentSchedule[[#This Row],[INTEREST]]),"")</f>
        <v>191157.58213875687</v>
      </c>
      <c r="L63" s="344">
        <f>IFERROR(_xlfn.XLOOKUP(PaymentSchedule[[#This Row],[PAYMENT DATE]],Dates!$C$4:$C$75,Dates!$D$4:$D$75),"Out of Scope")</f>
        <v>6</v>
      </c>
    </row>
    <row r="64" spans="2:15">
      <c r="B64" s="341">
        <f>IF(LoanIsGood,IF(ROW()-ROW(PaymentSchedule[[#Headers],[PMT NO]])&gt;ScheduledNumberOfPayments,"",ROW()-ROW(PaymentSchedule[[#Headers],[PMT NO]])),"")</f>
        <v>52</v>
      </c>
      <c r="C64" s="342">
        <f>IF(PaymentSchedule[[#This Row],[PMT NO]]&lt;&gt;"",EOMONTH(LoanStartDate,ROW(PaymentSchedule[[#This Row],[PMT NO]])-ROW(PaymentSchedule[[#Headers],[PMT NO]])-2)+DAY(LoanStartDate),"")</f>
        <v>47818</v>
      </c>
      <c r="D64" s="343">
        <f>IF(PaymentSchedule[[#This Row],[PMT NO]]&lt;&gt;"",IF(ROW()-ROW(PaymentSchedule[[#Headers],[BEGINNING BALANCE]])=1,LoanAmount,INDEX(PaymentSchedule[ENDING BALANCE],ROW()-ROW(PaymentSchedule[[#Headers],[BEGINNING BALANCE]])-1)),"")</f>
        <v>185972.52524706267</v>
      </c>
      <c r="E64" s="343">
        <f>IF(PaymentSchedule[[#This Row],[PMT NO]]&lt;&gt;"",ScheduledPayment,"")</f>
        <v>9905.5893508175304</v>
      </c>
      <c r="F64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4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4" s="343">
        <f>IF(PaymentSchedule[[#This Row],[PMT NO]]&lt;&gt;"",PaymentSchedule[[#This Row],[TOTAL PAYMENT]]-PaymentSchedule[[#This Row],[INTEREST]],"")</f>
        <v>7968.3755461606279</v>
      </c>
      <c r="I64" s="343">
        <f>IF(PaymentSchedule[[#This Row],[PMT NO]]&lt;&gt;"",PaymentSchedule[[#This Row],[BEGINNING BALANCE]]*(InterestRate/PaymentsPerYear),"")</f>
        <v>1937.2138046569028</v>
      </c>
      <c r="J64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178004.14970090205</v>
      </c>
      <c r="K64" s="343">
        <f>IF(PaymentSchedule[[#This Row],[PMT NO]]&lt;&gt;"",SUM(INDEX(PaymentSchedule[INTEREST],1,1):PaymentSchedule[[#This Row],[INTEREST]]),"")</f>
        <v>193094.79594341377</v>
      </c>
      <c r="L64" s="344">
        <f>IFERROR(_xlfn.XLOOKUP(PaymentSchedule[[#This Row],[PAYMENT DATE]],Dates!$C$4:$C$75,Dates!$D$4:$D$75),"Out of Scope")</f>
        <v>6</v>
      </c>
    </row>
    <row r="65" spans="2:15">
      <c r="B65" s="341">
        <f>IF(LoanIsGood,IF(ROW()-ROW(PaymentSchedule[[#Headers],[PMT NO]])&gt;ScheduledNumberOfPayments,"",ROW()-ROW(PaymentSchedule[[#Headers],[PMT NO]])),"")</f>
        <v>53</v>
      </c>
      <c r="C65" s="342">
        <f>IF(PaymentSchedule[[#This Row],[PMT NO]]&lt;&gt;"",EOMONTH(LoanStartDate,ROW(PaymentSchedule[[#This Row],[PMT NO]])-ROW(PaymentSchedule[[#Headers],[PMT NO]])-2)+DAY(LoanStartDate),"")</f>
        <v>47849</v>
      </c>
      <c r="D65" s="343">
        <f>IF(PaymentSchedule[[#This Row],[PMT NO]]&lt;&gt;"",IF(ROW()-ROW(PaymentSchedule[[#Headers],[BEGINNING BALANCE]])=1,LoanAmount,INDEX(PaymentSchedule[ENDING BALANCE],ROW()-ROW(PaymentSchedule[[#Headers],[BEGINNING BALANCE]])-1)),"")</f>
        <v>178004.14970090205</v>
      </c>
      <c r="E65" s="343">
        <f>IF(PaymentSchedule[[#This Row],[PMT NO]]&lt;&gt;"",ScheduledPayment,"")</f>
        <v>9905.5893508175304</v>
      </c>
      <c r="F65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5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5" s="343">
        <f>IF(PaymentSchedule[[#This Row],[PMT NO]]&lt;&gt;"",PaymentSchedule[[#This Row],[TOTAL PAYMENT]]-PaymentSchedule[[#This Row],[INTEREST]],"")</f>
        <v>8051.379458099801</v>
      </c>
      <c r="I65" s="343">
        <f>IF(PaymentSchedule[[#This Row],[PMT NO]]&lt;&gt;"",PaymentSchedule[[#This Row],[BEGINNING BALANCE]]*(InterestRate/PaymentsPerYear),"")</f>
        <v>1854.2098927177296</v>
      </c>
      <c r="J65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169952.77024280225</v>
      </c>
      <c r="K65" s="343">
        <f>IF(PaymentSchedule[[#This Row],[PMT NO]]&lt;&gt;"",SUM(INDEX(PaymentSchedule[INTEREST],1,1):PaymentSchedule[[#This Row],[INTEREST]]),"")</f>
        <v>194949.00583613152</v>
      </c>
      <c r="L65" s="344" t="str">
        <f>IFERROR(_xlfn.XLOOKUP(PaymentSchedule[[#This Row],[PAYMENT DATE]],Dates!$C$4:$C$75,Dates!$D$4:$D$75),"Out of Scope")</f>
        <v>Out of Scope</v>
      </c>
    </row>
    <row r="66" spans="2:15">
      <c r="B66" s="341">
        <f>IF(LoanIsGood,IF(ROW()-ROW(PaymentSchedule[[#Headers],[PMT NO]])&gt;ScheduledNumberOfPayments,"",ROW()-ROW(PaymentSchedule[[#Headers],[PMT NO]])),"")</f>
        <v>54</v>
      </c>
      <c r="C66" s="342">
        <f>IF(PaymentSchedule[[#This Row],[PMT NO]]&lt;&gt;"",EOMONTH(LoanStartDate,ROW(PaymentSchedule[[#This Row],[PMT NO]])-ROW(PaymentSchedule[[#Headers],[PMT NO]])-2)+DAY(LoanStartDate),"")</f>
        <v>47880</v>
      </c>
      <c r="D66" s="343">
        <f>IF(PaymentSchedule[[#This Row],[PMT NO]]&lt;&gt;"",IF(ROW()-ROW(PaymentSchedule[[#Headers],[BEGINNING BALANCE]])=1,LoanAmount,INDEX(PaymentSchedule[ENDING BALANCE],ROW()-ROW(PaymentSchedule[[#Headers],[BEGINNING BALANCE]])-1)),"")</f>
        <v>169952.77024280225</v>
      </c>
      <c r="E66" s="343">
        <f>IF(PaymentSchedule[[#This Row],[PMT NO]]&lt;&gt;"",ScheduledPayment,"")</f>
        <v>9905.5893508175304</v>
      </c>
      <c r="F66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6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6" s="343">
        <f>IF(PaymentSchedule[[#This Row],[PMT NO]]&lt;&gt;"",PaymentSchedule[[#This Row],[TOTAL PAYMENT]]-PaymentSchedule[[#This Row],[INTEREST]],"")</f>
        <v>8135.2479941216734</v>
      </c>
      <c r="I66" s="343">
        <f>IF(PaymentSchedule[[#This Row],[PMT NO]]&lt;&gt;"",PaymentSchedule[[#This Row],[BEGINNING BALANCE]]*(InterestRate/PaymentsPerYear),"")</f>
        <v>1770.3413566958566</v>
      </c>
      <c r="J66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161817.52224868059</v>
      </c>
      <c r="K66" s="343">
        <f>IF(PaymentSchedule[[#This Row],[PMT NO]]&lt;&gt;"",SUM(INDEX(PaymentSchedule[INTEREST],1,1):PaymentSchedule[[#This Row],[INTEREST]]),"")</f>
        <v>196719.34719282738</v>
      </c>
      <c r="L66" s="344" t="str">
        <f>IFERROR(_xlfn.XLOOKUP(PaymentSchedule[[#This Row],[PAYMENT DATE]],Dates!$C$4:$C$75,Dates!$D$4:$D$75),"Out of Scope")</f>
        <v>Out of Scope</v>
      </c>
    </row>
    <row r="67" spans="2:15">
      <c r="B67" s="341">
        <f>IF(LoanIsGood,IF(ROW()-ROW(PaymentSchedule[[#Headers],[PMT NO]])&gt;ScheduledNumberOfPayments,"",ROW()-ROW(PaymentSchedule[[#Headers],[PMT NO]])),"")</f>
        <v>55</v>
      </c>
      <c r="C67" s="342">
        <f>IF(PaymentSchedule[[#This Row],[PMT NO]]&lt;&gt;"",EOMONTH(LoanStartDate,ROW(PaymentSchedule[[#This Row],[PMT NO]])-ROW(PaymentSchedule[[#Headers],[PMT NO]])-2)+DAY(LoanStartDate),"")</f>
        <v>47908</v>
      </c>
      <c r="D67" s="343">
        <f>IF(PaymentSchedule[[#This Row],[PMT NO]]&lt;&gt;"",IF(ROW()-ROW(PaymentSchedule[[#Headers],[BEGINNING BALANCE]])=1,LoanAmount,INDEX(PaymentSchedule[ENDING BALANCE],ROW()-ROW(PaymentSchedule[[#Headers],[BEGINNING BALANCE]])-1)),"")</f>
        <v>161817.52224868059</v>
      </c>
      <c r="E67" s="343">
        <f>IF(PaymentSchedule[[#This Row],[PMT NO]]&lt;&gt;"",ScheduledPayment,"")</f>
        <v>9905.5893508175304</v>
      </c>
      <c r="F67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7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7" s="343">
        <f>IF(PaymentSchedule[[#This Row],[PMT NO]]&lt;&gt;"",PaymentSchedule[[#This Row],[TOTAL PAYMENT]]-PaymentSchedule[[#This Row],[INTEREST]],"")</f>
        <v>8219.9901607271077</v>
      </c>
      <c r="I67" s="343">
        <f>IF(PaymentSchedule[[#This Row],[PMT NO]]&lt;&gt;"",PaymentSchedule[[#This Row],[BEGINNING BALANCE]]*(InterestRate/PaymentsPerYear),"")</f>
        <v>1685.5991900904228</v>
      </c>
      <c r="J67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153597.53208795347</v>
      </c>
      <c r="K67" s="343">
        <f>IF(PaymentSchedule[[#This Row],[PMT NO]]&lt;&gt;"",SUM(INDEX(PaymentSchedule[INTEREST],1,1):PaymentSchedule[[#This Row],[INTEREST]]),"")</f>
        <v>198404.94638291781</v>
      </c>
      <c r="L67" s="344" t="str">
        <f>IFERROR(_xlfn.XLOOKUP(PaymentSchedule[[#This Row],[PAYMENT DATE]],Dates!$C$4:$C$75,Dates!$D$4:$D$75),"Out of Scope")</f>
        <v>Out of Scope</v>
      </c>
    </row>
    <row r="68" spans="2:15">
      <c r="B68" s="341">
        <f>IF(LoanIsGood,IF(ROW()-ROW(PaymentSchedule[[#Headers],[PMT NO]])&gt;ScheduledNumberOfPayments,"",ROW()-ROW(PaymentSchedule[[#Headers],[PMT NO]])),"")</f>
        <v>56</v>
      </c>
      <c r="C68" s="342">
        <f>IF(PaymentSchedule[[#This Row],[PMT NO]]&lt;&gt;"",EOMONTH(LoanStartDate,ROW(PaymentSchedule[[#This Row],[PMT NO]])-ROW(PaymentSchedule[[#Headers],[PMT NO]])-2)+DAY(LoanStartDate),"")</f>
        <v>47939</v>
      </c>
      <c r="D68" s="343">
        <f>IF(PaymentSchedule[[#This Row],[PMT NO]]&lt;&gt;"",IF(ROW()-ROW(PaymentSchedule[[#Headers],[BEGINNING BALANCE]])=1,LoanAmount,INDEX(PaymentSchedule[ENDING BALANCE],ROW()-ROW(PaymentSchedule[[#Headers],[BEGINNING BALANCE]])-1)),"")</f>
        <v>153597.53208795347</v>
      </c>
      <c r="E68" s="343">
        <f>IF(PaymentSchedule[[#This Row],[PMT NO]]&lt;&gt;"",ScheduledPayment,"")</f>
        <v>9905.5893508175304</v>
      </c>
      <c r="F68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8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8" s="343">
        <f>IF(PaymentSchedule[[#This Row],[PMT NO]]&lt;&gt;"",PaymentSchedule[[#This Row],[TOTAL PAYMENT]]-PaymentSchedule[[#This Row],[INTEREST]],"")</f>
        <v>8305.6150582346818</v>
      </c>
      <c r="I68" s="343">
        <f>IF(PaymentSchedule[[#This Row],[PMT NO]]&lt;&gt;"",PaymentSchedule[[#This Row],[BEGINNING BALANCE]]*(InterestRate/PaymentsPerYear),"")</f>
        <v>1599.9742925828486</v>
      </c>
      <c r="J68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145291.91702971878</v>
      </c>
      <c r="K68" s="343">
        <f>IF(PaymentSchedule[[#This Row],[PMT NO]]&lt;&gt;"",SUM(INDEX(PaymentSchedule[INTEREST],1,1):PaymentSchedule[[#This Row],[INTEREST]]),"")</f>
        <v>200004.92067550067</v>
      </c>
      <c r="L68" s="344" t="str">
        <f>IFERROR(_xlfn.XLOOKUP(PaymentSchedule[[#This Row],[PAYMENT DATE]],Dates!$C$4:$C$75,Dates!$D$4:$D$75),"Out of Scope")</f>
        <v>Out of Scope</v>
      </c>
    </row>
    <row r="69" spans="2:15">
      <c r="B69" s="341">
        <f>IF(LoanIsGood,IF(ROW()-ROW(PaymentSchedule[[#Headers],[PMT NO]])&gt;ScheduledNumberOfPayments,"",ROW()-ROW(PaymentSchedule[[#Headers],[PMT NO]])),"")</f>
        <v>57</v>
      </c>
      <c r="C69" s="342">
        <f>IF(PaymentSchedule[[#This Row],[PMT NO]]&lt;&gt;"",EOMONTH(LoanStartDate,ROW(PaymentSchedule[[#This Row],[PMT NO]])-ROW(PaymentSchedule[[#Headers],[PMT NO]])-2)+DAY(LoanStartDate),"")</f>
        <v>47969</v>
      </c>
      <c r="D69" s="343">
        <f>IF(PaymentSchedule[[#This Row],[PMT NO]]&lt;&gt;"",IF(ROW()-ROW(PaymentSchedule[[#Headers],[BEGINNING BALANCE]])=1,LoanAmount,INDEX(PaymentSchedule[ENDING BALANCE],ROW()-ROW(PaymentSchedule[[#Headers],[BEGINNING BALANCE]])-1)),"")</f>
        <v>145291.91702971878</v>
      </c>
      <c r="E69" s="343">
        <f>IF(PaymentSchedule[[#This Row],[PMT NO]]&lt;&gt;"",ScheduledPayment,"")</f>
        <v>9905.5893508175304</v>
      </c>
      <c r="F69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69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69" s="343">
        <f>IF(PaymentSchedule[[#This Row],[PMT NO]]&lt;&gt;"",PaymentSchedule[[#This Row],[TOTAL PAYMENT]]-PaymentSchedule[[#This Row],[INTEREST]],"")</f>
        <v>8392.1318817579595</v>
      </c>
      <c r="I69" s="343">
        <f>IF(PaymentSchedule[[#This Row],[PMT NO]]&lt;&gt;"",PaymentSchedule[[#This Row],[BEGINNING BALANCE]]*(InterestRate/PaymentsPerYear),"")</f>
        <v>1513.4574690595705</v>
      </c>
      <c r="J69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136899.78514796082</v>
      </c>
      <c r="K69" s="343">
        <f>IF(PaymentSchedule[[#This Row],[PMT NO]]&lt;&gt;"",SUM(INDEX(PaymentSchedule[INTEREST],1,1):PaymentSchedule[[#This Row],[INTEREST]]),"")</f>
        <v>201518.37814456024</v>
      </c>
      <c r="L69" s="344" t="str">
        <f>IFERROR(_xlfn.XLOOKUP(PaymentSchedule[[#This Row],[PAYMENT DATE]],Dates!$C$4:$C$75,Dates!$D$4:$D$75),"Out of Scope")</f>
        <v>Out of Scope</v>
      </c>
    </row>
    <row r="70" spans="2:15">
      <c r="B70" s="341">
        <f>IF(LoanIsGood,IF(ROW()-ROW(PaymentSchedule[[#Headers],[PMT NO]])&gt;ScheduledNumberOfPayments,"",ROW()-ROW(PaymentSchedule[[#Headers],[PMT NO]])),"")</f>
        <v>58</v>
      </c>
      <c r="C70" s="342">
        <f>IF(PaymentSchedule[[#This Row],[PMT NO]]&lt;&gt;"",EOMONTH(LoanStartDate,ROW(PaymentSchedule[[#This Row],[PMT NO]])-ROW(PaymentSchedule[[#Headers],[PMT NO]])-2)+DAY(LoanStartDate),"")</f>
        <v>48000</v>
      </c>
      <c r="D70" s="343">
        <f>IF(PaymentSchedule[[#This Row],[PMT NO]]&lt;&gt;"",IF(ROW()-ROW(PaymentSchedule[[#Headers],[BEGINNING BALANCE]])=1,LoanAmount,INDEX(PaymentSchedule[ENDING BALANCE],ROW()-ROW(PaymentSchedule[[#Headers],[BEGINNING BALANCE]])-1)),"")</f>
        <v>136899.78514796082</v>
      </c>
      <c r="E70" s="343">
        <f>IF(PaymentSchedule[[#This Row],[PMT NO]]&lt;&gt;"",ScheduledPayment,"")</f>
        <v>9905.5893508175304</v>
      </c>
      <c r="F70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0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0" s="343">
        <f>IF(PaymentSchedule[[#This Row],[PMT NO]]&lt;&gt;"",PaymentSchedule[[#This Row],[TOTAL PAYMENT]]-PaymentSchedule[[#This Row],[INTEREST]],"")</f>
        <v>8479.5499221929385</v>
      </c>
      <c r="I70" s="343">
        <f>IF(PaymentSchedule[[#This Row],[PMT NO]]&lt;&gt;"",PaymentSchedule[[#This Row],[BEGINNING BALANCE]]*(InterestRate/PaymentsPerYear),"")</f>
        <v>1426.0394286245919</v>
      </c>
      <c r="J70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128420.23522576789</v>
      </c>
      <c r="K70" s="343">
        <f>IF(PaymentSchedule[[#This Row],[PMT NO]]&lt;&gt;"",SUM(INDEX(PaymentSchedule[INTEREST],1,1):PaymentSchedule[[#This Row],[INTEREST]]),"")</f>
        <v>202944.41757318482</v>
      </c>
      <c r="L70" s="344" t="str">
        <f>IFERROR(_xlfn.XLOOKUP(PaymentSchedule[[#This Row],[PAYMENT DATE]],Dates!$C$4:$C$75,Dates!$D$4:$D$75),"Out of Scope")</f>
        <v>Out of Scope</v>
      </c>
    </row>
    <row r="71" spans="2:15">
      <c r="B71" s="341">
        <f>IF(LoanIsGood,IF(ROW()-ROW(PaymentSchedule[[#Headers],[PMT NO]])&gt;ScheduledNumberOfPayments,"",ROW()-ROW(PaymentSchedule[[#Headers],[PMT NO]])),"")</f>
        <v>59</v>
      </c>
      <c r="C71" s="342">
        <f>IF(PaymentSchedule[[#This Row],[PMT NO]]&lt;&gt;"",EOMONTH(LoanStartDate,ROW(PaymentSchedule[[#This Row],[PMT NO]])-ROW(PaymentSchedule[[#Headers],[PMT NO]])-2)+DAY(LoanStartDate),"")</f>
        <v>48030</v>
      </c>
      <c r="D71" s="343">
        <f>IF(PaymentSchedule[[#This Row],[PMT NO]]&lt;&gt;"",IF(ROW()-ROW(PaymentSchedule[[#Headers],[BEGINNING BALANCE]])=1,LoanAmount,INDEX(PaymentSchedule[ENDING BALANCE],ROW()-ROW(PaymentSchedule[[#Headers],[BEGINNING BALANCE]])-1)),"")</f>
        <v>128420.23522576789</v>
      </c>
      <c r="E71" s="343">
        <f>IF(PaymentSchedule[[#This Row],[PMT NO]]&lt;&gt;"",ScheduledPayment,"")</f>
        <v>9905.5893508175304</v>
      </c>
      <c r="F71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1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1" s="343">
        <f>IF(PaymentSchedule[[#This Row],[PMT NO]]&lt;&gt;"",PaymentSchedule[[#This Row],[TOTAL PAYMENT]]-PaymentSchedule[[#This Row],[INTEREST]],"")</f>
        <v>8567.878567215781</v>
      </c>
      <c r="I71" s="343">
        <f>IF(PaymentSchedule[[#This Row],[PMT NO]]&lt;&gt;"",PaymentSchedule[[#This Row],[BEGINNING BALANCE]]*(InterestRate/PaymentsPerYear),"")</f>
        <v>1337.7107836017487</v>
      </c>
      <c r="J71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119852.3566585521</v>
      </c>
      <c r="K71" s="343">
        <f>IF(PaymentSchedule[[#This Row],[PMT NO]]&lt;&gt;"",SUM(INDEX(PaymentSchedule[INTEREST],1,1):PaymentSchedule[[#This Row],[INTEREST]]),"")</f>
        <v>204282.12835678656</v>
      </c>
      <c r="L71" s="344" t="str">
        <f>IFERROR(_xlfn.XLOOKUP(PaymentSchedule[[#This Row],[PAYMENT DATE]],Dates!$C$4:$C$75,Dates!$D$4:$D$75),"Out of Scope")</f>
        <v>Out of Scope</v>
      </c>
    </row>
    <row r="72" spans="2:15">
      <c r="B72" s="341">
        <f>IF(LoanIsGood,IF(ROW()-ROW(PaymentSchedule[[#Headers],[PMT NO]])&gt;ScheduledNumberOfPayments,"",ROW()-ROW(PaymentSchedule[[#Headers],[PMT NO]])),"")</f>
        <v>60</v>
      </c>
      <c r="C72" s="342">
        <f>IF(PaymentSchedule[[#This Row],[PMT NO]]&lt;&gt;"",EOMONTH(LoanStartDate,ROW(PaymentSchedule[[#This Row],[PMT NO]])-ROW(PaymentSchedule[[#Headers],[PMT NO]])-2)+DAY(LoanStartDate),"")</f>
        <v>48061</v>
      </c>
      <c r="D72" s="343">
        <f>IF(PaymentSchedule[[#This Row],[PMT NO]]&lt;&gt;"",IF(ROW()-ROW(PaymentSchedule[[#Headers],[BEGINNING BALANCE]])=1,LoanAmount,INDEX(PaymentSchedule[ENDING BALANCE],ROW()-ROW(PaymentSchedule[[#Headers],[BEGINNING BALANCE]])-1)),"")</f>
        <v>119852.3566585521</v>
      </c>
      <c r="E72" s="343">
        <f>IF(PaymentSchedule[[#This Row],[PMT NO]]&lt;&gt;"",ScheduledPayment,"")</f>
        <v>9905.5893508175304</v>
      </c>
      <c r="F72" s="343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2" s="343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2" s="343">
        <f>IF(PaymentSchedule[[#This Row],[PMT NO]]&lt;&gt;"",PaymentSchedule[[#This Row],[TOTAL PAYMENT]]-PaymentSchedule[[#This Row],[INTEREST]],"")</f>
        <v>8657.1273022909463</v>
      </c>
      <c r="I72" s="343">
        <f>IF(PaymentSchedule[[#This Row],[PMT NO]]&lt;&gt;"",PaymentSchedule[[#This Row],[BEGINNING BALANCE]]*(InterestRate/PaymentsPerYear),"")</f>
        <v>1248.4620485265843</v>
      </c>
      <c r="J72" s="343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111195.22935626116</v>
      </c>
      <c r="K72" s="343">
        <f>IF(PaymentSchedule[[#This Row],[PMT NO]]&lt;&gt;"",SUM(INDEX(PaymentSchedule[INTEREST],1,1):PaymentSchedule[[#This Row],[INTEREST]]),"")</f>
        <v>205530.59040531315</v>
      </c>
      <c r="L72" s="344" t="str">
        <f>IFERROR(_xlfn.XLOOKUP(PaymentSchedule[[#This Row],[PAYMENT DATE]],Dates!$C$4:$C$75,Dates!$D$4:$D$75),"Out of Scope")</f>
        <v>Out of Scope</v>
      </c>
      <c r="O72" s="345"/>
    </row>
    <row r="73" spans="2:15">
      <c r="B73" s="346">
        <f>IF(LoanIsGood,IF(ROW()-ROW(PaymentSchedule[[#Headers],[PMT NO]])&gt;ScheduledNumberOfPayments,"",ROW()-ROW(PaymentSchedule[[#Headers],[PMT NO]])),"")</f>
        <v>61</v>
      </c>
      <c r="C73" s="347">
        <f>IF(PaymentSchedule[[#This Row],[PMT NO]]&lt;&gt;"",EOMONTH(LoanStartDate,ROW(PaymentSchedule[[#This Row],[PMT NO]])-ROW(PaymentSchedule[[#Headers],[PMT NO]])-2)+DAY(LoanStartDate),"")</f>
        <v>48092</v>
      </c>
      <c r="D73" s="348">
        <f>IF(PaymentSchedule[[#This Row],[PMT NO]]&lt;&gt;"",IF(ROW()-ROW(PaymentSchedule[[#Headers],[BEGINNING BALANCE]])=1,LoanAmount,INDEX(PaymentSchedule[ENDING BALANCE],ROW()-ROW(PaymentSchedule[[#Headers],[BEGINNING BALANCE]])-1)),"")</f>
        <v>111195.22935626116</v>
      </c>
      <c r="E73" s="348">
        <f>IF(PaymentSchedule[[#This Row],[PMT NO]]&lt;&gt;"",ScheduledPayment,"")</f>
        <v>9905.5893508175304</v>
      </c>
      <c r="F73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3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3" s="348">
        <f>IF(PaymentSchedule[[#This Row],[PMT NO]]&lt;&gt;"",PaymentSchedule[[#This Row],[TOTAL PAYMENT]]-PaymentSchedule[[#This Row],[INTEREST]],"")</f>
        <v>8747.3057116898108</v>
      </c>
      <c r="I73" s="348">
        <f>IF(PaymentSchedule[[#This Row],[PMT NO]]&lt;&gt;"",PaymentSchedule[[#This Row],[BEGINNING BALANCE]]*(InterestRate/PaymentsPerYear),"")</f>
        <v>1158.2836391277203</v>
      </c>
      <c r="J73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102447.92364457135</v>
      </c>
      <c r="K73" s="348">
        <f>IF(PaymentSchedule[[#This Row],[PMT NO]]&lt;&gt;"",SUM(INDEX(PaymentSchedule[INTEREST],1,1):PaymentSchedule[[#This Row],[INTEREST]]),"")</f>
        <v>206688.87404444086</v>
      </c>
      <c r="L73" s="344" t="str">
        <f>IFERROR(_xlfn.XLOOKUP(PaymentSchedule[[#This Row],[PAYMENT DATE]],Dates!$C$4:$C$75,Dates!$D$4:$D$75),"Out of Scope")</f>
        <v>Out of Scope</v>
      </c>
    </row>
    <row r="74" spans="2:15">
      <c r="B74" s="346">
        <f>IF(LoanIsGood,IF(ROW()-ROW(PaymentSchedule[[#Headers],[PMT NO]])&gt;ScheduledNumberOfPayments,"",ROW()-ROW(PaymentSchedule[[#Headers],[PMT NO]])),"")</f>
        <v>62</v>
      </c>
      <c r="C74" s="347">
        <f>IF(PaymentSchedule[[#This Row],[PMT NO]]&lt;&gt;"",EOMONTH(LoanStartDate,ROW(PaymentSchedule[[#This Row],[PMT NO]])-ROW(PaymentSchedule[[#Headers],[PMT NO]])-2)+DAY(LoanStartDate),"")</f>
        <v>48122</v>
      </c>
      <c r="D74" s="348">
        <f>IF(PaymentSchedule[[#This Row],[PMT NO]]&lt;&gt;"",IF(ROW()-ROW(PaymentSchedule[[#Headers],[BEGINNING BALANCE]])=1,LoanAmount,INDEX(PaymentSchedule[ENDING BALANCE],ROW()-ROW(PaymentSchedule[[#Headers],[BEGINNING BALANCE]])-1)),"")</f>
        <v>102447.92364457135</v>
      </c>
      <c r="E74" s="348">
        <f>IF(PaymentSchedule[[#This Row],[PMT NO]]&lt;&gt;"",ScheduledPayment,"")</f>
        <v>9905.5893508175304</v>
      </c>
      <c r="F74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4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4" s="348">
        <f>IF(PaymentSchedule[[#This Row],[PMT NO]]&lt;&gt;"",PaymentSchedule[[#This Row],[TOTAL PAYMENT]]-PaymentSchedule[[#This Row],[INTEREST]],"")</f>
        <v>8838.4234795199118</v>
      </c>
      <c r="I74" s="348">
        <f>IF(PaymentSchedule[[#This Row],[PMT NO]]&lt;&gt;"",PaymentSchedule[[#This Row],[BEGINNING BALANCE]]*(InterestRate/PaymentsPerYear),"")</f>
        <v>1067.1658712976182</v>
      </c>
      <c r="J74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93609.500165051431</v>
      </c>
      <c r="K74" s="348">
        <f>IF(PaymentSchedule[[#This Row],[PMT NO]]&lt;&gt;"",SUM(INDEX(PaymentSchedule[INTEREST],1,1):PaymentSchedule[[#This Row],[INTEREST]]),"")</f>
        <v>207756.03991573848</v>
      </c>
      <c r="L74" s="344" t="str">
        <f>IFERROR(_xlfn.XLOOKUP(PaymentSchedule[[#This Row],[PAYMENT DATE]],Dates!$C$4:$C$75,Dates!$D$4:$D$75),"Out of Scope")</f>
        <v>Out of Scope</v>
      </c>
    </row>
    <row r="75" spans="2:15">
      <c r="B75" s="346">
        <f>IF(LoanIsGood,IF(ROW()-ROW(PaymentSchedule[[#Headers],[PMT NO]])&gt;ScheduledNumberOfPayments,"",ROW()-ROW(PaymentSchedule[[#Headers],[PMT NO]])),"")</f>
        <v>63</v>
      </c>
      <c r="C75" s="347">
        <f>IF(PaymentSchedule[[#This Row],[PMT NO]]&lt;&gt;"",EOMONTH(LoanStartDate,ROW(PaymentSchedule[[#This Row],[PMT NO]])-ROW(PaymentSchedule[[#Headers],[PMT NO]])-2)+DAY(LoanStartDate),"")</f>
        <v>48153</v>
      </c>
      <c r="D75" s="348">
        <f>IF(PaymentSchedule[[#This Row],[PMT NO]]&lt;&gt;"",IF(ROW()-ROW(PaymentSchedule[[#Headers],[BEGINNING BALANCE]])=1,LoanAmount,INDEX(PaymentSchedule[ENDING BALANCE],ROW()-ROW(PaymentSchedule[[#Headers],[BEGINNING BALANCE]])-1)),"")</f>
        <v>93609.500165051431</v>
      </c>
      <c r="E75" s="348">
        <f>IF(PaymentSchedule[[#This Row],[PMT NO]]&lt;&gt;"",ScheduledPayment,"")</f>
        <v>9905.5893508175304</v>
      </c>
      <c r="F75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5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5" s="348">
        <f>IF(PaymentSchedule[[#This Row],[PMT NO]]&lt;&gt;"",PaymentSchedule[[#This Row],[TOTAL PAYMENT]]-PaymentSchedule[[#This Row],[INTEREST]],"")</f>
        <v>8930.4903907649114</v>
      </c>
      <c r="I75" s="348">
        <f>IF(PaymentSchedule[[#This Row],[PMT NO]]&lt;&gt;"",PaymentSchedule[[#This Row],[BEGINNING BALANCE]]*(InterestRate/PaymentsPerYear),"")</f>
        <v>975.09896005261908</v>
      </c>
      <c r="J75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84679.009774286518</v>
      </c>
      <c r="K75" s="348">
        <f>IF(PaymentSchedule[[#This Row],[PMT NO]]&lt;&gt;"",SUM(INDEX(PaymentSchedule[INTEREST],1,1):PaymentSchedule[[#This Row],[INTEREST]]),"")</f>
        <v>208731.1388757911</v>
      </c>
      <c r="L75" s="344" t="str">
        <f>IFERROR(_xlfn.XLOOKUP(PaymentSchedule[[#This Row],[PAYMENT DATE]],Dates!$C$4:$C$75,Dates!$D$4:$D$75),"Out of Scope")</f>
        <v>Out of Scope</v>
      </c>
    </row>
    <row r="76" spans="2:15">
      <c r="B76" s="346">
        <f>IF(LoanIsGood,IF(ROW()-ROW(PaymentSchedule[[#Headers],[PMT NO]])&gt;ScheduledNumberOfPayments,"",ROW()-ROW(PaymentSchedule[[#Headers],[PMT NO]])),"")</f>
        <v>64</v>
      </c>
      <c r="C76" s="347">
        <f>IF(PaymentSchedule[[#This Row],[PMT NO]]&lt;&gt;"",EOMONTH(LoanStartDate,ROW(PaymentSchedule[[#This Row],[PMT NO]])-ROW(PaymentSchedule[[#Headers],[PMT NO]])-2)+DAY(LoanStartDate),"")</f>
        <v>48183</v>
      </c>
      <c r="D76" s="348">
        <f>IF(PaymentSchedule[[#This Row],[PMT NO]]&lt;&gt;"",IF(ROW()-ROW(PaymentSchedule[[#Headers],[BEGINNING BALANCE]])=1,LoanAmount,INDEX(PaymentSchedule[ENDING BALANCE],ROW()-ROW(PaymentSchedule[[#Headers],[BEGINNING BALANCE]])-1)),"")</f>
        <v>84679.009774286518</v>
      </c>
      <c r="E76" s="348">
        <f>IF(PaymentSchedule[[#This Row],[PMT NO]]&lt;&gt;"",ScheduledPayment,"")</f>
        <v>9905.5893508175304</v>
      </c>
      <c r="F76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6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6" s="348">
        <f>IF(PaymentSchedule[[#This Row],[PMT NO]]&lt;&gt;"",PaymentSchedule[[#This Row],[TOTAL PAYMENT]]-PaymentSchedule[[#This Row],[INTEREST]],"")</f>
        <v>9023.516332335379</v>
      </c>
      <c r="I76" s="348">
        <f>IF(PaymentSchedule[[#This Row],[PMT NO]]&lt;&gt;"",PaymentSchedule[[#This Row],[BEGINNING BALANCE]]*(InterestRate/PaymentsPerYear),"")</f>
        <v>882.07301848215116</v>
      </c>
      <c r="J76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75655.493441951141</v>
      </c>
      <c r="K76" s="348">
        <f>IF(PaymentSchedule[[#This Row],[PMT NO]]&lt;&gt;"",SUM(INDEX(PaymentSchedule[INTEREST],1,1):PaymentSchedule[[#This Row],[INTEREST]]),"")</f>
        <v>209613.21189427326</v>
      </c>
      <c r="L76" s="344" t="str">
        <f>IFERROR(_xlfn.XLOOKUP(PaymentSchedule[[#This Row],[PAYMENT DATE]],Dates!$C$4:$C$75,Dates!$D$4:$D$75),"Out of Scope")</f>
        <v>Out of Scope</v>
      </c>
    </row>
    <row r="77" spans="2:15">
      <c r="B77" s="346">
        <f>IF(LoanIsGood,IF(ROW()-ROW(PaymentSchedule[[#Headers],[PMT NO]])&gt;ScheduledNumberOfPayments,"",ROW()-ROW(PaymentSchedule[[#Headers],[PMT NO]])),"")</f>
        <v>65</v>
      </c>
      <c r="C77" s="347">
        <f>IF(PaymentSchedule[[#This Row],[PMT NO]]&lt;&gt;"",EOMONTH(LoanStartDate,ROW(PaymentSchedule[[#This Row],[PMT NO]])-ROW(PaymentSchedule[[#Headers],[PMT NO]])-2)+DAY(LoanStartDate),"")</f>
        <v>48214</v>
      </c>
      <c r="D77" s="348">
        <f>IF(PaymentSchedule[[#This Row],[PMT NO]]&lt;&gt;"",IF(ROW()-ROW(PaymentSchedule[[#Headers],[BEGINNING BALANCE]])=1,LoanAmount,INDEX(PaymentSchedule[ENDING BALANCE],ROW()-ROW(PaymentSchedule[[#Headers],[BEGINNING BALANCE]])-1)),"")</f>
        <v>75655.493441951141</v>
      </c>
      <c r="E77" s="348">
        <f>IF(PaymentSchedule[[#This Row],[PMT NO]]&lt;&gt;"",ScheduledPayment,"")</f>
        <v>9905.5893508175304</v>
      </c>
      <c r="F77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7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7" s="348">
        <f>IF(PaymentSchedule[[#This Row],[PMT NO]]&lt;&gt;"",PaymentSchedule[[#This Row],[TOTAL PAYMENT]]-PaymentSchedule[[#This Row],[INTEREST]],"")</f>
        <v>9117.5112941305397</v>
      </c>
      <c r="I77" s="348">
        <f>IF(PaymentSchedule[[#This Row],[PMT NO]]&lt;&gt;"",PaymentSchedule[[#This Row],[BEGINNING BALANCE]]*(InterestRate/PaymentsPerYear),"")</f>
        <v>788.07805668699098</v>
      </c>
      <c r="J77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66537.982147820599</v>
      </c>
      <c r="K77" s="348">
        <f>IF(PaymentSchedule[[#This Row],[PMT NO]]&lt;&gt;"",SUM(INDEX(PaymentSchedule[INTEREST],1,1):PaymentSchedule[[#This Row],[INTEREST]]),"")</f>
        <v>210401.28995096026</v>
      </c>
      <c r="L77" s="344" t="str">
        <f>IFERROR(_xlfn.XLOOKUP(PaymentSchedule[[#This Row],[PAYMENT DATE]],Dates!$C$4:$C$75,Dates!$D$4:$D$75),"Out of Scope")</f>
        <v>Out of Scope</v>
      </c>
    </row>
    <row r="78" spans="2:15">
      <c r="B78" s="346">
        <f>IF(LoanIsGood,IF(ROW()-ROW(PaymentSchedule[[#Headers],[PMT NO]])&gt;ScheduledNumberOfPayments,"",ROW()-ROW(PaymentSchedule[[#Headers],[PMT NO]])),"")</f>
        <v>66</v>
      </c>
      <c r="C78" s="347">
        <f>IF(PaymentSchedule[[#This Row],[PMT NO]]&lt;&gt;"",EOMONTH(LoanStartDate,ROW(PaymentSchedule[[#This Row],[PMT NO]])-ROW(PaymentSchedule[[#Headers],[PMT NO]])-2)+DAY(LoanStartDate),"")</f>
        <v>48245</v>
      </c>
      <c r="D78" s="348">
        <f>IF(PaymentSchedule[[#This Row],[PMT NO]]&lt;&gt;"",IF(ROW()-ROW(PaymentSchedule[[#Headers],[BEGINNING BALANCE]])=1,LoanAmount,INDEX(PaymentSchedule[ENDING BALANCE],ROW()-ROW(PaymentSchedule[[#Headers],[BEGINNING BALANCE]])-1)),"")</f>
        <v>66537.982147820599</v>
      </c>
      <c r="E78" s="348">
        <f>IF(PaymentSchedule[[#This Row],[PMT NO]]&lt;&gt;"",ScheduledPayment,"")</f>
        <v>9905.5893508175304</v>
      </c>
      <c r="F78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8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8" s="348">
        <f>IF(PaymentSchedule[[#This Row],[PMT NO]]&lt;&gt;"",PaymentSchedule[[#This Row],[TOTAL PAYMENT]]-PaymentSchedule[[#This Row],[INTEREST]],"")</f>
        <v>9212.485370111066</v>
      </c>
      <c r="I78" s="348">
        <f>IF(PaymentSchedule[[#This Row],[PMT NO]]&lt;&gt;"",PaymentSchedule[[#This Row],[BEGINNING BALANCE]]*(InterestRate/PaymentsPerYear),"")</f>
        <v>693.10398070646454</v>
      </c>
      <c r="J78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57325.49677770953</v>
      </c>
      <c r="K78" s="348">
        <f>IF(PaymentSchedule[[#This Row],[PMT NO]]&lt;&gt;"",SUM(INDEX(PaymentSchedule[INTEREST],1,1):PaymentSchedule[[#This Row],[INTEREST]]),"")</f>
        <v>211094.39393166671</v>
      </c>
      <c r="L78" s="344" t="str">
        <f>IFERROR(_xlfn.XLOOKUP(PaymentSchedule[[#This Row],[PAYMENT DATE]],Dates!$C$4:$C$75,Dates!$D$4:$D$75),"Out of Scope")</f>
        <v>Out of Scope</v>
      </c>
    </row>
    <row r="79" spans="2:15">
      <c r="B79" s="346">
        <f>IF(LoanIsGood,IF(ROW()-ROW(PaymentSchedule[[#Headers],[PMT NO]])&gt;ScheduledNumberOfPayments,"",ROW()-ROW(PaymentSchedule[[#Headers],[PMT NO]])),"")</f>
        <v>67</v>
      </c>
      <c r="C79" s="347">
        <f>IF(PaymentSchedule[[#This Row],[PMT NO]]&lt;&gt;"",EOMONTH(LoanStartDate,ROW(PaymentSchedule[[#This Row],[PMT NO]])-ROW(PaymentSchedule[[#Headers],[PMT NO]])-2)+DAY(LoanStartDate),"")</f>
        <v>48274</v>
      </c>
      <c r="D79" s="348">
        <f>IF(PaymentSchedule[[#This Row],[PMT NO]]&lt;&gt;"",IF(ROW()-ROW(PaymentSchedule[[#Headers],[BEGINNING BALANCE]])=1,LoanAmount,INDEX(PaymentSchedule[ENDING BALANCE],ROW()-ROW(PaymentSchedule[[#Headers],[BEGINNING BALANCE]])-1)),"")</f>
        <v>57325.49677770953</v>
      </c>
      <c r="E79" s="348">
        <f>IF(PaymentSchedule[[#This Row],[PMT NO]]&lt;&gt;"",ScheduledPayment,"")</f>
        <v>9905.5893508175304</v>
      </c>
      <c r="F79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79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79" s="348">
        <f>IF(PaymentSchedule[[#This Row],[PMT NO]]&lt;&gt;"",PaymentSchedule[[#This Row],[TOTAL PAYMENT]]-PaymentSchedule[[#This Row],[INTEREST]],"")</f>
        <v>9308.4487593830563</v>
      </c>
      <c r="I79" s="348">
        <f>IF(PaymentSchedule[[#This Row],[PMT NO]]&lt;&gt;"",PaymentSchedule[[#This Row],[BEGINNING BALANCE]]*(InterestRate/PaymentsPerYear),"")</f>
        <v>597.14059143447423</v>
      </c>
      <c r="J79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48017.048018326474</v>
      </c>
      <c r="K79" s="348">
        <f>IF(PaymentSchedule[[#This Row],[PMT NO]]&lt;&gt;"",SUM(INDEX(PaymentSchedule[INTEREST],1,1):PaymentSchedule[[#This Row],[INTEREST]]),"")</f>
        <v>211691.53452310117</v>
      </c>
      <c r="L79" s="344" t="str">
        <f>IFERROR(_xlfn.XLOOKUP(PaymentSchedule[[#This Row],[PAYMENT DATE]],Dates!$C$4:$C$75,Dates!$D$4:$D$75),"Out of Scope")</f>
        <v>Out of Scope</v>
      </c>
    </row>
    <row r="80" spans="2:15">
      <c r="B80" s="346">
        <f>IF(LoanIsGood,IF(ROW()-ROW(PaymentSchedule[[#Headers],[PMT NO]])&gt;ScheduledNumberOfPayments,"",ROW()-ROW(PaymentSchedule[[#Headers],[PMT NO]])),"")</f>
        <v>68</v>
      </c>
      <c r="C80" s="347">
        <f>IF(PaymentSchedule[[#This Row],[PMT NO]]&lt;&gt;"",EOMONTH(LoanStartDate,ROW(PaymentSchedule[[#This Row],[PMT NO]])-ROW(PaymentSchedule[[#Headers],[PMT NO]])-2)+DAY(LoanStartDate),"")</f>
        <v>48305</v>
      </c>
      <c r="D80" s="348">
        <f>IF(PaymentSchedule[[#This Row],[PMT NO]]&lt;&gt;"",IF(ROW()-ROW(PaymentSchedule[[#Headers],[BEGINNING BALANCE]])=1,LoanAmount,INDEX(PaymentSchedule[ENDING BALANCE],ROW()-ROW(PaymentSchedule[[#Headers],[BEGINNING BALANCE]])-1)),"")</f>
        <v>48017.048018326474</v>
      </c>
      <c r="E80" s="348">
        <f>IF(PaymentSchedule[[#This Row],[PMT NO]]&lt;&gt;"",ScheduledPayment,"")</f>
        <v>9905.5893508175304</v>
      </c>
      <c r="F80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80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80" s="348">
        <f>IF(PaymentSchedule[[#This Row],[PMT NO]]&lt;&gt;"",PaymentSchedule[[#This Row],[TOTAL PAYMENT]]-PaymentSchedule[[#This Row],[INTEREST]],"")</f>
        <v>9405.4117672932971</v>
      </c>
      <c r="I80" s="348">
        <f>IF(PaymentSchedule[[#This Row],[PMT NO]]&lt;&gt;"",PaymentSchedule[[#This Row],[BEGINNING BALANCE]]*(InterestRate/PaymentsPerYear),"")</f>
        <v>500.17758352423408</v>
      </c>
      <c r="J80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38611.636251033175</v>
      </c>
      <c r="K80" s="348">
        <f>IF(PaymentSchedule[[#This Row],[PMT NO]]&lt;&gt;"",SUM(INDEX(PaymentSchedule[INTEREST],1,1):PaymentSchedule[[#This Row],[INTEREST]]),"")</f>
        <v>212191.7121066254</v>
      </c>
      <c r="L80" s="344" t="str">
        <f>IFERROR(_xlfn.XLOOKUP(PaymentSchedule[[#This Row],[PAYMENT DATE]],Dates!$C$4:$C$75,Dates!$D$4:$D$75),"Out of Scope")</f>
        <v>Out of Scope</v>
      </c>
    </row>
    <row r="81" spans="2:12">
      <c r="B81" s="346">
        <f>IF(LoanIsGood,IF(ROW()-ROW(PaymentSchedule[[#Headers],[PMT NO]])&gt;ScheduledNumberOfPayments,"",ROW()-ROW(PaymentSchedule[[#Headers],[PMT NO]])),"")</f>
        <v>69</v>
      </c>
      <c r="C81" s="347">
        <f>IF(PaymentSchedule[[#This Row],[PMT NO]]&lt;&gt;"",EOMONTH(LoanStartDate,ROW(PaymentSchedule[[#This Row],[PMT NO]])-ROW(PaymentSchedule[[#Headers],[PMT NO]])-2)+DAY(LoanStartDate),"")</f>
        <v>48335</v>
      </c>
      <c r="D81" s="348">
        <f>IF(PaymentSchedule[[#This Row],[PMT NO]]&lt;&gt;"",IF(ROW()-ROW(PaymentSchedule[[#Headers],[BEGINNING BALANCE]])=1,LoanAmount,INDEX(PaymentSchedule[ENDING BALANCE],ROW()-ROW(PaymentSchedule[[#Headers],[BEGINNING BALANCE]])-1)),"")</f>
        <v>38611.636251033175</v>
      </c>
      <c r="E81" s="348">
        <f>IF(PaymentSchedule[[#This Row],[PMT NO]]&lt;&gt;"",ScheduledPayment,"")</f>
        <v>9905.5893508175304</v>
      </c>
      <c r="F81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81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81" s="348">
        <f>IF(PaymentSchedule[[#This Row],[PMT NO]]&lt;&gt;"",PaymentSchedule[[#This Row],[TOTAL PAYMENT]]-PaymentSchedule[[#This Row],[INTEREST]],"")</f>
        <v>9503.3848065359343</v>
      </c>
      <c r="I81" s="348">
        <f>IF(PaymentSchedule[[#This Row],[PMT NO]]&lt;&gt;"",PaymentSchedule[[#This Row],[BEGINNING BALANCE]]*(InterestRate/PaymentsPerYear),"")</f>
        <v>402.20454428159553</v>
      </c>
      <c r="J81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29108.25144449724</v>
      </c>
      <c r="K81" s="348">
        <f>IF(PaymentSchedule[[#This Row],[PMT NO]]&lt;&gt;"",SUM(INDEX(PaymentSchedule[INTEREST],1,1):PaymentSchedule[[#This Row],[INTEREST]]),"")</f>
        <v>212593.91665090699</v>
      </c>
      <c r="L81" s="344" t="str">
        <f>IFERROR(_xlfn.XLOOKUP(PaymentSchedule[[#This Row],[PAYMENT DATE]],Dates!$C$4:$C$75,Dates!$D$4:$D$75),"Out of Scope")</f>
        <v>Out of Scope</v>
      </c>
    </row>
    <row r="82" spans="2:12">
      <c r="B82" s="346">
        <f>IF(LoanIsGood,IF(ROW()-ROW(PaymentSchedule[[#Headers],[PMT NO]])&gt;ScheduledNumberOfPayments,"",ROW()-ROW(PaymentSchedule[[#Headers],[PMT NO]])),"")</f>
        <v>70</v>
      </c>
      <c r="C82" s="347">
        <f>IF(PaymentSchedule[[#This Row],[PMT NO]]&lt;&gt;"",EOMONTH(LoanStartDate,ROW(PaymentSchedule[[#This Row],[PMT NO]])-ROW(PaymentSchedule[[#Headers],[PMT NO]])-2)+DAY(LoanStartDate),"")</f>
        <v>48366</v>
      </c>
      <c r="D82" s="348">
        <f>IF(PaymentSchedule[[#This Row],[PMT NO]]&lt;&gt;"",IF(ROW()-ROW(PaymentSchedule[[#Headers],[BEGINNING BALANCE]])=1,LoanAmount,INDEX(PaymentSchedule[ENDING BALANCE],ROW()-ROW(PaymentSchedule[[#Headers],[BEGINNING BALANCE]])-1)),"")</f>
        <v>29108.25144449724</v>
      </c>
      <c r="E82" s="348">
        <f>IF(PaymentSchedule[[#This Row],[PMT NO]]&lt;&gt;"",ScheduledPayment,"")</f>
        <v>9905.5893508175304</v>
      </c>
      <c r="F82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82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82" s="348">
        <f>IF(PaymentSchedule[[#This Row],[PMT NO]]&lt;&gt;"",PaymentSchedule[[#This Row],[TOTAL PAYMENT]]-PaymentSchedule[[#This Row],[INTEREST]],"")</f>
        <v>9602.3783982706846</v>
      </c>
      <c r="I82" s="348">
        <f>IF(PaymentSchedule[[#This Row],[PMT NO]]&lt;&gt;"",PaymentSchedule[[#This Row],[BEGINNING BALANCE]]*(InterestRate/PaymentsPerYear),"")</f>
        <v>303.21095254684622</v>
      </c>
      <c r="J82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19505.873046226556</v>
      </c>
      <c r="K82" s="348">
        <f>IF(PaymentSchedule[[#This Row],[PMT NO]]&lt;&gt;"",SUM(INDEX(PaymentSchedule[INTEREST],1,1):PaymentSchedule[[#This Row],[INTEREST]]),"")</f>
        <v>212897.12760345385</v>
      </c>
      <c r="L82" s="344" t="str">
        <f>IFERROR(_xlfn.XLOOKUP(PaymentSchedule[[#This Row],[PAYMENT DATE]],Dates!$C$4:$C$75,Dates!$D$4:$D$75),"Out of Scope")</f>
        <v>Out of Scope</v>
      </c>
    </row>
    <row r="83" spans="2:12">
      <c r="B83" s="346">
        <f>IF(LoanIsGood,IF(ROW()-ROW(PaymentSchedule[[#Headers],[PMT NO]])&gt;ScheduledNumberOfPayments,"",ROW()-ROW(PaymentSchedule[[#Headers],[PMT NO]])),"")</f>
        <v>71</v>
      </c>
      <c r="C83" s="347">
        <f>IF(PaymentSchedule[[#This Row],[PMT NO]]&lt;&gt;"",EOMONTH(LoanStartDate,ROW(PaymentSchedule[[#This Row],[PMT NO]])-ROW(PaymentSchedule[[#Headers],[PMT NO]])-2)+DAY(LoanStartDate),"")</f>
        <v>48396</v>
      </c>
      <c r="D83" s="348">
        <f>IF(PaymentSchedule[[#This Row],[PMT NO]]&lt;&gt;"",IF(ROW()-ROW(PaymentSchedule[[#Headers],[BEGINNING BALANCE]])=1,LoanAmount,INDEX(PaymentSchedule[ENDING BALANCE],ROW()-ROW(PaymentSchedule[[#Headers],[BEGINNING BALANCE]])-1)),"")</f>
        <v>19505.873046226556</v>
      </c>
      <c r="E83" s="348">
        <f>IF(PaymentSchedule[[#This Row],[PMT NO]]&lt;&gt;"",ScheduledPayment,"")</f>
        <v>9905.5893508175304</v>
      </c>
      <c r="F83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83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9905.5893508175304</v>
      </c>
      <c r="H83" s="348">
        <f>IF(PaymentSchedule[[#This Row],[PMT NO]]&lt;&gt;"",PaymentSchedule[[#This Row],[TOTAL PAYMENT]]-PaymentSchedule[[#This Row],[INTEREST]],"")</f>
        <v>9702.403173252671</v>
      </c>
      <c r="I83" s="348">
        <f>IF(PaymentSchedule[[#This Row],[PMT NO]]&lt;&gt;"",PaymentSchedule[[#This Row],[BEGINNING BALANCE]]*(InterestRate/PaymentsPerYear),"")</f>
        <v>203.18617756485995</v>
      </c>
      <c r="J83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9803.4698729738848</v>
      </c>
      <c r="K83" s="348">
        <f>IF(PaymentSchedule[[#This Row],[PMT NO]]&lt;&gt;"",SUM(INDEX(PaymentSchedule[INTEREST],1,1):PaymentSchedule[[#This Row],[INTEREST]]),"")</f>
        <v>213100.31378101872</v>
      </c>
      <c r="L83" s="344" t="str">
        <f>IFERROR(_xlfn.XLOOKUP(PaymentSchedule[[#This Row],[PAYMENT DATE]],Dates!$C$4:$C$75,Dates!$D$4:$D$75),"Out of Scope")</f>
        <v>Out of Scope</v>
      </c>
    </row>
    <row r="84" spans="2:12">
      <c r="B84" s="346">
        <f>IF(LoanIsGood,IF(ROW()-ROW(PaymentSchedule[[#Headers],[PMT NO]])&gt;ScheduledNumberOfPayments,"",ROW()-ROW(PaymentSchedule[[#Headers],[PMT NO]])),"")</f>
        <v>72</v>
      </c>
      <c r="C84" s="347">
        <f>IF(PaymentSchedule[[#This Row],[PMT NO]]&lt;&gt;"",EOMONTH(LoanStartDate,ROW(PaymentSchedule[[#This Row],[PMT NO]])-ROW(PaymentSchedule[[#Headers],[PMT NO]])-2)+DAY(LoanStartDate),"")</f>
        <v>48427</v>
      </c>
      <c r="D84" s="348">
        <f>IF(PaymentSchedule[[#This Row],[PMT NO]]&lt;&gt;"",IF(ROW()-ROW(PaymentSchedule[[#Headers],[BEGINNING BALANCE]])=1,LoanAmount,INDEX(PaymentSchedule[ENDING BALANCE],ROW()-ROW(PaymentSchedule[[#Headers],[BEGINNING BALANCE]])-1)),"")</f>
        <v>9803.4698729738848</v>
      </c>
      <c r="E84" s="348">
        <f>IF(PaymentSchedule[[#This Row],[PMT NO]]&lt;&gt;"",ScheduledPayment,"")</f>
        <v>9905.5893508175304</v>
      </c>
      <c r="F84" s="348">
        <f>IF(PaymentSchedule[[#This Row],[PMT NO]]&lt;&gt;"",IF(PaymentSchedule[[#This Row],[SCHEDULED PAYMENT]]+ExtraPayments&lt;PaymentSchedule[[#This Row],[BEGINNING BALANCE]],ExtraPayments,IF(PaymentSchedule[[#This Row],[BEGINNING BALANCE]]-PaymentSchedule[[#This Row],[SCHEDULED PAYMENT]]&gt;0,PaymentSchedule[[#This Row],[BEGINNING BALANCE]]-PaymentSchedule[[#This Row],[SCHEDULED PAYMENT]],0)),"")</f>
        <v>0</v>
      </c>
      <c r="G84" s="348">
        <f>IF(PaymentSchedule[[#This Row],[PMT NO]]&lt;&gt;"",IF(PaymentSchedule[[#This Row],[SCHEDULED PAYMENT]]+PaymentSchedule[[#This Row],[EXTRA PAYMENT]]&lt;=PaymentSchedule[[#This Row],[BEGINNING BALANCE]],PaymentSchedule[[#This Row],[SCHEDULED PAYMENT]]+PaymentSchedule[[#This Row],[EXTRA PAYMENT]],PaymentSchedule[[#This Row],[BEGINNING BALANCE]]),"")</f>
        <v>9803.4698729738848</v>
      </c>
      <c r="H84" s="348">
        <f>IF(PaymentSchedule[[#This Row],[PMT NO]]&lt;&gt;"",PaymentSchedule[[#This Row],[TOTAL PAYMENT]]-PaymentSchedule[[#This Row],[INTEREST]],"")</f>
        <v>9701.3503951304065</v>
      </c>
      <c r="I84" s="348">
        <f>IF(PaymentSchedule[[#This Row],[PMT NO]]&lt;&gt;"",PaymentSchedule[[#This Row],[BEGINNING BALANCE]]*(InterestRate/PaymentsPerYear),"")</f>
        <v>102.11947784347797</v>
      </c>
      <c r="J84" s="348">
        <f>IF(PaymentSchedule[[#This Row],[PMT NO]]&lt;&gt;"",IF(PaymentSchedule[[#This Row],[SCHEDULED PAYMENT]]+PaymentSchedule[[#This Row],[EXTRA PAYMENT]]&lt;=PaymentSchedule[[#This Row],[BEGINNING BALANCE]],PaymentSchedule[[#This Row],[BEGINNING BALANCE]]-PaymentSchedule[[#This Row],[PRINCIPAL]],0),"")</f>
        <v>0</v>
      </c>
      <c r="K84" s="348">
        <f>IF(PaymentSchedule[[#This Row],[PMT NO]]&lt;&gt;"",SUM(INDEX(PaymentSchedule[INTEREST],1,1):PaymentSchedule[[#This Row],[INTEREST]]),"")</f>
        <v>213202.43325886221</v>
      </c>
      <c r="L84" s="344" t="str">
        <f>IFERROR(_xlfn.XLOOKUP(PaymentSchedule[[#This Row],[PAYMENT DATE]],Dates!$C$4:$C$75,Dates!$D$4:$D$75),"Out of Scope")</f>
        <v>Out of Scope</v>
      </c>
    </row>
  </sheetData>
  <mergeCells count="11"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10:D10"/>
  </mergeCells>
  <conditionalFormatting sqref="B13:K84">
    <cfRule type="expression" dxfId="0" priority="1">
      <formula>($B13="")+(($D13=0)*($F13=0))</formula>
    </cfRule>
  </conditionalFormatting>
  <dataValidations count="24">
    <dataValidation allowBlank="1" showInputMessage="1" showErrorMessage="1" prompt="Enter Loan Amount in this cell" sqref="E4" xr:uid="{4F85184E-791E-4B7B-B226-869C94B1EC79}"/>
    <dataValidation allowBlank="1" showInputMessage="1" showErrorMessage="1" prompt="Enter interest rate to be paid annually in this cell" sqref="E5" xr:uid="{98A0570B-C7CF-4C25-B450-FD3BBEDF857A}"/>
    <dataValidation allowBlank="1" showInputMessage="1" showErrorMessage="1" prompt="Enter loan period in years in this cell" sqref="E6" xr:uid="{254B0BAC-DEB1-48A6-973A-D5203DE39C8A}"/>
    <dataValidation allowBlank="1" showInputMessage="1" showErrorMessage="1" prompt="Enter the number of payments to be made in a year in this cell" sqref="E7" xr:uid="{2B6C5401-2057-4682-99C2-9E74F72C57CF}"/>
    <dataValidation allowBlank="1" showInputMessage="1" showErrorMessage="1" prompt="Enter the start date of loan in this cell" sqref="E8" xr:uid="{DD04BCB3-46DE-492B-82F1-BE04FC095CD5}"/>
    <dataValidation allowBlank="1" showInputMessage="1" showErrorMessage="1" prompt="Automatically calculated total interest" sqref="I8" xr:uid="{E722904D-CD92-4060-9432-6E17A2DABF3B}"/>
    <dataValidation allowBlank="1" showInputMessage="1" showErrorMessage="1" prompt="Automatically updated scheduled payment amount" sqref="I4" xr:uid="{E0AF3FCA-4F28-495C-8BB2-17B4D3E10EEF}"/>
    <dataValidation allowBlank="1" showInputMessage="1" showErrorMessage="1" prompt="Automatically updated scheduled number of payments" sqref="I5" xr:uid="{0C60C2E1-640C-436D-BB71-CB8B877526ED}"/>
    <dataValidation allowBlank="1" showInputMessage="1" showErrorMessage="1" prompt="Automatically updated actual number of payments" sqref="I6" xr:uid="{C45CCAC3-D43E-473F-AC17-792DDD853EED}"/>
    <dataValidation allowBlank="1" showInputMessage="1" showErrorMessage="1" prompt="This workbook produces a loan amortization schedule that calculates total interest and total payments &amp; includes the option for extra payments" sqref="A2" xr:uid="{2473E56A-FD19-4E32-9DB6-D150B12D38D4}"/>
    <dataValidation allowBlank="1" showInputMessage="1" showErrorMessage="1" prompt="Enter loan values in cells E3 to E7 and E9. Description of each loan value is in column C. Payment Schedule table starting in cell B11 will automatically update" sqref="C3" xr:uid="{D3C40C20-3230-4521-94A6-CD316622215C}"/>
    <dataValidation allowBlank="1" showInputMessage="1" showErrorMessage="1" prompt="Loan Summary fields from I3 to I7 are automatically adjusted based on the values entered. Enter the Lender's name in I9" sqref="G3" xr:uid="{E873A5B8-2560-4B7E-9BCD-2D46D975F6D4}"/>
    <dataValidation allowBlank="1" showInputMessage="1" showErrorMessage="1" prompt="Worksheet title is in this cell. Enter loan values in cells E3 to E7 &amp; extra payments in cell E9, loan summary in column I &amp; Payment Schedule table will automatically update" sqref="B2" xr:uid="{9E8119C6-D50E-43D4-B05F-B237C6856EBC}"/>
    <dataValidation allowBlank="1" showInputMessage="1" showErrorMessage="1" prompt="Automatically updated total early payments" sqref="I7" xr:uid="{5C9E620F-B3C6-4F23-B0BD-970D0F5E8372}"/>
    <dataValidation allowBlank="1" showInputMessage="1" showErrorMessage="1" prompt="Payment number is automatically updated in this column" sqref="B12" xr:uid="{840A78C9-3424-4EA9-ACAA-38A9B3623822}"/>
    <dataValidation allowBlank="1" showInputMessage="1" showErrorMessage="1" prompt="Payment date is automatically updated in this column" sqref="C12" xr:uid="{45EC859D-C476-4E94-8D39-C8DEA4EE47CE}"/>
    <dataValidation allowBlank="1" showInputMessage="1" showErrorMessage="1" prompt="Beginning balance is automatically updated in this column" sqref="D12" xr:uid="{01493549-8014-47E5-9D0E-234E163486B1}"/>
    <dataValidation allowBlank="1" showInputMessage="1" showErrorMessage="1" prompt="Scheduled payment is automatically updated in this column" sqref="E12" xr:uid="{94E5BC2B-388B-448D-B038-878D664081EF}"/>
    <dataValidation allowBlank="1" showInputMessage="1" showErrorMessage="1" prompt="Extra payment is automatically updated in this column" sqref="F12" xr:uid="{5475CC90-8402-4480-ADC6-FF77E9EB9DE8}"/>
    <dataValidation allowBlank="1" showInputMessage="1" showErrorMessage="1" prompt="Total payment is automatically updated in this column" sqref="G12" xr:uid="{A6E93B84-AE1A-4E21-A715-F9509AD74C4E}"/>
    <dataValidation allowBlank="1" showInputMessage="1" showErrorMessage="1" prompt="Principal is automatically updated in this column" sqref="H12" xr:uid="{55876323-769E-4B6E-B406-75F4016D6585}"/>
    <dataValidation allowBlank="1" showInputMessage="1" showErrorMessage="1" prompt="Interest is automatically updated in this column" sqref="I12" xr:uid="{179CF86C-0420-4B17-A70E-A8053D28AE62}"/>
    <dataValidation allowBlank="1" showInputMessage="1" showErrorMessage="1" prompt="Ending balance is automatically updated in this column" sqref="J12" xr:uid="{A2A1C030-2E5C-4B0E-B8F6-E3CECD142221}"/>
    <dataValidation allowBlank="1" showInputMessage="1" showErrorMessage="1" prompt="Cumulative interest is automatically updated in this column" sqref="K12:L12" xr:uid="{F069B4F2-1624-4A1D-AFE1-BC7F56F67B06}"/>
  </dataValidations>
  <printOptions horizontalCentered="1"/>
  <pageMargins left="0.4" right="0.4" top="0.4" bottom="0.5" header="0.3" footer="0.3"/>
  <pageSetup scale="79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F874-BBE4-44CF-9224-1F62DC61E348}">
  <dimension ref="A1:L76"/>
  <sheetViews>
    <sheetView workbookViewId="0"/>
  </sheetViews>
  <sheetFormatPr defaultColWidth="0" defaultRowHeight="14.4" zeroHeight="1"/>
  <cols>
    <col min="1" max="2" width="8.88671875" customWidth="1"/>
    <col min="3" max="3" width="10.6640625" bestFit="1" customWidth="1"/>
    <col min="4" max="5" width="8.88671875" customWidth="1"/>
    <col min="6" max="6" width="9.109375" bestFit="1" customWidth="1"/>
    <col min="7" max="7" width="7.88671875" bestFit="1" customWidth="1"/>
    <col min="8" max="8" width="9.109375" bestFit="1" customWidth="1"/>
    <col min="9" max="9" width="12.77734375" bestFit="1" customWidth="1"/>
    <col min="10" max="10" width="8.88671875" customWidth="1"/>
    <col min="11" max="11" width="12.77734375" bestFit="1" customWidth="1"/>
    <col min="12" max="12" width="8.88671875" customWidth="1"/>
    <col min="13" max="16384" width="8.88671875" hidden="1"/>
  </cols>
  <sheetData>
    <row r="1" spans="2:11"/>
    <row r="2" spans="2:11" ht="15" thickBot="1">
      <c r="B2" s="477"/>
      <c r="C2" s="477"/>
      <c r="D2" s="477"/>
      <c r="E2" s="263"/>
      <c r="F2" s="477" t="s">
        <v>358</v>
      </c>
      <c r="G2" s="477"/>
      <c r="H2" s="477"/>
      <c r="I2" s="477"/>
      <c r="J2" s="263"/>
      <c r="K2" s="263"/>
    </row>
    <row r="3" spans="2:11">
      <c r="B3" s="264" t="s">
        <v>265</v>
      </c>
      <c r="C3" s="264" t="s">
        <v>357</v>
      </c>
      <c r="D3" s="264" t="s">
        <v>359</v>
      </c>
      <c r="E3" s="263"/>
      <c r="F3" s="264" t="s">
        <v>360</v>
      </c>
      <c r="G3" s="264" t="s">
        <v>265</v>
      </c>
      <c r="H3" s="264" t="s">
        <v>361</v>
      </c>
      <c r="I3" s="264" t="s">
        <v>362</v>
      </c>
      <c r="J3" s="263"/>
      <c r="K3" s="265" t="s">
        <v>363</v>
      </c>
    </row>
    <row r="4" spans="2:11">
      <c r="B4" s="266">
        <v>1</v>
      </c>
      <c r="C4" s="274">
        <v>45658</v>
      </c>
      <c r="D4" s="267">
        <v>1</v>
      </c>
      <c r="E4" s="263"/>
      <c r="F4" s="268" t="s">
        <v>364</v>
      </c>
      <c r="G4" s="267">
        <v>1</v>
      </c>
      <c r="H4" s="267">
        <v>1</v>
      </c>
      <c r="I4" s="268" t="s">
        <v>365</v>
      </c>
      <c r="J4" s="263"/>
      <c r="K4" s="269" t="s">
        <v>366</v>
      </c>
    </row>
    <row r="5" spans="2:11">
      <c r="B5" s="268">
        <f>+B4+1</f>
        <v>2</v>
      </c>
      <c r="C5" s="274">
        <f>EDATE(C4,1)</f>
        <v>45689</v>
      </c>
      <c r="D5" s="267">
        <v>1</v>
      </c>
      <c r="E5" s="263"/>
      <c r="F5" s="268" t="s">
        <v>367</v>
      </c>
      <c r="G5" s="267">
        <v>2</v>
      </c>
      <c r="H5" s="267">
        <v>1</v>
      </c>
      <c r="I5" s="268" t="s">
        <v>368</v>
      </c>
      <c r="J5" s="263"/>
      <c r="K5" s="270" t="s">
        <v>155</v>
      </c>
    </row>
    <row r="6" spans="2:11">
      <c r="B6" s="268">
        <f t="shared" ref="B6:B69" si="0">+B5+1</f>
        <v>3</v>
      </c>
      <c r="C6" s="274">
        <f t="shared" ref="C6:C69" si="1">EDATE(C5,1)</f>
        <v>45717</v>
      </c>
      <c r="D6" s="267">
        <v>1</v>
      </c>
      <c r="E6" s="263"/>
      <c r="F6" s="268" t="s">
        <v>369</v>
      </c>
      <c r="G6" s="267">
        <v>3</v>
      </c>
      <c r="H6" s="267">
        <v>1</v>
      </c>
      <c r="I6" s="268" t="s">
        <v>370</v>
      </c>
      <c r="J6" s="263"/>
      <c r="K6" s="271" t="s">
        <v>156</v>
      </c>
    </row>
    <row r="7" spans="2:11">
      <c r="B7" s="268">
        <f t="shared" si="0"/>
        <v>4</v>
      </c>
      <c r="C7" s="274">
        <f t="shared" si="1"/>
        <v>45748</v>
      </c>
      <c r="D7" s="267">
        <v>1</v>
      </c>
      <c r="E7" s="263"/>
      <c r="F7" s="268" t="s">
        <v>371</v>
      </c>
      <c r="G7" s="267">
        <v>4</v>
      </c>
      <c r="H7" s="267">
        <v>2</v>
      </c>
      <c r="I7" s="268" t="s">
        <v>372</v>
      </c>
      <c r="J7" s="263"/>
      <c r="K7" s="272" t="s">
        <v>159</v>
      </c>
    </row>
    <row r="8" spans="2:11">
      <c r="B8" s="268">
        <f t="shared" si="0"/>
        <v>5</v>
      </c>
      <c r="C8" s="274">
        <f t="shared" si="1"/>
        <v>45778</v>
      </c>
      <c r="D8" s="267">
        <v>1</v>
      </c>
      <c r="E8" s="263"/>
      <c r="F8" s="268" t="s">
        <v>373</v>
      </c>
      <c r="G8" s="267">
        <v>5</v>
      </c>
      <c r="H8" s="267">
        <v>2</v>
      </c>
      <c r="I8" s="268" t="s">
        <v>373</v>
      </c>
      <c r="J8" s="263"/>
      <c r="K8" s="263"/>
    </row>
    <row r="9" spans="2:11">
      <c r="B9" s="268">
        <f t="shared" si="0"/>
        <v>6</v>
      </c>
      <c r="C9" s="274">
        <f t="shared" si="1"/>
        <v>45809</v>
      </c>
      <c r="D9" s="267">
        <v>1</v>
      </c>
      <c r="E9" s="263"/>
      <c r="F9" s="268" t="s">
        <v>374</v>
      </c>
      <c r="G9" s="267">
        <v>6</v>
      </c>
      <c r="H9" s="267">
        <v>2</v>
      </c>
      <c r="I9" s="268" t="s">
        <v>375</v>
      </c>
      <c r="J9" s="263"/>
      <c r="K9" s="263"/>
    </row>
    <row r="10" spans="2:11">
      <c r="B10" s="268">
        <f t="shared" si="0"/>
        <v>7</v>
      </c>
      <c r="C10" s="274">
        <f t="shared" si="1"/>
        <v>45839</v>
      </c>
      <c r="D10" s="267">
        <v>1</v>
      </c>
      <c r="E10" s="263"/>
      <c r="F10" s="268" t="s">
        <v>376</v>
      </c>
      <c r="G10" s="267">
        <v>7</v>
      </c>
      <c r="H10" s="267">
        <v>3</v>
      </c>
      <c r="I10" s="268" t="s">
        <v>377</v>
      </c>
      <c r="J10" s="263"/>
      <c r="K10" s="263"/>
    </row>
    <row r="11" spans="2:11">
      <c r="B11" s="273">
        <f t="shared" si="0"/>
        <v>8</v>
      </c>
      <c r="C11" s="274">
        <f t="shared" si="1"/>
        <v>45870</v>
      </c>
      <c r="D11" s="267">
        <v>1</v>
      </c>
      <c r="E11" s="263"/>
      <c r="F11" s="268" t="s">
        <v>378</v>
      </c>
      <c r="G11" s="267">
        <v>8</v>
      </c>
      <c r="H11" s="267">
        <v>3</v>
      </c>
      <c r="I11" s="268" t="s">
        <v>379</v>
      </c>
      <c r="J11" s="263"/>
      <c r="K11" s="263"/>
    </row>
    <row r="12" spans="2:11">
      <c r="B12" s="268">
        <f t="shared" si="0"/>
        <v>9</v>
      </c>
      <c r="C12" s="274">
        <f t="shared" si="1"/>
        <v>45901</v>
      </c>
      <c r="D12" s="267">
        <v>1</v>
      </c>
      <c r="E12" s="263"/>
      <c r="F12" s="268" t="s">
        <v>380</v>
      </c>
      <c r="G12" s="267">
        <v>9</v>
      </c>
      <c r="H12" s="267">
        <v>3</v>
      </c>
      <c r="I12" s="268" t="s">
        <v>381</v>
      </c>
      <c r="J12" s="263"/>
      <c r="K12" s="263"/>
    </row>
    <row r="13" spans="2:11">
      <c r="B13" s="268">
        <f t="shared" si="0"/>
        <v>10</v>
      </c>
      <c r="C13" s="274">
        <f t="shared" si="1"/>
        <v>45931</v>
      </c>
      <c r="D13" s="267">
        <v>1</v>
      </c>
      <c r="E13" s="263"/>
      <c r="F13" s="268" t="s">
        <v>382</v>
      </c>
      <c r="G13" s="267">
        <v>10</v>
      </c>
      <c r="H13" s="267">
        <v>4</v>
      </c>
      <c r="I13" s="268" t="s">
        <v>383</v>
      </c>
      <c r="J13" s="263"/>
      <c r="K13" s="263"/>
    </row>
    <row r="14" spans="2:11">
      <c r="B14" s="268">
        <f t="shared" si="0"/>
        <v>11</v>
      </c>
      <c r="C14" s="274">
        <f t="shared" si="1"/>
        <v>45962</v>
      </c>
      <c r="D14" s="267">
        <v>1</v>
      </c>
      <c r="E14" s="263"/>
      <c r="F14" s="268" t="s">
        <v>384</v>
      </c>
      <c r="G14" s="267">
        <v>11</v>
      </c>
      <c r="H14" s="267">
        <v>4</v>
      </c>
      <c r="I14" s="268" t="s">
        <v>385</v>
      </c>
      <c r="J14" s="263"/>
      <c r="K14" s="263"/>
    </row>
    <row r="15" spans="2:11">
      <c r="B15" s="268">
        <f t="shared" si="0"/>
        <v>12</v>
      </c>
      <c r="C15" s="274">
        <f t="shared" si="1"/>
        <v>45992</v>
      </c>
      <c r="D15" s="267">
        <v>1</v>
      </c>
      <c r="E15" s="263"/>
      <c r="F15" s="268" t="s">
        <v>386</v>
      </c>
      <c r="G15" s="267">
        <v>12</v>
      </c>
      <c r="H15" s="267">
        <v>4</v>
      </c>
      <c r="I15" s="268" t="s">
        <v>387</v>
      </c>
      <c r="J15" s="263"/>
      <c r="K15" s="263"/>
    </row>
    <row r="16" spans="2:11">
      <c r="B16" s="268">
        <f t="shared" si="0"/>
        <v>13</v>
      </c>
      <c r="C16" s="274">
        <f t="shared" si="1"/>
        <v>46023</v>
      </c>
      <c r="D16" s="267">
        <f>+D4+1</f>
        <v>2</v>
      </c>
      <c r="E16" s="263"/>
      <c r="F16" s="263"/>
      <c r="G16" s="263"/>
      <c r="H16" s="263"/>
      <c r="I16" s="263"/>
      <c r="J16" s="263"/>
      <c r="K16" s="263"/>
    </row>
    <row r="17" spans="2:11">
      <c r="B17" s="268">
        <f t="shared" si="0"/>
        <v>14</v>
      </c>
      <c r="C17" s="274">
        <f t="shared" si="1"/>
        <v>46054</v>
      </c>
      <c r="D17" s="267">
        <f t="shared" ref="D17:D75" si="2">+D5+1</f>
        <v>2</v>
      </c>
      <c r="E17" s="263"/>
      <c r="F17" s="263"/>
      <c r="G17" s="263"/>
      <c r="H17" s="263"/>
      <c r="I17" s="263"/>
      <c r="J17" s="263"/>
      <c r="K17" s="263"/>
    </row>
    <row r="18" spans="2:11">
      <c r="B18" s="268">
        <f t="shared" si="0"/>
        <v>15</v>
      </c>
      <c r="C18" s="274">
        <f t="shared" si="1"/>
        <v>46082</v>
      </c>
      <c r="D18" s="267">
        <f t="shared" si="2"/>
        <v>2</v>
      </c>
      <c r="E18" s="263"/>
      <c r="F18" s="263"/>
      <c r="G18" s="263"/>
      <c r="H18" s="263"/>
      <c r="I18" s="263"/>
      <c r="J18" s="263"/>
      <c r="K18" s="263"/>
    </row>
    <row r="19" spans="2:11">
      <c r="B19" s="268">
        <f t="shared" si="0"/>
        <v>16</v>
      </c>
      <c r="C19" s="274">
        <f t="shared" si="1"/>
        <v>46113</v>
      </c>
      <c r="D19" s="267">
        <f t="shared" si="2"/>
        <v>2</v>
      </c>
      <c r="E19" s="263"/>
      <c r="F19" s="263"/>
      <c r="G19" s="263"/>
      <c r="H19" s="263"/>
      <c r="I19" s="263"/>
      <c r="J19" s="263"/>
      <c r="K19" s="263"/>
    </row>
    <row r="20" spans="2:11">
      <c r="B20" s="268">
        <f t="shared" si="0"/>
        <v>17</v>
      </c>
      <c r="C20" s="274">
        <f t="shared" si="1"/>
        <v>46143</v>
      </c>
      <c r="D20" s="267">
        <f t="shared" si="2"/>
        <v>2</v>
      </c>
      <c r="E20" s="263"/>
      <c r="F20" s="263"/>
      <c r="G20" s="263"/>
      <c r="H20" s="263"/>
      <c r="I20" s="263"/>
      <c r="J20" s="263"/>
      <c r="K20" s="263"/>
    </row>
    <row r="21" spans="2:11">
      <c r="B21" s="268">
        <f t="shared" si="0"/>
        <v>18</v>
      </c>
      <c r="C21" s="274">
        <f t="shared" si="1"/>
        <v>46174</v>
      </c>
      <c r="D21" s="267">
        <f t="shared" si="2"/>
        <v>2</v>
      </c>
      <c r="E21" s="263"/>
      <c r="F21" s="263"/>
      <c r="G21" s="263"/>
      <c r="H21" s="263"/>
      <c r="I21" s="263"/>
      <c r="J21" s="263"/>
      <c r="K21" s="263"/>
    </row>
    <row r="22" spans="2:11">
      <c r="B22" s="268">
        <f t="shared" si="0"/>
        <v>19</v>
      </c>
      <c r="C22" s="274">
        <f t="shared" si="1"/>
        <v>46204</v>
      </c>
      <c r="D22" s="267">
        <f t="shared" si="2"/>
        <v>2</v>
      </c>
      <c r="E22" s="263"/>
      <c r="F22" s="263"/>
      <c r="G22" s="263"/>
      <c r="H22" s="263"/>
      <c r="I22" s="263"/>
      <c r="J22" s="263"/>
      <c r="K22" s="263"/>
    </row>
    <row r="23" spans="2:11">
      <c r="B23" s="268">
        <f t="shared" si="0"/>
        <v>20</v>
      </c>
      <c r="C23" s="274">
        <f t="shared" si="1"/>
        <v>46235</v>
      </c>
      <c r="D23" s="267">
        <f t="shared" si="2"/>
        <v>2</v>
      </c>
      <c r="E23" s="263"/>
      <c r="F23" s="263"/>
      <c r="G23" s="263"/>
      <c r="H23" s="263"/>
      <c r="I23" s="263"/>
      <c r="J23" s="263"/>
      <c r="K23" s="263"/>
    </row>
    <row r="24" spans="2:11">
      <c r="B24" s="268">
        <f t="shared" si="0"/>
        <v>21</v>
      </c>
      <c r="C24" s="274">
        <f t="shared" si="1"/>
        <v>46266</v>
      </c>
      <c r="D24" s="267">
        <f t="shared" si="2"/>
        <v>2</v>
      </c>
      <c r="E24" s="263"/>
      <c r="F24" s="263"/>
      <c r="G24" s="263"/>
      <c r="H24" s="263"/>
      <c r="I24" s="263"/>
      <c r="J24" s="263"/>
      <c r="K24" s="263"/>
    </row>
    <row r="25" spans="2:11">
      <c r="B25" s="268">
        <f t="shared" si="0"/>
        <v>22</v>
      </c>
      <c r="C25" s="274">
        <f t="shared" si="1"/>
        <v>46296</v>
      </c>
      <c r="D25" s="267">
        <f t="shared" si="2"/>
        <v>2</v>
      </c>
      <c r="E25" s="263"/>
      <c r="F25" s="263"/>
      <c r="G25" s="263"/>
      <c r="H25" s="263"/>
      <c r="I25" s="263"/>
      <c r="J25" s="263"/>
      <c r="K25" s="263"/>
    </row>
    <row r="26" spans="2:11">
      <c r="B26" s="268">
        <f t="shared" si="0"/>
        <v>23</v>
      </c>
      <c r="C26" s="274">
        <f t="shared" si="1"/>
        <v>46327</v>
      </c>
      <c r="D26" s="267">
        <f t="shared" si="2"/>
        <v>2</v>
      </c>
      <c r="E26" s="263"/>
      <c r="F26" s="263"/>
      <c r="G26" s="263"/>
      <c r="H26" s="263"/>
      <c r="I26" s="263"/>
      <c r="J26" s="263"/>
      <c r="K26" s="263"/>
    </row>
    <row r="27" spans="2:11">
      <c r="B27" s="268">
        <f t="shared" si="0"/>
        <v>24</v>
      </c>
      <c r="C27" s="274">
        <f t="shared" si="1"/>
        <v>46357</v>
      </c>
      <c r="D27" s="267">
        <f t="shared" si="2"/>
        <v>2</v>
      </c>
      <c r="E27" s="263"/>
      <c r="F27" s="263"/>
      <c r="G27" s="263"/>
      <c r="H27" s="263"/>
      <c r="I27" s="263"/>
      <c r="J27" s="263"/>
      <c r="K27" s="263"/>
    </row>
    <row r="28" spans="2:11">
      <c r="B28" s="268">
        <f t="shared" si="0"/>
        <v>25</v>
      </c>
      <c r="C28" s="274">
        <f t="shared" si="1"/>
        <v>46388</v>
      </c>
      <c r="D28" s="267">
        <f t="shared" si="2"/>
        <v>3</v>
      </c>
      <c r="E28" s="263"/>
      <c r="F28" s="263"/>
      <c r="G28" s="263"/>
      <c r="H28" s="263"/>
      <c r="I28" s="263"/>
      <c r="J28" s="263"/>
      <c r="K28" s="263"/>
    </row>
    <row r="29" spans="2:11">
      <c r="B29" s="268">
        <f t="shared" si="0"/>
        <v>26</v>
      </c>
      <c r="C29" s="274">
        <f t="shared" si="1"/>
        <v>46419</v>
      </c>
      <c r="D29" s="267">
        <f t="shared" si="2"/>
        <v>3</v>
      </c>
      <c r="E29" s="263"/>
      <c r="F29" s="263"/>
      <c r="G29" s="263"/>
      <c r="H29" s="263"/>
      <c r="I29" s="263"/>
      <c r="J29" s="263"/>
      <c r="K29" s="263"/>
    </row>
    <row r="30" spans="2:11">
      <c r="B30" s="268">
        <f t="shared" si="0"/>
        <v>27</v>
      </c>
      <c r="C30" s="274">
        <f t="shared" si="1"/>
        <v>46447</v>
      </c>
      <c r="D30" s="267">
        <f t="shared" si="2"/>
        <v>3</v>
      </c>
      <c r="E30" s="263"/>
      <c r="F30" s="263"/>
      <c r="G30" s="263"/>
      <c r="H30" s="263"/>
      <c r="I30" s="263"/>
      <c r="J30" s="263"/>
      <c r="K30" s="263"/>
    </row>
    <row r="31" spans="2:11">
      <c r="B31" s="268">
        <f t="shared" si="0"/>
        <v>28</v>
      </c>
      <c r="C31" s="274">
        <f t="shared" si="1"/>
        <v>46478</v>
      </c>
      <c r="D31" s="267">
        <f t="shared" si="2"/>
        <v>3</v>
      </c>
      <c r="E31" s="263"/>
      <c r="F31" s="263"/>
      <c r="G31" s="263"/>
      <c r="H31" s="263"/>
      <c r="I31" s="263"/>
      <c r="J31" s="263"/>
      <c r="K31" s="263"/>
    </row>
    <row r="32" spans="2:11">
      <c r="B32" s="268">
        <f t="shared" si="0"/>
        <v>29</v>
      </c>
      <c r="C32" s="274">
        <f t="shared" si="1"/>
        <v>46508</v>
      </c>
      <c r="D32" s="267">
        <f t="shared" si="2"/>
        <v>3</v>
      </c>
      <c r="E32" s="263"/>
      <c r="F32" s="263"/>
      <c r="G32" s="263"/>
      <c r="H32" s="263"/>
      <c r="I32" s="263"/>
      <c r="J32" s="263"/>
      <c r="K32" s="263"/>
    </row>
    <row r="33" spans="2:11">
      <c r="B33" s="268">
        <f t="shared" si="0"/>
        <v>30</v>
      </c>
      <c r="C33" s="274">
        <f t="shared" si="1"/>
        <v>46539</v>
      </c>
      <c r="D33" s="267">
        <f t="shared" si="2"/>
        <v>3</v>
      </c>
      <c r="E33" s="263"/>
      <c r="F33" s="263"/>
      <c r="G33" s="263"/>
      <c r="H33" s="263"/>
      <c r="I33" s="263"/>
      <c r="J33" s="263"/>
      <c r="K33" s="263"/>
    </row>
    <row r="34" spans="2:11">
      <c r="B34" s="268">
        <f t="shared" si="0"/>
        <v>31</v>
      </c>
      <c r="C34" s="274">
        <f t="shared" si="1"/>
        <v>46569</v>
      </c>
      <c r="D34" s="267">
        <f t="shared" si="2"/>
        <v>3</v>
      </c>
      <c r="E34" s="263"/>
      <c r="F34" s="263"/>
      <c r="G34" s="263"/>
      <c r="H34" s="263"/>
      <c r="I34" s="263"/>
      <c r="J34" s="263"/>
      <c r="K34" s="263"/>
    </row>
    <row r="35" spans="2:11">
      <c r="B35" s="268">
        <f t="shared" si="0"/>
        <v>32</v>
      </c>
      <c r="C35" s="274">
        <f t="shared" si="1"/>
        <v>46600</v>
      </c>
      <c r="D35" s="267">
        <f t="shared" si="2"/>
        <v>3</v>
      </c>
      <c r="E35" s="263"/>
      <c r="F35" s="263"/>
      <c r="G35" s="263"/>
      <c r="H35" s="263"/>
      <c r="I35" s="263"/>
      <c r="J35" s="263"/>
      <c r="K35" s="263"/>
    </row>
    <row r="36" spans="2:11">
      <c r="B36" s="268">
        <f t="shared" si="0"/>
        <v>33</v>
      </c>
      <c r="C36" s="274">
        <f t="shared" si="1"/>
        <v>46631</v>
      </c>
      <c r="D36" s="267">
        <f t="shared" si="2"/>
        <v>3</v>
      </c>
      <c r="E36" s="263"/>
      <c r="F36" s="263"/>
      <c r="G36" s="263"/>
      <c r="H36" s="263"/>
      <c r="I36" s="263"/>
      <c r="J36" s="263"/>
      <c r="K36" s="263"/>
    </row>
    <row r="37" spans="2:11">
      <c r="B37" s="268">
        <f t="shared" si="0"/>
        <v>34</v>
      </c>
      <c r="C37" s="274">
        <f t="shared" si="1"/>
        <v>46661</v>
      </c>
      <c r="D37" s="267">
        <f t="shared" si="2"/>
        <v>3</v>
      </c>
      <c r="E37" s="263"/>
      <c r="F37" s="263"/>
      <c r="G37" s="263"/>
      <c r="H37" s="263"/>
      <c r="I37" s="263"/>
      <c r="J37" s="263"/>
      <c r="K37" s="263"/>
    </row>
    <row r="38" spans="2:11">
      <c r="B38" s="268">
        <f t="shared" si="0"/>
        <v>35</v>
      </c>
      <c r="C38" s="274">
        <f t="shared" si="1"/>
        <v>46692</v>
      </c>
      <c r="D38" s="267">
        <f t="shared" si="2"/>
        <v>3</v>
      </c>
      <c r="E38" s="263"/>
      <c r="F38" s="263"/>
      <c r="G38" s="263"/>
      <c r="H38" s="263"/>
      <c r="I38" s="263"/>
      <c r="J38" s="263"/>
      <c r="K38" s="263"/>
    </row>
    <row r="39" spans="2:11">
      <c r="B39" s="268">
        <f t="shared" si="0"/>
        <v>36</v>
      </c>
      <c r="C39" s="274">
        <f t="shared" si="1"/>
        <v>46722</v>
      </c>
      <c r="D39" s="267">
        <f t="shared" si="2"/>
        <v>3</v>
      </c>
      <c r="E39" s="263"/>
      <c r="F39" s="263"/>
      <c r="G39" s="263"/>
      <c r="H39" s="263"/>
      <c r="I39" s="263"/>
      <c r="J39" s="263"/>
      <c r="K39" s="263"/>
    </row>
    <row r="40" spans="2:11">
      <c r="B40" s="268">
        <f t="shared" si="0"/>
        <v>37</v>
      </c>
      <c r="C40" s="274">
        <f t="shared" si="1"/>
        <v>46753</v>
      </c>
      <c r="D40" s="267">
        <f t="shared" si="2"/>
        <v>4</v>
      </c>
      <c r="E40" s="263"/>
      <c r="F40" s="263"/>
      <c r="G40" s="263"/>
      <c r="H40" s="263"/>
      <c r="I40" s="263"/>
      <c r="J40" s="263"/>
      <c r="K40" s="263"/>
    </row>
    <row r="41" spans="2:11">
      <c r="B41" s="268">
        <f t="shared" si="0"/>
        <v>38</v>
      </c>
      <c r="C41" s="274">
        <f t="shared" si="1"/>
        <v>46784</v>
      </c>
      <c r="D41" s="267">
        <f t="shared" si="2"/>
        <v>4</v>
      </c>
      <c r="E41" s="263"/>
      <c r="F41" s="263"/>
      <c r="G41" s="263"/>
      <c r="H41" s="263"/>
      <c r="I41" s="263"/>
      <c r="J41" s="263"/>
      <c r="K41" s="263"/>
    </row>
    <row r="42" spans="2:11">
      <c r="B42" s="268">
        <f t="shared" si="0"/>
        <v>39</v>
      </c>
      <c r="C42" s="274">
        <f t="shared" si="1"/>
        <v>46813</v>
      </c>
      <c r="D42" s="267">
        <f t="shared" si="2"/>
        <v>4</v>
      </c>
      <c r="E42" s="263"/>
      <c r="F42" s="263"/>
      <c r="G42" s="263"/>
      <c r="H42" s="263"/>
      <c r="I42" s="263"/>
      <c r="J42" s="263"/>
      <c r="K42" s="263"/>
    </row>
    <row r="43" spans="2:11">
      <c r="B43" s="268">
        <f t="shared" si="0"/>
        <v>40</v>
      </c>
      <c r="C43" s="274">
        <f t="shared" si="1"/>
        <v>46844</v>
      </c>
      <c r="D43" s="267">
        <f t="shared" si="2"/>
        <v>4</v>
      </c>
      <c r="E43" s="263"/>
      <c r="F43" s="263"/>
      <c r="G43" s="263"/>
      <c r="H43" s="263"/>
      <c r="I43" s="263"/>
      <c r="J43" s="263"/>
      <c r="K43" s="263"/>
    </row>
    <row r="44" spans="2:11">
      <c r="B44" s="268">
        <f t="shared" si="0"/>
        <v>41</v>
      </c>
      <c r="C44" s="274">
        <f t="shared" si="1"/>
        <v>46874</v>
      </c>
      <c r="D44" s="267">
        <f t="shared" si="2"/>
        <v>4</v>
      </c>
      <c r="E44" s="263"/>
      <c r="F44" s="263"/>
      <c r="G44" s="263"/>
      <c r="H44" s="263"/>
      <c r="I44" s="263"/>
      <c r="J44" s="263"/>
      <c r="K44" s="263"/>
    </row>
    <row r="45" spans="2:11">
      <c r="B45" s="268">
        <f t="shared" si="0"/>
        <v>42</v>
      </c>
      <c r="C45" s="274">
        <f t="shared" si="1"/>
        <v>46905</v>
      </c>
      <c r="D45" s="267">
        <f t="shared" si="2"/>
        <v>4</v>
      </c>
      <c r="E45" s="263"/>
      <c r="F45" s="263"/>
      <c r="G45" s="263"/>
      <c r="H45" s="263"/>
      <c r="I45" s="263"/>
      <c r="J45" s="263"/>
      <c r="K45" s="263"/>
    </row>
    <row r="46" spans="2:11">
      <c r="B46" s="268">
        <f t="shared" si="0"/>
        <v>43</v>
      </c>
      <c r="C46" s="274">
        <f t="shared" si="1"/>
        <v>46935</v>
      </c>
      <c r="D46" s="267">
        <f t="shared" si="2"/>
        <v>4</v>
      </c>
      <c r="E46" s="263"/>
      <c r="F46" s="263"/>
      <c r="G46" s="263"/>
      <c r="H46" s="263"/>
      <c r="I46" s="263"/>
      <c r="J46" s="263"/>
      <c r="K46" s="263"/>
    </row>
    <row r="47" spans="2:11">
      <c r="B47" s="268">
        <f t="shared" si="0"/>
        <v>44</v>
      </c>
      <c r="C47" s="274">
        <f t="shared" si="1"/>
        <v>46966</v>
      </c>
      <c r="D47" s="267">
        <f t="shared" si="2"/>
        <v>4</v>
      </c>
      <c r="E47" s="263"/>
      <c r="F47" s="263"/>
      <c r="G47" s="263"/>
      <c r="H47" s="263"/>
      <c r="I47" s="263"/>
      <c r="J47" s="263"/>
      <c r="K47" s="263"/>
    </row>
    <row r="48" spans="2:11">
      <c r="B48" s="268">
        <f t="shared" si="0"/>
        <v>45</v>
      </c>
      <c r="C48" s="274">
        <f t="shared" si="1"/>
        <v>46997</v>
      </c>
      <c r="D48" s="267">
        <f t="shared" si="2"/>
        <v>4</v>
      </c>
      <c r="E48" s="263"/>
      <c r="F48" s="263"/>
      <c r="G48" s="263"/>
      <c r="H48" s="263"/>
      <c r="I48" s="263"/>
      <c r="J48" s="263"/>
      <c r="K48" s="263"/>
    </row>
    <row r="49" spans="2:11">
      <c r="B49" s="268">
        <f t="shared" si="0"/>
        <v>46</v>
      </c>
      <c r="C49" s="274">
        <f t="shared" si="1"/>
        <v>47027</v>
      </c>
      <c r="D49" s="267">
        <f t="shared" si="2"/>
        <v>4</v>
      </c>
      <c r="E49" s="263"/>
      <c r="F49" s="263"/>
      <c r="G49" s="263"/>
      <c r="H49" s="263"/>
      <c r="I49" s="263"/>
      <c r="J49" s="263"/>
      <c r="K49" s="263"/>
    </row>
    <row r="50" spans="2:11">
      <c r="B50" s="268">
        <f t="shared" si="0"/>
        <v>47</v>
      </c>
      <c r="C50" s="274">
        <f t="shared" si="1"/>
        <v>47058</v>
      </c>
      <c r="D50" s="267">
        <f t="shared" si="2"/>
        <v>4</v>
      </c>
      <c r="E50" s="263"/>
      <c r="F50" s="263"/>
      <c r="G50" s="263"/>
      <c r="H50" s="263"/>
      <c r="I50" s="263"/>
      <c r="J50" s="263"/>
      <c r="K50" s="263"/>
    </row>
    <row r="51" spans="2:11">
      <c r="B51" s="268">
        <f t="shared" si="0"/>
        <v>48</v>
      </c>
      <c r="C51" s="274">
        <f t="shared" si="1"/>
        <v>47088</v>
      </c>
      <c r="D51" s="267">
        <f t="shared" si="2"/>
        <v>4</v>
      </c>
      <c r="E51" s="263"/>
      <c r="F51" s="263"/>
      <c r="G51" s="263"/>
      <c r="H51" s="263"/>
      <c r="I51" s="263"/>
      <c r="J51" s="263"/>
      <c r="K51" s="263"/>
    </row>
    <row r="52" spans="2:11">
      <c r="B52" s="268">
        <f t="shared" si="0"/>
        <v>49</v>
      </c>
      <c r="C52" s="274">
        <f t="shared" si="1"/>
        <v>47119</v>
      </c>
      <c r="D52" s="267">
        <f t="shared" si="2"/>
        <v>5</v>
      </c>
      <c r="E52" s="263"/>
      <c r="F52" s="263"/>
      <c r="G52" s="263"/>
      <c r="H52" s="263"/>
      <c r="I52" s="263"/>
      <c r="J52" s="263"/>
      <c r="K52" s="263"/>
    </row>
    <row r="53" spans="2:11">
      <c r="B53" s="268">
        <f t="shared" si="0"/>
        <v>50</v>
      </c>
      <c r="C53" s="274">
        <f t="shared" si="1"/>
        <v>47150</v>
      </c>
      <c r="D53" s="267">
        <f t="shared" si="2"/>
        <v>5</v>
      </c>
      <c r="E53" s="263"/>
      <c r="F53" s="263"/>
      <c r="G53" s="263"/>
      <c r="H53" s="263"/>
      <c r="I53" s="263"/>
      <c r="J53" s="263"/>
      <c r="K53" s="263"/>
    </row>
    <row r="54" spans="2:11">
      <c r="B54" s="268">
        <f t="shared" si="0"/>
        <v>51</v>
      </c>
      <c r="C54" s="274">
        <f t="shared" si="1"/>
        <v>47178</v>
      </c>
      <c r="D54" s="267">
        <f t="shared" si="2"/>
        <v>5</v>
      </c>
      <c r="E54" s="263"/>
      <c r="F54" s="263"/>
      <c r="G54" s="263"/>
      <c r="H54" s="263"/>
      <c r="I54" s="263"/>
      <c r="J54" s="263"/>
      <c r="K54" s="263"/>
    </row>
    <row r="55" spans="2:11">
      <c r="B55" s="268">
        <f t="shared" si="0"/>
        <v>52</v>
      </c>
      <c r="C55" s="274">
        <f t="shared" si="1"/>
        <v>47209</v>
      </c>
      <c r="D55" s="267">
        <f t="shared" si="2"/>
        <v>5</v>
      </c>
      <c r="E55" s="263"/>
      <c r="F55" s="263"/>
      <c r="G55" s="263"/>
      <c r="H55" s="263"/>
      <c r="I55" s="263"/>
      <c r="J55" s="263"/>
      <c r="K55" s="263"/>
    </row>
    <row r="56" spans="2:11">
      <c r="B56" s="268">
        <f t="shared" si="0"/>
        <v>53</v>
      </c>
      <c r="C56" s="274">
        <f t="shared" si="1"/>
        <v>47239</v>
      </c>
      <c r="D56" s="267">
        <f t="shared" si="2"/>
        <v>5</v>
      </c>
      <c r="E56" s="263"/>
      <c r="F56" s="263"/>
      <c r="G56" s="263"/>
      <c r="H56" s="263"/>
      <c r="I56" s="263"/>
      <c r="J56" s="263"/>
      <c r="K56" s="263"/>
    </row>
    <row r="57" spans="2:11">
      <c r="B57" s="268">
        <f t="shared" si="0"/>
        <v>54</v>
      </c>
      <c r="C57" s="274">
        <f t="shared" si="1"/>
        <v>47270</v>
      </c>
      <c r="D57" s="267">
        <f t="shared" si="2"/>
        <v>5</v>
      </c>
      <c r="E57" s="263"/>
      <c r="F57" s="263"/>
      <c r="G57" s="263"/>
      <c r="H57" s="263"/>
      <c r="I57" s="263"/>
      <c r="J57" s="263"/>
      <c r="K57" s="263"/>
    </row>
    <row r="58" spans="2:11">
      <c r="B58" s="268">
        <f t="shared" si="0"/>
        <v>55</v>
      </c>
      <c r="C58" s="274">
        <f t="shared" si="1"/>
        <v>47300</v>
      </c>
      <c r="D58" s="267">
        <f t="shared" si="2"/>
        <v>5</v>
      </c>
      <c r="E58" s="263"/>
      <c r="F58" s="263"/>
      <c r="G58" s="263"/>
      <c r="H58" s="263"/>
      <c r="I58" s="263"/>
      <c r="J58" s="263"/>
      <c r="K58" s="263"/>
    </row>
    <row r="59" spans="2:11">
      <c r="B59" s="268">
        <f t="shared" si="0"/>
        <v>56</v>
      </c>
      <c r="C59" s="274">
        <f t="shared" si="1"/>
        <v>47331</v>
      </c>
      <c r="D59" s="267">
        <f t="shared" si="2"/>
        <v>5</v>
      </c>
      <c r="E59" s="263"/>
      <c r="F59" s="263"/>
      <c r="G59" s="263"/>
      <c r="H59" s="263"/>
      <c r="I59" s="263"/>
      <c r="J59" s="263"/>
      <c r="K59" s="263"/>
    </row>
    <row r="60" spans="2:11">
      <c r="B60" s="268">
        <f t="shared" si="0"/>
        <v>57</v>
      </c>
      <c r="C60" s="274">
        <f t="shared" si="1"/>
        <v>47362</v>
      </c>
      <c r="D60" s="267">
        <f t="shared" si="2"/>
        <v>5</v>
      </c>
      <c r="E60" s="263"/>
      <c r="F60" s="263"/>
      <c r="G60" s="263"/>
      <c r="H60" s="263"/>
      <c r="I60" s="263"/>
      <c r="J60" s="263"/>
      <c r="K60" s="263"/>
    </row>
    <row r="61" spans="2:11">
      <c r="B61" s="268">
        <f t="shared" si="0"/>
        <v>58</v>
      </c>
      <c r="C61" s="274">
        <f t="shared" si="1"/>
        <v>47392</v>
      </c>
      <c r="D61" s="267">
        <f t="shared" si="2"/>
        <v>5</v>
      </c>
      <c r="E61" s="263"/>
      <c r="F61" s="263"/>
      <c r="G61" s="263"/>
      <c r="H61" s="263"/>
      <c r="I61" s="263"/>
      <c r="J61" s="263"/>
      <c r="K61" s="263"/>
    </row>
    <row r="62" spans="2:11">
      <c r="B62" s="268">
        <f t="shared" si="0"/>
        <v>59</v>
      </c>
      <c r="C62" s="274">
        <f t="shared" si="1"/>
        <v>47423</v>
      </c>
      <c r="D62" s="267">
        <f t="shared" si="2"/>
        <v>5</v>
      </c>
      <c r="E62" s="263"/>
      <c r="F62" s="263"/>
      <c r="G62" s="263"/>
      <c r="H62" s="263"/>
      <c r="I62" s="263"/>
      <c r="J62" s="263"/>
      <c r="K62" s="263"/>
    </row>
    <row r="63" spans="2:11">
      <c r="B63" s="268">
        <f t="shared" si="0"/>
        <v>60</v>
      </c>
      <c r="C63" s="274">
        <f t="shared" si="1"/>
        <v>47453</v>
      </c>
      <c r="D63" s="267">
        <f t="shared" si="2"/>
        <v>5</v>
      </c>
      <c r="E63" s="263"/>
      <c r="F63" s="263"/>
      <c r="G63" s="263"/>
      <c r="H63" s="263"/>
      <c r="I63" s="263"/>
      <c r="J63" s="263"/>
      <c r="K63" s="263"/>
    </row>
    <row r="64" spans="2:11">
      <c r="B64" s="268">
        <f t="shared" si="0"/>
        <v>61</v>
      </c>
      <c r="C64" s="274">
        <f t="shared" si="1"/>
        <v>47484</v>
      </c>
      <c r="D64" s="267">
        <f t="shared" si="2"/>
        <v>6</v>
      </c>
      <c r="E64" s="263"/>
      <c r="F64" s="263"/>
      <c r="G64" s="263"/>
      <c r="H64" s="263"/>
      <c r="I64" s="263"/>
      <c r="J64" s="263"/>
      <c r="K64" s="263"/>
    </row>
    <row r="65" spans="2:11">
      <c r="B65" s="268">
        <f t="shared" si="0"/>
        <v>62</v>
      </c>
      <c r="C65" s="274">
        <f t="shared" si="1"/>
        <v>47515</v>
      </c>
      <c r="D65" s="267">
        <f t="shared" si="2"/>
        <v>6</v>
      </c>
      <c r="E65" s="263"/>
      <c r="F65" s="263"/>
      <c r="G65" s="263"/>
      <c r="H65" s="263"/>
      <c r="I65" s="263"/>
      <c r="J65" s="263"/>
      <c r="K65" s="263"/>
    </row>
    <row r="66" spans="2:11">
      <c r="B66" s="268">
        <f t="shared" si="0"/>
        <v>63</v>
      </c>
      <c r="C66" s="274">
        <f t="shared" si="1"/>
        <v>47543</v>
      </c>
      <c r="D66" s="267">
        <f t="shared" si="2"/>
        <v>6</v>
      </c>
      <c r="E66" s="263"/>
      <c r="F66" s="263"/>
      <c r="G66" s="263"/>
      <c r="H66" s="263"/>
      <c r="I66" s="263"/>
      <c r="J66" s="263"/>
      <c r="K66" s="263"/>
    </row>
    <row r="67" spans="2:11">
      <c r="B67" s="268">
        <f t="shared" si="0"/>
        <v>64</v>
      </c>
      <c r="C67" s="274">
        <f t="shared" si="1"/>
        <v>47574</v>
      </c>
      <c r="D67" s="267">
        <f t="shared" si="2"/>
        <v>6</v>
      </c>
      <c r="E67" s="263"/>
      <c r="F67" s="263"/>
      <c r="G67" s="263"/>
      <c r="H67" s="263"/>
      <c r="I67" s="263"/>
      <c r="J67" s="263"/>
      <c r="K67" s="263"/>
    </row>
    <row r="68" spans="2:11">
      <c r="B68" s="268">
        <f t="shared" si="0"/>
        <v>65</v>
      </c>
      <c r="C68" s="274">
        <f t="shared" si="1"/>
        <v>47604</v>
      </c>
      <c r="D68" s="267">
        <f t="shared" si="2"/>
        <v>6</v>
      </c>
      <c r="E68" s="263"/>
      <c r="F68" s="263"/>
      <c r="G68" s="263"/>
      <c r="H68" s="263"/>
      <c r="I68" s="263"/>
      <c r="J68" s="263"/>
      <c r="K68" s="263"/>
    </row>
    <row r="69" spans="2:11">
      <c r="B69" s="268">
        <f t="shared" si="0"/>
        <v>66</v>
      </c>
      <c r="C69" s="274">
        <f t="shared" si="1"/>
        <v>47635</v>
      </c>
      <c r="D69" s="267">
        <f t="shared" si="2"/>
        <v>6</v>
      </c>
      <c r="E69" s="263"/>
      <c r="F69" s="263"/>
      <c r="G69" s="263"/>
      <c r="H69" s="263"/>
      <c r="I69" s="263"/>
      <c r="J69" s="263"/>
      <c r="K69" s="263"/>
    </row>
    <row r="70" spans="2:11">
      <c r="B70" s="268">
        <f t="shared" ref="B70:B75" si="3">+B69+1</f>
        <v>67</v>
      </c>
      <c r="C70" s="274">
        <f t="shared" ref="C70:C74" si="4">EDATE(C69,1)</f>
        <v>47665</v>
      </c>
      <c r="D70" s="267">
        <f t="shared" si="2"/>
        <v>6</v>
      </c>
      <c r="E70" s="263"/>
      <c r="F70" s="263"/>
      <c r="G70" s="263"/>
      <c r="H70" s="263"/>
      <c r="I70" s="263"/>
      <c r="J70" s="263"/>
      <c r="K70" s="263"/>
    </row>
    <row r="71" spans="2:11">
      <c r="B71" s="268">
        <f t="shared" si="3"/>
        <v>68</v>
      </c>
      <c r="C71" s="274">
        <f t="shared" si="4"/>
        <v>47696</v>
      </c>
      <c r="D71" s="267">
        <f t="shared" si="2"/>
        <v>6</v>
      </c>
      <c r="E71" s="263"/>
      <c r="F71" s="263"/>
      <c r="G71" s="263"/>
      <c r="H71" s="263"/>
      <c r="I71" s="263"/>
      <c r="J71" s="263"/>
      <c r="K71" s="263"/>
    </row>
    <row r="72" spans="2:11">
      <c r="B72" s="268">
        <f t="shared" si="3"/>
        <v>69</v>
      </c>
      <c r="C72" s="274">
        <f t="shared" si="4"/>
        <v>47727</v>
      </c>
      <c r="D72" s="267">
        <f t="shared" si="2"/>
        <v>6</v>
      </c>
      <c r="E72" s="263"/>
      <c r="F72" s="263"/>
      <c r="G72" s="263"/>
      <c r="H72" s="263"/>
      <c r="I72" s="263"/>
      <c r="J72" s="263"/>
      <c r="K72" s="263"/>
    </row>
    <row r="73" spans="2:11">
      <c r="B73" s="268">
        <f t="shared" si="3"/>
        <v>70</v>
      </c>
      <c r="C73" s="274">
        <f t="shared" si="4"/>
        <v>47757</v>
      </c>
      <c r="D73" s="267">
        <f t="shared" si="2"/>
        <v>6</v>
      </c>
      <c r="E73" s="263"/>
      <c r="F73" s="263"/>
      <c r="G73" s="263"/>
      <c r="H73" s="263"/>
      <c r="I73" s="263"/>
      <c r="J73" s="263"/>
      <c r="K73" s="263"/>
    </row>
    <row r="74" spans="2:11">
      <c r="B74" s="268">
        <f t="shared" si="3"/>
        <v>71</v>
      </c>
      <c r="C74" s="274">
        <f t="shared" si="4"/>
        <v>47788</v>
      </c>
      <c r="D74" s="267">
        <f t="shared" si="2"/>
        <v>6</v>
      </c>
      <c r="E74" s="263"/>
      <c r="F74" s="263"/>
      <c r="G74" s="263"/>
      <c r="H74" s="263"/>
      <c r="I74" s="263"/>
      <c r="J74" s="263"/>
      <c r="K74" s="263"/>
    </row>
    <row r="75" spans="2:11">
      <c r="B75" s="268">
        <f t="shared" si="3"/>
        <v>72</v>
      </c>
      <c r="C75" s="274">
        <f>EDATE(C74,1)</f>
        <v>47818</v>
      </c>
      <c r="D75" s="267">
        <f t="shared" si="2"/>
        <v>6</v>
      </c>
      <c r="E75" s="263"/>
      <c r="F75" s="263"/>
      <c r="G75" s="263"/>
      <c r="H75" s="263"/>
      <c r="I75" s="263"/>
      <c r="J75" s="263"/>
      <c r="K75" s="263"/>
    </row>
    <row r="76" spans="2:11"/>
  </sheetData>
  <mergeCells count="2">
    <mergeCell ref="B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34</vt:i4>
      </vt:variant>
    </vt:vector>
  </HeadingPairs>
  <TitlesOfParts>
    <vt:vector size="46" baseType="lpstr">
      <vt:lpstr>Notes</vt:lpstr>
      <vt:lpstr>Cover</vt:lpstr>
      <vt:lpstr>Dashboard</vt:lpstr>
      <vt:lpstr>Assumptions</vt:lpstr>
      <vt:lpstr>Revenue Assumptions</vt:lpstr>
      <vt:lpstr>Model</vt:lpstr>
      <vt:lpstr>Monthly Financials</vt:lpstr>
      <vt:lpstr>Financial Reports</vt:lpstr>
      <vt:lpstr>DCF Valuation</vt:lpstr>
      <vt:lpstr>Cap Table</vt:lpstr>
      <vt:lpstr>Bank Loan</vt:lpstr>
      <vt:lpstr>Dates</vt:lpstr>
      <vt:lpstr>ads_rate</vt:lpstr>
      <vt:lpstr>BOTH</vt:lpstr>
      <vt:lpstr>ColumnTitle1</vt:lpstr>
      <vt:lpstr>CPC</vt:lpstr>
      <vt:lpstr>CPM</vt:lpstr>
      <vt:lpstr>ExtraPayments</vt:lpstr>
      <vt:lpstr>InterestRate</vt:lpstr>
      <vt:lpstr>LenderName</vt:lpstr>
      <vt:lpstr>LoanAmount</vt:lpstr>
      <vt:lpstr>LoanPeriod</vt:lpstr>
      <vt:lpstr>LoanStartDate</vt:lpstr>
      <vt:lpstr>Assumptions!mln</vt:lpstr>
      <vt:lpstr>Assumptions!model_period</vt:lpstr>
      <vt:lpstr>Assumptions!mon_yr</vt:lpstr>
      <vt:lpstr>Months_Per_Year</vt:lpstr>
      <vt:lpstr>months_quarter</vt:lpstr>
      <vt:lpstr>Assumptions!One</vt:lpstr>
      <vt:lpstr>Assumptions!opr_date</vt:lpstr>
      <vt:lpstr>Opr_flag</vt:lpstr>
      <vt:lpstr>Assumptions!paid_services</vt:lpstr>
      <vt:lpstr>PaymentsPerYear</vt:lpstr>
      <vt:lpstr>Cover!Print_Area</vt:lpstr>
      <vt:lpstr>'Financial Reports'!Print_Area</vt:lpstr>
      <vt:lpstr>'Bank Loan'!Print_Titles</vt:lpstr>
      <vt:lpstr>RowTitleRegion1..E9</vt:lpstr>
      <vt:lpstr>RowTitleRegion2..I7</vt:lpstr>
      <vt:lpstr>RowTitleRegion3..E9</vt:lpstr>
      <vt:lpstr>RowTitleRegion4..H9</vt:lpstr>
      <vt:lpstr>ScheduledNumberOfPayments</vt:lpstr>
      <vt:lpstr>ScheduledPayment</vt:lpstr>
      <vt:lpstr>Select</vt:lpstr>
      <vt:lpstr>Selected</vt:lpstr>
      <vt:lpstr>switch</vt:lpstr>
      <vt:lpstr>Toggle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Abdulazeez Hussein</dc:creator>
  <cp:keywords/>
  <dc:description/>
  <cp:lastModifiedBy>is@etapinsure.com</cp:lastModifiedBy>
  <cp:revision/>
  <dcterms:created xsi:type="dcterms:W3CDTF">2022-02-07T06:50:28Z</dcterms:created>
  <dcterms:modified xsi:type="dcterms:W3CDTF">2025-07-06T15:43:52Z</dcterms:modified>
  <cp:category/>
  <cp:contentStatus/>
</cp:coreProperties>
</file>