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 activeTab="3"/>
  </bookViews>
  <sheets>
    <sheet name="已投部分年化收益率" sheetId="1" r:id="rId1"/>
    <sheet name="ETF计划成本计算" sheetId="5" r:id="rId2"/>
    <sheet name="资产配置表" sheetId="4" r:id="rId3"/>
    <sheet name="压力测试" sheetId="7" r:id="rId4"/>
    <sheet name="组合权益类行业占比" sheetId="8" r:id="rId5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7" l="1"/>
  <c r="I5" i="7"/>
  <c r="I3" i="7"/>
  <c r="I4" i="7"/>
  <c r="J4" i="7"/>
  <c r="K4" i="7"/>
  <c r="K5" i="7"/>
  <c r="J3" i="7"/>
  <c r="K3" i="7"/>
  <c r="O16" i="7"/>
  <c r="A59" i="7"/>
  <c r="A55" i="7"/>
  <c r="A51" i="7"/>
  <c r="A47" i="7"/>
  <c r="O13" i="7"/>
  <c r="O15" i="7"/>
  <c r="O14" i="7"/>
  <c r="H3" i="8"/>
  <c r="H4" i="8"/>
  <c r="H5" i="8"/>
  <c r="H6" i="8"/>
  <c r="H7" i="8"/>
  <c r="H8" i="8"/>
  <c r="H9" i="8"/>
  <c r="H10" i="8"/>
  <c r="H11" i="8"/>
  <c r="H2" i="8"/>
  <c r="G5" i="8"/>
  <c r="G6" i="8"/>
  <c r="G7" i="8"/>
  <c r="G8" i="8"/>
  <c r="G9" i="8"/>
  <c r="G10" i="8"/>
  <c r="G11" i="8"/>
  <c r="G3" i="8"/>
  <c r="G4" i="8"/>
  <c r="G2" i="8"/>
  <c r="B26" i="8"/>
  <c r="B25" i="8"/>
  <c r="B24" i="8"/>
  <c r="B23" i="8"/>
  <c r="B22" i="8"/>
  <c r="B21" i="8"/>
  <c r="B19" i="8"/>
  <c r="B18" i="8"/>
  <c r="B17" i="8"/>
  <c r="B16" i="8"/>
  <c r="B2" i="8"/>
  <c r="B3" i="8"/>
  <c r="B4" i="8"/>
  <c r="B5" i="8"/>
  <c r="B6" i="8"/>
  <c r="B7" i="8"/>
  <c r="B8" i="8"/>
  <c r="B9" i="8"/>
  <c r="B10" i="8"/>
  <c r="B11" i="8"/>
  <c r="B12" i="8"/>
  <c r="F11" i="8"/>
  <c r="F10" i="8"/>
  <c r="F9" i="8"/>
  <c r="F8" i="8"/>
  <c r="F7" i="8"/>
  <c r="F6" i="8"/>
  <c r="F5" i="8"/>
  <c r="F4" i="8"/>
  <c r="F3" i="8"/>
  <c r="F2" i="8"/>
  <c r="C3" i="4"/>
  <c r="C4" i="4"/>
  <c r="C5" i="4"/>
  <c r="C6" i="4"/>
  <c r="C7" i="4"/>
  <c r="C8" i="4"/>
  <c r="C9" i="4"/>
  <c r="C10" i="4"/>
  <c r="C11" i="4"/>
  <c r="C12" i="4"/>
  <c r="C13" i="4"/>
  <c r="C14" i="4"/>
  <c r="B4" i="7"/>
  <c r="P2" i="7"/>
  <c r="E4" i="7"/>
  <c r="O2" i="7"/>
  <c r="A3" i="7"/>
  <c r="B8" i="7"/>
  <c r="P3" i="7"/>
  <c r="E8" i="7"/>
  <c r="O3" i="7"/>
  <c r="A7" i="7"/>
  <c r="B12" i="7"/>
  <c r="P4" i="7"/>
  <c r="E12" i="7"/>
  <c r="O4" i="7"/>
  <c r="A11" i="7"/>
  <c r="B16" i="7"/>
  <c r="P5" i="7"/>
  <c r="E16" i="7"/>
  <c r="O5" i="7"/>
  <c r="A15" i="7"/>
  <c r="B20" i="7"/>
  <c r="P6" i="7"/>
  <c r="E20" i="7"/>
  <c r="O6" i="7"/>
  <c r="A19" i="7"/>
  <c r="B24" i="7"/>
  <c r="P7" i="7"/>
  <c r="E24" i="7"/>
  <c r="O7" i="7"/>
  <c r="A23" i="7"/>
  <c r="B28" i="7"/>
  <c r="P8" i="7"/>
  <c r="E28" i="7"/>
  <c r="O8" i="7"/>
  <c r="A27" i="7"/>
  <c r="B32" i="7"/>
  <c r="P9" i="7"/>
  <c r="E32" i="7"/>
  <c r="O9" i="7"/>
  <c r="A31" i="7"/>
  <c r="B36" i="7"/>
  <c r="P10" i="7"/>
  <c r="E36" i="7"/>
  <c r="O10" i="7"/>
  <c r="A35" i="7"/>
  <c r="B40" i="7"/>
  <c r="P11" i="7"/>
  <c r="E40" i="7"/>
  <c r="O11" i="7"/>
  <c r="A39" i="7"/>
  <c r="B44" i="7"/>
  <c r="P12" i="7"/>
  <c r="E44" i="7"/>
  <c r="O12" i="7"/>
  <c r="A43" i="7"/>
  <c r="D4" i="7"/>
  <c r="D8" i="7"/>
  <c r="D12" i="7"/>
  <c r="D16" i="7"/>
  <c r="D20" i="7"/>
  <c r="D24" i="7"/>
  <c r="D28" i="7"/>
  <c r="D32" i="7"/>
  <c r="D36" i="7"/>
  <c r="D40" i="7"/>
  <c r="D44" i="7"/>
  <c r="C4" i="7"/>
  <c r="C8" i="7"/>
  <c r="C12" i="7"/>
  <c r="C16" i="7"/>
  <c r="C20" i="7"/>
  <c r="C24" i="7"/>
  <c r="C28" i="7"/>
  <c r="C32" i="7"/>
  <c r="C36" i="7"/>
  <c r="C40" i="7"/>
  <c r="C44" i="7"/>
  <c r="B3" i="7"/>
  <c r="E3" i="7"/>
  <c r="B7" i="7"/>
  <c r="E7" i="7"/>
  <c r="B11" i="7"/>
  <c r="E11" i="7"/>
  <c r="B15" i="7"/>
  <c r="E15" i="7"/>
  <c r="B19" i="7"/>
  <c r="E19" i="7"/>
  <c r="B23" i="7"/>
  <c r="E23" i="7"/>
  <c r="B27" i="7"/>
  <c r="E27" i="7"/>
  <c r="B31" i="7"/>
  <c r="E31" i="7"/>
  <c r="B35" i="7"/>
  <c r="E35" i="7"/>
  <c r="B39" i="7"/>
  <c r="E39" i="7"/>
  <c r="B43" i="7"/>
  <c r="E43" i="7"/>
  <c r="D3" i="7"/>
  <c r="D7" i="7"/>
  <c r="D11" i="7"/>
  <c r="D15" i="7"/>
  <c r="D19" i="7"/>
  <c r="D23" i="7"/>
  <c r="D27" i="7"/>
  <c r="D31" i="7"/>
  <c r="D35" i="7"/>
  <c r="D39" i="7"/>
  <c r="D43" i="7"/>
  <c r="C3" i="7"/>
  <c r="C7" i="7"/>
  <c r="C11" i="7"/>
  <c r="C15" i="7"/>
  <c r="C19" i="7"/>
  <c r="C23" i="7"/>
  <c r="C27" i="7"/>
  <c r="C31" i="7"/>
  <c r="C35" i="7"/>
  <c r="C39" i="7"/>
  <c r="C43" i="7"/>
  <c r="B2" i="7"/>
  <c r="D2" i="7"/>
  <c r="B6" i="7"/>
  <c r="D6" i="7"/>
  <c r="B10" i="7"/>
  <c r="D10" i="7"/>
  <c r="B14" i="7"/>
  <c r="D14" i="7"/>
  <c r="B18" i="7"/>
  <c r="D18" i="7"/>
  <c r="B22" i="7"/>
  <c r="D22" i="7"/>
  <c r="B26" i="7"/>
  <c r="D26" i="7"/>
  <c r="B30" i="7"/>
  <c r="D30" i="7"/>
  <c r="B34" i="7"/>
  <c r="D34" i="7"/>
  <c r="B38" i="7"/>
  <c r="D38" i="7"/>
  <c r="B42" i="7"/>
  <c r="D42" i="7"/>
  <c r="E2" i="7"/>
  <c r="E6" i="7"/>
  <c r="E10" i="7"/>
  <c r="E14" i="7"/>
  <c r="E18" i="7"/>
  <c r="E22" i="7"/>
  <c r="E26" i="7"/>
  <c r="E30" i="7"/>
  <c r="E34" i="7"/>
  <c r="E38" i="7"/>
  <c r="E42" i="7"/>
  <c r="C2" i="7"/>
  <c r="C6" i="7"/>
  <c r="C10" i="7"/>
  <c r="C14" i="7"/>
  <c r="C18" i="7"/>
  <c r="C22" i="7"/>
  <c r="C26" i="7"/>
  <c r="C30" i="7"/>
  <c r="C34" i="7"/>
  <c r="C38" i="7"/>
  <c r="C42" i="7"/>
  <c r="J38" i="4"/>
  <c r="H38" i="4"/>
  <c r="G38" i="4"/>
  <c r="J32" i="4"/>
  <c r="H32" i="4"/>
  <c r="G32" i="4"/>
  <c r="I37" i="4"/>
  <c r="D61" i="5"/>
  <c r="D63" i="5"/>
  <c r="H37" i="4"/>
  <c r="J37" i="4"/>
  <c r="G37" i="4"/>
  <c r="X34" i="1"/>
  <c r="W34" i="1"/>
  <c r="V34" i="1"/>
  <c r="I86" i="1"/>
  <c r="K86" i="1"/>
  <c r="T34" i="1"/>
  <c r="H86" i="1"/>
  <c r="J86" i="1"/>
  <c r="I55" i="1"/>
  <c r="K55" i="1"/>
  <c r="H55" i="1"/>
  <c r="J55" i="1"/>
  <c r="H45" i="1"/>
  <c r="I45" i="1"/>
  <c r="T14" i="1"/>
  <c r="H60" i="1"/>
  <c r="D6" i="4"/>
  <c r="D5" i="4"/>
  <c r="D15" i="4"/>
  <c r="D8" i="4"/>
  <c r="D26" i="4"/>
  <c r="V18" i="1"/>
  <c r="I87" i="1"/>
  <c r="K87" i="1"/>
  <c r="T18" i="1"/>
  <c r="H87" i="1"/>
  <c r="J87" i="1"/>
  <c r="V21" i="1"/>
  <c r="I85" i="1"/>
  <c r="K85" i="1"/>
  <c r="T21" i="1"/>
  <c r="H85" i="1"/>
  <c r="J85" i="1"/>
  <c r="K84" i="1"/>
  <c r="J84" i="1"/>
  <c r="T31" i="1"/>
  <c r="H83" i="1"/>
  <c r="J83" i="1"/>
  <c r="V31" i="1"/>
  <c r="I83" i="1"/>
  <c r="K83" i="1"/>
  <c r="Q4" i="1"/>
  <c r="S4" i="1"/>
  <c r="Q5" i="1"/>
  <c r="S5" i="1"/>
  <c r="Q6" i="1"/>
  <c r="S6" i="1"/>
  <c r="U2" i="1"/>
  <c r="Q7" i="1"/>
  <c r="S46" i="1"/>
  <c r="T47" i="1"/>
  <c r="S47" i="1"/>
  <c r="T48" i="1"/>
  <c r="S48" i="1"/>
  <c r="T49" i="1"/>
  <c r="S49" i="1"/>
  <c r="T50" i="1"/>
  <c r="S50" i="1"/>
  <c r="T51" i="1"/>
  <c r="S51" i="1"/>
  <c r="T52" i="1"/>
  <c r="S52" i="1"/>
  <c r="T53" i="1"/>
  <c r="S53" i="1"/>
  <c r="T54" i="1"/>
  <c r="W57" i="1"/>
  <c r="R7" i="1"/>
  <c r="S7" i="1"/>
  <c r="S2" i="1"/>
  <c r="D11" i="4"/>
  <c r="D4" i="4"/>
  <c r="E23" i="5"/>
  <c r="R6" i="1"/>
  <c r="Y13" i="1"/>
  <c r="Y14" i="1"/>
  <c r="Y15" i="1"/>
  <c r="Y16" i="1"/>
  <c r="Y17" i="1"/>
  <c r="Y18" i="1"/>
  <c r="Y19" i="1"/>
  <c r="Y21" i="1"/>
  <c r="Y22" i="1"/>
  <c r="Y23" i="1"/>
  <c r="Y25" i="1"/>
  <c r="Y34" i="1"/>
  <c r="Y35" i="1"/>
  <c r="Y37" i="1"/>
  <c r="Y38" i="1"/>
  <c r="Y39" i="1"/>
  <c r="Y40" i="1"/>
  <c r="Y41" i="1"/>
  <c r="Y42" i="1"/>
  <c r="C26" i="4"/>
  <c r="C1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V20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V24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V22" i="1"/>
  <c r="I40" i="1"/>
  <c r="K40" i="1"/>
  <c r="I42" i="1"/>
  <c r="K42" i="1"/>
  <c r="K43" i="1"/>
  <c r="I44" i="1"/>
  <c r="K44" i="1"/>
  <c r="K45" i="1"/>
  <c r="I46" i="1"/>
  <c r="K46" i="1"/>
  <c r="V15" i="1"/>
  <c r="I47" i="1"/>
  <c r="K47" i="1"/>
  <c r="I48" i="1"/>
  <c r="K48" i="1"/>
  <c r="I49" i="1"/>
  <c r="K49" i="1"/>
  <c r="K50" i="1"/>
  <c r="I51" i="1"/>
  <c r="K51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T23" i="1"/>
  <c r="H35" i="1"/>
  <c r="T24" i="1"/>
  <c r="H21" i="1"/>
  <c r="H27" i="1"/>
  <c r="H34" i="1"/>
  <c r="H5" i="1"/>
  <c r="T19" i="1"/>
  <c r="T16" i="1"/>
  <c r="T13" i="1"/>
  <c r="T25" i="1"/>
  <c r="T17" i="1"/>
  <c r="T22" i="1"/>
  <c r="T15" i="1"/>
  <c r="T20" i="1"/>
  <c r="H3" i="1"/>
  <c r="H82" i="1"/>
  <c r="J82" i="1"/>
  <c r="H81" i="1"/>
  <c r="J81" i="1"/>
  <c r="H80" i="1"/>
  <c r="J80" i="1"/>
  <c r="H79" i="1"/>
  <c r="J79" i="1"/>
  <c r="H78" i="1"/>
  <c r="J78" i="1"/>
  <c r="H77" i="1"/>
  <c r="J77" i="1"/>
  <c r="H76" i="1"/>
  <c r="J76" i="1"/>
  <c r="H75" i="1"/>
  <c r="J75" i="1"/>
  <c r="H74" i="1"/>
  <c r="J74" i="1"/>
  <c r="H73" i="1"/>
  <c r="J73" i="1"/>
  <c r="J72" i="1"/>
  <c r="H71" i="1"/>
  <c r="J71" i="1"/>
  <c r="J70" i="1"/>
  <c r="H69" i="1"/>
  <c r="J69" i="1"/>
  <c r="H68" i="1"/>
  <c r="J68" i="1"/>
  <c r="H67" i="1"/>
  <c r="J67" i="1"/>
  <c r="H66" i="1"/>
  <c r="J66" i="1"/>
  <c r="H65" i="1"/>
  <c r="J65" i="1"/>
  <c r="H64" i="1"/>
  <c r="J64" i="1"/>
  <c r="J63" i="1"/>
  <c r="H62" i="1"/>
  <c r="J62" i="1"/>
  <c r="J61" i="1"/>
  <c r="J60" i="1"/>
  <c r="J59" i="1"/>
  <c r="H58" i="1"/>
  <c r="J58" i="1"/>
  <c r="H57" i="1"/>
  <c r="J57" i="1"/>
  <c r="H56" i="1"/>
  <c r="J56" i="1"/>
  <c r="H54" i="1"/>
  <c r="J54" i="1"/>
  <c r="H53" i="1"/>
  <c r="J53" i="1"/>
  <c r="H52" i="1"/>
  <c r="J52" i="1"/>
  <c r="H51" i="1"/>
  <c r="J51" i="1"/>
  <c r="J50" i="1"/>
  <c r="H49" i="1"/>
  <c r="J49" i="1"/>
  <c r="H48" i="1"/>
  <c r="J48" i="1"/>
  <c r="H47" i="1"/>
  <c r="J47" i="1"/>
  <c r="H46" i="1"/>
  <c r="J46" i="1"/>
  <c r="J45" i="1"/>
  <c r="H44" i="1"/>
  <c r="J44" i="1"/>
  <c r="J43" i="1"/>
  <c r="H42" i="1"/>
  <c r="J42" i="1"/>
  <c r="H41" i="1"/>
  <c r="J41" i="1"/>
  <c r="H40" i="1"/>
  <c r="J40" i="1"/>
  <c r="J39" i="1"/>
  <c r="H38" i="1"/>
  <c r="J38" i="1"/>
  <c r="H37" i="1"/>
  <c r="J37" i="1"/>
  <c r="J36" i="1"/>
  <c r="J35" i="1"/>
  <c r="J34" i="1"/>
  <c r="J33" i="1"/>
  <c r="H32" i="1"/>
  <c r="J32" i="1"/>
  <c r="H31" i="1"/>
  <c r="J31" i="1"/>
  <c r="H30" i="1"/>
  <c r="J30" i="1"/>
  <c r="H29" i="1"/>
  <c r="J29" i="1"/>
  <c r="H28" i="1"/>
  <c r="J28" i="1"/>
  <c r="J27" i="1"/>
  <c r="H26" i="1"/>
  <c r="J26" i="1"/>
  <c r="H25" i="1"/>
  <c r="J25" i="1"/>
  <c r="H24" i="1"/>
  <c r="J24" i="1"/>
  <c r="H23" i="1"/>
  <c r="J23" i="1"/>
  <c r="H22" i="1"/>
  <c r="J22" i="1"/>
  <c r="J21" i="1"/>
  <c r="H20" i="1"/>
  <c r="J20" i="1"/>
  <c r="J19" i="1"/>
  <c r="H18" i="1"/>
  <c r="J18" i="1"/>
  <c r="J17" i="1"/>
  <c r="H16" i="1"/>
  <c r="J16" i="1"/>
  <c r="H15" i="1"/>
  <c r="J15" i="1"/>
  <c r="H14" i="1"/>
  <c r="J14" i="1"/>
  <c r="H13" i="1"/>
  <c r="J13" i="1"/>
  <c r="H12" i="1"/>
  <c r="J12" i="1"/>
  <c r="H11" i="1"/>
  <c r="J11" i="1"/>
  <c r="H10" i="1"/>
  <c r="J10" i="1"/>
  <c r="J9" i="1"/>
  <c r="H8" i="1"/>
  <c r="J8" i="1"/>
  <c r="H7" i="1"/>
  <c r="J7" i="1"/>
  <c r="J6" i="1"/>
  <c r="J5" i="1"/>
  <c r="H4" i="1"/>
  <c r="J4" i="1"/>
  <c r="J3" i="1"/>
  <c r="J2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91" i="1"/>
  <c r="J90" i="1"/>
  <c r="J88" i="1"/>
  <c r="J97" i="1"/>
  <c r="J95" i="1"/>
  <c r="J98" i="1"/>
  <c r="J100" i="1"/>
  <c r="J101" i="1"/>
  <c r="M102" i="1"/>
  <c r="J102" i="1"/>
  <c r="J103" i="1"/>
  <c r="J104" i="1"/>
  <c r="J105" i="1"/>
  <c r="M106" i="1"/>
  <c r="J106" i="1"/>
  <c r="J107" i="1"/>
  <c r="J108" i="1"/>
  <c r="W25" i="1"/>
  <c r="H36" i="4"/>
  <c r="J36" i="4"/>
  <c r="W23" i="1"/>
  <c r="H35" i="4"/>
  <c r="J35" i="4"/>
  <c r="W21" i="1"/>
  <c r="H34" i="4"/>
  <c r="J34" i="4"/>
  <c r="W19" i="1"/>
  <c r="H33" i="4"/>
  <c r="J33" i="4"/>
  <c r="W16" i="1"/>
  <c r="H30" i="4"/>
  <c r="J30" i="4"/>
  <c r="W17" i="1"/>
  <c r="H31" i="4"/>
  <c r="J31" i="4"/>
  <c r="W15" i="1"/>
  <c r="H29" i="4"/>
  <c r="J29" i="4"/>
  <c r="W13" i="1"/>
  <c r="H28" i="4"/>
  <c r="J28" i="4"/>
  <c r="W6" i="1"/>
  <c r="D21" i="4"/>
  <c r="D22" i="4"/>
  <c r="T33" i="1"/>
  <c r="D56" i="5"/>
  <c r="T26" i="1"/>
  <c r="D23" i="5"/>
  <c r="W24" i="1"/>
  <c r="W20" i="1"/>
  <c r="D23" i="4"/>
  <c r="D25" i="4"/>
  <c r="H5" i="4"/>
  <c r="S54" i="1"/>
  <c r="R47" i="1"/>
  <c r="R48" i="1"/>
  <c r="R49" i="1"/>
  <c r="R50" i="1"/>
  <c r="R51" i="1"/>
  <c r="R52" i="1"/>
  <c r="R53" i="1"/>
  <c r="R54" i="1"/>
  <c r="G30" i="4"/>
  <c r="G29" i="4"/>
  <c r="G28" i="4"/>
  <c r="E4" i="4"/>
  <c r="E8" i="4"/>
  <c r="D9" i="4"/>
  <c r="E9" i="4"/>
  <c r="D12" i="4"/>
  <c r="E12" i="4"/>
  <c r="C22" i="4"/>
  <c r="E22" i="4"/>
  <c r="D3" i="4"/>
  <c r="E3" i="4"/>
  <c r="W14" i="1"/>
  <c r="W18" i="1"/>
  <c r="W22" i="1"/>
  <c r="C20" i="4"/>
  <c r="C15" i="4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G36" i="4"/>
  <c r="G35" i="4"/>
  <c r="G34" i="4"/>
  <c r="G33" i="4"/>
  <c r="G31" i="4"/>
  <c r="D13" i="4"/>
  <c r="D19" i="4"/>
  <c r="D16" i="4"/>
  <c r="T36" i="1"/>
  <c r="D43" i="5"/>
  <c r="T7" i="1"/>
  <c r="T4" i="1"/>
  <c r="N74" i="1"/>
  <c r="D45" i="5"/>
  <c r="D25" i="5"/>
  <c r="D17" i="4"/>
  <c r="D18" i="4"/>
  <c r="H3" i="4"/>
  <c r="H4" i="4"/>
  <c r="T6" i="1"/>
  <c r="T5" i="1"/>
  <c r="D14" i="4"/>
  <c r="D10" i="4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</commentList>
</comments>
</file>

<file path=xl/comments2.xml><?xml version="1.0" encoding="utf-8"?>
<comments xmlns="http://schemas.openxmlformats.org/spreadsheetml/2006/main">
  <authors>
    <author>lishuyun</author>
  </authors>
  <commentLis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0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sharedStrings.xml><?xml version="1.0" encoding="utf-8"?>
<sst xmlns="http://schemas.openxmlformats.org/spreadsheetml/2006/main" count="682" uniqueCount="287">
  <si>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</si>
  <si>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</si>
  <si>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</si>
  <si>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</si>
  <si>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</si>
  <si>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</si>
  <si>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</si>
  <si>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</si>
  <si>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</si>
  <si>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</si>
  <si>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</si>
  <si>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</si>
  <si>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</si>
  <si>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</si>
  <si>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</si>
  <si>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</si>
  <si>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</si>
  <si>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</si>
  <si>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</si>
  <si>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</si>
  <si>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</si>
  <si>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</si>
  <si>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</si>
  <si>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</si>
  <si>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</si>
  <si>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</si>
  <si>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</si>
  <si>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</si>
  <si>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</si>
  <si>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</si>
  <si>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</si>
  <si>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</si>
  <si>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</si>
  <si>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</si>
  <si>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</si>
  <si>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</si>
  <si>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</si>
  <si>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</si>
  <si>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</si>
  <si>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</si>
  <si>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</si>
  <si>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</si>
  <si>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</si>
  <si>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</si>
  <si>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</si>
  <si>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</si>
  <si>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</si>
  <si>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</si>
  <si>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</si>
  <si>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</si>
  <si>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</si>
  <si>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</si>
  <si>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</si>
  <si>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</si>
  <si>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</si>
  <si>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</si>
  <si>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</si>
  <si>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</si>
  <si>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</si>
  <si>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</si>
  <si>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</si>
  <si>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</si>
  <si>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</si>
  <si>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</si>
  <si>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</si>
  <si>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</si>
  <si>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</si>
  <si>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</si>
  <si>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</si>
  <si>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</si>
  <si>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</si>
  <si>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</si>
  <si>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</si>
  <si>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</si>
  <si>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</si>
  <si>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</si>
  <si>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</si>
  <si>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</si>
  <si>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</si>
  <si>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</si>
  <si>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</si>
  <si>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</si>
  <si>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</si>
  <si>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</si>
  <si>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</si>
  <si>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</si>
  <si>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</si>
  <si>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</si>
  <si>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</si>
  <si>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</si>
  <si>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</si>
  <si>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</si>
  <si>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</si>
  <si>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</si>
  <si>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</si>
  <si>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</si>
  <si>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</si>
  <si>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</si>
  <si>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</si>
  <si>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</si>
  <si>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</si>
  <si>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</si>
  <si>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</si>
  <si>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</si>
  <si>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</si>
  <si>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</si>
  <si>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</si>
  <si>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</si>
  <si>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</si>
  <si>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</si>
  <si>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</si>
  <si>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</si>
  <si>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</si>
  <si>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</si>
  <si>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</si>
  <si>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</si>
  <si>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</si>
  <si>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</si>
  <si>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</si>
  <si>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</si>
  <si>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</si>
  <si>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</si>
  <si>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</si>
  <si>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</si>
  <si>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</si>
  <si>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</si>
  <si>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</si>
  <si>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</si>
  <si>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</si>
  <si>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</si>
  <si>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</si>
  <si>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</si>
  <si>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</si>
  <si>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</si>
  <si>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</si>
  <si>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</si>
  <si>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</si>
  <si>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</si>
  <si>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</si>
  <si>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</si>
  <si>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</si>
  <si>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</si>
  <si>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</si>
  <si>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</si>
  <si>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</si>
  <si>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</si>
  <si>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</si>
  <si>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</si>
  <si>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</si>
  <si>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</si>
  <si>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</si>
  <si>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</si>
  <si>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</si>
  <si>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</si>
  <si>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</si>
  <si>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</si>
  <si>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</si>
  <si>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</si>
  <si>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</si>
  <si>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</si>
  <si>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</si>
  <si>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</si>
  <si>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</si>
  <si>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本月投入</t>
    <rPh sb="0" eb="1">
      <t>ben'qi</t>
    </rPh>
    <rPh sb="1" eb="2">
      <t>yue</t>
    </rPh>
    <rPh sb="2" eb="3">
      <t>tou'r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</si>
  <si>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</si>
  <si>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</si>
  <si>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</si>
  <si>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</si>
  <si>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</si>
  <si>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</si>
  <si>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</si>
  <si>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</si>
  <si>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</si>
  <si>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</si>
  <si>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</si>
  <si>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</si>
  <si>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</si>
  <si>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</si>
  <si>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</si>
  <si>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</si>
  <si>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</si>
  <si>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</si>
  <si>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</si>
  <si>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</si>
  <si>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</si>
  <si>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</si>
  <si>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</si>
  <si>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</si>
  <si>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</si>
  <si>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</si>
  <si>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</si>
  <si>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</si>
  <si>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</si>
  <si>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</si>
  <si>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</si>
  <si>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</si>
  <si>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</si>
  <si>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</si>
  <si>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</si>
  <si>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</si>
  <si>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</si>
  <si>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</si>
  <si>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生活资金</t>
    <rPh sb="0" eb="1">
      <t>sheng'huo'zi'j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</si>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</sst>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00B050"/>
      <name val="DengXian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1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0.31886923749999979</c:v>
                </c:pt>
                <c:pt idx="1">
                  <c:v>0.65868450000000023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5.8900000000000001E-2</c:v>
                </c:pt>
                <c:pt idx="1">
                  <c:v>3.9856999999999997E-2</c:v>
                </c:pt>
                <c:pt idx="2">
                  <c:v>0.2110085125</c:v>
                </c:pt>
                <c:pt idx="3">
                  <c:v>4.9623162499999998E-2</c:v>
                </c:pt>
                <c:pt idx="4">
                  <c:v>1.6085612499999999E-2</c:v>
                </c:pt>
                <c:pt idx="5">
                  <c:v>4.5076224999999998E-2</c:v>
                </c:pt>
                <c:pt idx="6">
                  <c:v>5.6750000000000002E-2</c:v>
                </c:pt>
                <c:pt idx="7">
                  <c:v>5.2069037499999998E-2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10.981644135782176</c:v>
                </c:pt>
                <c:pt idx="1">
                  <c:v>11.53132941400186</c:v>
                </c:pt>
                <c:pt idx="2">
                  <c:v>22.598910086325166</c:v>
                </c:pt>
                <c:pt idx="3">
                  <c:v>27.921186306144762</c:v>
                </c:pt>
                <c:pt idx="4">
                  <c:v>37.256205640613935</c:v>
                </c:pt>
                <c:pt idx="5">
                  <c:v>29.393669147742237</c:v>
                </c:pt>
                <c:pt idx="6">
                  <c:v>24.609610138201177</c:v>
                </c:pt>
                <c:pt idx="7">
                  <c:v>26.204178663494215</c:v>
                </c:pt>
                <c:pt idx="8">
                  <c:v>29.659616752836897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0.30149999999999999</c:v>
                </c:pt>
                <c:pt idx="1">
                  <c:v>0.68510000000000004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1.116349237625E-2</c:v>
                </c:pt>
                <c:pt idx="1">
                  <c:v>5.1465485451250001E-2</c:v>
                </c:pt>
                <c:pt idx="2">
                  <c:v>0.10897653997500001</c:v>
                </c:pt>
                <c:pt idx="3">
                  <c:v>7.4646740697499991E-2</c:v>
                </c:pt>
                <c:pt idx="4">
                  <c:v>2.9326333250000003E-2</c:v>
                </c:pt>
                <c:pt idx="5">
                  <c:v>0.10393863190000001</c:v>
                </c:pt>
                <c:pt idx="6">
                  <c:v>0.12823629258500002</c:v>
                </c:pt>
                <c:pt idx="7">
                  <c:v>6.7841609450000007E-2</c:v>
                </c:pt>
                <c:pt idx="8">
                  <c:v>5.7222621062499989E-3</c:v>
                </c:pt>
                <c:pt idx="9">
                  <c:v>2.5068244012500001E-2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858E-3"/>
                  <c:y val="5.71142484111348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8"/>
              <c:layout>
                <c:manualLayout>
                  <c:x val="-6.9832263614107062E-2"/>
                  <c:y val="-7.95036208459169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1.10349E-2</c:v>
                </c:pt>
                <c:pt idx="1">
                  <c:v>3.6937099999999994E-2</c:v>
                </c:pt>
                <c:pt idx="2">
                  <c:v>9.2937040000000012E-2</c:v>
                </c:pt>
                <c:pt idx="3">
                  <c:v>6.3623869999999999E-2</c:v>
                </c:pt>
                <c:pt idx="4">
                  <c:v>2.9561070000000002E-2</c:v>
                </c:pt>
                <c:pt idx="5">
                  <c:v>9.516144E-2</c:v>
                </c:pt>
                <c:pt idx="6">
                  <c:v>0.17037698000000004</c:v>
                </c:pt>
                <c:pt idx="7">
                  <c:v>4.7396469999999996E-2</c:v>
                </c:pt>
                <c:pt idx="8">
                  <c:v>3.6019199999999998E-3</c:v>
                </c:pt>
                <c:pt idx="9">
                  <c:v>2.560204E-2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6"/>
  <sheetViews>
    <sheetView zoomScale="90" zoomScaleNormal="90" workbookViewId="0"/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5" bestFit="1" customWidth="1"/>
    <col min="19" max="23" width="11.5" customWidth="1"/>
    <col min="25" max="25" width="11" bestFit="1" customWidth="1"/>
  </cols>
  <sheetData>
    <row r="1" spans="1:26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211</v>
      </c>
      <c r="I1" s="74" t="s">
        <v>212</v>
      </c>
      <c r="J1" s="2" t="s">
        <v>209</v>
      </c>
      <c r="K1" s="74" t="s">
        <v>210</v>
      </c>
      <c r="L1" s="2" t="s">
        <v>9</v>
      </c>
      <c r="M1" s="2" t="s">
        <v>30</v>
      </c>
      <c r="N1" s="2" t="s">
        <v>29</v>
      </c>
      <c r="O1" s="2"/>
    </row>
    <row r="2" spans="1:26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214</v>
      </c>
      <c r="S2" s="18">
        <f>(SUM(S4:S7) - SUM(Q4:Q7))/$Q$2</f>
        <v>-3.7458644473958268E-2</v>
      </c>
      <c r="T2" s="18" t="s">
        <v>215</v>
      </c>
      <c r="U2" s="18">
        <f>(SUM(S4:S6) - SUM(Q4:Q6))/SUM(Q4:Q6)</f>
        <v>-7.7536299450486068E-2</v>
      </c>
    </row>
    <row r="3" spans="1:26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29.131582016066336</v>
      </c>
      <c r="I3" s="21">
        <f>$F3*$V$20</f>
        <v>3.5642394402694997</v>
      </c>
      <c r="J3" s="21">
        <f t="shared" ref="J3:J66" si="0">H3*(-$M3)</f>
        <v>215573.70691889088</v>
      </c>
      <c r="K3" s="21">
        <f t="shared" ref="K3:K66" si="1">I3*(-$M3)</f>
        <v>26375.371857994298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6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10.435368261199695</v>
      </c>
      <c r="I4" s="21">
        <f>F4*$V$13</f>
        <v>1.229916476841306</v>
      </c>
      <c r="J4" s="21">
        <f t="shared" si="0"/>
        <v>41324.05831435079</v>
      </c>
      <c r="K4" s="21">
        <f t="shared" si="1"/>
        <v>4870.4692482915716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187035.11000000002</v>
      </c>
      <c r="R4" s="52">
        <v>608.11</v>
      </c>
      <c r="S4" s="69">
        <f>Q4+R4</f>
        <v>187643.22</v>
      </c>
      <c r="T4" s="26">
        <f>S4/Q4-1</f>
        <v>3.2513146863173414E-3</v>
      </c>
    </row>
    <row r="5" spans="1:26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24.037512345001645</v>
      </c>
      <c r="I5" s="21">
        <f>E5*$V$21</f>
        <v>3.0533852737847029</v>
      </c>
      <c r="J5" s="21">
        <f t="shared" si="0"/>
        <v>95188.54888620651</v>
      </c>
      <c r="K5" s="21">
        <f t="shared" si="1"/>
        <v>12091.405684187424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-2916.26</v>
      </c>
      <c r="S5" s="69">
        <f>Q5+R5</f>
        <v>9083.74</v>
      </c>
      <c r="T5" s="26">
        <f>S5/Q5-1</f>
        <v>-0.24302166666666669</v>
      </c>
      <c r="W5" t="s">
        <v>202</v>
      </c>
    </row>
    <row r="6" spans="1:26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356510.49</v>
      </c>
      <c r="R6" s="52">
        <f>-40766.8</f>
        <v>-40766.800000000003</v>
      </c>
      <c r="S6" s="69">
        <f>Q6+R6</f>
        <v>315743.69</v>
      </c>
      <c r="T6" s="26">
        <f>S6/Q6-1</f>
        <v>-0.1143495104449801</v>
      </c>
      <c r="W6" s="72">
        <f>296653.78-Q7+19200</f>
        <v>71399.38</v>
      </c>
    </row>
    <row r="7" spans="1:26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30.391527597823266</v>
      </c>
      <c r="I7" s="21">
        <f>F7*$V$20</f>
        <v>3.7183933661570356</v>
      </c>
      <c r="J7" s="21">
        <f t="shared" si="0"/>
        <v>120350.44928738014</v>
      </c>
      <c r="K7" s="21">
        <f t="shared" si="1"/>
        <v>14724.83772998186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244454.40000000002</v>
      </c>
      <c r="R7" s="11">
        <f>W57</f>
        <v>13108.034420833335</v>
      </c>
      <c r="S7" s="11">
        <f>Q7+R7</f>
        <v>257562.43442083336</v>
      </c>
      <c r="T7" s="26">
        <f>S7/Q7-1</f>
        <v>5.3621593314881366E-2</v>
      </c>
    </row>
    <row r="8" spans="1:26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24.994503456600459</v>
      </c>
      <c r="I8" s="21">
        <f>E8*$V$21</f>
        <v>3.1749478766597168</v>
      </c>
      <c r="J8" s="21">
        <f t="shared" si="0"/>
        <v>98978.233688137814</v>
      </c>
      <c r="K8" s="21">
        <f t="shared" si="1"/>
        <v>12572.793591572479</v>
      </c>
      <c r="L8" s="7" t="s">
        <v>10</v>
      </c>
      <c r="M8" s="4">
        <v>-3960</v>
      </c>
      <c r="N8" s="4">
        <v>4.75</v>
      </c>
      <c r="O8" s="4"/>
    </row>
    <row r="9" spans="1:26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6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24.884274113903214</v>
      </c>
      <c r="I10" s="21">
        <f>E10*$V$21</f>
        <v>3.1609459014594532</v>
      </c>
      <c r="J10" s="21">
        <f t="shared" si="0"/>
        <v>98541.725491056728</v>
      </c>
      <c r="K10" s="21">
        <f t="shared" si="1"/>
        <v>12517.345769779435</v>
      </c>
      <c r="L10" s="7" t="s">
        <v>10</v>
      </c>
      <c r="M10" s="4">
        <v>-3960</v>
      </c>
      <c r="N10" s="4">
        <v>4.75</v>
      </c>
      <c r="O10" s="4"/>
    </row>
    <row r="11" spans="1:26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29.770836346107497</v>
      </c>
      <c r="I11" s="21">
        <f>F11*$V$19</f>
        <v>3.6424519964650122</v>
      </c>
      <c r="J11" s="21">
        <f t="shared" si="0"/>
        <v>118892.8120318149</v>
      </c>
      <c r="K11" s="21">
        <f t="shared" si="1"/>
        <v>14546.496293082671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6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25.097718467498925</v>
      </c>
      <c r="I12" s="21">
        <f>F12*$V$16</f>
        <v>2.2689351543850038</v>
      </c>
      <c r="J12" s="21">
        <f t="shared" si="0"/>
        <v>97569.388359879464</v>
      </c>
      <c r="K12" s="21">
        <f t="shared" si="1"/>
        <v>8820.6669274840533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167</v>
      </c>
      <c r="R12" s="2" t="s">
        <v>61</v>
      </c>
      <c r="S12" s="25" t="s">
        <v>205</v>
      </c>
      <c r="T12" s="2" t="s">
        <v>206</v>
      </c>
      <c r="U12" s="74" t="s">
        <v>207</v>
      </c>
      <c r="V12" s="74" t="s">
        <v>208</v>
      </c>
      <c r="W12" s="2" t="s">
        <v>203</v>
      </c>
      <c r="X12" s="74" t="s">
        <v>204</v>
      </c>
      <c r="Y12" s="2" t="s">
        <v>64</v>
      </c>
      <c r="Z12" s="2"/>
    </row>
    <row r="13" spans="1:26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29.793950349481804</v>
      </c>
      <c r="I13" s="21">
        <f>F13*$V$19</f>
        <v>3.6452799871454968</v>
      </c>
      <c r="J13" s="21">
        <f t="shared" si="0"/>
        <v>119077.48136177393</v>
      </c>
      <c r="K13" s="21">
        <f t="shared" si="1"/>
        <v>14569.090524624407</v>
      </c>
      <c r="L13" s="5" t="s">
        <v>24</v>
      </c>
      <c r="M13" s="4">
        <v>-3996.7</v>
      </c>
      <c r="N13" s="4">
        <v>0.79999999999972715</v>
      </c>
      <c r="O13" s="4"/>
      <c r="P13" s="25" t="s">
        <v>176</v>
      </c>
      <c r="Q13" s="63">
        <v>100032</v>
      </c>
      <c r="R13" s="64">
        <v>2.6339999999999999</v>
      </c>
      <c r="S13" s="57">
        <v>11.03</v>
      </c>
      <c r="T13" s="58">
        <f t="shared" ref="T13:T25" si="2">S13/R13</f>
        <v>4.1875474563401669</v>
      </c>
      <c r="U13" s="57">
        <v>1.3</v>
      </c>
      <c r="V13" s="58">
        <f>U13/R13</f>
        <v>0.49354593773728173</v>
      </c>
      <c r="W13" s="75">
        <f>SUMIF(C:C,"=红利",J:J)/SUMIF(C:C,"=红利",M:M)*-1</f>
        <v>10.981644135782176</v>
      </c>
      <c r="X13" s="75">
        <f>SUMIF(C:C,"=红利",K:K)/SUMIF(C:C,"=红利",M:M)*-1</f>
        <v>1.2943007594303564</v>
      </c>
      <c r="Y13" s="59">
        <f>(SUMIF(C:C,"=红利",M:M)*-1)/$Q$2</f>
        <v>5.8900000000000001E-2</v>
      </c>
      <c r="Z13" s="2"/>
    </row>
    <row r="14" spans="1:26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23.547998278088681</v>
      </c>
      <c r="I14" s="21">
        <f>F14*$V$16</f>
        <v>2.1288341877666026</v>
      </c>
      <c r="J14" s="21">
        <f t="shared" si="0"/>
        <v>85874.840120533801</v>
      </c>
      <c r="K14" s="21">
        <f t="shared" si="1"/>
        <v>7763.4325159472464</v>
      </c>
      <c r="L14" s="5" t="s">
        <v>24</v>
      </c>
      <c r="M14" s="4">
        <v>-3646.8</v>
      </c>
      <c r="N14" s="4">
        <v>0</v>
      </c>
      <c r="O14" s="4"/>
      <c r="P14" s="25" t="s">
        <v>177</v>
      </c>
      <c r="Q14" s="63">
        <v>510050</v>
      </c>
      <c r="R14" s="64">
        <v>2.6619999999999999</v>
      </c>
      <c r="S14" s="57">
        <v>10.210000000000001</v>
      </c>
      <c r="T14" s="58">
        <f t="shared" si="2"/>
        <v>3.835462058602555</v>
      </c>
      <c r="U14" s="57">
        <v>1.28</v>
      </c>
      <c r="V14" s="58">
        <f t="shared" ref="V14:V34" si="3">U14/R14</f>
        <v>0.48084147257700977</v>
      </c>
      <c r="W14" s="75">
        <f>SUMIF(C:C,"=50ETF",J:J)/SUMIF(C:C,"=50ETF",M:M)*-1</f>
        <v>9.1514124718256973</v>
      </c>
      <c r="X14" s="75">
        <f>SUMIF(C:C,"=50ETF",K:K)/SUMIF(C:C,"=50ETF",M:M)*-1</f>
        <v>1.1472877535687453</v>
      </c>
      <c r="Y14" s="59">
        <f>(SUMIF(C:C,"=50ETF",M:M)*-1)/$Q$2</f>
        <v>8.0543625000000004E-3</v>
      </c>
      <c r="Z14" s="2"/>
    </row>
    <row r="15" spans="1:26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24.949409634587951</v>
      </c>
      <c r="I15" s="21">
        <f>E15*$V$21</f>
        <v>3.1692197958959727</v>
      </c>
      <c r="J15" s="21">
        <f t="shared" si="0"/>
        <v>197599.32430593658</v>
      </c>
      <c r="K15" s="21">
        <f t="shared" si="1"/>
        <v>25100.220783496105</v>
      </c>
      <c r="L15" s="7" t="s">
        <v>10</v>
      </c>
      <c r="M15" s="4">
        <v>-7920</v>
      </c>
      <c r="N15" s="4">
        <v>9.49</v>
      </c>
      <c r="O15" s="4"/>
      <c r="P15" s="25" t="s">
        <v>178</v>
      </c>
      <c r="Q15" s="63">
        <v>510300</v>
      </c>
      <c r="R15" s="64">
        <v>3.5070999999999999</v>
      </c>
      <c r="S15" s="57">
        <v>11.69</v>
      </c>
      <c r="T15" s="58">
        <f t="shared" si="2"/>
        <v>3.333238288044253</v>
      </c>
      <c r="U15" s="57">
        <v>1.46</v>
      </c>
      <c r="V15" s="58">
        <f t="shared" si="3"/>
        <v>0.41629836617148069</v>
      </c>
      <c r="W15" s="75">
        <f>SUMIF(C:C,"=300ETF",J:J)/SUMIF(C:C,"=300ETF",M:M)*-1</f>
        <v>11.53132941400186</v>
      </c>
      <c r="X15" s="75">
        <f>SUMIF(C:C,"=300ETF",K:K)/SUMIF(C:C,"=300ETF",M:M)*-1</f>
        <v>1.4401831432371872</v>
      </c>
      <c r="Y15" s="59">
        <f>(SUMIF(C:C,"=300ETF",M:M)*-1)/$Q$2</f>
        <v>3.9856999999999997E-2</v>
      </c>
      <c r="Z15" s="2"/>
    </row>
    <row r="16" spans="1:26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29.031188238129673</v>
      </c>
      <c r="I16" s="21">
        <f>F16*$V$19</f>
        <v>3.5519562946894836</v>
      </c>
      <c r="J16" s="21">
        <f t="shared" si="0"/>
        <v>113035.83452398168</v>
      </c>
      <c r="K16" s="21">
        <f t="shared" si="1"/>
        <v>13829.897029002974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5.1105999999999998</v>
      </c>
      <c r="S16" s="57">
        <v>19.8</v>
      </c>
      <c r="T16" s="58">
        <f t="shared" si="2"/>
        <v>3.8743004735256137</v>
      </c>
      <c r="U16" s="57">
        <v>1.79</v>
      </c>
      <c r="V16" s="58">
        <f t="shared" si="3"/>
        <v>0.35025241654600242</v>
      </c>
      <c r="W16" s="75">
        <f>SUMIF(C:C,"=500ETF",J:J)/SUMIF(C:C,"=500ETF",M:M)*-1</f>
        <v>22.598910086325166</v>
      </c>
      <c r="X16" s="75">
        <f>SUMIF(C:C,"=500ETF",K:K)/SUMIF(C:C,"=500ETF",M:M)*-1</f>
        <v>2.0430327805314166</v>
      </c>
      <c r="Y16" s="59">
        <f>(SUMIF(C:C,"=500ETF",M:M)*-1)/$Q$2</f>
        <v>0.2110085125</v>
      </c>
      <c r="Z16" s="2"/>
    </row>
    <row r="17" spans="1:26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0.59740000000000004</v>
      </c>
      <c r="S17" s="57">
        <v>22.73</v>
      </c>
      <c r="T17" s="58">
        <f t="shared" si="2"/>
        <v>38.048208905256111</v>
      </c>
      <c r="U17" s="57">
        <v>2.04</v>
      </c>
      <c r="V17" s="58">
        <f t="shared" si="3"/>
        <v>3.4147974556411111</v>
      </c>
      <c r="W17" s="75">
        <f>SUMIF(C:C,"=1000ETF",J:J)/SUMIF(C:C,"=1000ETF",M:M)*-1</f>
        <v>27.921186306144762</v>
      </c>
      <c r="X17" s="75">
        <f>SUMIF(C:C,"=1000ETF",K:K)/SUMIF(C:C,"=1000ETF",M:M)*-1</f>
        <v>2.5059049742426445</v>
      </c>
      <c r="Y17" s="59">
        <f>(SUMIF(C:C,"=1000ETF",M:M)*-1)/$Q$2</f>
        <v>4.9623162499999998E-2</v>
      </c>
      <c r="Z17" s="2"/>
    </row>
    <row r="18" spans="1:26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10.632182991647685</v>
      </c>
      <c r="I18" s="21">
        <f>F18*$V$13</f>
        <v>1.2531131359149583</v>
      </c>
      <c r="J18" s="21">
        <f t="shared" si="0"/>
        <v>42103.444646924836</v>
      </c>
      <c r="K18" s="21">
        <f t="shared" si="1"/>
        <v>4962.3280182232347</v>
      </c>
      <c r="L18" s="7" t="s">
        <v>10</v>
      </c>
      <c r="M18" s="4">
        <v>-3960</v>
      </c>
      <c r="N18" s="4">
        <v>5.93</v>
      </c>
      <c r="O18" s="4"/>
      <c r="P18" s="25" t="s">
        <v>179</v>
      </c>
      <c r="Q18" s="63">
        <v>159915</v>
      </c>
      <c r="R18" s="64">
        <v>1.3451</v>
      </c>
      <c r="S18" s="57">
        <v>35.75</v>
      </c>
      <c r="T18" s="58">
        <f t="shared" si="2"/>
        <v>26.577949594825665</v>
      </c>
      <c r="U18" s="57">
        <v>3.55</v>
      </c>
      <c r="V18" s="58">
        <f t="shared" si="3"/>
        <v>2.6392089807449262</v>
      </c>
      <c r="W18" s="75">
        <f>SUMIF(C:C,"=创业板",J:J)/SUMIF(C:C,"=创业板",M:M)*-1</f>
        <v>37.256205640613935</v>
      </c>
      <c r="X18" s="75">
        <f>SUMIF(C:C,"=创业板",K:K)/SUMIF(C:C,"=创业板",M:M)*-1</f>
        <v>3.6995672734036225</v>
      </c>
      <c r="Y18" s="59">
        <f>(SUMIF(C:C,"=创业板",M:M)*-1)/$Q$2</f>
        <v>1.6085612499999999E-2</v>
      </c>
      <c r="Z18" s="2"/>
    </row>
    <row r="19" spans="1:26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180</v>
      </c>
      <c r="Q19" s="63">
        <v>159938</v>
      </c>
      <c r="R19" s="64">
        <v>1.2446999999999999</v>
      </c>
      <c r="S19" s="57">
        <v>28.77</v>
      </c>
      <c r="T19" s="58">
        <f t="shared" si="2"/>
        <v>23.114003374307064</v>
      </c>
      <c r="U19" s="57">
        <v>3.52</v>
      </c>
      <c r="V19" s="58">
        <f t="shared" si="3"/>
        <v>2.8279906804852577</v>
      </c>
      <c r="W19" s="75">
        <f>SUMIF(C:C,"=医药",J:J)/SUMIF(C:C,"=医药",M:M)*-1</f>
        <v>29.393669147742237</v>
      </c>
      <c r="X19" s="75">
        <f>SUMIF(C:C,"=医药",K:K)/SUMIF(C:C,"=医药",M:M)*-1</f>
        <v>3.5963057142875452</v>
      </c>
      <c r="Y19" s="83">
        <f>(SUMIF(C:C,"=医药",M:M)*-1)/$Q$2</f>
        <v>4.5076224999999998E-2</v>
      </c>
      <c r="Z19" s="2"/>
    </row>
    <row r="20" spans="1:26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25.512268618166168</v>
      </c>
      <c r="I20" s="21">
        <f>F20*$V$16</f>
        <v>2.3064121629554259</v>
      </c>
      <c r="J20" s="21">
        <f t="shared" si="0"/>
        <v>201638.25600516575</v>
      </c>
      <c r="K20" s="21">
        <f t="shared" si="1"/>
        <v>18228.913042891247</v>
      </c>
      <c r="L20" s="5" t="s">
        <v>24</v>
      </c>
      <c r="M20" s="1">
        <v>-7903.58</v>
      </c>
      <c r="N20" s="4">
        <v>1.5799999999999272</v>
      </c>
      <c r="O20" s="4"/>
      <c r="P20" s="25" t="s">
        <v>181</v>
      </c>
      <c r="Q20" s="63" t="s">
        <v>190</v>
      </c>
      <c r="R20" s="64">
        <v>0.77180000000000004</v>
      </c>
      <c r="S20" s="57">
        <v>28.77</v>
      </c>
      <c r="T20" s="58">
        <f t="shared" si="2"/>
        <v>37.27649650168437</v>
      </c>
      <c r="U20" s="57">
        <v>3.52</v>
      </c>
      <c r="V20" s="58">
        <f t="shared" si="3"/>
        <v>4.5607670380927701</v>
      </c>
      <c r="W20" s="75">
        <f>SUMIF(C:C,"=医药",J:J)/SUMIF(C:C,"=医药",M:M)*-1</f>
        <v>29.393669147742237</v>
      </c>
      <c r="X20" s="75">
        <f>SUMIF(C:C,"=医药",K:K)/SUMIF(C:C,"=医药",M:M)*-1</f>
        <v>3.5963057142875452</v>
      </c>
      <c r="Y20" s="84"/>
      <c r="Z20" s="2"/>
    </row>
    <row r="21" spans="1:26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29.401265729089562</v>
      </c>
      <c r="I21" s="21">
        <f>F21*$V$24</f>
        <v>2.516452627683198</v>
      </c>
      <c r="J21" s="21">
        <f t="shared" si="0"/>
        <v>117605.06291635825</v>
      </c>
      <c r="K21" s="21">
        <f t="shared" si="1"/>
        <v>10065.810510732792</v>
      </c>
      <c r="L21" s="6" t="s">
        <v>16</v>
      </c>
      <c r="M21" s="4">
        <v>-4000</v>
      </c>
      <c r="N21" s="4">
        <v>4.79</v>
      </c>
      <c r="O21" s="4"/>
      <c r="P21" s="25" t="s">
        <v>182</v>
      </c>
      <c r="Q21" s="63" t="s">
        <v>105</v>
      </c>
      <c r="R21" s="64">
        <v>0.9113</v>
      </c>
      <c r="S21" s="57">
        <v>22.83</v>
      </c>
      <c r="T21" s="58">
        <f t="shared" si="2"/>
        <v>25.05212334028311</v>
      </c>
      <c r="U21" s="57">
        <v>2.9</v>
      </c>
      <c r="V21" s="58">
        <f t="shared" si="3"/>
        <v>3.1822670909689452</v>
      </c>
      <c r="W21" s="75">
        <f>SUMIF(C:C,"=养老",J:J)/SUMIF(C:C,"=养老",M:M)*-1</f>
        <v>24.609610138201177</v>
      </c>
      <c r="X21" s="75">
        <f>SUMIF(C:C,"=养老",K:K)/SUMIF(C:C,"=养老",M:M)*-1</f>
        <v>3.0340931650626422</v>
      </c>
      <c r="Y21" s="59">
        <f>(SUMIF(C:C,"=养老",M:M)*-1)/$Q$2</f>
        <v>5.6750000000000002E-2</v>
      </c>
      <c r="Z21" s="2"/>
    </row>
    <row r="22" spans="1:26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24.950495049504955</v>
      </c>
      <c r="I22" s="21">
        <f t="shared" ref="I22:I23" si="4">F22*$V$16</f>
        <v>2.2556255625562556</v>
      </c>
      <c r="J22" s="21">
        <f t="shared" si="0"/>
        <v>96427.924752475257</v>
      </c>
      <c r="K22" s="21">
        <f t="shared" si="1"/>
        <v>8717.4740054005397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0.72870000000000001</v>
      </c>
      <c r="S22" s="57">
        <v>19.36</v>
      </c>
      <c r="T22" s="58">
        <f t="shared" si="2"/>
        <v>26.567860573624262</v>
      </c>
      <c r="U22" s="57">
        <v>1.22</v>
      </c>
      <c r="V22" s="58">
        <f t="shared" si="3"/>
        <v>1.674214354329628</v>
      </c>
      <c r="W22" s="75">
        <f>SUMIF(C:C,"=证券",J:J)/SUMIF(C:C,"=证券",M:M)*-1</f>
        <v>22.558118524934084</v>
      </c>
      <c r="X22" s="75">
        <f>SUMIF(C:C,"=证券",K:K)/SUMIF(C:C,"=证券",M:M)*-1</f>
        <v>1.4215343285340694</v>
      </c>
      <c r="Y22" s="59">
        <f>(SUMIF(C:C,"=证券",M:M)*-1)/$Q$2</f>
        <v>2.3985175000000001E-2</v>
      </c>
      <c r="Z22" s="2"/>
    </row>
    <row r="23" spans="1:26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25.469651312957385</v>
      </c>
      <c r="I23" s="21">
        <f t="shared" si="4"/>
        <v>2.3025593863734199</v>
      </c>
      <c r="J23" s="21">
        <f t="shared" si="0"/>
        <v>100482.61366336634</v>
      </c>
      <c r="K23" s="21">
        <f t="shared" si="1"/>
        <v>9084.0342655265522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0.71009999999999995</v>
      </c>
      <c r="S23" s="57">
        <v>20.68</v>
      </c>
      <c r="T23" s="58">
        <f t="shared" si="2"/>
        <v>29.12265878045346</v>
      </c>
      <c r="U23" s="57">
        <v>1.77</v>
      </c>
      <c r="V23" s="58">
        <f t="shared" si="3"/>
        <v>2.4926066751161811</v>
      </c>
      <c r="W23" s="75">
        <f>SUMIF(C:C,"=环保",J:J)/SUMIF(C:C,"=环保",M:M)*-1</f>
        <v>26.204178663494215</v>
      </c>
      <c r="X23" s="75">
        <f>SUMIF(C:C,"=环保",K:K)/SUMIF(C:C,"=环保",M:M)*-1</f>
        <v>2.2428141312565169</v>
      </c>
      <c r="Y23" s="83">
        <f>(SUMIF(C:C,"=环保",M:M)*-1)/$Q$2</f>
        <v>5.2069037499999998E-2</v>
      </c>
      <c r="Z23" s="2"/>
    </row>
    <row r="24" spans="1:26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11.829821564160973</v>
      </c>
      <c r="I24" s="21">
        <f>F24*$V$13</f>
        <v>1.394267274107821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183</v>
      </c>
      <c r="Q24" s="63" t="s">
        <v>106</v>
      </c>
      <c r="R24" s="64">
        <v>0.54039999999999999</v>
      </c>
      <c r="S24" s="57">
        <v>20.68</v>
      </c>
      <c r="T24" s="58">
        <f t="shared" si="2"/>
        <v>38.267949666913395</v>
      </c>
      <c r="U24" s="57">
        <v>1.77</v>
      </c>
      <c r="V24" s="58">
        <f t="shared" si="3"/>
        <v>3.2753515914137679</v>
      </c>
      <c r="W24" s="75">
        <f>SUMIF(C:C,"=环保",J:J)/SUMIF(C:C,"=环保",M:M)*-1</f>
        <v>26.204178663494215</v>
      </c>
      <c r="X24" s="75">
        <f>SUMIF(C:C,"=环保",K:K)/SUMIF(C:C,"=环保",M:M)*-1</f>
        <v>2.2428141312565169</v>
      </c>
      <c r="Y24" s="84"/>
      <c r="Z24" s="2"/>
    </row>
    <row r="25" spans="1:26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33.715724678231673</v>
      </c>
      <c r="I25" s="21">
        <f>F25*$V$25</f>
        <v>3.8891997761611639</v>
      </c>
      <c r="J25" s="21">
        <f t="shared" si="0"/>
        <v>134889.8712926693</v>
      </c>
      <c r="K25" s="21">
        <f t="shared" si="1"/>
        <v>15559.910464465585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0.71479999999999999</v>
      </c>
      <c r="S25" s="57">
        <v>24.1</v>
      </c>
      <c r="T25" s="58">
        <f t="shared" si="2"/>
        <v>33.715724678231673</v>
      </c>
      <c r="U25" s="57">
        <v>2.78</v>
      </c>
      <c r="V25" s="58">
        <f t="shared" si="3"/>
        <v>3.8891997761611639</v>
      </c>
      <c r="W25" s="75">
        <f>SUMIF(C:C,"=传媒",J:J)/SUMIF(C:C,"=传媒",M:M)*-1</f>
        <v>29.659616752836897</v>
      </c>
      <c r="X25" s="75">
        <f>SUMIF(C:C,"=传媒",K:K)/SUMIF(C:C,"=传媒",M:M)*-1</f>
        <v>3.4213167872567043</v>
      </c>
      <c r="Y25" s="59">
        <f>(SUMIF(C:C,"=传媒",M:M)*-1)/$Q$2</f>
        <v>3.70254125E-2</v>
      </c>
      <c r="Z25" s="2"/>
    </row>
    <row r="26" spans="1:26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24.989238054240207</v>
      </c>
      <c r="I26" s="21">
        <f>F26*$V$16</f>
        <v>2.2591280867217156</v>
      </c>
      <c r="J26" s="21">
        <f t="shared" si="0"/>
        <v>96727.592983211362</v>
      </c>
      <c r="K26" s="21">
        <f t="shared" si="1"/>
        <v>8744.5652242398155</v>
      </c>
      <c r="L26" s="5" t="s">
        <v>24</v>
      </c>
      <c r="M26" s="1">
        <v>-3870.77</v>
      </c>
      <c r="N26" s="4">
        <v>0.76999999999998181</v>
      </c>
      <c r="O26" s="4"/>
      <c r="P26" s="66" t="s">
        <v>175</v>
      </c>
      <c r="Q26" s="63" t="s">
        <v>191</v>
      </c>
      <c r="R26" s="64">
        <v>0.89800000000000002</v>
      </c>
      <c r="S26" s="57">
        <v>10.210000000000001</v>
      </c>
      <c r="T26" s="58">
        <f t="shared" ref="T26:T34" si="5">S26/R26</f>
        <v>11.369710467706014</v>
      </c>
      <c r="U26" s="57">
        <v>1.28</v>
      </c>
      <c r="V26" s="58">
        <f t="shared" si="3"/>
        <v>1.4253897550111359</v>
      </c>
      <c r="W26" s="61"/>
      <c r="X26" s="61"/>
      <c r="Y26" s="62"/>
      <c r="Z26" s="2"/>
    </row>
    <row r="27" spans="1:26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26.737816432272389</v>
      </c>
      <c r="I27" s="21">
        <f>F27*$V$24</f>
        <v>2.2884881569207995</v>
      </c>
      <c r="J27" s="21">
        <f t="shared" si="0"/>
        <v>106951.26572908956</v>
      </c>
      <c r="K27" s="21">
        <f t="shared" si="1"/>
        <v>9153.9526276831984</v>
      </c>
      <c r="L27" s="6" t="s">
        <v>16</v>
      </c>
      <c r="M27" s="4">
        <v>-4000</v>
      </c>
      <c r="N27" s="4">
        <v>4.79</v>
      </c>
      <c r="O27" s="4"/>
      <c r="P27" s="66" t="s">
        <v>168</v>
      </c>
      <c r="Q27" s="63" t="s">
        <v>192</v>
      </c>
      <c r="R27" s="64">
        <v>1.8423</v>
      </c>
      <c r="S27" s="57">
        <v>19.8</v>
      </c>
      <c r="T27" s="58">
        <f t="shared" si="5"/>
        <v>10.747435271128481</v>
      </c>
      <c r="U27" s="57">
        <v>1.79</v>
      </c>
      <c r="V27" s="58">
        <f t="shared" si="3"/>
        <v>0.97161157249090813</v>
      </c>
      <c r="W27" s="61"/>
      <c r="X27" s="61"/>
      <c r="Y27" s="62"/>
      <c r="Z27" s="2"/>
    </row>
    <row r="28" spans="1:26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23.412397761515283</v>
      </c>
      <c r="I28" s="21">
        <f t="shared" ref="I28:I29" si="6">F28*$V$16</f>
        <v>2.1165753531874927</v>
      </c>
      <c r="J28" s="21">
        <f t="shared" si="0"/>
        <v>183962.21303917351</v>
      </c>
      <c r="K28" s="21">
        <f t="shared" si="1"/>
        <v>16630.92734041013</v>
      </c>
      <c r="L28" s="5" t="s">
        <v>24</v>
      </c>
      <c r="M28" s="1">
        <v>-7857.47</v>
      </c>
      <c r="N28" s="4">
        <v>1.5700000000006185</v>
      </c>
      <c r="O28" s="4"/>
      <c r="P28" s="66" t="s">
        <v>169</v>
      </c>
      <c r="Q28" s="63" t="s">
        <v>193</v>
      </c>
      <c r="R28" s="64">
        <v>0.52700000000000002</v>
      </c>
      <c r="S28" s="57">
        <v>19.8</v>
      </c>
      <c r="T28" s="58">
        <f t="shared" si="5"/>
        <v>37.571157495256166</v>
      </c>
      <c r="U28" s="57">
        <v>1.79</v>
      </c>
      <c r="V28" s="58">
        <f t="shared" si="3"/>
        <v>3.3965844402277039</v>
      </c>
      <c r="W28" s="61"/>
      <c r="X28" s="61"/>
      <c r="Y28" s="62"/>
      <c r="Z28" s="2"/>
    </row>
    <row r="29" spans="1:26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23.303917348256565</v>
      </c>
      <c r="I29" s="21">
        <f t="shared" si="6"/>
        <v>2.1067682855242045</v>
      </c>
      <c r="J29" s="21">
        <f t="shared" si="0"/>
        <v>1163668.9947481705</v>
      </c>
      <c r="K29" s="21">
        <f t="shared" si="1"/>
        <v>105200.37881814268</v>
      </c>
      <c r="L29" s="5" t="s">
        <v>24</v>
      </c>
      <c r="M29" s="1">
        <v>-49934.48</v>
      </c>
      <c r="N29" s="4">
        <v>9.9800000000032014</v>
      </c>
      <c r="O29" s="4"/>
      <c r="P29" s="66" t="s">
        <v>170</v>
      </c>
      <c r="Q29" s="63">
        <v>161017</v>
      </c>
      <c r="R29" s="64">
        <v>1.8460000000000001</v>
      </c>
      <c r="S29" s="57">
        <v>19.8</v>
      </c>
      <c r="T29" s="58">
        <f t="shared" si="5"/>
        <v>10.725893824485373</v>
      </c>
      <c r="U29" s="57">
        <v>1.79</v>
      </c>
      <c r="V29" s="58">
        <f t="shared" si="3"/>
        <v>0.96966413867822321</v>
      </c>
      <c r="W29" s="61"/>
      <c r="X29" s="61"/>
      <c r="Y29" s="62"/>
      <c r="Z29" s="2"/>
    </row>
    <row r="30" spans="1:26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11.251940015186028</v>
      </c>
      <c r="I30" s="21">
        <f>F30*$V$13</f>
        <v>1.3261579347000758</v>
      </c>
      <c r="J30" s="21">
        <f t="shared" si="0"/>
        <v>225038.80030372055</v>
      </c>
      <c r="K30" s="21">
        <f t="shared" si="1"/>
        <v>26523.158694001515</v>
      </c>
      <c r="L30" s="7" t="s">
        <v>10</v>
      </c>
      <c r="M30" s="4">
        <v>-20000</v>
      </c>
      <c r="N30" s="4">
        <v>29.96</v>
      </c>
      <c r="O30" s="4"/>
      <c r="P30" s="66" t="s">
        <v>171</v>
      </c>
      <c r="Q30" s="63" t="s">
        <v>194</v>
      </c>
      <c r="R30" s="64">
        <v>0.8407</v>
      </c>
      <c r="S30" s="57">
        <v>19.8</v>
      </c>
      <c r="T30" s="58">
        <f t="shared" si="5"/>
        <v>23.551802069703818</v>
      </c>
      <c r="U30" s="57">
        <v>1.79</v>
      </c>
      <c r="V30" s="58">
        <f t="shared" si="3"/>
        <v>2.1291780658974666</v>
      </c>
      <c r="W30" s="61"/>
      <c r="X30" s="61"/>
      <c r="Y30" s="62"/>
      <c r="Z30" s="2"/>
    </row>
    <row r="31" spans="1:26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29.525410110478742</v>
      </c>
      <c r="I31" s="21">
        <f>F31*$V$17</f>
        <v>2.6498828255775022</v>
      </c>
      <c r="J31" s="21">
        <f t="shared" si="0"/>
        <v>591240.43238031468</v>
      </c>
      <c r="K31" s="21">
        <f t="shared" si="1"/>
        <v>53063.373605624365</v>
      </c>
      <c r="L31" s="5" t="s">
        <v>24</v>
      </c>
      <c r="M31" s="1">
        <v>-20024.8</v>
      </c>
      <c r="N31" s="4">
        <v>4</v>
      </c>
      <c r="O31" s="4"/>
      <c r="P31" s="66" t="s">
        <v>172</v>
      </c>
      <c r="Q31" s="63">
        <v>100038</v>
      </c>
      <c r="R31" s="64">
        <v>1.7130000000000001</v>
      </c>
      <c r="S31" s="57">
        <v>11.69</v>
      </c>
      <c r="T31" s="58">
        <f t="shared" si="5"/>
        <v>6.8242848803269114</v>
      </c>
      <c r="U31" s="57">
        <v>1.46</v>
      </c>
      <c r="V31" s="58">
        <f t="shared" si="3"/>
        <v>0.85230589608873319</v>
      </c>
      <c r="W31" s="61"/>
      <c r="X31" s="61"/>
      <c r="Y31" s="62"/>
      <c r="Z31" s="2"/>
    </row>
    <row r="32" spans="1:26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28.916638767994645</v>
      </c>
      <c r="I32" s="21">
        <f>F32*$V$17</f>
        <v>2.5952460662872445</v>
      </c>
      <c r="J32" s="21">
        <f t="shared" si="0"/>
        <v>290149.84256444598</v>
      </c>
      <c r="K32" s="21">
        <f t="shared" si="1"/>
        <v>26040.724981586874</v>
      </c>
      <c r="L32" s="5" t="s">
        <v>24</v>
      </c>
      <c r="M32" s="1">
        <v>-10034.01</v>
      </c>
      <c r="N32" s="4">
        <v>2.0100000000002183</v>
      </c>
      <c r="O32" s="4"/>
      <c r="P32" s="66" t="s">
        <v>173</v>
      </c>
      <c r="Q32" s="63" t="s">
        <v>195</v>
      </c>
      <c r="R32" s="64">
        <v>1.1419999999999999</v>
      </c>
      <c r="S32" s="57">
        <v>11.69</v>
      </c>
      <c r="T32" s="58">
        <f t="shared" si="5"/>
        <v>10.236427320490368</v>
      </c>
      <c r="U32" s="57">
        <v>1.46</v>
      </c>
      <c r="V32" s="58">
        <f t="shared" si="3"/>
        <v>1.2784588441331</v>
      </c>
      <c r="W32" s="61"/>
      <c r="X32" s="61"/>
      <c r="Y32" s="62"/>
      <c r="Z32" s="2"/>
    </row>
    <row r="33" spans="1:26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174</v>
      </c>
      <c r="Q33" s="63" t="s">
        <v>113</v>
      </c>
      <c r="R33" s="64">
        <v>0.71040000000000003</v>
      </c>
      <c r="S33" s="57">
        <v>24.1</v>
      </c>
      <c r="T33" s="58">
        <f t="shared" si="5"/>
        <v>33.924549549549553</v>
      </c>
      <c r="U33" s="57">
        <v>2.78</v>
      </c>
      <c r="V33" s="58">
        <f t="shared" si="3"/>
        <v>3.913288288288288</v>
      </c>
      <c r="W33" s="61"/>
      <c r="X33" s="61"/>
      <c r="Y33" s="62"/>
      <c r="Z33" s="2"/>
    </row>
    <row r="34" spans="1:26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26.297735011102887</v>
      </c>
      <c r="I34" s="21">
        <f>F34*$V$24</f>
        <v>2.2508216136195416</v>
      </c>
      <c r="J34" s="21">
        <f t="shared" si="0"/>
        <v>105190.94004441155</v>
      </c>
      <c r="K34" s="21">
        <f t="shared" si="1"/>
        <v>9003.286454478166</v>
      </c>
      <c r="L34" s="6" t="s">
        <v>16</v>
      </c>
      <c r="M34" s="4">
        <v>-4000</v>
      </c>
      <c r="N34" s="4">
        <v>4.79</v>
      </c>
      <c r="O34" s="4"/>
      <c r="P34" s="25" t="s">
        <v>184</v>
      </c>
      <c r="Q34" s="63" t="s">
        <v>196</v>
      </c>
      <c r="R34" s="64">
        <v>0.93020000000000003</v>
      </c>
      <c r="S34" s="57">
        <v>10.98</v>
      </c>
      <c r="T34" s="58">
        <f t="shared" si="5"/>
        <v>11.803913136959794</v>
      </c>
      <c r="U34" s="57">
        <v>1.18</v>
      </c>
      <c r="V34" s="58">
        <f t="shared" si="3"/>
        <v>1.2685443990539669</v>
      </c>
      <c r="W34" s="75">
        <f>SUMIF(C:C,"=金融地产",J:J)/SUMIF(C:C,"=金融地产",M:M)*-1</f>
        <v>10.718740055901957</v>
      </c>
      <c r="X34" s="75">
        <f>SUMIF(C:C,"=金融地产",K:K)/SUMIF(C:C,"=金融地产",M:M)*-1</f>
        <v>1.1519228839676054</v>
      </c>
      <c r="Y34" s="59">
        <f>(SUMIF(C:C,"=金融地产",M:M)*-1)/$Q$2</f>
        <v>2.4E-2</v>
      </c>
      <c r="Z34" s="2"/>
    </row>
    <row r="35" spans="1:26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26.181270243627662</v>
      </c>
      <c r="I35" s="21">
        <f>F35*$V$23</f>
        <v>2.240853400929447</v>
      </c>
      <c r="J35" s="21">
        <f t="shared" si="0"/>
        <v>105937.53559949304</v>
      </c>
      <c r="K35" s="21">
        <f t="shared" si="1"/>
        <v>9067.1875247148309</v>
      </c>
      <c r="L35" s="5" t="s">
        <v>24</v>
      </c>
      <c r="M35" s="1">
        <v>-4046.31</v>
      </c>
      <c r="N35" s="4">
        <v>0.80999999999994543</v>
      </c>
      <c r="O35" s="4"/>
      <c r="P35" s="25" t="s">
        <v>185</v>
      </c>
      <c r="Q35" s="63" t="s">
        <v>197</v>
      </c>
      <c r="R35" s="65">
        <v>1.2090000000000001</v>
      </c>
      <c r="S35" s="2"/>
      <c r="T35" s="2"/>
      <c r="U35" s="74"/>
      <c r="V35" s="74"/>
      <c r="W35" s="3"/>
      <c r="X35" s="3"/>
      <c r="Y35" s="59">
        <f>(SUMIF(C:C,"=德国30",M:M)*-1)/$Q$2</f>
        <v>1.225E-2</v>
      </c>
    </row>
    <row r="36" spans="1:26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186</v>
      </c>
      <c r="Q36" s="63" t="s">
        <v>107</v>
      </c>
      <c r="R36" s="64">
        <v>1.5065</v>
      </c>
      <c r="S36" s="57">
        <v>11.43</v>
      </c>
      <c r="T36" s="58">
        <f>S36/R36</f>
        <v>7.5871224692997012</v>
      </c>
      <c r="U36" s="58"/>
      <c r="V36" s="58"/>
      <c r="W36" s="2"/>
      <c r="X36" s="74"/>
      <c r="Y36" s="59">
        <v>0</v>
      </c>
    </row>
    <row r="37" spans="1:26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31.89507554560716</v>
      </c>
      <c r="I37" s="21">
        <f>F37*$V$25</f>
        <v>3.6791829882484608</v>
      </c>
      <c r="J37" s="21">
        <f t="shared" si="0"/>
        <v>205215.78661723557</v>
      </c>
      <c r="K37" s="21">
        <f t="shared" si="1"/>
        <v>23672.194472859541</v>
      </c>
      <c r="L37" s="5" t="s">
        <v>24</v>
      </c>
      <c r="M37" s="1">
        <v>-6434.09</v>
      </c>
      <c r="N37" s="4">
        <v>1.2899999999999636</v>
      </c>
      <c r="O37" s="4"/>
      <c r="P37" s="25" t="s">
        <v>187</v>
      </c>
      <c r="Q37" s="63" t="s">
        <v>198</v>
      </c>
      <c r="R37" s="64">
        <v>0.99880000000000002</v>
      </c>
      <c r="S37" s="2"/>
      <c r="T37" s="2"/>
      <c r="U37" s="74"/>
      <c r="V37" s="74"/>
      <c r="W37" s="2"/>
      <c r="X37" s="74"/>
      <c r="Y37" s="59">
        <f>(SUMIF(C:C,"=国债",M:M)*-1)/$Q$2</f>
        <v>4.2190250000000004E-3</v>
      </c>
    </row>
    <row r="38" spans="1:26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26.734600760456278</v>
      </c>
      <c r="I38" s="21">
        <f>F38*$V$23</f>
        <v>2.2882129277566543</v>
      </c>
      <c r="J38" s="21">
        <f t="shared" si="0"/>
        <v>513038.0579771864</v>
      </c>
      <c r="K38" s="21">
        <f t="shared" si="1"/>
        <v>43910.897612167311</v>
      </c>
      <c r="L38" s="5" t="s">
        <v>24</v>
      </c>
      <c r="M38" s="1">
        <v>-19190.04</v>
      </c>
      <c r="N38" s="4">
        <v>3.8400000000001455</v>
      </c>
      <c r="O38" s="4"/>
      <c r="P38" s="25" t="s">
        <v>188</v>
      </c>
      <c r="Q38" s="63" t="s">
        <v>199</v>
      </c>
      <c r="R38" s="64">
        <v>1.419</v>
      </c>
      <c r="S38" s="2"/>
      <c r="T38" s="2"/>
      <c r="U38" s="74"/>
      <c r="V38" s="74"/>
      <c r="W38" s="2"/>
      <c r="X38" s="74"/>
      <c r="Y38" s="59">
        <f>(SUMIF(C:C,"=海外债",M:M)*-1)/$Q$2</f>
        <v>2.3474862499999999E-2</v>
      </c>
    </row>
    <row r="39" spans="1:26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189</v>
      </c>
      <c r="Q39" s="63">
        <v>340001</v>
      </c>
      <c r="R39" s="64">
        <v>3.6351</v>
      </c>
      <c r="S39" s="2"/>
      <c r="T39" s="2"/>
      <c r="U39" s="74"/>
      <c r="V39" s="74"/>
      <c r="W39" s="2"/>
      <c r="X39" s="74"/>
      <c r="Y39" s="59">
        <f>(SUMIF(C:C,"=可转债",M:M)*-1)/$Q$2</f>
        <v>2.4E-2</v>
      </c>
    </row>
    <row r="40" spans="1:26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23.618828049951968</v>
      </c>
      <c r="I40" s="21">
        <f>F40*$V$22</f>
        <v>1.4883765609990394</v>
      </c>
      <c r="J40" s="21">
        <f t="shared" si="0"/>
        <v>302419.253364073</v>
      </c>
      <c r="K40" s="21">
        <f t="shared" si="1"/>
        <v>19057.411627281461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0.99129999999999996</v>
      </c>
      <c r="S40" s="2"/>
      <c r="T40" s="2"/>
      <c r="U40" s="74"/>
      <c r="V40" s="74"/>
      <c r="W40" s="2"/>
      <c r="X40" s="74"/>
      <c r="Y40" s="59">
        <f>(SUMIF(C:C,"=黄金",M:M)*-1)/$Q$2</f>
        <v>8.0536124999999997E-3</v>
      </c>
    </row>
    <row r="41" spans="1:26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31.89507554560716</v>
      </c>
      <c r="I41" s="21">
        <f>F41*$V$25</f>
        <v>3.6791829882484608</v>
      </c>
      <c r="J41" s="21">
        <f t="shared" si="0"/>
        <v>205215.78661723557</v>
      </c>
      <c r="K41" s="21">
        <f t="shared" si="1"/>
        <v>23672.194472859541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2"/>
      <c r="X41" s="74"/>
      <c r="Y41" s="59">
        <f>(SUMIF(C:C,"=白银",M:M)*-1)/$Q$2</f>
        <v>1.4392650000000002E-2</v>
      </c>
    </row>
    <row r="42" spans="1:26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23.261300043047783</v>
      </c>
      <c r="I42" s="21">
        <f>F42*$V$16</f>
        <v>2.1029155089421985</v>
      </c>
      <c r="J42" s="21">
        <f t="shared" si="0"/>
        <v>153657.6349203616</v>
      </c>
      <c r="K42" s="21">
        <f t="shared" si="1"/>
        <v>13891.27103572966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2"/>
      <c r="X42" s="74"/>
      <c r="Y42" s="59">
        <f>1-SUM(Y13:Y41)</f>
        <v>0.29117534999999983</v>
      </c>
    </row>
    <row r="43" spans="1:26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6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22.889367197589326</v>
      </c>
      <c r="I44" s="21">
        <f>F44*$V$16</f>
        <v>2.0692912769537823</v>
      </c>
      <c r="J44" s="21">
        <f t="shared" si="0"/>
        <v>148783.17572105039</v>
      </c>
      <c r="K44" s="21">
        <f t="shared" si="1"/>
        <v>13450.600229327281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6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11.142894001290045</v>
      </c>
      <c r="I45" s="21">
        <f>F45*$V$34</f>
        <v>1.1975059127069447</v>
      </c>
      <c r="J45" s="21">
        <f t="shared" si="0"/>
        <v>71314.521608256298</v>
      </c>
      <c r="K45" s="21">
        <f t="shared" si="1"/>
        <v>7664.0378413244462</v>
      </c>
      <c r="L45" s="7" t="s">
        <v>10</v>
      </c>
      <c r="M45" s="1">
        <v>-6400</v>
      </c>
      <c r="N45" s="4">
        <v>7.67</v>
      </c>
      <c r="O45" s="4"/>
      <c r="P45" s="2"/>
      <c r="Q45" s="2" t="s">
        <v>163</v>
      </c>
      <c r="R45" s="2" t="s">
        <v>161</v>
      </c>
      <c r="S45" s="2" t="s">
        <v>162</v>
      </c>
      <c r="T45" s="2" t="s">
        <v>164</v>
      </c>
      <c r="U45" s="2" t="s">
        <v>165</v>
      </c>
      <c r="V45" s="74"/>
      <c r="W45" s="2"/>
    </row>
    <row r="46" spans="1:26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22.474817046922087</v>
      </c>
      <c r="I46" s="21">
        <f>F46*$V$16</f>
        <v>2.0318142683833602</v>
      </c>
      <c r="J46" s="21">
        <f t="shared" si="0"/>
        <v>430328.24372363335</v>
      </c>
      <c r="K46" s="21">
        <f t="shared" si="1"/>
        <v>38903.411932591087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6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12.142987083345213</v>
      </c>
      <c r="I47" s="21">
        <f>F47*$V$15</f>
        <v>1.516574947962704</v>
      </c>
      <c r="J47" s="21">
        <f t="shared" si="0"/>
        <v>79642.330813407083</v>
      </c>
      <c r="K47" s="21">
        <f t="shared" si="1"/>
        <v>9946.7752769524668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6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21.405510116229017</v>
      </c>
      <c r="I48" s="21">
        <f t="shared" ref="I48:I49" si="7">F48*$V$16</f>
        <v>1.9351446014166636</v>
      </c>
      <c r="J48" s="21">
        <f t="shared" si="0"/>
        <v>272064.88979767548</v>
      </c>
      <c r="K48" s="21">
        <f t="shared" si="1"/>
        <v>24595.765289789852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20.971588463194148</v>
      </c>
      <c r="I49" s="21">
        <f t="shared" si="7"/>
        <v>1.8959163307635112</v>
      </c>
      <c r="J49" s="21">
        <f t="shared" si="0"/>
        <v>136250.31308652606</v>
      </c>
      <c r="K49" s="21">
        <f t="shared" si="1"/>
        <v>12317.578809337456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20.430684781117058</v>
      </c>
      <c r="I51" s="21">
        <f>F51*$V$22</f>
        <v>1.287470838479484</v>
      </c>
      <c r="J51" s="21">
        <f t="shared" si="0"/>
        <v>130429.08302895568</v>
      </c>
      <c r="K51" s="21">
        <f t="shared" si="1"/>
        <v>8219.1880834362546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39.016430005204072</v>
      </c>
      <c r="I52" s="21">
        <f>F52*$V$18</f>
        <v>3.8743587837335514</v>
      </c>
      <c r="J52" s="21">
        <f t="shared" si="0"/>
        <v>252065.25588432085</v>
      </c>
      <c r="K52" s="21">
        <f t="shared" si="1"/>
        <v>25030.256178722771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11.493005617176584</v>
      </c>
      <c r="I53" s="21">
        <f>F53*$V$15</f>
        <v>1.4353967665592655</v>
      </c>
      <c r="J53" s="21">
        <f t="shared" si="0"/>
        <v>71344.441389410058</v>
      </c>
      <c r="K53" s="21">
        <f t="shared" si="1"/>
        <v>8910.4263839639589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22.249711308266445</v>
      </c>
      <c r="I54" s="21">
        <f>F54*$V$23</f>
        <v>1.9043514997887623</v>
      </c>
      <c r="J54" s="21">
        <f t="shared" si="0"/>
        <v>142818.22692240533</v>
      </c>
      <c r="K54" s="21">
        <f t="shared" si="1"/>
        <v>12223.80375496409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10.033326166415826</v>
      </c>
      <c r="I55" s="21">
        <f>F55*$V$34</f>
        <v>1.0782627391958719</v>
      </c>
      <c r="J55" s="21">
        <f t="shared" ref="J55" si="11">H55*(-$M55)</f>
        <v>64213.287465061287</v>
      </c>
      <c r="K55" s="21">
        <f t="shared" ref="K55" si="12">I55*(-$M55)</f>
        <v>6900.8815308535804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0</v>
      </c>
      <c r="R55" s="50"/>
      <c r="S55" s="50"/>
      <c r="T55" s="50"/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10.937873955960516</v>
      </c>
      <c r="I56" s="21">
        <f>F56*$V$13</f>
        <v>1.28914198936978</v>
      </c>
      <c r="J56" s="21">
        <f t="shared" si="0"/>
        <v>70002.393318147297</v>
      </c>
      <c r="K56" s="21">
        <f t="shared" si="1"/>
        <v>8250.5087319665927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166</v>
      </c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25.044607703281027</v>
      </c>
      <c r="I57" s="21">
        <f>E57*$V$21</f>
        <v>3.1813124108416546</v>
      </c>
      <c r="J57" s="21">
        <f t="shared" si="0"/>
        <v>160285.48930099857</v>
      </c>
      <c r="K57" s="21">
        <f t="shared" si="1"/>
        <v>20360.399429386591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2">
        <f>SUM(T46:T57)</f>
        <v>13108.034420833335</v>
      </c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10.862498101746393</v>
      </c>
      <c r="I58" s="21">
        <f>F58*$V$13</f>
        <v>1.2802581624905087</v>
      </c>
      <c r="J58" s="21">
        <f t="shared" si="0"/>
        <v>69519.98785117692</v>
      </c>
      <c r="K58" s="21">
        <f t="shared" si="1"/>
        <v>8193.6522399392561</v>
      </c>
      <c r="L58" s="7" t="s">
        <v>10</v>
      </c>
      <c r="M58" s="4">
        <v>-6400</v>
      </c>
      <c r="N58" s="4">
        <v>9.59</v>
      </c>
      <c r="O58" s="4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9.1514124718256973</v>
      </c>
      <c r="I60" s="21">
        <f>F60*$V$14</f>
        <v>1.1472877535687453</v>
      </c>
      <c r="J60" s="21">
        <f t="shared" si="0"/>
        <v>58967.034748084159</v>
      </c>
      <c r="K60" s="21">
        <f t="shared" si="1"/>
        <v>7392.5371672426745</v>
      </c>
      <c r="L60" s="5" t="s">
        <v>24</v>
      </c>
      <c r="M60" s="1">
        <v>-6443.49</v>
      </c>
      <c r="N60" s="4">
        <v>1.29</v>
      </c>
      <c r="O60" s="4"/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27.579462786793506</v>
      </c>
      <c r="I62" s="21">
        <f>F62*$V$25</f>
        <v>3.181365416899832</v>
      </c>
      <c r="J62" s="21">
        <f t="shared" si="0"/>
        <v>176003.30607722438</v>
      </c>
      <c r="K62" s="21">
        <f t="shared" si="1"/>
        <v>20302.456053721322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24.807432206226984</v>
      </c>
      <c r="I64" s="21">
        <f>F64*$V$17</f>
        <v>2.2264479410780047</v>
      </c>
      <c r="J64" s="21">
        <f t="shared" si="0"/>
        <v>80888.353823234022</v>
      </c>
      <c r="K64" s="21">
        <f t="shared" si="1"/>
        <v>7259.6674790759962</v>
      </c>
      <c r="L64" s="5" t="s">
        <v>24</v>
      </c>
      <c r="M64" s="1">
        <v>-3260.65</v>
      </c>
      <c r="N64" s="4">
        <v>0.65</v>
      </c>
      <c r="O64" s="4"/>
      <c r="R64" s="15"/>
    </row>
    <row r="65" spans="1:18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21.002582866982351</v>
      </c>
      <c r="I65" s="21">
        <f>F65*$V$16</f>
        <v>1.8987183500958793</v>
      </c>
      <c r="J65" s="21">
        <f t="shared" si="0"/>
        <v>136653.30542402065</v>
      </c>
      <c r="K65" s="21">
        <f t="shared" si="1"/>
        <v>12354.010944898839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23.551841312353531</v>
      </c>
      <c r="I66" s="21">
        <f>F66*$V$17</f>
        <v>2.113759625041848</v>
      </c>
      <c r="J66" s="21">
        <f t="shared" si="0"/>
        <v>75823.73999464346</v>
      </c>
      <c r="K66" s="21">
        <f t="shared" si="1"/>
        <v>6805.122287244727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19.929401635815758</v>
      </c>
      <c r="I67" s="21">
        <f>F67*$V$16</f>
        <v>1.8016984307126365</v>
      </c>
      <c r="J67" s="21">
        <f t="shared" ref="J67:J82" si="13">H67*(-$M67)</f>
        <v>123044.72358157556</v>
      </c>
      <c r="K67" s="21">
        <f t="shared" ref="K67:K82" si="14">I67*(-$M67)</f>
        <v>11123.740162172739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11.119682928915628</v>
      </c>
      <c r="I68" s="21">
        <f>F68*$V$15</f>
        <v>1.3887713495480596</v>
      </c>
      <c r="J68" s="21">
        <f t="shared" si="13"/>
        <v>70495.120273958542</v>
      </c>
      <c r="K68" s="21">
        <f t="shared" si="14"/>
        <v>8804.3520615893467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15"/>
    </row>
    <row r="69" spans="1:18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29.077416244878286</v>
      </c>
      <c r="I69" s="21">
        <f>F69*$V$19</f>
        <v>3.5576122760504543</v>
      </c>
      <c r="J69" s="21">
        <f t="shared" si="13"/>
        <v>186592.10623668355</v>
      </c>
      <c r="K69" s="21">
        <f t="shared" si="14"/>
        <v>22829.482584397851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15"/>
    </row>
    <row r="70" spans="1:18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3"/>
        <v>0</v>
      </c>
      <c r="K70" s="21">
        <f t="shared" si="14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15"/>
    </row>
    <row r="71" spans="1:18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10.854123006833714</v>
      </c>
      <c r="I71" s="21">
        <f>F71*$V$13</f>
        <v>1.2792710706150343</v>
      </c>
      <c r="J71" s="21">
        <f t="shared" si="13"/>
        <v>69466.387243735764</v>
      </c>
      <c r="K71" s="21">
        <f t="shared" si="14"/>
        <v>8187.3348519362198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15"/>
    </row>
    <row r="72" spans="1:18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3"/>
        <v>0</v>
      </c>
      <c r="K72" s="21">
        <f t="shared" si="14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15"/>
    </row>
    <row r="73" spans="1:18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0.99970000000000003</v>
      </c>
      <c r="G73" s="20">
        <v>6394.25</v>
      </c>
      <c r="H73" s="21">
        <f>F73*$T$21</f>
        <v>25.044607703281027</v>
      </c>
      <c r="I73" s="21">
        <f>E73*$V$21</f>
        <v>2.8564029408537253</v>
      </c>
      <c r="J73" s="21">
        <f t="shared" si="13"/>
        <v>160285.48930099857</v>
      </c>
      <c r="K73" s="21">
        <f t="shared" si="14"/>
        <v>18280.978821463843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15"/>
    </row>
    <row r="74" spans="1:18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9457.64</v>
      </c>
      <c r="H74" s="21">
        <f>F74*$T$20</f>
        <v>29.131582016066336</v>
      </c>
      <c r="I74" s="21">
        <f>F74*$V$20</f>
        <v>3.5642394402694997</v>
      </c>
      <c r="J74" s="21">
        <f t="shared" si="13"/>
        <v>186442.12490282455</v>
      </c>
      <c r="K74" s="21">
        <f t="shared" si="14"/>
        <v>22811.132417724799</v>
      </c>
      <c r="L74" s="7" t="s">
        <v>10</v>
      </c>
      <c r="M74" s="4">
        <v>-6400</v>
      </c>
      <c r="N74" s="4">
        <f>4.43*2</f>
        <v>8.86</v>
      </c>
      <c r="O74" s="4"/>
      <c r="P74" s="15"/>
      <c r="Q74" s="15"/>
      <c r="R74" s="15"/>
    </row>
    <row r="75" spans="1:18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6394.25</v>
      </c>
      <c r="H75" s="21">
        <f>F75*$T$21</f>
        <v>25.044607703281027</v>
      </c>
      <c r="I75" s="21">
        <f>E75*$V$21</f>
        <v>2.8538571271809503</v>
      </c>
      <c r="J75" s="21">
        <f t="shared" si="13"/>
        <v>160285.48930099857</v>
      </c>
      <c r="K75" s="21">
        <f t="shared" si="14"/>
        <v>18264.685613958081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15"/>
    </row>
    <row r="76" spans="1:18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24.679910464465586</v>
      </c>
      <c r="I76" s="21">
        <f>F76*$V$25</f>
        <v>2.8468942361499718</v>
      </c>
      <c r="J76" s="21">
        <f t="shared" si="13"/>
        <v>157202.88528819251</v>
      </c>
      <c r="K76" s="21">
        <f t="shared" si="14"/>
        <v>18133.776809177391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15"/>
    </row>
    <row r="77" spans="1:18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19.948773138183384</v>
      </c>
      <c r="I77" s="21">
        <f t="shared" ref="I77:I79" si="15">F77*$V$16</f>
        <v>1.8034496927953665</v>
      </c>
      <c r="J77" s="21">
        <f t="shared" si="13"/>
        <v>123284.21594489884</v>
      </c>
      <c r="K77" s="21">
        <f t="shared" si="14"/>
        <v>11145.391239463077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15"/>
    </row>
    <row r="78" spans="1:18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19.882910030133448</v>
      </c>
      <c r="I78" s="21">
        <f t="shared" si="15"/>
        <v>1.7974954017140843</v>
      </c>
      <c r="J78" s="21">
        <f t="shared" si="13"/>
        <v>10205.897718467499</v>
      </c>
      <c r="K78" s="21">
        <f t="shared" si="14"/>
        <v>922.65438969983938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15"/>
    </row>
    <row r="79" spans="1:18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19.646577701248386</v>
      </c>
      <c r="I79" s="21">
        <f t="shared" si="15"/>
        <v>1.7761300043047781</v>
      </c>
      <c r="J79" s="21">
        <f t="shared" si="13"/>
        <v>129542.06766250539</v>
      </c>
      <c r="K79" s="21">
        <f t="shared" si="14"/>
        <v>11711.12631898407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15"/>
    </row>
    <row r="80" spans="1:18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11.189680932964558</v>
      </c>
      <c r="I80" s="21">
        <f>F80*$V$15</f>
        <v>1.3975136152376608</v>
      </c>
      <c r="J80" s="21">
        <f t="shared" si="13"/>
        <v>71385.464686322041</v>
      </c>
      <c r="K80" s="21">
        <f t="shared" si="14"/>
        <v>8915.5499094978768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15"/>
    </row>
    <row r="81" spans="1:18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22.258202209574822</v>
      </c>
      <c r="I81" s="21">
        <f>F81*$V$17</f>
        <v>1.99765651155005</v>
      </c>
      <c r="J81" s="21">
        <f t="shared" si="13"/>
        <v>70327.683447438903</v>
      </c>
      <c r="K81" s="21">
        <f t="shared" si="14"/>
        <v>6311.8554435888846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15"/>
    </row>
    <row r="82" spans="1:18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19.274644855789926</v>
      </c>
      <c r="I82" s="21">
        <f>F82*$V$16</f>
        <v>1.7425057723163619</v>
      </c>
      <c r="J82" s="21">
        <f t="shared" si="13"/>
        <v>124683.62989668532</v>
      </c>
      <c r="K82" s="21">
        <f t="shared" si="14"/>
        <v>11271.903914902359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15"/>
    </row>
    <row r="83" spans="1:18">
      <c r="A83" s="3">
        <v>43371</v>
      </c>
      <c r="B83" s="76" t="s">
        <v>216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78">
        <v>3731.66</v>
      </c>
      <c r="H83" s="21">
        <f>F83*$T$31</f>
        <v>11.69</v>
      </c>
      <c r="I83" s="21">
        <f>F83*$V$31</f>
        <v>1.46</v>
      </c>
      <c r="J83" s="21">
        <f>H83*(-$M83)</f>
        <v>74816</v>
      </c>
      <c r="K83" s="21">
        <f t="shared" ref="K83:K86" si="16">I83*(-$M83)</f>
        <v>9344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15"/>
    </row>
    <row r="84" spans="1:18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78">
        <v>6329.68</v>
      </c>
      <c r="H84" s="21"/>
      <c r="I84" s="21"/>
      <c r="J84" s="21">
        <f t="shared" ref="J84:J86" si="17">H84*(-$M84)</f>
        <v>0</v>
      </c>
      <c r="K84" s="21">
        <f t="shared" si="16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15"/>
    </row>
    <row r="85" spans="1:18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78">
        <v>7014.52</v>
      </c>
      <c r="H85" s="21">
        <f>F85*$T$21</f>
        <v>22.83</v>
      </c>
      <c r="I85" s="21">
        <f>E85*$V$21</f>
        <v>2.9</v>
      </c>
      <c r="J85" s="21">
        <f t="shared" si="17"/>
        <v>146112</v>
      </c>
      <c r="K85" s="21">
        <f t="shared" si="16"/>
        <v>18560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15"/>
    </row>
    <row r="86" spans="1:18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78">
        <v>6872</v>
      </c>
      <c r="H86" s="21">
        <f>F86*$T$34</f>
        <v>10.98</v>
      </c>
      <c r="I86" s="21">
        <f>F86*$V$34</f>
        <v>1.18</v>
      </c>
      <c r="J86" s="21">
        <f t="shared" si="17"/>
        <v>70272</v>
      </c>
      <c r="K86" s="21">
        <f t="shared" si="16"/>
        <v>7552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15"/>
    </row>
    <row r="87" spans="1:18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35.481562709092259</v>
      </c>
      <c r="I87" s="21">
        <f>F87*$V$18</f>
        <v>3.5233439892944762</v>
      </c>
      <c r="J87" s="21">
        <f t="shared" ref="J87" si="18">H87*(-$M87)</f>
        <v>227365.85383986321</v>
      </c>
      <c r="K87" s="21">
        <f t="shared" ref="K87" si="19">I87*(-$M87)</f>
        <v>22577.588283399004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15"/>
    </row>
    <row r="88" spans="1:18">
      <c r="A88" s="3"/>
      <c r="B88" s="71"/>
      <c r="C88" s="71"/>
      <c r="D88" s="3"/>
      <c r="E88" s="21"/>
      <c r="F88" s="21"/>
      <c r="G88" s="20"/>
      <c r="H88" s="21"/>
      <c r="I88" s="21"/>
      <c r="J88" s="21">
        <f t="shared" ref="J88" si="20">H88*(-M88)</f>
        <v>0</v>
      </c>
      <c r="K88" s="21"/>
      <c r="L88" s="5"/>
      <c r="M88" s="1"/>
      <c r="N88" s="4"/>
      <c r="O88" s="4"/>
      <c r="P88" s="15"/>
      <c r="Q88" s="15"/>
      <c r="R88" s="15"/>
    </row>
    <row r="89" spans="1:18">
      <c r="A89" s="3"/>
      <c r="B89" s="71"/>
      <c r="C89" s="71"/>
      <c r="D89" s="3"/>
      <c r="E89" s="21"/>
      <c r="F89" s="21"/>
      <c r="G89" s="20"/>
      <c r="H89" s="21"/>
      <c r="I89" s="21"/>
      <c r="J89" s="21"/>
      <c r="K89" s="21"/>
      <c r="L89" s="5"/>
      <c r="M89" s="1"/>
      <c r="N89" s="4"/>
      <c r="O89" s="4"/>
      <c r="P89" s="15"/>
      <c r="Q89" s="15"/>
      <c r="R89" s="15"/>
    </row>
    <row r="90" spans="1:18">
      <c r="A90" s="3"/>
      <c r="B90" s="71"/>
      <c r="C90" s="71"/>
      <c r="D90" s="3"/>
      <c r="E90" s="21"/>
      <c r="F90" s="21"/>
      <c r="G90" s="20"/>
      <c r="H90" s="21"/>
      <c r="I90" s="21"/>
      <c r="J90" s="21">
        <f t="shared" ref="J90:J91" si="21">H90*(-M90)</f>
        <v>0</v>
      </c>
      <c r="K90" s="21"/>
      <c r="L90" s="5"/>
      <c r="M90" s="1"/>
      <c r="N90" s="4"/>
      <c r="O90" s="4"/>
      <c r="P90" s="15"/>
      <c r="Q90" s="15"/>
      <c r="R90" s="15"/>
    </row>
    <row r="91" spans="1:18">
      <c r="A91" s="3"/>
      <c r="B91" s="71"/>
      <c r="C91" s="71"/>
      <c r="D91" s="3"/>
      <c r="E91" s="21"/>
      <c r="F91" s="21"/>
      <c r="G91" s="20"/>
      <c r="H91" s="21"/>
      <c r="I91" s="21"/>
      <c r="J91" s="21">
        <f t="shared" si="21"/>
        <v>0</v>
      </c>
      <c r="K91" s="21"/>
      <c r="L91" s="5"/>
      <c r="M91" s="1"/>
      <c r="N91" s="4"/>
      <c r="P91" s="15"/>
      <c r="Q91" s="15"/>
      <c r="R91" s="15"/>
    </row>
    <row r="92" spans="1:18">
      <c r="A92" s="3"/>
      <c r="B92" s="71"/>
      <c r="C92" s="71"/>
      <c r="D92" s="3"/>
      <c r="E92" s="21"/>
      <c r="F92" s="21"/>
      <c r="G92" s="20"/>
      <c r="H92" s="21"/>
      <c r="I92" s="21"/>
      <c r="J92" s="21"/>
      <c r="K92" s="21"/>
      <c r="L92" s="5"/>
      <c r="M92" s="1"/>
      <c r="N92" s="4"/>
      <c r="O92" s="4"/>
      <c r="P92" s="15"/>
      <c r="Q92" s="15"/>
      <c r="R92" s="15"/>
    </row>
    <row r="93" spans="1:18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2">H95*(-M95)</f>
        <v>0</v>
      </c>
      <c r="K95" s="21"/>
      <c r="L95" s="5"/>
      <c r="M95" s="1"/>
      <c r="N95" s="4"/>
      <c r="O95" s="4"/>
      <c r="Q95" s="15"/>
      <c r="R95" s="15"/>
    </row>
    <row r="96" spans="1:18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3">H97*(-M97)</f>
        <v>0</v>
      </c>
      <c r="K97" s="21"/>
      <c r="L97" s="5"/>
      <c r="M97" s="1"/>
      <c r="N97" s="4"/>
      <c r="O97" s="4"/>
      <c r="Q97" s="15"/>
      <c r="R97" s="15"/>
    </row>
    <row r="98" spans="1:18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4">H98*(-M98)</f>
        <v>0</v>
      </c>
      <c r="K98" s="21"/>
      <c r="L98" s="5"/>
      <c r="M98" s="1"/>
      <c r="N98" s="4"/>
      <c r="O98" s="4"/>
      <c r="Q98" s="15"/>
      <c r="R98" s="15"/>
    </row>
    <row r="99" spans="1:18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4"/>
        <v>0</v>
      </c>
      <c r="K100" s="21"/>
      <c r="L100" s="5"/>
      <c r="M100" s="1"/>
      <c r="N100" s="4"/>
      <c r="O100" s="4"/>
      <c r="Q100" s="15"/>
      <c r="R100" s="15"/>
    </row>
    <row r="101" spans="1:18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4"/>
        <v>0</v>
      </c>
      <c r="K101" s="21"/>
      <c r="L101" s="5"/>
      <c r="M101" s="1"/>
      <c r="N101" s="4"/>
      <c r="Q101" s="15"/>
      <c r="R101" s="15"/>
    </row>
    <row r="102" spans="1:18">
      <c r="A102" s="3">
        <v>43346</v>
      </c>
      <c r="D102" s="3"/>
      <c r="E102" s="3"/>
      <c r="F102" s="3"/>
      <c r="G102" s="3"/>
      <c r="H102" s="3"/>
      <c r="I102" s="3"/>
      <c r="J102" s="21">
        <f t="shared" si="24"/>
        <v>0</v>
      </c>
      <c r="K102" s="21"/>
      <c r="L102" s="8" t="s">
        <v>201</v>
      </c>
      <c r="M102" s="1">
        <f>SUM(S4:S6)</f>
        <v>512470.65</v>
      </c>
      <c r="N102" s="1"/>
      <c r="O102" s="4"/>
      <c r="Q102" s="15"/>
      <c r="R102" s="15"/>
    </row>
    <row r="103" spans="1:18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4"/>
        <v>0</v>
      </c>
      <c r="K103" s="21"/>
      <c r="M103" s="1"/>
      <c r="N103" s="4"/>
      <c r="O103" s="4"/>
      <c r="Q103" s="15"/>
      <c r="R103" s="15"/>
    </row>
    <row r="104" spans="1:18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4"/>
        <v>0</v>
      </c>
      <c r="K104" s="21"/>
      <c r="M104" s="1"/>
      <c r="N104" s="4"/>
      <c r="O104" s="4"/>
      <c r="P104" s="15"/>
      <c r="Q104" s="15"/>
      <c r="R104" s="15"/>
    </row>
    <row r="105" spans="1:18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4"/>
        <v>0</v>
      </c>
      <c r="K105" s="21"/>
      <c r="M105" s="1"/>
      <c r="N105" s="4"/>
      <c r="P105" s="15"/>
      <c r="Q105" s="15"/>
    </row>
    <row r="106" spans="1:18">
      <c r="A106" s="3"/>
      <c r="D106" s="3"/>
      <c r="E106" s="3"/>
      <c r="F106" s="3"/>
      <c r="G106" s="3"/>
      <c r="H106" s="3"/>
      <c r="I106" s="3"/>
      <c r="J106" s="21">
        <f t="shared" si="24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>
      <c r="J107" s="21">
        <f t="shared" si="24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>
      <c r="J108" s="21">
        <f t="shared" si="24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>
      <c r="P109" s="63"/>
      <c r="Q109" s="15"/>
    </row>
    <row r="110" spans="1:18">
      <c r="P110" s="63"/>
    </row>
    <row r="111" spans="1:18">
      <c r="P111" s="63"/>
    </row>
    <row r="112" spans="1:18">
      <c r="P112" s="63"/>
    </row>
    <row r="113" spans="14:16">
      <c r="P113" s="63"/>
    </row>
    <row r="114" spans="14:16">
      <c r="P114" s="63"/>
    </row>
    <row r="115" spans="14:16">
      <c r="P115" s="63"/>
    </row>
    <row r="116" spans="14:16">
      <c r="P116" s="63"/>
    </row>
    <row r="117" spans="14:16">
      <c r="P117" s="63"/>
    </row>
    <row r="118" spans="14:16">
      <c r="P118" s="63"/>
    </row>
    <row r="119" spans="14:16">
      <c r="P119" s="63"/>
    </row>
    <row r="120" spans="14:16">
      <c r="P120" s="63"/>
    </row>
    <row r="121" spans="14:16">
      <c r="P121" s="63"/>
    </row>
    <row r="122" spans="14:16">
      <c r="P122" s="63"/>
    </row>
    <row r="123" spans="14:16">
      <c r="P123" s="63"/>
    </row>
    <row r="124" spans="14:16">
      <c r="P124" s="63"/>
    </row>
    <row r="125" spans="14:16">
      <c r="P125" s="63"/>
    </row>
    <row r="126" spans="14:16">
      <c r="N126">
        <f>SUMIF(C:C,"=医药",J:J)/SUMIF(C:C,"=医药",M:M)*-1</f>
        <v>29.393669147742237</v>
      </c>
      <c r="P126" s="63"/>
    </row>
    <row r="127" spans="14:16">
      <c r="P127" s="63"/>
    </row>
    <row r="128" spans="14:16">
      <c r="P128" s="63"/>
    </row>
    <row r="129" spans="16:16">
      <c r="P129" s="63"/>
    </row>
    <row r="130" spans="16:16">
      <c r="P130" s="63"/>
    </row>
    <row r="131" spans="16:16">
      <c r="P131" s="63"/>
    </row>
    <row r="132" spans="16:16">
      <c r="P132" s="63"/>
    </row>
    <row r="133" spans="16:16">
      <c r="P133" s="63"/>
    </row>
    <row r="134" spans="16:16">
      <c r="P134" s="63"/>
    </row>
    <row r="135" spans="16:16">
      <c r="P135" s="63"/>
    </row>
    <row r="136" spans="16:16">
      <c r="P136" s="63"/>
    </row>
  </sheetData>
  <autoFilter ref="A1:W108"/>
  <sortState ref="A2:F60">
    <sortCondition ref="A1"/>
  </sortState>
  <mergeCells count="2">
    <mergeCell ref="Y19:Y20"/>
    <mergeCell ref="Y23:Y24"/>
  </mergeCells>
  <phoneticPr fontId="3" type="noConversion"/>
  <conditionalFormatting sqref="N2:N16 N26:N42 N19:N24">
    <cfRule type="cellIs" dxfId="40" priority="53" operator="greaterThan">
      <formula>3</formula>
    </cfRule>
  </conditionalFormatting>
  <conditionalFormatting sqref="N43:N47 N102:N104">
    <cfRule type="cellIs" dxfId="39" priority="52" operator="greaterThan">
      <formula>3</formula>
    </cfRule>
  </conditionalFormatting>
  <conditionalFormatting sqref="N48">
    <cfRule type="cellIs" dxfId="38" priority="50" operator="greaterThan">
      <formula>3</formula>
    </cfRule>
  </conditionalFormatting>
  <conditionalFormatting sqref="N49">
    <cfRule type="cellIs" dxfId="37" priority="49" operator="greaterThan">
      <formula>3</formula>
    </cfRule>
  </conditionalFormatting>
  <conditionalFormatting sqref="N50">
    <cfRule type="cellIs" dxfId="36" priority="48" operator="greaterThan">
      <formula>3</formula>
    </cfRule>
  </conditionalFormatting>
  <conditionalFormatting sqref="N52">
    <cfRule type="cellIs" dxfId="35" priority="47" operator="greaterThan">
      <formula>3</formula>
    </cfRule>
  </conditionalFormatting>
  <conditionalFormatting sqref="N53">
    <cfRule type="cellIs" dxfId="34" priority="46" operator="greaterThan">
      <formula>3</formula>
    </cfRule>
  </conditionalFormatting>
  <conditionalFormatting sqref="N54 N60 N77">
    <cfRule type="cellIs" dxfId="33" priority="45" operator="greaterThan">
      <formula>3</formula>
    </cfRule>
  </conditionalFormatting>
  <conditionalFormatting sqref="N51">
    <cfRule type="cellIs" dxfId="32" priority="44" operator="greaterThan">
      <formula>3</formula>
    </cfRule>
  </conditionalFormatting>
  <conditionalFormatting sqref="N25">
    <cfRule type="cellIs" dxfId="31" priority="42" operator="greaterThan">
      <formula>3</formula>
    </cfRule>
  </conditionalFormatting>
  <conditionalFormatting sqref="N55">
    <cfRule type="cellIs" dxfId="30" priority="40" operator="greaterThan">
      <formula>3</formula>
    </cfRule>
  </conditionalFormatting>
  <conditionalFormatting sqref="N56">
    <cfRule type="cellIs" dxfId="29" priority="39" operator="greaterThan">
      <formula>3</formula>
    </cfRule>
  </conditionalFormatting>
  <conditionalFormatting sqref="N57">
    <cfRule type="cellIs" dxfId="28" priority="37" operator="greaterThan">
      <formula>3</formula>
    </cfRule>
  </conditionalFormatting>
  <conditionalFormatting sqref="N58">
    <cfRule type="cellIs" dxfId="27" priority="36" operator="greaterThan">
      <formula>3</formula>
    </cfRule>
  </conditionalFormatting>
  <conditionalFormatting sqref="N59">
    <cfRule type="cellIs" dxfId="26" priority="35" operator="greaterThan">
      <formula>3</formula>
    </cfRule>
  </conditionalFormatting>
  <conditionalFormatting sqref="N70">
    <cfRule type="cellIs" dxfId="25" priority="34" operator="greaterThan">
      <formula>3</formula>
    </cfRule>
  </conditionalFormatting>
  <conditionalFormatting sqref="N61">
    <cfRule type="cellIs" dxfId="24" priority="32" operator="greaterThan">
      <formula>3</formula>
    </cfRule>
  </conditionalFormatting>
  <conditionalFormatting sqref="N62:N63 N69">
    <cfRule type="cellIs" dxfId="23" priority="31" operator="greaterThan">
      <formula>3</formula>
    </cfRule>
  </conditionalFormatting>
  <conditionalFormatting sqref="N66">
    <cfRule type="cellIs" dxfId="22" priority="27" operator="greaterThan">
      <formula>3</formula>
    </cfRule>
  </conditionalFormatting>
  <conditionalFormatting sqref="N65">
    <cfRule type="cellIs" dxfId="21" priority="28" operator="greaterThan">
      <formula>3</formula>
    </cfRule>
  </conditionalFormatting>
  <conditionalFormatting sqref="N64">
    <cfRule type="cellIs" dxfId="20" priority="29" operator="greaterThan">
      <formula>3</formula>
    </cfRule>
  </conditionalFormatting>
  <conditionalFormatting sqref="N68">
    <cfRule type="cellIs" dxfId="19" priority="25" operator="greaterThan">
      <formula>3</formula>
    </cfRule>
  </conditionalFormatting>
  <conditionalFormatting sqref="N67">
    <cfRule type="cellIs" dxfId="18" priority="26" operator="greaterThan">
      <formula>3</formula>
    </cfRule>
  </conditionalFormatting>
  <conditionalFormatting sqref="N17:N18">
    <cfRule type="cellIs" dxfId="17" priority="24" operator="greaterThan">
      <formula>3</formula>
    </cfRule>
  </conditionalFormatting>
  <conditionalFormatting sqref="N76">
    <cfRule type="cellIs" dxfId="16" priority="23" operator="greaterThan">
      <formula>3</formula>
    </cfRule>
  </conditionalFormatting>
  <conditionalFormatting sqref="N71">
    <cfRule type="cellIs" dxfId="15" priority="22" operator="greaterThan">
      <formula>3</formula>
    </cfRule>
  </conditionalFormatting>
  <conditionalFormatting sqref="N73">
    <cfRule type="cellIs" dxfId="14" priority="21" operator="greaterThan">
      <formula>3</formula>
    </cfRule>
  </conditionalFormatting>
  <conditionalFormatting sqref="N75">
    <cfRule type="cellIs" dxfId="13" priority="20" operator="greaterThan">
      <formula>3</formula>
    </cfRule>
  </conditionalFormatting>
  <conditionalFormatting sqref="N74">
    <cfRule type="cellIs" dxfId="12" priority="19" operator="greaterThan">
      <formula>3</formula>
    </cfRule>
  </conditionalFormatting>
  <conditionalFormatting sqref="N72">
    <cfRule type="cellIs" dxfId="11" priority="17" operator="greaterThan">
      <formula>3</formula>
    </cfRule>
  </conditionalFormatting>
  <conditionalFormatting sqref="N78">
    <cfRule type="cellIs" dxfId="10" priority="16" operator="greaterThan">
      <formula>3</formula>
    </cfRule>
  </conditionalFormatting>
  <conditionalFormatting sqref="N79">
    <cfRule type="cellIs" dxfId="9" priority="15" operator="greaterThan">
      <formula>3</formula>
    </cfRule>
  </conditionalFormatting>
  <conditionalFormatting sqref="N80">
    <cfRule type="cellIs" dxfId="8" priority="14" operator="greaterThan">
      <formula>3</formula>
    </cfRule>
  </conditionalFormatting>
  <conditionalFormatting sqref="N81">
    <cfRule type="cellIs" dxfId="7" priority="13" operator="greaterThan">
      <formula>3</formula>
    </cfRule>
  </conditionalFormatting>
  <conditionalFormatting sqref="N88:N101">
    <cfRule type="cellIs" dxfId="6" priority="8" operator="greaterThan">
      <formula>3</formula>
    </cfRule>
  </conditionalFormatting>
  <conditionalFormatting sqref="N82">
    <cfRule type="cellIs" dxfId="5" priority="7" operator="greaterThan">
      <formula>3</formula>
    </cfRule>
  </conditionalFormatting>
  <conditionalFormatting sqref="N83">
    <cfRule type="cellIs" dxfId="4" priority="6" operator="greaterThan">
      <formula>3</formula>
    </cfRule>
  </conditionalFormatting>
  <conditionalFormatting sqref="N84">
    <cfRule type="cellIs" dxfId="3" priority="5" operator="greaterThan">
      <formula>3</formula>
    </cfRule>
  </conditionalFormatting>
  <conditionalFormatting sqref="N85">
    <cfRule type="cellIs" dxfId="2" priority="4" operator="greaterThan">
      <formula>3</formula>
    </cfRule>
  </conditionalFormatting>
  <conditionalFormatting sqref="N86">
    <cfRule type="cellIs" dxfId="1" priority="2" operator="greaterThan">
      <formula>3</formula>
    </cfRule>
  </conditionalFormatting>
  <conditionalFormatting sqref="N87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D63" sqref="D63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4.1875474563401669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>
      <c r="D5" s="31">
        <f>E3*D3</f>
        <v>10.991614148316881</v>
      </c>
      <c r="R5" s="47"/>
    </row>
    <row r="6" spans="2:19" s="29" customFormat="1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92</v>
      </c>
      <c r="D8" s="37">
        <f>已投部分年化收益率!T27</f>
        <v>10.747435271128481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>
      <c r="D11" s="37">
        <f>已投部分年化收益率!T28</f>
        <v>37.571157495256166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10.725893824485373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43318</v>
      </c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23.551802069703818</v>
      </c>
      <c r="E17" s="37">
        <v>0.8407</v>
      </c>
      <c r="F17" s="37">
        <v>0.8407</v>
      </c>
      <c r="G17" s="37"/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23.411826985689665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11.369710467706014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8.2407661469933196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43318</v>
      </c>
      <c r="G27" s="15">
        <v>43137</v>
      </c>
      <c r="H27" s="15">
        <v>42947</v>
      </c>
      <c r="I27" s="15">
        <v>42878</v>
      </c>
      <c r="J27" s="15">
        <v>42853</v>
      </c>
      <c r="K27" s="15">
        <v>42850</v>
      </c>
      <c r="L27" s="15">
        <v>42825</v>
      </c>
      <c r="M27" s="15">
        <v>42751</v>
      </c>
      <c r="N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37.27649650168437</v>
      </c>
      <c r="E28">
        <v>0.79069999999999996</v>
      </c>
      <c r="F28">
        <v>0.7732</v>
      </c>
      <c r="G28">
        <v>0.78710000000000002</v>
      </c>
      <c r="H28">
        <v>0.78820000000000001</v>
      </c>
      <c r="I28">
        <v>0.78549999999999998</v>
      </c>
      <c r="J28">
        <v>0.80200000000000005</v>
      </c>
      <c r="K28">
        <v>0.80249999999999999</v>
      </c>
      <c r="L28">
        <v>0.81530000000000002</v>
      </c>
      <c r="M28">
        <v>0.76600000000000001</v>
      </c>
      <c r="N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2:16">
      <c r="D30" s="31">
        <f>E28*D28</f>
        <v>29.47452578388183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25.05212334028311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>
      <c r="D35" s="31">
        <f>E33*D33</f>
        <v>23.992418522989134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43279</v>
      </c>
      <c r="G37" s="15">
        <v>43216</v>
      </c>
      <c r="H37" s="15">
        <v>43144</v>
      </c>
      <c r="I37" s="15">
        <v>43069</v>
      </c>
      <c r="J37" s="15">
        <v>43041</v>
      </c>
      <c r="K37" s="15">
        <v>42979</v>
      </c>
      <c r="L37" s="15">
        <v>42675</v>
      </c>
      <c r="M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38.267949666913395</v>
      </c>
      <c r="E38">
        <v>0.71379999999999999</v>
      </c>
      <c r="F38">
        <v>0.59150000000000003</v>
      </c>
      <c r="G38">
        <v>0.68720000000000003</v>
      </c>
      <c r="H38">
        <v>0.67079999999999995</v>
      </c>
      <c r="I38">
        <v>0.76829999999999998</v>
      </c>
      <c r="J38">
        <v>0.80500000000000005</v>
      </c>
      <c r="K38">
        <v>0.77470000000000006</v>
      </c>
      <c r="L38">
        <v>0.78159999999999996</v>
      </c>
      <c r="M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2:17">
      <c r="D40" s="31">
        <f>D38*E38</f>
        <v>27.315662472242781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已投部分年化收益率!T36</f>
        <v>7.5871224692997012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7.7039641553269176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6.8242848803269114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10.236427320490368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(E48*D48*SUM(G49:AB49)+E51*D51*SUM(F52:AA52))/(SUM(G49:AB49)+SUM(F52:AA52))</f>
        <v>11.236321541155867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33.924549549549553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29.806109234234238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226</v>
      </c>
      <c r="C61" s="46" t="s">
        <v>196</v>
      </c>
      <c r="D61" s="21">
        <f>已投部分年化收益率!V34</f>
        <v>1.2685443990539669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227</v>
      </c>
      <c r="F62">
        <v>1</v>
      </c>
      <c r="G62">
        <v>1</v>
      </c>
      <c r="H62">
        <v>1</v>
      </c>
    </row>
    <row r="63" spans="2:17">
      <c r="D63" s="31">
        <f>E61*D61</f>
        <v>1.1584347452160826</v>
      </c>
    </row>
    <row r="66" spans="2:7">
      <c r="D66" s="46"/>
      <c r="E66" s="21"/>
    </row>
    <row r="67" spans="2:7">
      <c r="B67" s="15"/>
      <c r="D67" s="46"/>
      <c r="E67" s="21"/>
    </row>
    <row r="68" spans="2:7">
      <c r="B68" s="15"/>
      <c r="D68" s="46"/>
      <c r="E68" s="21"/>
      <c r="G68" s="15"/>
    </row>
    <row r="69" spans="2:7">
      <c r="B69" s="15"/>
      <c r="D69" s="46"/>
      <c r="E69" s="21"/>
    </row>
    <row r="70" spans="2:7">
      <c r="B70" s="15"/>
      <c r="D70" s="46"/>
      <c r="E70" s="21"/>
      <c r="G70" s="15"/>
    </row>
    <row r="71" spans="2:7">
      <c r="B71" s="15"/>
      <c r="D71" s="46"/>
      <c r="E71" s="21"/>
    </row>
    <row r="72" spans="2:7">
      <c r="B72" s="15"/>
      <c r="D72" s="46"/>
      <c r="E72" s="21"/>
      <c r="G72" s="15"/>
    </row>
    <row r="73" spans="2:7">
      <c r="B73" s="15"/>
      <c r="D73" s="46"/>
      <c r="E73" s="21"/>
    </row>
    <row r="74" spans="2:7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C20" sqref="C20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已投部分年化收益率!Y13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0.31886923749999979</v>
      </c>
      <c r="H3" s="19">
        <f>D26+D16+D17+D18+D19</f>
        <v>0.30149999999999999</v>
      </c>
    </row>
    <row r="4" spans="1:18">
      <c r="A4" s="25"/>
      <c r="B4" s="2" t="s">
        <v>46</v>
      </c>
      <c r="C4" s="28">
        <f>已投部分年化收益率!Y14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0.65868450000000023</v>
      </c>
      <c r="H4" s="19">
        <f>1-H3-H5</f>
        <v>0.68510000000000004</v>
      </c>
    </row>
    <row r="5" spans="1:18">
      <c r="A5" s="25"/>
      <c r="B5" s="2" t="s">
        <v>42</v>
      </c>
      <c r="C5" s="19">
        <f>已投部分年化收益率!Y15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>
      <c r="A6" s="25"/>
      <c r="B6" s="2" t="s">
        <v>18</v>
      </c>
      <c r="C6" s="28">
        <f>已投部分年化收益率!Y16</f>
        <v>0.2110085125</v>
      </c>
      <c r="D6" s="18">
        <f>(11+8+1+2)*0.0067</f>
        <v>0.1474</v>
      </c>
      <c r="E6" s="50"/>
      <c r="M6" s="3"/>
    </row>
    <row r="7" spans="1:18">
      <c r="A7" s="25"/>
      <c r="B7" s="2" t="s">
        <v>19</v>
      </c>
      <c r="C7" s="28">
        <f>已投部分年化收益率!Y17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已投部分年化收益率!Y18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>
      <c r="A9" s="25"/>
      <c r="B9" s="2" t="s">
        <v>68</v>
      </c>
      <c r="C9" s="28">
        <f>已投部分年化收益率!Y19</f>
        <v>4.5076224999999998E-2</v>
      </c>
      <c r="D9" s="18">
        <f>9*0.0067</f>
        <v>6.0299999999999999E-2</v>
      </c>
      <c r="E9" s="54">
        <f t="shared" si="0"/>
        <v>1.8794783950617286</v>
      </c>
      <c r="M9" s="3"/>
    </row>
    <row r="10" spans="1:18">
      <c r="A10" s="25"/>
      <c r="B10" s="25" t="s">
        <v>56</v>
      </c>
      <c r="C10" s="19">
        <f>已投部分年化收益率!Y22</f>
        <v>2.3985175000000001E-2</v>
      </c>
      <c r="D10" s="18">
        <f>3*0.0067</f>
        <v>2.01E-2</v>
      </c>
      <c r="E10" s="50"/>
      <c r="M10" s="3"/>
    </row>
    <row r="11" spans="1:18">
      <c r="A11" s="25"/>
      <c r="B11" s="25" t="s">
        <v>59</v>
      </c>
      <c r="C11" s="19">
        <f>已投部分年化收益率!Y34</f>
        <v>2.4E-2</v>
      </c>
      <c r="D11" s="18">
        <f>3*0.0067</f>
        <v>2.01E-2</v>
      </c>
      <c r="E11" s="50"/>
    </row>
    <row r="12" spans="1:18">
      <c r="A12" s="25"/>
      <c r="B12" s="25" t="s">
        <v>60</v>
      </c>
      <c r="C12" s="28">
        <f>已投部分年化收益率!Y21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>
      <c r="A13" s="25"/>
      <c r="B13" s="25" t="s">
        <v>57</v>
      </c>
      <c r="C13" s="19">
        <f>已投部分年化收益率!Y25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>
      <c r="A14" s="25"/>
      <c r="B14" s="2" t="s">
        <v>37</v>
      </c>
      <c r="C14" s="19">
        <f>已投部分年化收益率!Y23</f>
        <v>5.2069037499999998E-2</v>
      </c>
      <c r="D14" s="18">
        <f>8*0.0067</f>
        <v>5.3600000000000002E-2</v>
      </c>
      <c r="E14" s="50"/>
    </row>
    <row r="15" spans="1:18">
      <c r="A15" s="25"/>
      <c r="B15" s="2" t="s">
        <v>35</v>
      </c>
      <c r="C15" s="19">
        <f>已投部分年化收益率!Y39</f>
        <v>2.4E-2</v>
      </c>
      <c r="D15" s="18">
        <f>3*0.0067</f>
        <v>2.01E-2</v>
      </c>
      <c r="E15" s="50"/>
    </row>
    <row r="16" spans="1:18">
      <c r="A16" s="25"/>
      <c r="B16" s="2" t="s">
        <v>33</v>
      </c>
      <c r="C16" s="19">
        <f>已投部分年化收益率!Y38</f>
        <v>2.3474862499999999E-2</v>
      </c>
      <c r="D16" s="18">
        <f>3*0.0067</f>
        <v>2.01E-2</v>
      </c>
      <c r="E16" s="50"/>
    </row>
    <row r="17" spans="1:28">
      <c r="A17" s="25"/>
      <c r="B17" s="2" t="s">
        <v>34</v>
      </c>
      <c r="C17" s="19">
        <f>已投部分年化收益率!Y37</f>
        <v>4.2190250000000004E-3</v>
      </c>
      <c r="D17" s="18">
        <f>3*0.0067</f>
        <v>2.01E-2</v>
      </c>
      <c r="E17" s="50"/>
    </row>
    <row r="18" spans="1:28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>
      <c r="A20" s="25"/>
      <c r="B20" s="2" t="s">
        <v>36</v>
      </c>
      <c r="C20" s="19">
        <f>已投部分年化收益率!Y35</f>
        <v>1.225E-2</v>
      </c>
      <c r="D20" s="18">
        <v>1.34E-2</v>
      </c>
      <c r="E20" s="50"/>
      <c r="O20" s="4"/>
      <c r="P20" s="4"/>
      <c r="Q20" s="4"/>
      <c r="R20" s="4"/>
    </row>
    <row r="21" spans="1:28">
      <c r="A21" s="25"/>
      <c r="B21" s="68" t="s">
        <v>200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>
      <c r="A22" s="25"/>
      <c r="B22" s="2" t="s">
        <v>71</v>
      </c>
      <c r="C22" s="28">
        <f>已投部分年化收益率!Y36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39</v>
      </c>
      <c r="C23" s="19">
        <f>已投部分年化收益率!Y40</f>
        <v>8.0536124999999997E-3</v>
      </c>
      <c r="D23" s="18">
        <f>1*0.0067</f>
        <v>6.7000000000000002E-3</v>
      </c>
      <c r="E23" s="50"/>
    </row>
    <row r="24" spans="1:28">
      <c r="B24" s="2" t="s">
        <v>67</v>
      </c>
      <c r="C24" s="19">
        <f>已投部分年化收益率!Y41</f>
        <v>1.4392650000000002E-2</v>
      </c>
      <c r="D24" s="18">
        <v>0</v>
      </c>
      <c r="E24" s="50"/>
    </row>
    <row r="25" spans="1:28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>
      <c r="B26" s="25" t="s">
        <v>66</v>
      </c>
      <c r="C26" s="19">
        <f>已投部分年化收益率!Y42</f>
        <v>0.29117534999999983</v>
      </c>
      <c r="D26" s="18">
        <f>36*0.0067</f>
        <v>0.2412</v>
      </c>
      <c r="E26" s="50"/>
    </row>
    <row r="27" spans="1:28">
      <c r="F27" t="s">
        <v>102</v>
      </c>
      <c r="H27" t="s">
        <v>101</v>
      </c>
      <c r="I27" t="s">
        <v>103</v>
      </c>
      <c r="J27" t="s">
        <v>213</v>
      </c>
    </row>
    <row r="28" spans="1:28">
      <c r="F28" t="s">
        <v>77</v>
      </c>
      <c r="G28" s="19">
        <f>C3</f>
        <v>5.8900000000000001E-2</v>
      </c>
      <c r="H28" s="1">
        <f>已投部分年化收益率!W13</f>
        <v>10.981644135782176</v>
      </c>
      <c r="I28" s="1">
        <f>ETF计划成本计算!D5</f>
        <v>10.991614148316881</v>
      </c>
      <c r="J28" s="18">
        <f>已投部分年化收益率!S13/H28-1</f>
        <v>4.4033355679649056E-3</v>
      </c>
    </row>
    <row r="29" spans="1:28">
      <c r="F29" t="s">
        <v>84</v>
      </c>
      <c r="G29" s="19">
        <f>C5</f>
        <v>3.9856999999999997E-2</v>
      </c>
      <c r="H29" s="1">
        <f>已投部分年化收益率!W15</f>
        <v>11.53132941400186</v>
      </c>
      <c r="I29" s="1">
        <f>ETF计划成本计算!D53</f>
        <v>11.236321541155867</v>
      </c>
      <c r="J29" s="18">
        <f>已投部分年化收益率!S15/H29-1</f>
        <v>1.3759956055498179E-2</v>
      </c>
    </row>
    <row r="30" spans="1:28">
      <c r="F30" t="s">
        <v>78</v>
      </c>
      <c r="G30" s="19">
        <f>C6</f>
        <v>0.2110085125</v>
      </c>
      <c r="H30" s="55">
        <f>已投部分年化收益率!W16</f>
        <v>22.598910086325166</v>
      </c>
      <c r="I30" s="4">
        <f>ETF计划成本计算!D20</f>
        <v>23.411826985689665</v>
      </c>
      <c r="J30" s="18">
        <f>已投部分年化收益率!S16/H30-1</f>
        <v>-0.12385155193917141</v>
      </c>
    </row>
    <row r="31" spans="1:28">
      <c r="F31" t="s">
        <v>79</v>
      </c>
      <c r="G31" s="19">
        <f>C7</f>
        <v>4.9623162499999998E-2</v>
      </c>
      <c r="H31" s="1">
        <f>已投部分年化收益率!W17</f>
        <v>27.921186306144762</v>
      </c>
      <c r="I31" s="27" t="s">
        <v>115</v>
      </c>
      <c r="J31" s="18">
        <f>已投部分年化收益率!S17/H31-1</f>
        <v>-0.18592284186013652</v>
      </c>
    </row>
    <row r="32" spans="1:28">
      <c r="F32" t="s">
        <v>228</v>
      </c>
      <c r="G32" s="19">
        <f>C8</f>
        <v>1.6085612499999999E-2</v>
      </c>
      <c r="H32" s="1">
        <f>已投部分年化收益率!W18</f>
        <v>37.256205640613935</v>
      </c>
      <c r="I32" s="27"/>
      <c r="J32" s="18">
        <f>已投部分年化收益率!S18/H32-1</f>
        <v>-4.0428315624605138E-2</v>
      </c>
    </row>
    <row r="33" spans="6:10">
      <c r="F33" t="s">
        <v>80</v>
      </c>
      <c r="G33" s="19">
        <f>C9</f>
        <v>4.5076224999999998E-2</v>
      </c>
      <c r="H33" s="1">
        <f>已投部分年化收益率!W19</f>
        <v>29.393669147742237</v>
      </c>
      <c r="I33" s="1">
        <f>ETF计划成本计算!D30</f>
        <v>29.47452578388183</v>
      </c>
      <c r="J33" s="18">
        <f>已投部分年化收益率!S19/H33-1</f>
        <v>-2.1217805256209088E-2</v>
      </c>
    </row>
    <row r="34" spans="6:10">
      <c r="F34" t="s">
        <v>81</v>
      </c>
      <c r="G34" s="19">
        <f>C12</f>
        <v>5.6750000000000002E-2</v>
      </c>
      <c r="H34" s="1">
        <f>已投部分年化收益率!W21</f>
        <v>24.609610138201177</v>
      </c>
      <c r="I34" s="1">
        <f>ETF计划成本计算!D35</f>
        <v>23.992418522989134</v>
      </c>
      <c r="J34" s="18">
        <f>已投部分年化收益率!S21/H34-1</f>
        <v>-7.23136257830721E-2</v>
      </c>
    </row>
    <row r="35" spans="6:10">
      <c r="F35" t="s">
        <v>82</v>
      </c>
      <c r="G35" s="19">
        <f>C14</f>
        <v>5.2069037499999998E-2</v>
      </c>
      <c r="H35" s="56">
        <f>已投部分年化收益率!W23</f>
        <v>26.204178663494215</v>
      </c>
      <c r="I35" s="1">
        <f>ETF计划成本计算!D40</f>
        <v>27.315662472242781</v>
      </c>
      <c r="J35" s="18">
        <f>已投部分年化收益率!S24/H35-1</f>
        <v>-0.21081289112068624</v>
      </c>
    </row>
    <row r="36" spans="6:10">
      <c r="F36" t="s">
        <v>83</v>
      </c>
      <c r="G36" s="19">
        <f>C13</f>
        <v>3.70254125E-2</v>
      </c>
      <c r="H36" s="1">
        <f>已投部分年化收益率!W25</f>
        <v>29.659616752836897</v>
      </c>
      <c r="I36" s="1">
        <f>ETF计划成本计算!D58</f>
        <v>29.806109234234238</v>
      </c>
      <c r="J36" s="18">
        <f>已投部分年化收益率!S25/H36-1</f>
        <v>-0.18744735642294252</v>
      </c>
    </row>
    <row r="37" spans="6:10">
      <c r="F37" t="s">
        <v>225</v>
      </c>
      <c r="G37" s="19">
        <f>C11</f>
        <v>2.4E-2</v>
      </c>
      <c r="H37" s="1">
        <f>已投部分年化收益率!X34</f>
        <v>1.1519228839676054</v>
      </c>
      <c r="I37" s="1">
        <f>ETF计划成本计算!D63</f>
        <v>1.1584347452160826</v>
      </c>
      <c r="J37" s="18">
        <f>已投部分年化收益率!U34/H37-1</f>
        <v>2.4374128184421195E-2</v>
      </c>
    </row>
    <row r="38" spans="6:10">
      <c r="F38" t="s">
        <v>240</v>
      </c>
      <c r="G38" s="19">
        <f>C10</f>
        <v>2.3985175000000001E-2</v>
      </c>
      <c r="H38" s="1">
        <f>已投部分年化收益率!X22</f>
        <v>1.4215343285340694</v>
      </c>
      <c r="J38" s="18">
        <f>已投部分年化收益率!U22/资产配置表!H38-1</f>
        <v>-0.14177239654978846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zoomScaleNormal="100" workbookViewId="0">
      <selection activeCell="A46" sqref="A46"/>
    </sheetView>
  </sheetViews>
  <sheetFormatPr defaultRowHeight="13.5"/>
  <cols>
    <col min="1" max="1" width="11" bestFit="1" customWidth="1"/>
    <col min="9" max="9" width="10" customWidth="1"/>
  </cols>
  <sheetData>
    <row r="1" spans="1:17">
      <c r="C1">
        <v>3</v>
      </c>
      <c r="D1">
        <v>5</v>
      </c>
      <c r="E1">
        <v>7</v>
      </c>
      <c r="I1" s="79"/>
      <c r="J1" s="79"/>
      <c r="K1" s="79"/>
      <c r="O1" s="77" t="s">
        <v>231</v>
      </c>
      <c r="P1" s="77" t="s">
        <v>232</v>
      </c>
      <c r="Q1" s="77" t="s">
        <v>233</v>
      </c>
    </row>
    <row r="2" spans="1:17">
      <c r="A2" t="s">
        <v>230</v>
      </c>
      <c r="B2" s="1">
        <f>Q2*0.3</f>
        <v>6.5190000000000001</v>
      </c>
      <c r="C2" s="21">
        <f>$B2^(1/$C$1)/(0.97*$P$2^(1/$C$1))</f>
        <v>0.86642864893365878</v>
      </c>
      <c r="D2" s="21">
        <f>$B2^(1/$D$1)/(0.97*$P$2^(1/$D$1))</f>
        <v>0.92881878170442045</v>
      </c>
      <c r="E2" s="21">
        <f>$B2^(1/$E$1)/(0.97*$P$2^(1/$E$1))</f>
        <v>0.95691435110599454</v>
      </c>
      <c r="I2" s="77" t="s">
        <v>242</v>
      </c>
      <c r="J2" s="77" t="s">
        <v>243</v>
      </c>
      <c r="K2" s="77" t="s">
        <v>244</v>
      </c>
      <c r="N2" t="s">
        <v>217</v>
      </c>
      <c r="O2" s="18">
        <f>资产配置表!G28</f>
        <v>5.8900000000000001E-2</v>
      </c>
      <c r="P2" s="1">
        <f>资产配置表!H28</f>
        <v>10.981644135782176</v>
      </c>
      <c r="Q2">
        <v>21.73</v>
      </c>
    </row>
    <row r="3" spans="1:17">
      <c r="A3" s="19">
        <f>O2</f>
        <v>5.8900000000000001E-2</v>
      </c>
      <c r="B3" s="1">
        <f>Q2*0.5</f>
        <v>10.865</v>
      </c>
      <c r="C3" s="21">
        <f t="shared" ref="C3:C4" si="0">$B3^(1/$C$1)/(0.97*$P$2^(1/$C$1))</f>
        <v>1.0272647534035009</v>
      </c>
      <c r="D3" s="21">
        <f t="shared" ref="D3:D4" si="1">$B3^(1/$D$1)/(0.97*$P$2^(1/$D$1))</f>
        <v>1.0287284215926968</v>
      </c>
      <c r="E3" s="21">
        <f t="shared" ref="E3:E4" si="2">$B3^(1/$E$1)/(0.97*$P$2^(1/$E$1))</f>
        <v>1.0293563461939488</v>
      </c>
      <c r="G3" t="s">
        <v>236</v>
      </c>
      <c r="H3" s="80" t="s">
        <v>237</v>
      </c>
      <c r="I3" s="18">
        <f>C2*$A$3+C6*$A$7+C10*$A$11+C14*$A$15+C18*$A$19+C22*$A$23+C26*$A$27+C30*$A$31+C34*$A$35+C38*$A$39+C42*$A$43+C46*$A$47+C50*$A$51+C54*$A$55+C58*$A$59-1</f>
        <v>2.1925552097368239E-2</v>
      </c>
      <c r="J3" s="18">
        <f t="shared" ref="J3:K3" si="3">D2*$A$3+D6*$A$7+D10*$A$11+D14*$A$15+D18*$A$19+D22*$A$23+D26*$A$27+D30*$A$31+D34*$A$35+D38*$A$39+D42*$A$43+D46*$A$47+D50*$A$51+D54*$A$55+D58*$A$59-1</f>
        <v>2.7263778900908253E-2</v>
      </c>
      <c r="K3" s="18">
        <f t="shared" si="3"/>
        <v>2.9897372818285195E-2</v>
      </c>
      <c r="N3" t="s">
        <v>218</v>
      </c>
      <c r="O3" s="18">
        <f>资产配置表!G29</f>
        <v>3.9856999999999997E-2</v>
      </c>
      <c r="P3" s="1">
        <f>资产配置表!H29</f>
        <v>11.53132941400186</v>
      </c>
      <c r="Q3">
        <v>19</v>
      </c>
    </row>
    <row r="4" spans="1:17">
      <c r="B4" s="1">
        <f>Q2*0.7</f>
        <v>15.210999999999999</v>
      </c>
      <c r="C4" s="21">
        <f t="shared" si="0"/>
        <v>1.149189720222469</v>
      </c>
      <c r="D4" s="21">
        <f t="shared" si="1"/>
        <v>1.1003385935388212</v>
      </c>
      <c r="E4" s="21">
        <f t="shared" si="2"/>
        <v>1.0800433321287353</v>
      </c>
      <c r="H4" s="80" t="s">
        <v>238</v>
      </c>
      <c r="I4" s="18">
        <f t="shared" ref="I4:I5" si="4">C3*$A$3+C7*$A$7+C11*$A$11+C15*$A$15+C19*$A$19+C23*$A$23+C27*$A$27+C31*$A$31+C35*$A$35+C39*$A$39+C43*$A$43+C47*$A$47+C51*$A$51+C55*$A$55+C59*$A$59-1</f>
        <v>0.13662402077946334</v>
      </c>
      <c r="J4" s="18">
        <f t="shared" ref="J4:J5" si="5">D3*$A$3+D7*$A$7+D11*$A$11+D15*$A$15+D19*$A$19+D23*$A$23+D27*$A$27+D31*$A$31+D35*$A$35+D39*$A$39+D43*$A$43+D47*$A$47+D51*$A$51+D55*$A$55+D59*$A$59-1</f>
        <v>9.4301503954988375E-2</v>
      </c>
      <c r="K4" s="18">
        <f t="shared" ref="K4:K5" si="6">E3*$A$3+E7*$A$7+E11*$A$11+E15*$A$15+E19*$A$19+E23*$A$23+E27*$A$27+E31*$A$31+E35*$A$35+E39*$A$39+E43*$A$43+E47*$A$47+E51*$A$51+E55*$A$55+E59*$A$59-1</f>
        <v>7.7276991367943193E-2</v>
      </c>
      <c r="N4" t="s">
        <v>219</v>
      </c>
      <c r="O4" s="18">
        <f>资产配置表!G30</f>
        <v>0.2110085125</v>
      </c>
      <c r="P4" s="1">
        <f>资产配置表!H30</f>
        <v>22.598910086325166</v>
      </c>
      <c r="Q4">
        <v>83.24</v>
      </c>
    </row>
    <row r="5" spans="1:17">
      <c r="B5" s="1"/>
      <c r="H5" s="77" t="s">
        <v>239</v>
      </c>
      <c r="I5" s="18">
        <f>C4*$A$3+C8*$A$7+C12*$A$11+C16*$A$15+C20*$A$19+C24*$A$23+C28*$A$27+C32*$A$31+C36*$A$35+C40*$A$39+C44*$A$43+C48*$A$47+C52*$A$51+C56*$A$55+C60*$A$59-1</f>
        <v>0.22357344693193015</v>
      </c>
      <c r="J5" s="18">
        <f>D4*$A$3+D8*$A$7+D12*$A$11+D16*$A$15+D20*$A$19+D24*$A$23+D28*$A$27+D32*$A$31+D36*$A$35+D40*$A$39+D44*$A$43+D48*$A$47+D52*$A$51+D56*$A$55+D60*$A$59-1</f>
        <v>0.14235075148873899</v>
      </c>
      <c r="K5" s="18">
        <f t="shared" si="6"/>
        <v>0.11042806701275798</v>
      </c>
      <c r="N5" t="s">
        <v>220</v>
      </c>
      <c r="O5" s="18">
        <f>资产配置表!G31</f>
        <v>4.9623162499999998E-2</v>
      </c>
      <c r="P5" s="1">
        <f>资产配置表!H31</f>
        <v>27.921186306144762</v>
      </c>
      <c r="Q5">
        <v>144.82</v>
      </c>
    </row>
    <row r="6" spans="1:17">
      <c r="A6" t="s">
        <v>84</v>
      </c>
      <c r="B6" s="1">
        <f>Q3*0.3</f>
        <v>5.7</v>
      </c>
      <c r="C6" s="21">
        <f>$B6^(1/$C$1)/(0.97*$P$3^(1/$C$1))</f>
        <v>0.81512977638368322</v>
      </c>
      <c r="D6" s="21">
        <f>$B6^(1/$D$1)/(0.97*$P$3^(1/$D$1))</f>
        <v>0.89542117647334241</v>
      </c>
      <c r="E6" s="21">
        <f>$B6^(1/$E$1)/(0.97*$P$3^(1/$E$1))</f>
        <v>0.93220909092128401</v>
      </c>
      <c r="N6" t="s">
        <v>179</v>
      </c>
      <c r="O6" s="18">
        <f>资产配置表!G32</f>
        <v>1.6085612499999999E-2</v>
      </c>
      <c r="P6" s="1">
        <f>资产配置表!H32</f>
        <v>37.256205640613935</v>
      </c>
      <c r="Q6">
        <v>137.86000000000001</v>
      </c>
    </row>
    <row r="7" spans="1:17">
      <c r="A7" s="19">
        <f>O3</f>
        <v>3.9856999999999997E-2</v>
      </c>
      <c r="B7" s="1">
        <f>Q3*0.5</f>
        <v>9.5</v>
      </c>
      <c r="C7" s="21">
        <f>$B7^(1/$C$1)/(0.97*$P$3^(1/$C$1))</f>
        <v>0.96644321463653504</v>
      </c>
      <c r="D7" s="21">
        <f>$B7^(1/$D$1)/(0.97*$P$3^(1/$D$1))</f>
        <v>0.99173835809366162</v>
      </c>
      <c r="E7" s="21">
        <f>$B7^(1/$E$1)/(0.97*$P$3^(1/$E$1))</f>
        <v>1.0027808054194667</v>
      </c>
      <c r="N7" t="s">
        <v>221</v>
      </c>
      <c r="O7" s="18">
        <f>资产配置表!G33</f>
        <v>4.5076224999999998E-2</v>
      </c>
      <c r="P7" s="1">
        <f>资产配置表!H33</f>
        <v>29.393669147742237</v>
      </c>
      <c r="Q7">
        <v>74.42</v>
      </c>
    </row>
    <row r="8" spans="1:17">
      <c r="B8" s="1">
        <f>Q3*0.7</f>
        <v>13.299999999999999</v>
      </c>
      <c r="C8" s="21">
        <f>$B8^(1/$C$1)/(0.97*$P$3^(1/$C$1))</f>
        <v>1.0811493373634895</v>
      </c>
      <c r="D8" s="21">
        <f>$B8^(1/$D$1)/(0.97*$P$3^(1/$D$1))</f>
        <v>1.0607736378215242</v>
      </c>
      <c r="E8" s="21">
        <f>$B8^(1/$E$1)/(0.97*$P$3^(1/$E$1))</f>
        <v>1.0521591735306723</v>
      </c>
      <c r="N8" t="s">
        <v>222</v>
      </c>
      <c r="O8" s="18">
        <f>资产配置表!G34</f>
        <v>5.6750000000000002E-2</v>
      </c>
      <c r="P8" s="1">
        <f>资产配置表!H34</f>
        <v>24.609610138201177</v>
      </c>
      <c r="Q8">
        <v>52.47</v>
      </c>
    </row>
    <row r="9" spans="1:17">
      <c r="B9" s="1"/>
      <c r="N9" t="s">
        <v>223</v>
      </c>
      <c r="O9" s="18">
        <f>资产配置表!G35</f>
        <v>5.2069037499999998E-2</v>
      </c>
      <c r="P9" s="1">
        <f>资产配置表!H35</f>
        <v>26.204178663494215</v>
      </c>
      <c r="Q9">
        <v>71.13</v>
      </c>
    </row>
    <row r="10" spans="1:17">
      <c r="A10" t="s">
        <v>78</v>
      </c>
      <c r="B10" s="1">
        <f>Q4*0.3</f>
        <v>24.971999999999998</v>
      </c>
      <c r="C10" s="21">
        <f>$B10^(1/$C$1)/(0.97*$P$4^(1/$C$1))</f>
        <v>1.065819208790016</v>
      </c>
      <c r="D10" s="21">
        <f>$B10^(1/$D$1)/(0.97*$P$4^(1/$D$1))</f>
        <v>1.0517231467113837</v>
      </c>
      <c r="E10" s="21">
        <f>$B10^(1/$E$1)/(0.97*$P$4^(1/$E$1))</f>
        <v>1.0457391916865235</v>
      </c>
      <c r="N10" t="s">
        <v>224</v>
      </c>
      <c r="O10" s="18">
        <f>资产配置表!G36</f>
        <v>3.70254125E-2</v>
      </c>
      <c r="P10" s="1">
        <f>资产配置表!H36</f>
        <v>29.659616752836897</v>
      </c>
      <c r="Q10">
        <v>121.16</v>
      </c>
    </row>
    <row r="11" spans="1:17">
      <c r="A11" s="19">
        <f>O4</f>
        <v>0.2110085125</v>
      </c>
      <c r="B11" s="1">
        <f>Q4*0.5</f>
        <v>41.62</v>
      </c>
      <c r="C11" s="21">
        <f>$B11^(1/$C$1)/(0.97*$P$4^(1/$C$1))</f>
        <v>1.2636684025140352</v>
      </c>
      <c r="D11" s="21">
        <f>$B11^(1/$D$1)/(0.97*$P$4^(1/$D$1))</f>
        <v>1.1648531597127119</v>
      </c>
      <c r="E11" s="21">
        <f>$B11^(1/$E$1)/(0.97*$P$4^(1/$E$1))</f>
        <v>1.1249055593973627</v>
      </c>
      <c r="N11" t="s">
        <v>225</v>
      </c>
      <c r="O11" s="18">
        <f>资产配置表!G37</f>
        <v>2.4E-2</v>
      </c>
      <c r="P11" s="1">
        <f>资产配置表!H37</f>
        <v>1.1519228839676054</v>
      </c>
      <c r="Q11">
        <v>3.5</v>
      </c>
    </row>
    <row r="12" spans="1:17">
      <c r="B12" s="1">
        <f>Q4*0.7</f>
        <v>58.267999999999994</v>
      </c>
      <c r="C12" s="21">
        <f>$B12^(1/$C$1)/(0.97*$P$4^(1/$C$1))</f>
        <v>1.4136518683501147</v>
      </c>
      <c r="D12" s="21">
        <f>$B12^(1/$D$1)/(0.97*$P$4^(1/$D$1))</f>
        <v>1.2459390258248475</v>
      </c>
      <c r="E12" s="21">
        <f>$B12^(1/$E$1)/(0.97*$P$4^(1/$E$1))</f>
        <v>1.1802975259189297</v>
      </c>
      <c r="N12" t="s">
        <v>241</v>
      </c>
      <c r="O12" s="18">
        <f>资产配置表!G38</f>
        <v>2.3985175000000001E-2</v>
      </c>
      <c r="P12" s="1">
        <f>资产配置表!H38</f>
        <v>1.4215343285340694</v>
      </c>
      <c r="Q12">
        <v>5.04</v>
      </c>
    </row>
    <row r="13" spans="1:17">
      <c r="B13" s="1"/>
      <c r="I13" s="21"/>
      <c r="J13" s="21"/>
      <c r="K13" s="21"/>
      <c r="N13" t="s">
        <v>286</v>
      </c>
      <c r="O13" s="18">
        <f>资产配置表!C20</f>
        <v>1.225E-2</v>
      </c>
      <c r="P13" s="1"/>
    </row>
    <row r="14" spans="1:17">
      <c r="A14" t="s">
        <v>79</v>
      </c>
      <c r="B14" s="1">
        <f>Q5*0.3</f>
        <v>43.445999999999998</v>
      </c>
      <c r="C14" s="21">
        <f>$B14^(1/$C$1)/(0.97*$P$5^(1/$C$1))</f>
        <v>1.1946304386659881</v>
      </c>
      <c r="D14" s="21">
        <f>$B14^(1/$D$1)/(0.97*$P$5^(1/$D$1))</f>
        <v>1.1262413073859305</v>
      </c>
      <c r="E14" s="21">
        <f>$B14^(1/$E$1)/(0.97*$P$5^(1/$E$1))</f>
        <v>1.0981435449537611</v>
      </c>
      <c r="I14" s="21"/>
      <c r="J14" s="21"/>
      <c r="K14" s="21"/>
      <c r="N14" t="s">
        <v>284</v>
      </c>
      <c r="O14" s="18">
        <f>资产配置表!C15</f>
        <v>2.4E-2</v>
      </c>
      <c r="P14" s="1"/>
    </row>
    <row r="15" spans="1:17">
      <c r="A15" s="19">
        <f>O5</f>
        <v>4.9623162499999998E-2</v>
      </c>
      <c r="B15" s="1">
        <f>Q5*0.5</f>
        <v>72.41</v>
      </c>
      <c r="C15" s="21">
        <f>$B15^(1/$C$1)/(0.97*$P$5^(1/$C$1))</f>
        <v>1.4163910028770268</v>
      </c>
      <c r="D15" s="21">
        <f>$B15^(1/$D$1)/(0.97*$P$5^(1/$D$1))</f>
        <v>1.2473869664366086</v>
      </c>
      <c r="E15" s="21">
        <f>$B15^(1/$E$1)/(0.97*$P$5^(1/$E$1))</f>
        <v>1.1812771181909727</v>
      </c>
      <c r="I15" s="21"/>
      <c r="J15" s="21"/>
      <c r="K15" s="21"/>
      <c r="N15" t="s">
        <v>285</v>
      </c>
      <c r="O15" s="18">
        <f>资产配置表!C16</f>
        <v>2.3474862499999999E-2</v>
      </c>
    </row>
    <row r="16" spans="1:17">
      <c r="B16" s="1">
        <f>Q5*0.7</f>
        <v>101.374</v>
      </c>
      <c r="C16" s="21">
        <f>$B16^(1/$C$1)/(0.97*$P$5^(1/$C$1))</f>
        <v>1.5845009525821099</v>
      </c>
      <c r="D16" s="21">
        <f>$B16^(1/$D$1)/(0.97*$P$5^(1/$D$1))</f>
        <v>1.3342180418448146</v>
      </c>
      <c r="E16" s="21">
        <f>$B16^(1/$E$1)/(0.97*$P$5^(1/$E$1))</f>
        <v>1.2394449012878768</v>
      </c>
      <c r="N16" t="s">
        <v>235</v>
      </c>
      <c r="O16" s="19">
        <f>1-SUM(O2:O15)</f>
        <v>0.32589500000000005</v>
      </c>
    </row>
    <row r="17" spans="1:14">
      <c r="B17" s="1"/>
    </row>
    <row r="18" spans="1:14">
      <c r="A18" t="s">
        <v>234</v>
      </c>
      <c r="B18" s="1">
        <f>Q6*0.3</f>
        <v>41.358000000000004</v>
      </c>
      <c r="C18" s="21">
        <f>$B18^(1/$C$1)/(0.97*$P$6^(1/$C$1))</f>
        <v>1.0674525228883014</v>
      </c>
      <c r="D18" s="21">
        <f>$B18^(1/$D$1)/(0.97*$P$6^(1/$D$1))</f>
        <v>1.0526898780960914</v>
      </c>
      <c r="E18" s="21">
        <f>$B18^(1/$E$1)/(0.97*$P$6^(1/$E$1))</f>
        <v>1.0464256951383246</v>
      </c>
    </row>
    <row r="19" spans="1:14">
      <c r="A19" s="19">
        <f>O6</f>
        <v>1.6085612499999999E-2</v>
      </c>
      <c r="B19" s="1">
        <f>Q6*0.5</f>
        <v>68.930000000000007</v>
      </c>
      <c r="C19" s="21">
        <f>$B19^(1/$C$1)/(0.97*$P$6^(1/$C$1))</f>
        <v>1.2656049105074747</v>
      </c>
      <c r="D19" s="21">
        <f>$B19^(1/$D$1)/(0.97*$P$6^(1/$D$1))</f>
        <v>1.1659238788573763</v>
      </c>
      <c r="E19" s="21">
        <f>$B19^(1/$E$1)/(0.97*$P$6^(1/$E$1))</f>
        <v>1.1256440337278801</v>
      </c>
      <c r="N19" t="s">
        <v>229</v>
      </c>
    </row>
    <row r="20" spans="1:14">
      <c r="B20" s="1">
        <f>Q6*0.7</f>
        <v>96.50200000000001</v>
      </c>
      <c r="C20" s="21">
        <f>$B20^(1/$C$1)/(0.97*$P$6^(1/$C$1))</f>
        <v>1.4158182184286279</v>
      </c>
      <c r="D20" s="21">
        <f>$B20^(1/$D$1)/(0.97*$P$6^(1/$D$1))</f>
        <v>1.2470842781314677</v>
      </c>
      <c r="E20" s="21">
        <f>$B20^(1/$E$1)/(0.97*$P$6^(1/$E$1))</f>
        <v>1.1810723637868579</v>
      </c>
    </row>
    <row r="21" spans="1:14">
      <c r="B21" s="1"/>
    </row>
    <row r="22" spans="1:14">
      <c r="A22" t="s">
        <v>80</v>
      </c>
      <c r="B22" s="1">
        <f>Q7*0.3</f>
        <v>22.326000000000001</v>
      </c>
      <c r="C22" s="21">
        <f>$B22^(1/$C$1)/(0.97*$P$7^(1/$C$1))</f>
        <v>0.94061948736904322</v>
      </c>
      <c r="D22" s="21">
        <f>$B22^(1/$D$1)/(0.97*$P$7^(1/$D$1))</f>
        <v>0.97575253784655136</v>
      </c>
      <c r="E22" s="21">
        <f>$B22^(1/$E$1)/(0.97*$P$7^(1/$E$1))</f>
        <v>0.99120845293442417</v>
      </c>
    </row>
    <row r="23" spans="1:14">
      <c r="A23" s="19">
        <f>O7</f>
        <v>4.5076224999999998E-2</v>
      </c>
      <c r="B23" s="1">
        <f>Q7*0.5</f>
        <v>37.21</v>
      </c>
      <c r="C23" s="21">
        <f>$B23^(1/$C$1)/(0.97*$P$7^(1/$C$1))</f>
        <v>1.1152277188986084</v>
      </c>
      <c r="D23" s="21">
        <f>$B23^(1/$D$1)/(0.97*$P$7^(1/$D$1))</f>
        <v>1.0807106702579434</v>
      </c>
      <c r="E23" s="21">
        <f>$B23^(1/$E$1)/(0.97*$P$7^(1/$E$1))</f>
        <v>1.0662466397853398</v>
      </c>
    </row>
    <row r="24" spans="1:14">
      <c r="B24" s="1">
        <f>Q7*0.7</f>
        <v>52.094000000000001</v>
      </c>
      <c r="C24" s="21">
        <f>$B24^(1/$C$1)/(0.97*$P$7^(1/$C$1))</f>
        <v>1.2475929170345337</v>
      </c>
      <c r="D24" s="21">
        <f>$B24^(1/$D$1)/(0.97*$P$7^(1/$D$1))</f>
        <v>1.1559393460646898</v>
      </c>
      <c r="E24" s="21">
        <f>$B24^(1/$E$1)/(0.97*$P$7^(1/$E$1))</f>
        <v>1.1187501567973488</v>
      </c>
    </row>
    <row r="25" spans="1:14">
      <c r="B25" s="1"/>
    </row>
    <row r="26" spans="1:14">
      <c r="A26" t="s">
        <v>81</v>
      </c>
      <c r="B26" s="1">
        <f>Q8*0.3</f>
        <v>15.741</v>
      </c>
      <c r="C26" s="21">
        <f>$B26^(1/$C$1)/(0.97*$P$8^(1/$C$1))</f>
        <v>0.88825459090038328</v>
      </c>
      <c r="D26" s="21">
        <f>$B26^(1/$D$1)/(0.97*$P$8^(1/$D$1))</f>
        <v>0.94278742835879081</v>
      </c>
      <c r="E26" s="21">
        <f>$B26^(1/$E$1)/(0.97*$P$8^(1/$E$1))</f>
        <v>0.96717182184815531</v>
      </c>
    </row>
    <row r="27" spans="1:14">
      <c r="A27" s="19">
        <f>O8</f>
        <v>5.6750000000000002E-2</v>
      </c>
      <c r="B27" s="1">
        <f>Q8*0.5</f>
        <v>26.234999999999999</v>
      </c>
      <c r="C27" s="21">
        <f>$B27^(1/$C$1)/(0.97*$P$8^(1/$C$1))</f>
        <v>1.0531422690187111</v>
      </c>
      <c r="D27" s="21">
        <f>$B27^(1/$D$1)/(0.97*$P$8^(1/$D$1))</f>
        <v>1.0441996244878051</v>
      </c>
      <c r="E27" s="21">
        <f>$B27^(1/$E$1)/(0.97*$P$8^(1/$E$1))</f>
        <v>1.0403903458326187</v>
      </c>
    </row>
    <row r="28" spans="1:14">
      <c r="B28" s="1">
        <f>Q8*0.7</f>
        <v>36.728999999999999</v>
      </c>
      <c r="C28" s="21">
        <f>$B28^(1/$C$1)/(0.97*$P$8^(1/$C$1))</f>
        <v>1.1781386107897438</v>
      </c>
      <c r="D28" s="21">
        <f>$B28^(1/$D$1)/(0.97*$P$8^(1/$D$1))</f>
        <v>1.1168867526803772</v>
      </c>
      <c r="E28" s="21">
        <f>$B28^(1/$E$1)/(0.97*$P$8^(1/$E$1))</f>
        <v>1.0916206617682918</v>
      </c>
    </row>
    <row r="30" spans="1:14">
      <c r="A30" t="s">
        <v>223</v>
      </c>
      <c r="B30" s="1">
        <f>Q9*0.3</f>
        <v>21.338999999999999</v>
      </c>
      <c r="C30" s="21">
        <f>$B30^(1/$C$1)/(0.97*$P$9^(1/$C$1))</f>
        <v>0.96271137418974695</v>
      </c>
      <c r="D30" s="21">
        <f>$B30^(1/$D$1)/(0.97*$P$9^(1/$D$1))</f>
        <v>0.9894388710765557</v>
      </c>
      <c r="E30" s="21">
        <f>$B30^(1/$E$1)/(0.97*$P$9^(1/$E$1))</f>
        <v>1.0011194758300455</v>
      </c>
    </row>
    <row r="31" spans="1:14">
      <c r="A31" s="19">
        <f>O9</f>
        <v>5.2069037499999998E-2</v>
      </c>
      <c r="B31" s="1">
        <f>Q9*0.5</f>
        <v>35.564999999999998</v>
      </c>
      <c r="C31" s="21">
        <f>$B31^(1/$C$1)/(0.97*$P$9^(1/$C$1))</f>
        <v>1.1414205470039795</v>
      </c>
      <c r="D31" s="21">
        <f>$B31^(1/$D$1)/(0.97*$P$9^(1/$D$1))</f>
        <v>1.0958691923059771</v>
      </c>
      <c r="E31" s="21">
        <f>$B31^(1/$E$1)/(0.97*$P$9^(1/$E$1))</f>
        <v>1.0769079641798269</v>
      </c>
    </row>
    <row r="32" spans="1:14">
      <c r="B32" s="1">
        <f>Q9*0.7</f>
        <v>49.790999999999997</v>
      </c>
      <c r="C32" s="21">
        <f>$B32^(1/$C$1)/(0.97*$P$9^(1/$C$1))</f>
        <v>1.276894544197851</v>
      </c>
      <c r="D32" s="21">
        <f>$B32^(1/$D$1)/(0.97*$P$9^(1/$D$1))</f>
        <v>1.1721530585279238</v>
      </c>
      <c r="E32" s="21">
        <f>$B32^(1/$E$1)/(0.97*$P$9^(1/$E$1))</f>
        <v>1.1299364601280688</v>
      </c>
    </row>
    <row r="34" spans="1:5">
      <c r="A34" t="s">
        <v>224</v>
      </c>
      <c r="B34" s="1">
        <f>Q10*0.3</f>
        <v>36.347999999999999</v>
      </c>
      <c r="C34" s="21">
        <f>$B34^(1/$C$1)/(0.97*$P$10^(1/$C$1))</f>
        <v>1.103231348431398</v>
      </c>
      <c r="D34" s="21">
        <f>$B34^(1/$D$1)/(0.97*$P$10^(1/$D$1))</f>
        <v>1.0737205436611037</v>
      </c>
      <c r="E34" s="21">
        <f>$B34^(1/$E$1)/(0.97*$P$10^(1/$E$1))</f>
        <v>1.0613159524364457</v>
      </c>
    </row>
    <row r="35" spans="1:5">
      <c r="A35" s="19">
        <f>O10</f>
        <v>3.70254125E-2</v>
      </c>
      <c r="B35" s="1">
        <f>Q10*0.5</f>
        <v>60.58</v>
      </c>
      <c r="C35" s="21">
        <f>$B35^(1/$C$1)/(0.97*$P$10^(1/$C$1))</f>
        <v>1.3080253988463946</v>
      </c>
      <c r="D35" s="21">
        <f>$B35^(1/$D$1)/(0.97*$P$10^(1/$D$1))</f>
        <v>1.1892167362132946</v>
      </c>
      <c r="E35" s="21">
        <f>$B35^(1/$E$1)/(0.97*$P$10^(1/$E$1))</f>
        <v>1.1416615391906901</v>
      </c>
    </row>
    <row r="36" spans="1:5">
      <c r="B36" s="1">
        <f>Q10*0.7</f>
        <v>84.811999999999998</v>
      </c>
      <c r="C36" s="21">
        <f>$B36^(1/$C$1)/(0.97*$P$10^(1/$C$1))</f>
        <v>1.46327354965107</v>
      </c>
      <c r="D36" s="21">
        <f>$B36^(1/$D$1)/(0.97*$P$10^(1/$D$1))</f>
        <v>1.2719985600396422</v>
      </c>
      <c r="E36" s="21">
        <f>$B36^(1/$E$1)/(0.97*$P$10^(1/$E$1))</f>
        <v>1.1978785942399066</v>
      </c>
    </row>
    <row r="38" spans="1:5">
      <c r="A38" t="s">
        <v>225</v>
      </c>
      <c r="B38" s="1">
        <f>Q11*0.3</f>
        <v>1.05</v>
      </c>
      <c r="C38" s="21">
        <f>$B38^(1/$C$1)/(0.97*$P$11^(1/$C$1))</f>
        <v>0.99957847806229516</v>
      </c>
      <c r="D38" s="21">
        <f>$B38^(1/$D$1)/(0.97*$P$11^(1/$D$1))</f>
        <v>1.0120021713968703</v>
      </c>
      <c r="E38" s="21">
        <f>$B38^(1/$E$1)/(0.97*$P$11^(1/$E$1))</f>
        <v>1.0173737693947289</v>
      </c>
    </row>
    <row r="39" spans="1:5">
      <c r="A39" s="19">
        <f>O11</f>
        <v>2.4E-2</v>
      </c>
      <c r="B39" s="1">
        <f>Q11*0.5</f>
        <v>1.75</v>
      </c>
      <c r="C39" s="21">
        <f>$B39^(1/$C$1)/(0.97*$P$11^(1/$C$1))</f>
        <v>1.1851313319773815</v>
      </c>
      <c r="D39" s="21">
        <f>$B39^(1/$D$1)/(0.97*$P$11^(1/$D$1))</f>
        <v>1.1208595443333609</v>
      </c>
      <c r="E39" s="21">
        <f>$B39^(1/$E$1)/(0.97*$P$11^(1/$E$1))</f>
        <v>1.0943927685558597</v>
      </c>
    </row>
    <row r="40" spans="1:5">
      <c r="B40" s="1">
        <f>Q11*0.7</f>
        <v>2.4499999999999997</v>
      </c>
      <c r="C40" s="21">
        <f>$B40^(1/$C$1)/(0.97*$P$11^(1/$C$1))</f>
        <v>1.3257933159972934</v>
      </c>
      <c r="D40" s="21">
        <f>$B40^(1/$D$1)/(0.97*$P$11^(1/$D$1))</f>
        <v>1.1988829983494356</v>
      </c>
      <c r="E40" s="21">
        <f>$B40^(1/$E$1)/(0.97*$P$11^(1/$E$1))</f>
        <v>1.1482822414017106</v>
      </c>
    </row>
    <row r="42" spans="1:5">
      <c r="A42" t="s">
        <v>225</v>
      </c>
      <c r="B42" s="1">
        <f>Q12*0.3</f>
        <v>1.512</v>
      </c>
      <c r="C42" s="21">
        <f>$B42^(1/$C$1)/(0.97*$P$12^(1/$C$1))</f>
        <v>1.0523488855868701</v>
      </c>
      <c r="D42" s="21">
        <f>$B42^(1/$D$1)/(0.97*$P$12^(1/$D$1))</f>
        <v>1.0437275654475364</v>
      </c>
      <c r="E42" s="21">
        <f>$B42^(1/$E$1)/(0.97*$P$12^(1/$E$1))</f>
        <v>1.0400543691662372</v>
      </c>
    </row>
    <row r="43" spans="1:5">
      <c r="A43" s="19">
        <f>O12</f>
        <v>2.3985175000000001E-2</v>
      </c>
      <c r="B43" s="1">
        <f>Q12*0.5</f>
        <v>2.52</v>
      </c>
      <c r="C43" s="21">
        <f>$B43^(1/$C$1)/(0.97*$P$12^(1/$C$1))</f>
        <v>1.2476975683771727</v>
      </c>
      <c r="D43" s="21">
        <f>$B43^(1/$D$1)/(0.97*$P$12^(1/$D$1))</f>
        <v>1.155997523010168</v>
      </c>
      <c r="E43" s="21">
        <f>$B43^(1/$E$1)/(0.97*$P$12^(1/$E$1))</f>
        <v>1.1187903745519483</v>
      </c>
    </row>
    <row r="44" spans="1:5">
      <c r="B44" s="1">
        <f>Q12*0.7</f>
        <v>3.5279999999999996</v>
      </c>
      <c r="C44" s="21">
        <f>$B44^(1/$C$1)/(0.97*$P$12^(1/$C$1))</f>
        <v>1.3957854728053904</v>
      </c>
      <c r="D44" s="21">
        <f>$B44^(1/$D$1)/(0.97*$P$12^(1/$D$1))</f>
        <v>1.2364669449241548</v>
      </c>
      <c r="E44" s="21">
        <f>$B44^(1/$E$1)/(0.97*$P$12^(1/$E$1))</f>
        <v>1.173881220582643</v>
      </c>
    </row>
    <row r="45" spans="1:5">
      <c r="B45" s="1"/>
      <c r="C45" s="21"/>
      <c r="D45" s="21"/>
      <c r="E45" s="21"/>
    </row>
    <row r="46" spans="1:5">
      <c r="A46" s="66" t="s">
        <v>286</v>
      </c>
      <c r="B46">
        <v>1.0468999999999999</v>
      </c>
      <c r="C46">
        <v>1.0468999999999999</v>
      </c>
      <c r="D46">
        <v>1.0468999999999999</v>
      </c>
      <c r="E46">
        <v>1.0468999999999999</v>
      </c>
    </row>
    <row r="47" spans="1:5">
      <c r="A47" s="19">
        <f>O13</f>
        <v>1.225E-2</v>
      </c>
      <c r="B47">
        <v>1.0468999999999999</v>
      </c>
      <c r="C47">
        <v>1.0468999999999999</v>
      </c>
      <c r="D47">
        <v>1.0468999999999999</v>
      </c>
      <c r="E47">
        <v>1.0468999999999999</v>
      </c>
    </row>
    <row r="48" spans="1:5">
      <c r="B48">
        <v>1.0468999999999999</v>
      </c>
      <c r="C48">
        <v>1.0468999999999999</v>
      </c>
      <c r="D48">
        <v>1.0468999999999999</v>
      </c>
      <c r="E48">
        <v>1.0468999999999999</v>
      </c>
    </row>
    <row r="50" spans="1:5">
      <c r="A50" s="66" t="s">
        <v>284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O14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283</v>
      </c>
      <c r="B54">
        <v>1.0649999999999999</v>
      </c>
      <c r="C54">
        <v>1.0649999999999999</v>
      </c>
      <c r="D54">
        <v>1.0649999999999999</v>
      </c>
      <c r="E54">
        <v>1.0649999999999999</v>
      </c>
    </row>
    <row r="55" spans="1:5">
      <c r="A55" s="19">
        <f>O15</f>
        <v>2.3474862499999999E-2</v>
      </c>
      <c r="B55">
        <v>1.0649999999999999</v>
      </c>
      <c r="C55">
        <v>1.0649999999999999</v>
      </c>
      <c r="D55">
        <v>1.0649999999999999</v>
      </c>
      <c r="E55">
        <v>1.0649999999999999</v>
      </c>
    </row>
    <row r="56" spans="1:5">
      <c r="B56">
        <v>1.0649999999999999</v>
      </c>
      <c r="C56">
        <v>1.0649999999999999</v>
      </c>
      <c r="D56">
        <v>1.0649999999999999</v>
      </c>
      <c r="E56">
        <v>1.0649999999999999</v>
      </c>
    </row>
    <row r="58" spans="1:5">
      <c r="A58" t="s">
        <v>235</v>
      </c>
      <c r="B58">
        <v>1.04</v>
      </c>
      <c r="C58">
        <v>1.04</v>
      </c>
      <c r="D58">
        <v>1.04</v>
      </c>
      <c r="E58">
        <v>1.04</v>
      </c>
    </row>
    <row r="59" spans="1:5">
      <c r="A59" s="19">
        <f>O16</f>
        <v>0.32589500000000005</v>
      </c>
      <c r="B59">
        <v>1.04</v>
      </c>
      <c r="C59">
        <v>1.04</v>
      </c>
      <c r="D59">
        <v>1.04</v>
      </c>
      <c r="E59">
        <v>1.04</v>
      </c>
    </row>
    <row r="60" spans="1:5">
      <c r="B60">
        <v>1.04</v>
      </c>
      <c r="C60">
        <v>1.04</v>
      </c>
      <c r="D60">
        <v>1.04</v>
      </c>
      <c r="E60">
        <v>1.04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B1" workbookViewId="0">
      <selection activeCell="M25" sqref="M25"/>
    </sheetView>
  </sheetViews>
  <sheetFormatPr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7" max="7" width="8.25" bestFit="1" customWidth="1"/>
    <col min="8" max="8" width="7.5" bestFit="1" customWidth="1"/>
    <col min="10" max="10" width="9.25" bestFit="1" customWidth="1"/>
    <col min="11" max="11" width="6.5" bestFit="1" customWidth="1"/>
    <col min="12" max="13" width="7.5" bestFit="1" customWidth="1"/>
  </cols>
  <sheetData>
    <row r="1" spans="1:20">
      <c r="A1" s="82" t="s">
        <v>278</v>
      </c>
      <c r="B1" s="82" t="s">
        <v>38</v>
      </c>
      <c r="C1" s="82" t="s">
        <v>245</v>
      </c>
      <c r="D1" s="82"/>
      <c r="E1" s="82" t="s">
        <v>281</v>
      </c>
      <c r="F1" s="82" t="s">
        <v>280</v>
      </c>
      <c r="G1" s="82" t="s">
        <v>279</v>
      </c>
      <c r="H1" s="82" t="s">
        <v>282</v>
      </c>
      <c r="K1" t="s">
        <v>251</v>
      </c>
      <c r="L1" t="s">
        <v>250</v>
      </c>
      <c r="M1" t="s">
        <v>252</v>
      </c>
      <c r="N1" t="s">
        <v>253</v>
      </c>
      <c r="O1" t="s">
        <v>254</v>
      </c>
      <c r="P1" t="s">
        <v>255</v>
      </c>
      <c r="Q1" t="s">
        <v>225</v>
      </c>
      <c r="R1" t="s">
        <v>256</v>
      </c>
      <c r="S1" t="s">
        <v>259</v>
      </c>
      <c r="T1" t="s">
        <v>257</v>
      </c>
    </row>
    <row r="2" spans="1:20">
      <c r="A2" s="25" t="s">
        <v>58</v>
      </c>
      <c r="B2" s="85">
        <f>已投部分年化收益率!Y13</f>
        <v>5.8900000000000001E-2</v>
      </c>
      <c r="C2" s="86" t="s">
        <v>246</v>
      </c>
      <c r="D2" s="86"/>
      <c r="E2" s="82" t="s">
        <v>251</v>
      </c>
      <c r="F2" s="81">
        <f>$B$2*K$2+$B$3*K$3+$B$4*K$4+$B$5*K$5+$B$6*K$6+$B$7*K$7+$B$8*K$8+$B$9*K$9+$B$10*K$10+$B$11*K$11+$B$12*K$12</f>
        <v>1.116349237625E-2</v>
      </c>
      <c r="G2" s="81">
        <f>$B$16*K$2+$B$17*K$3+$B$18*K$4+$B$19*K$5+$B$20*K$6+$B$21*K$7+$B$22*K$8+$B$23*K$9+$B$24*K$10+$B$25*K$11+$B$26*K$12</f>
        <v>1.10349E-2</v>
      </c>
      <c r="H2" s="81">
        <f>F2-G2</f>
        <v>1.285923762500002E-4</v>
      </c>
      <c r="J2" t="s">
        <v>258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2" t="s">
        <v>44</v>
      </c>
      <c r="B3" s="85">
        <f>已投部分年化收益率!Y14</f>
        <v>8.0543625000000004E-3</v>
      </c>
      <c r="C3" s="86" t="s">
        <v>247</v>
      </c>
      <c r="D3" s="86"/>
      <c r="E3" s="82" t="s">
        <v>250</v>
      </c>
      <c r="F3" s="81">
        <f>$B$2*L$2+$B$3*L$3+$B$4*L$4+$B$5*L$5+$B$6*L$6+$B$7*L$7+$B$8*L$8+$B$9*L$9+$B$10*L$10+$B$11*L$11+$B$12*L$12</f>
        <v>5.1465485451250001E-2</v>
      </c>
      <c r="G3" s="81">
        <f>$B$16*L$2+$B$17*L$3+$B$18*L$4+$B$19*L$5+$B$20*L$6+$B$21*L$7+$B$22*L$8+$B$23*L$9+$B$24*L$10+$B$25*L$11+$B$26*L$12</f>
        <v>3.6937099999999994E-2</v>
      </c>
      <c r="H3" s="81">
        <f t="shared" ref="H3:H11" si="0">F3-G3</f>
        <v>1.4528385451250007E-2</v>
      </c>
      <c r="J3" t="s">
        <v>260</v>
      </c>
      <c r="K3" s="18">
        <v>3.7000000000000005E-2</v>
      </c>
      <c r="L3" s="18">
        <v>5.5800000000000002E-2</v>
      </c>
      <c r="M3" s="18">
        <v>8.5600000000000009E-2</v>
      </c>
      <c r="N3" s="18">
        <v>3.7499999999999999E-2</v>
      </c>
      <c r="O3" s="18">
        <v>0.11070000000000001</v>
      </c>
      <c r="P3" s="18">
        <v>2.9700000000000001E-2</v>
      </c>
      <c r="Q3" s="18">
        <v>0.622</v>
      </c>
      <c r="R3" s="18">
        <v>1.0800000000000001E-2</v>
      </c>
      <c r="S3" s="18">
        <v>1.1000000000000001E-2</v>
      </c>
      <c r="T3" s="18">
        <v>0</v>
      </c>
    </row>
    <row r="4" spans="1:20">
      <c r="A4" s="82" t="s">
        <v>40</v>
      </c>
      <c r="B4" s="85">
        <f>已投部分年化收益率!Y15</f>
        <v>3.9856999999999997E-2</v>
      </c>
      <c r="C4" s="86" t="s">
        <v>248</v>
      </c>
      <c r="D4" s="86"/>
      <c r="E4" s="82" t="s">
        <v>252</v>
      </c>
      <c r="F4" s="81">
        <f>$B$2*M$2+$B$3*M$3+$B$4*M$4+$B$5*M$5+$B$6*M$6+$B$7*M$7+$B$8*M$8+$B$9*M$9+$B$10*M$10+$B$11*M$11+$B$12*M$12</f>
        <v>0.10897653997500001</v>
      </c>
      <c r="G4" s="81">
        <f>$B$16*M$2+$B$17*M$3+$B$18*M$4+$B$19*M$5+$B$20*M$6+$B$21*M$7+$B$22*M$8+$B$23*M$9+$B$24*M$10+$B$25*M$11+$B$26*M$12</f>
        <v>9.2937040000000012E-2</v>
      </c>
      <c r="H4" s="81">
        <f t="shared" si="0"/>
        <v>1.6039499974999996E-2</v>
      </c>
      <c r="J4" t="s">
        <v>261</v>
      </c>
      <c r="K4" s="18">
        <v>2.81E-2</v>
      </c>
      <c r="L4" s="18">
        <v>7.3899999999999993E-2</v>
      </c>
      <c r="M4" s="18">
        <v>0.124</v>
      </c>
      <c r="N4" s="18">
        <v>0.1125</v>
      </c>
      <c r="O4" s="18">
        <v>9.0800000000000006E-2</v>
      </c>
      <c r="P4" s="18">
        <v>6.4000000000000001E-2</v>
      </c>
      <c r="Q4" s="18">
        <v>0.39069999999999999</v>
      </c>
      <c r="R4" s="18">
        <v>6.8600000000000008E-2</v>
      </c>
      <c r="S4" s="18">
        <v>1.9199999999999998E-2</v>
      </c>
      <c r="T4" s="18">
        <v>2.8300000000000002E-2</v>
      </c>
    </row>
    <row r="5" spans="1:20">
      <c r="A5" s="82" t="s">
        <v>18</v>
      </c>
      <c r="B5" s="85">
        <f>已投部分年化收益率!Y16</f>
        <v>0.2110085125</v>
      </c>
      <c r="C5" s="86" t="s">
        <v>249</v>
      </c>
      <c r="D5" s="86"/>
      <c r="E5" s="82" t="s">
        <v>253</v>
      </c>
      <c r="F5" s="81">
        <f>$B$2*N$2+$B$3*N$3+$B$4*N$4+$B$5*N$5+$B$6*N$6+$B$7*N$7+$B$8*N$8+$B$9*N$9+$B$10*N$10+$B$11*N$11+$B$12*N$12</f>
        <v>7.4646740697499991E-2</v>
      </c>
      <c r="G5" s="81">
        <f>$B$16*N$2+$B$17*N$3+$B$18*N$4+$B$19*N$5+$B$20*N$6+$B$21*N$7+$B$22*N$8+$B$23*N$9+$B$24*N$10+$B$25*N$11+$B$26*N$12</f>
        <v>6.3623869999999999E-2</v>
      </c>
      <c r="H5" s="81">
        <f t="shared" si="0"/>
        <v>1.1022870697499992E-2</v>
      </c>
      <c r="J5" t="s">
        <v>262</v>
      </c>
      <c r="K5" s="18">
        <v>2.4900000000000002E-2</v>
      </c>
      <c r="L5" s="18">
        <v>0.16089999999999999</v>
      </c>
      <c r="M5" s="18">
        <v>0.21660000000000001</v>
      </c>
      <c r="N5" s="18">
        <v>0.1174</v>
      </c>
      <c r="O5" s="18">
        <v>6.8600000000000008E-2</v>
      </c>
      <c r="P5" s="18">
        <v>0.11609999999999999</v>
      </c>
      <c r="Q5" s="18">
        <v>8.2500000000000004E-2</v>
      </c>
      <c r="R5" s="18">
        <v>0.1671</v>
      </c>
      <c r="S5" s="18">
        <v>1.47E-2</v>
      </c>
      <c r="T5" s="18">
        <v>3.1300000000000001E-2</v>
      </c>
    </row>
    <row r="6" spans="1:20">
      <c r="A6" s="82" t="s">
        <v>19</v>
      </c>
      <c r="B6" s="85">
        <f>已投部分年化收益率!Y17</f>
        <v>4.9623162499999998E-2</v>
      </c>
      <c r="C6" s="86" t="s">
        <v>263</v>
      </c>
      <c r="D6" s="86"/>
      <c r="E6" s="82" t="s">
        <v>254</v>
      </c>
      <c r="F6" s="81">
        <f>$B$2*O$2+$B$3*O$3+$B$4*O$4+$B$5*O$5+$B$6*O$6+$B$7*O$7+$B$8*O$8+$B$9*O$9+$B$10*O$10+$B$11*O$11+$B$12*O$12</f>
        <v>2.9326333250000003E-2</v>
      </c>
      <c r="G6" s="81">
        <f>$B$16*O$2+$B$17*O$3+$B$18*O$4+$B$19*O$5+$B$20*O$6+$B$21*O$7+$B$22*O$8+$B$23*O$9+$B$24*O$10+$B$25*O$11+$B$26*O$12</f>
        <v>2.9561070000000002E-2</v>
      </c>
      <c r="H6" s="81">
        <f t="shared" si="0"/>
        <v>-2.3473674999999888E-4</v>
      </c>
      <c r="J6" t="s">
        <v>264</v>
      </c>
      <c r="K6" s="18">
        <v>3.1400000000000004E-2</v>
      </c>
      <c r="L6" s="18">
        <v>0.16789999999999999</v>
      </c>
      <c r="M6" s="18">
        <v>0.23600000000000002</v>
      </c>
      <c r="N6" s="18">
        <v>0.1278</v>
      </c>
      <c r="O6" s="18">
        <v>5.2499999999999998E-2</v>
      </c>
      <c r="P6" s="18">
        <v>0.1057</v>
      </c>
      <c r="Q6" s="18">
        <v>4.1700000000000001E-2</v>
      </c>
      <c r="R6" s="18">
        <v>0.17879999999999999</v>
      </c>
      <c r="S6" s="18">
        <v>3.56E-2</v>
      </c>
      <c r="T6" s="18">
        <v>2.2700000000000001E-2</v>
      </c>
    </row>
    <row r="7" spans="1:20">
      <c r="A7" s="82" t="s">
        <v>68</v>
      </c>
      <c r="B7" s="85">
        <f>已投部分年化收益率!Y19</f>
        <v>4.5076224999999998E-2</v>
      </c>
      <c r="C7" s="86" t="s">
        <v>265</v>
      </c>
      <c r="D7" s="86"/>
      <c r="E7" s="82" t="s">
        <v>255</v>
      </c>
      <c r="F7" s="81">
        <f>$B$2*P$2+$B$3*P$3+$B$4*P$4+$B$5*P$5+$B$6*P$6+$B$7*P$7+$B$8*P$8+$B$9*P$9+$B$10*P$10+$B$11*P$11+$B$12*P$12</f>
        <v>0.10393863190000001</v>
      </c>
      <c r="G7" s="81">
        <f>$B$16*P$2+$B$17*P$3+$B$18*P$4+$B$19*P$5+$B$20*P$6+$B$21*P$7+$B$22*P$8+$B$23*P$9+$B$24*P$10+$B$25*P$11+$B$26*P$12</f>
        <v>9.516144E-2</v>
      </c>
      <c r="H7" s="81">
        <f t="shared" si="0"/>
        <v>8.7771919000000087E-3</v>
      </c>
      <c r="J7" t="s">
        <v>269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</row>
    <row r="8" spans="1:20">
      <c r="A8" s="25" t="s">
        <v>56</v>
      </c>
      <c r="B8" s="85">
        <f>已投部分年化收益率!Y22</f>
        <v>2.3985175000000001E-2</v>
      </c>
      <c r="C8" s="86" t="s">
        <v>267</v>
      </c>
      <c r="D8" s="86"/>
      <c r="E8" s="82" t="s">
        <v>225</v>
      </c>
      <c r="F8" s="81">
        <f>$B$2*Q$2+$B$3*Q$3+$B$4*Q$4+$B$5*Q$5+$B$6*Q$6+$B$7*Q$7+$B$8*Q$8+$B$9*Q$9+$B$10*Q$10+$B$11*Q$11+$B$12*Q$12</f>
        <v>0.12823629258500002</v>
      </c>
      <c r="G8" s="81">
        <f>$B$16*Q$2+$B$17*Q$3+$B$18*Q$4+$B$19*Q$5+$B$20*Q$6+$B$21*Q$7+$B$22*Q$8+$B$23*Q$9+$B$24*Q$10+$B$25*Q$11+$B$26*Q$12</f>
        <v>0.17037698000000004</v>
      </c>
      <c r="H8" s="81">
        <f t="shared" si="0"/>
        <v>-4.2140687415000017E-2</v>
      </c>
      <c r="J8" t="s">
        <v>268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5">
        <f>已投部分年化收益率!Y34</f>
        <v>2.4E-2</v>
      </c>
      <c r="C9" s="86" t="s">
        <v>246</v>
      </c>
      <c r="D9" s="86"/>
      <c r="E9" s="82" t="s">
        <v>256</v>
      </c>
      <c r="F9" s="81">
        <f>$B$2*R$2+$B$3*R$3+$B$4*R$4+$B$5*R$5+$B$6*R$6+$B$7*R$7+$B$8*R$8+$B$9*R$9+$B$10*R$10+$B$11*R$11+$B$12*R$12</f>
        <v>6.7841609450000007E-2</v>
      </c>
      <c r="G9" s="81">
        <f>$B$16*R$2+$B$17*R$3+$B$18*R$4+$B$19*R$5+$B$20*R$6+$B$21*R$7+$B$22*R$8+$B$23*R$9+$B$24*R$10+$B$25*R$11+$B$26*R$12</f>
        <v>4.7396469999999996E-2</v>
      </c>
      <c r="H9" s="81">
        <f t="shared" si="0"/>
        <v>2.0445139450000011E-2</v>
      </c>
      <c r="J9" t="s">
        <v>273</v>
      </c>
      <c r="K9" s="18">
        <v>0</v>
      </c>
      <c r="L9" s="18">
        <v>0</v>
      </c>
      <c r="M9" s="18">
        <v>0</v>
      </c>
      <c r="N9" s="18">
        <v>0.52739999999999998</v>
      </c>
      <c r="O9" s="18">
        <v>0</v>
      </c>
      <c r="P9" s="18">
        <v>0</v>
      </c>
      <c r="Q9" s="18">
        <v>0</v>
      </c>
      <c r="R9" s="18">
        <v>0.47259999999999996</v>
      </c>
      <c r="S9" s="18">
        <v>0</v>
      </c>
      <c r="T9" s="18">
        <v>0</v>
      </c>
    </row>
    <row r="10" spans="1:20">
      <c r="A10" s="25" t="s">
        <v>60</v>
      </c>
      <c r="B10" s="85">
        <f>已投部分年化收益率!Y21</f>
        <v>5.6750000000000002E-2</v>
      </c>
      <c r="C10" s="86" t="s">
        <v>270</v>
      </c>
      <c r="D10" s="86"/>
      <c r="E10" s="82" t="s">
        <v>259</v>
      </c>
      <c r="F10" s="81">
        <f>$B$2*S$2+$B$3*S$3+$B$4*S$4+$B$5*S$5+$B$6*S$6+$B$7*S$7+$B$8*S$8+$B$9*S$9+$B$10*S$10+$B$11*S$11+$B$12*S$12</f>
        <v>5.7222621062499989E-3</v>
      </c>
      <c r="G10" s="81">
        <f>$B$16*S$2+$B$17*S$3+$B$18*S$4+$B$19*S$5+$B$20*S$6+$B$21*S$7+$B$22*S$8+$B$23*S$9+$B$24*S$10+$B$25*S$11+$B$26*S$12</f>
        <v>3.6019199999999998E-3</v>
      </c>
      <c r="H10" s="81">
        <f t="shared" si="0"/>
        <v>2.1203421062499991E-3</v>
      </c>
      <c r="J10" t="s">
        <v>266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18">
        <v>0</v>
      </c>
    </row>
    <row r="11" spans="1:20">
      <c r="A11" s="25" t="s">
        <v>57</v>
      </c>
      <c r="B11" s="85">
        <f>已投部分年化收益率!Y25</f>
        <v>3.70254125E-2</v>
      </c>
      <c r="C11" s="86" t="s">
        <v>272</v>
      </c>
      <c r="D11" s="86"/>
      <c r="E11" s="82" t="s">
        <v>257</v>
      </c>
      <c r="F11" s="81">
        <f>$B$2*T$2+$B$3*T$3+$B$4*T$4+$B$5*T$5+$B$6*T$6+$B$7*T$7+$B$8*T$8+$B$9*T$9+$B$10*T$10+$B$11*T$11+$B$12*T$12</f>
        <v>2.5068244012500001E-2</v>
      </c>
      <c r="G11" s="81">
        <f>$B$16*T$2+$B$17*T$3+$B$18*T$4+$B$19*T$5+$B$20*T$6+$B$21*T$7+$B$22*T$8+$B$23*T$9+$B$24*T$10+$B$25*T$11+$B$26*T$12</f>
        <v>2.560204E-2</v>
      </c>
      <c r="H11" s="81">
        <f t="shared" si="0"/>
        <v>-5.3379598749999854E-4</v>
      </c>
      <c r="J11" t="s">
        <v>271</v>
      </c>
      <c r="K11" s="18">
        <v>0</v>
      </c>
      <c r="L11" s="18">
        <v>0</v>
      </c>
      <c r="M11" s="18">
        <v>0</v>
      </c>
      <c r="N11" s="18">
        <v>0.33740000000000003</v>
      </c>
      <c r="O11" s="18">
        <v>8.4199999999999997E-2</v>
      </c>
      <c r="P11" s="18">
        <v>0.38850000000000001</v>
      </c>
      <c r="Q11" s="18">
        <v>8.7400000000000005E-2</v>
      </c>
      <c r="R11" s="18">
        <v>0.10249999999999999</v>
      </c>
      <c r="S11" s="18">
        <v>0</v>
      </c>
      <c r="T11" s="18">
        <v>0</v>
      </c>
    </row>
    <row r="12" spans="1:20">
      <c r="A12" s="82" t="s">
        <v>37</v>
      </c>
      <c r="B12" s="85">
        <f>已投部分年化收益率!Y23</f>
        <v>5.2069037499999998E-2</v>
      </c>
      <c r="C12" s="86" t="s">
        <v>274</v>
      </c>
      <c r="D12" s="86"/>
      <c r="J12" t="s">
        <v>275</v>
      </c>
      <c r="K12" s="18">
        <v>0</v>
      </c>
      <c r="L12" s="18">
        <v>5.8099999999999999E-2</v>
      </c>
      <c r="M12" s="18">
        <v>0.67700000000000005</v>
      </c>
      <c r="N12" s="18">
        <v>5.3099999999999994E-2</v>
      </c>
      <c r="O12" s="18">
        <v>0</v>
      </c>
      <c r="P12" s="18">
        <v>0</v>
      </c>
      <c r="Q12" s="18">
        <v>0</v>
      </c>
      <c r="R12" s="18">
        <v>8.1600000000000006E-2</v>
      </c>
      <c r="S12" s="18">
        <v>0</v>
      </c>
      <c r="T12" s="18">
        <v>0.13019999999999998</v>
      </c>
    </row>
    <row r="15" spans="1:20">
      <c r="A15" t="s">
        <v>276</v>
      </c>
      <c r="B15" t="s">
        <v>277</v>
      </c>
      <c r="G15" s="82"/>
      <c r="H15" s="82"/>
    </row>
    <row r="16" spans="1:20">
      <c r="A16" s="25" t="s">
        <v>58</v>
      </c>
      <c r="B16" s="18">
        <f>12*0.0067</f>
        <v>8.0399999999999999E-2</v>
      </c>
    </row>
    <row r="17" spans="1:14">
      <c r="A17" s="82" t="s">
        <v>44</v>
      </c>
      <c r="B17" s="18">
        <f>9*0.0067</f>
        <v>6.0299999999999999E-2</v>
      </c>
    </row>
    <row r="18" spans="1:14">
      <c r="A18" s="82" t="s">
        <v>40</v>
      </c>
      <c r="B18" s="18">
        <f>(1+5)*0.0067</f>
        <v>4.02E-2</v>
      </c>
    </row>
    <row r="19" spans="1:14">
      <c r="A19" s="82" t="s">
        <v>18</v>
      </c>
      <c r="B19" s="18">
        <f>(11+8+1+2)*0.0067</f>
        <v>0.1474</v>
      </c>
    </row>
    <row r="20" spans="1:14">
      <c r="A20" s="82" t="s">
        <v>19</v>
      </c>
      <c r="B20" s="18">
        <v>0</v>
      </c>
    </row>
    <row r="21" spans="1:14">
      <c r="A21" s="82" t="s">
        <v>68</v>
      </c>
      <c r="B21" s="18">
        <f>9*0.0067</f>
        <v>6.0299999999999999E-2</v>
      </c>
    </row>
    <row r="22" spans="1:14">
      <c r="A22" s="25" t="s">
        <v>56</v>
      </c>
      <c r="B22" s="18">
        <f>3*0.0067</f>
        <v>2.01E-2</v>
      </c>
    </row>
    <row r="23" spans="1:14">
      <c r="A23" s="25" t="s">
        <v>59</v>
      </c>
      <c r="B23" s="18">
        <f>3*0.0067</f>
        <v>2.01E-2</v>
      </c>
      <c r="K23" s="18"/>
      <c r="N23" s="18"/>
    </row>
    <row r="24" spans="1:14">
      <c r="A24" s="25" t="s">
        <v>60</v>
      </c>
      <c r="B24" s="18">
        <f>9*0.0067</f>
        <v>6.0299999999999999E-2</v>
      </c>
      <c r="K24" s="18"/>
      <c r="N24" s="18"/>
    </row>
    <row r="25" spans="1:14">
      <c r="A25" s="25" t="s">
        <v>57</v>
      </c>
      <c r="B25" s="18">
        <f>5*0.0067</f>
        <v>3.3500000000000002E-2</v>
      </c>
      <c r="K25" s="18"/>
      <c r="N25" s="18"/>
    </row>
    <row r="26" spans="1:14">
      <c r="A26" s="82" t="s">
        <v>37</v>
      </c>
      <c r="B26" s="18">
        <f>8*0.0067</f>
        <v>5.3600000000000002E-2</v>
      </c>
      <c r="K26" s="18"/>
      <c r="N26" s="18"/>
    </row>
    <row r="27" spans="1:14">
      <c r="K27" s="18"/>
      <c r="N27" s="18"/>
    </row>
    <row r="28" spans="1:14">
      <c r="K28" s="18"/>
      <c r="N28" s="18"/>
    </row>
    <row r="29" spans="1:14">
      <c r="K29" s="18"/>
      <c r="N29" s="18"/>
    </row>
    <row r="30" spans="1:14">
      <c r="K30" s="18"/>
      <c r="N30" s="18"/>
    </row>
    <row r="31" spans="1:14">
      <c r="K31" s="18"/>
      <c r="N31" s="18"/>
    </row>
    <row r="32" spans="1:14">
      <c r="K32" s="18"/>
      <c r="N32" s="18"/>
    </row>
    <row r="33" spans="11:14">
      <c r="K33" s="18"/>
      <c r="N33" s="18"/>
    </row>
    <row r="34" spans="11:14">
      <c r="K34" s="18"/>
      <c r="N34" s="18"/>
    </row>
    <row r="35" spans="11:14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</sheetData>
  <phoneticPr fontId="3" type="noConversion"/>
  <conditionalFormatting sqref="K2:T12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H2:H11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K2:T12</xm:sqref>
        </x14:conditionalFormatting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已投部分年化收益率</vt:lpstr>
      <vt:lpstr>ETF计划成本计算</vt:lpstr>
      <vt:lpstr>资产配置表</vt:lpstr>
      <vt:lpstr>压力测试</vt:lpstr>
      <vt:lpstr>组合权益类行业占比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2018-10-01T05:08:49Z</dcterms:modified>
</cp:coreProperties>
</file>