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5A7FC76E-B1DF-4BFE-8DB5-C7CA58173416}" xr6:coauthVersionLast="36" xr6:coauthVersionMax="36" xr10:uidLastSave="{00000000-0000-0000-0000-000000000000}"/>
  <bookViews>
    <workbookView xWindow="31005" yWindow="195" windowWidth="28800" windowHeight="16665" activeTab="2" xr2:uid="{00000000-000D-0000-FFFF-FFFF00000000}"/>
  </bookViews>
  <sheets>
    <sheet name="投资操作明细" sheetId="1" r:id="rId1"/>
    <sheet name="资产配置详细情况" sheetId="11" r:id="rId2"/>
    <sheet name="基金费率" sheetId="12" r:id="rId3"/>
    <sheet name="权益类资产估值表" sheetId="4" r:id="rId4"/>
    <sheet name="ETF计划成本计算" sheetId="5" r:id="rId5"/>
    <sheet name="空间压力测试" sheetId="10" r:id="rId6"/>
    <sheet name="时间压力测试" sheetId="7" r:id="rId7"/>
    <sheet name="组合权益类行业占比" sheetId="8" r:id="rId8"/>
    <sheet name="聚宽行业分类" sheetId="9" r:id="rId9"/>
  </sheets>
  <definedNames>
    <definedName name="_xlnm._FilterDatabase" localSheetId="0" hidden="1">投资操作明细!$A$1:$W$122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2" l="1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J24" i="11"/>
  <c r="J25" i="11"/>
  <c r="J20" i="11"/>
  <c r="C49" i="11"/>
  <c r="C53" i="11"/>
  <c r="C54" i="11"/>
  <c r="C55" i="11"/>
  <c r="B53" i="11"/>
  <c r="B54" i="11"/>
  <c r="B55" i="11"/>
  <c r="D55" i="11"/>
  <c r="E52" i="11"/>
  <c r="B32" i="11"/>
  <c r="E32" i="11"/>
  <c r="B33" i="11"/>
  <c r="E33" i="11"/>
  <c r="B34" i="11"/>
  <c r="E34" i="11"/>
  <c r="B35" i="11"/>
  <c r="E35" i="11"/>
  <c r="B36" i="11"/>
  <c r="E36" i="11"/>
  <c r="B37" i="11"/>
  <c r="E37" i="11"/>
  <c r="B38" i="11"/>
  <c r="E38" i="11"/>
  <c r="B39" i="11"/>
  <c r="E39" i="11"/>
  <c r="B40" i="11"/>
  <c r="E40" i="11"/>
  <c r="B41" i="11"/>
  <c r="E41" i="11"/>
  <c r="B42" i="11"/>
  <c r="E42" i="11"/>
  <c r="B43" i="11"/>
  <c r="E43" i="11"/>
  <c r="B44" i="11"/>
  <c r="E44" i="11"/>
  <c r="B45" i="11"/>
  <c r="E45" i="11"/>
  <c r="B46" i="11"/>
  <c r="E46" i="11"/>
  <c r="B47" i="11"/>
  <c r="E47" i="11"/>
  <c r="B48" i="11"/>
  <c r="E48" i="11"/>
  <c r="B49" i="11"/>
  <c r="E49" i="11"/>
  <c r="B50" i="11"/>
  <c r="E50" i="11"/>
  <c r="B51" i="11"/>
  <c r="E51" i="11"/>
  <c r="B31" i="11"/>
  <c r="E31" i="11"/>
  <c r="J3" i="11"/>
  <c r="C32" i="11"/>
  <c r="F32" i="11"/>
  <c r="J4" i="11"/>
  <c r="C33" i="11"/>
  <c r="F33" i="11"/>
  <c r="J5" i="11"/>
  <c r="C34" i="11"/>
  <c r="F34" i="11"/>
  <c r="J6" i="11"/>
  <c r="C35" i="11"/>
  <c r="F35" i="11"/>
  <c r="J7" i="11"/>
  <c r="C36" i="11"/>
  <c r="F36" i="11"/>
  <c r="J8" i="11"/>
  <c r="C37" i="11"/>
  <c r="F37" i="11"/>
  <c r="J9" i="11"/>
  <c r="C38" i="11"/>
  <c r="F38" i="11"/>
  <c r="J10" i="11"/>
  <c r="C39" i="11"/>
  <c r="F39" i="11"/>
  <c r="J11" i="11"/>
  <c r="C40" i="11"/>
  <c r="F40" i="11"/>
  <c r="J12" i="11"/>
  <c r="C41" i="11"/>
  <c r="F41" i="11"/>
  <c r="J13" i="11"/>
  <c r="C42" i="11"/>
  <c r="F42" i="11"/>
  <c r="J14" i="11"/>
  <c r="C43" i="11"/>
  <c r="F43" i="11"/>
  <c r="J15" i="11"/>
  <c r="C44" i="11"/>
  <c r="F44" i="11"/>
  <c r="J16" i="11"/>
  <c r="C45" i="11"/>
  <c r="F45" i="11"/>
  <c r="J17" i="11"/>
  <c r="C46" i="11"/>
  <c r="F46" i="11"/>
  <c r="J18" i="11"/>
  <c r="C47" i="11"/>
  <c r="F47" i="11"/>
  <c r="J19" i="11"/>
  <c r="C48" i="11"/>
  <c r="F48" i="11"/>
  <c r="F49" i="11"/>
  <c r="G21" i="11"/>
  <c r="J21" i="11"/>
  <c r="C50" i="11"/>
  <c r="F50" i="11"/>
  <c r="J22" i="11"/>
  <c r="C51" i="11"/>
  <c r="F51" i="11"/>
  <c r="G23" i="11"/>
  <c r="J23" i="11"/>
  <c r="C52" i="11"/>
  <c r="F52" i="11"/>
  <c r="G24" i="11"/>
  <c r="J2" i="11"/>
  <c r="C31" i="11"/>
  <c r="F31" i="11"/>
  <c r="D52" i="11"/>
  <c r="D53" i="11"/>
  <c r="D54" i="11"/>
  <c r="Q4" i="1"/>
  <c r="S4" i="1"/>
  <c r="Q5" i="1"/>
  <c r="S5" i="1"/>
  <c r="Q6" i="1"/>
  <c r="S6" i="1"/>
  <c r="Q7" i="1"/>
  <c r="M143" i="1"/>
  <c r="M147" i="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K83" i="1"/>
  <c r="J83" i="1"/>
  <c r="K80" i="1"/>
  <c r="J80" i="1"/>
  <c r="K73" i="1"/>
  <c r="J73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S77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Y38" i="1"/>
  <c r="T38" i="1"/>
  <c r="H2" i="1"/>
  <c r="J2" i="1"/>
  <c r="H61" i="1"/>
  <c r="J61" i="1"/>
  <c r="H113" i="1"/>
  <c r="J113" i="1"/>
  <c r="X38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Y39" i="1"/>
  <c r="T39" i="1"/>
  <c r="H110" i="1"/>
  <c r="J110" i="1"/>
  <c r="X39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Y34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58" i="7"/>
  <c r="S81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9" i="1"/>
  <c r="K89" i="1"/>
  <c r="Y37" i="1"/>
  <c r="H37" i="4"/>
  <c r="L11" i="7"/>
  <c r="N11" i="7"/>
  <c r="K11" i="7"/>
  <c r="E38" i="7"/>
  <c r="V22" i="1"/>
  <c r="I40" i="1"/>
  <c r="K40" i="1"/>
  <c r="I51" i="1"/>
  <c r="K51" i="1"/>
  <c r="I93" i="1"/>
  <c r="K93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42" i="1"/>
  <c r="J144" i="1"/>
  <c r="J145" i="1"/>
  <c r="J146" i="1"/>
  <c r="J148" i="1"/>
  <c r="J149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K11" authorId="0" shapeId="0" xr:uid="{00000000-0006-0000-05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M11" authorId="1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<sst xmlns="http://schemas.openxmlformats.org/spreadsheetml/2006/main" count="15763" uniqueCount="7647">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</sst>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0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389"/>
                  <c:y val="6.9084609880023969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253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12E-2"/>
                  <c:y val="-3.4542304940011984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83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资产配置详细情况!$O$3:$O$9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资产配置详细情况!$P$3:$P$9</c:f>
              <c:numCache>
                <c:formatCode>0.00%</c:formatCode>
                <c:ptCount val="7"/>
                <c:pt idx="0">
                  <c:v>0.51281516291592033</c:v>
                </c:pt>
                <c:pt idx="1">
                  <c:v>1.599010635789792E-2</c:v>
                </c:pt>
                <c:pt idx="2">
                  <c:v>1.2393015185905477E-2</c:v>
                </c:pt>
                <c:pt idx="3">
                  <c:v>2.8876457442180745E-2</c:v>
                </c:pt>
                <c:pt idx="4">
                  <c:v>4.5288262269066445E-2</c:v>
                </c:pt>
                <c:pt idx="5">
                  <c:v>0.16274505927944083</c:v>
                </c:pt>
                <c:pt idx="6">
                  <c:v>0.22189193654958836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权益类资产估值表!$G$3:$G$5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权益类资产估值表!$G$28:$G$39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权益类资产估值表!$H$28:$H$39</c:f>
              <c:numCache>
                <c:formatCode>0.00</c:formatCode>
                <c:ptCount val="12"/>
                <c:pt idx="0">
                  <c:v>9.7880779075583284</c:v>
                </c:pt>
                <c:pt idx="1">
                  <c:v>11.36622394649374</c:v>
                </c:pt>
                <c:pt idx="2">
                  <c:v>21.633080108668185</c:v>
                </c:pt>
                <c:pt idx="3">
                  <c:v>29.522340239990651</c:v>
                </c:pt>
                <c:pt idx="4">
                  <c:v>31.568188485981963</c:v>
                </c:pt>
                <c:pt idx="5">
                  <c:v>29.445647024026695</c:v>
                </c:pt>
                <c:pt idx="6">
                  <c:v>23.560825948031592</c:v>
                </c:pt>
                <c:pt idx="7">
                  <c:v>25.074858016687536</c:v>
                </c:pt>
                <c:pt idx="8">
                  <c:v>27.611121357189571</c:v>
                </c:pt>
                <c:pt idx="9">
                  <c:v>0.99919307511737088</c:v>
                </c:pt>
                <c:pt idx="10">
                  <c:v>1.3244841626055306</c:v>
                </c:pt>
                <c:pt idx="11">
                  <c:v>22.043119548486402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权益类资产估值表!$H$3:$H$5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zoomScaleNormal="100" zoomScalePageLayoutView="110" workbookViewId="0">
      <selection activeCell="X11" sqref="X11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 t="shared" ref="J2:J33" si="0">H2*(-$M2)</f>
        <v>40163.78787878788</v>
      </c>
      <c r="K2" s="21">
        <f t="shared" ref="K2:K33" si="1">I2*(-$M2)</f>
        <v>4858.522727272727</v>
      </c>
      <c r="L2" s="7" t="s">
        <v>10</v>
      </c>
      <c r="M2" s="4">
        <v>-3400</v>
      </c>
      <c r="N2" s="4">
        <v>4.08</v>
      </c>
      <c r="O2" s="4"/>
      <c r="P2" s="117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si="0"/>
        <v>221027.08254269452</v>
      </c>
      <c r="K3" s="21">
        <f t="shared" si="1"/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117"/>
      <c r="Q11" s="117"/>
      <c r="R11" s="117" t="s">
        <v>54</v>
      </c>
      <c r="S11" s="15">
        <v>43430</v>
      </c>
      <c r="T11" s="11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7" t="s">
        <v>60</v>
      </c>
      <c r="S12" s="25" t="s">
        <v>199</v>
      </c>
      <c r="T12" s="117" t="s">
        <v>200</v>
      </c>
      <c r="U12" s="117" t="s">
        <v>201</v>
      </c>
      <c r="V12" s="117" t="s">
        <v>202</v>
      </c>
      <c r="W12" s="117" t="s">
        <v>7378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17" t="s">
        <v>17</v>
      </c>
      <c r="C13" s="11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39" si="2">S13/R13</f>
        <v>3.7630662020905925</v>
      </c>
      <c r="U13" s="57">
        <v>1.3</v>
      </c>
      <c r="V13" s="58">
        <f t="shared" ref="V13:V39" si="3">U13/R13</f>
        <v>0.50329074719318623</v>
      </c>
      <c r="W13" s="83">
        <v>0.13389999999999999</v>
      </c>
      <c r="X13" s="73">
        <f>SUMIF(C:C,"=红利",J:J)/SUMIF(C:C,"=红利",M:M)*-1</f>
        <v>9.7880779075583284</v>
      </c>
      <c r="Y13" s="73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si="3"/>
        <v>0.46444718454582817</v>
      </c>
      <c r="W14" s="83">
        <v>0.12509999999999999</v>
      </c>
      <c r="X14" s="73">
        <f>SUMIF(C:C,"=50ETF",J:J)/SUMIF(C:C,"=50ETF",M:M)*-1</f>
        <v>8.8261405672009872</v>
      </c>
      <c r="Y14" s="73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3">
        <v>0.12139999999999999</v>
      </c>
      <c r="X15" s="73">
        <f>SUMIF(C:C,"=300ETF",J:J)/SUMIF(C:C,"=300ETF",M:M)*-1</f>
        <v>11.36622394649374</v>
      </c>
      <c r="Y15" s="73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17" t="s">
        <v>17</v>
      </c>
      <c r="C16" s="11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116">
        <v>9.5100000000000004E-2</v>
      </c>
      <c r="X16" s="73">
        <f>SUMIF(C:C,"=500ETF",J:J)/SUMIF(C:C,"=500ETF",M:M)*-1</f>
        <v>21.633080108668185</v>
      </c>
      <c r="Y16" s="73">
        <f>SUMIF(C:C,"=500ETF",K:K)/SUMIF(C:C,"=500ETF",M:M)*-1</f>
        <v>2.0552743586798039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116">
        <v>8.3799999999999999E-2</v>
      </c>
      <c r="X17" s="73">
        <f>SUMIF(C:C,"=1000ETF",J:J)/SUMIF(C:C,"=1000ETF",M:M)*-1</f>
        <v>29.522340239990651</v>
      </c>
      <c r="Y17" s="73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116">
        <v>0.12429999999999999</v>
      </c>
      <c r="X18" s="73">
        <f>SUMIF(C:C,"=创业板",J:J)/SUMIF(C:C,"=创业板",M:M)*-1</f>
        <v>31.568188485981963</v>
      </c>
      <c r="Y18" s="73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116">
        <v>0.1163</v>
      </c>
      <c r="X19" s="73">
        <f>SUMIF(C:C,"=医药",J:J)/SUMIF(C:C,"=医药",M:M)*-1</f>
        <v>29.445647024026695</v>
      </c>
      <c r="Y19" s="73">
        <f>SUMIF(C:C,"=医药",K:K)/SUMIF(C:C,"=医药",M:M)*-1</f>
        <v>3.4233458062687219</v>
      </c>
      <c r="Z19" s="142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116">
        <v>0.1163</v>
      </c>
      <c r="X20" s="73">
        <f>SUMIF(C:C,"=医药",J:J)/SUMIF(C:C,"=医药",M:M)*-1</f>
        <v>29.445647024026695</v>
      </c>
      <c r="Y20" s="73">
        <f>SUMIF(C:C,"=医药",K:K)/SUMIF(C:C,"=医药",M:M)*-1</f>
        <v>3.4233458062687219</v>
      </c>
      <c r="Z20" s="143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116">
        <v>0.1275</v>
      </c>
      <c r="X21" s="73">
        <f>SUMIF(C:C,"=养老",J:J)/SUMIF(C:C,"=养老",M:M)*-1</f>
        <v>23.560825948031592</v>
      </c>
      <c r="Y21" s="73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116">
        <v>5.0200000000000002E-2</v>
      </c>
      <c r="X22" s="73">
        <f>SUMIF(C:C,"=证券",J:J)/SUMIF(C:C,"=证券",M:M)*-1</f>
        <v>26.395822169721239</v>
      </c>
      <c r="Y22" s="73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>F23*$V$16</f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116">
        <v>8.43E-2</v>
      </c>
      <c r="X23" s="73">
        <f>SUMIF(C:C,"=环保",J:J)/SUMIF(C:C,"=环保",M:M)*-1</f>
        <v>25.074858016687536</v>
      </c>
      <c r="Y23" s="73">
        <f>SUMIF(C:C,"=环保",K:K)/SUMIF(C:C,"=环保",M:M)*-1</f>
        <v>2.116964940055948</v>
      </c>
      <c r="Z23" s="142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116">
        <v>8.43E-2</v>
      </c>
      <c r="X24" s="73">
        <f>SUMIF(C:C,"=环保",J:J)/SUMIF(C:C,"=环保",M:M)*-1</f>
        <v>25.074858016687536</v>
      </c>
      <c r="Y24" s="73">
        <f>SUMIF(C:C,"=环保",K:K)/SUMIF(C:C,"=环保",M:M)*-1</f>
        <v>2.116964940055948</v>
      </c>
      <c r="Z24" s="143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116">
        <v>0.1138</v>
      </c>
      <c r="X25" s="73">
        <f>SUMIF(C:C,"=传媒",J:J)/SUMIF(C:C,"=传媒",M:M)*-1</f>
        <v>27.611121357189571</v>
      </c>
      <c r="Y25" s="73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si="2"/>
        <v>10.701545778834721</v>
      </c>
      <c r="U26" s="57">
        <v>1.1299999999999999</v>
      </c>
      <c r="V26" s="58">
        <f t="shared" si="3"/>
        <v>1.3436385255648038</v>
      </c>
      <c r="W26" s="116">
        <v>0.12509999999999999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2"/>
        <v>10.028705796127772</v>
      </c>
      <c r="U27" s="57">
        <v>1.56</v>
      </c>
      <c r="V27" s="58">
        <f t="shared" si="3"/>
        <v>0.95278812679411229</v>
      </c>
      <c r="W27" s="116">
        <v>9.5100000000000004E-2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2"/>
        <v>35.085470085470085</v>
      </c>
      <c r="U28" s="57">
        <v>1.56</v>
      </c>
      <c r="V28" s="58">
        <f t="shared" si="3"/>
        <v>3.333333333333333</v>
      </c>
      <c r="W28" s="83">
        <v>9.5100000000000004E-2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>F29*$V$16</f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2"/>
        <v>9.861861861861863</v>
      </c>
      <c r="U29" s="57">
        <v>1.56</v>
      </c>
      <c r="V29" s="58">
        <f t="shared" si="3"/>
        <v>0.93693693693693691</v>
      </c>
      <c r="W29" s="116">
        <v>9.5100000000000004E-2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122" t="s">
        <v>168</v>
      </c>
      <c r="Q30" s="63" t="s">
        <v>190</v>
      </c>
      <c r="R30" s="123">
        <v>0.74580000000000002</v>
      </c>
      <c r="S30" s="124">
        <v>16.420000000000002</v>
      </c>
      <c r="T30" s="126">
        <f t="shared" si="2"/>
        <v>22.016626441405204</v>
      </c>
      <c r="U30" s="57">
        <v>1.56</v>
      </c>
      <c r="V30" s="58">
        <f t="shared" si="3"/>
        <v>2.091713596138375</v>
      </c>
      <c r="W30" s="116">
        <v>9.5100000000000004E-2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122" t="s">
        <v>169</v>
      </c>
      <c r="Q31" s="63">
        <v>100038</v>
      </c>
      <c r="R31" s="123">
        <v>1.6060000000000001</v>
      </c>
      <c r="S31" s="124">
        <v>10.75</v>
      </c>
      <c r="T31" s="126">
        <f t="shared" si="2"/>
        <v>6.6936488169364878</v>
      </c>
      <c r="U31" s="57">
        <v>1.31</v>
      </c>
      <c r="V31" s="58">
        <f t="shared" si="3"/>
        <v>0.81569115815691162</v>
      </c>
      <c r="W31" s="116">
        <v>0.12139999999999999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2"/>
        <v>10.179924242424242</v>
      </c>
      <c r="U32" s="57">
        <v>1.31</v>
      </c>
      <c r="V32" s="58">
        <f t="shared" si="3"/>
        <v>1.240530303030303</v>
      </c>
      <c r="W32" s="116">
        <v>0.12139999999999999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2"/>
        <v>31.261538461538461</v>
      </c>
      <c r="U33" s="57">
        <v>2.31</v>
      </c>
      <c r="V33" s="58">
        <f t="shared" si="3"/>
        <v>3.5538461538461537</v>
      </c>
      <c r="W33" s="116">
        <v>0.1138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ref="J34:J65" si="4">H34*(-$M34)</f>
        <v>105429.63797264683</v>
      </c>
      <c r="K34" s="21">
        <f t="shared" ref="K34:K65" si="5">I34*(-$M34)</f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2"/>
        <v>12.868137506413545</v>
      </c>
      <c r="U34" s="57">
        <v>4.6100000000000003</v>
      </c>
      <c r="V34" s="58">
        <f t="shared" si="3"/>
        <v>2.3653155464340689</v>
      </c>
      <c r="W34" s="116">
        <v>0.18379999999999999</v>
      </c>
      <c r="X34" s="73">
        <f>SUMIF(C:C,"=消费",J:J)/SUMIF(C:C,"=消费",M:M)*-1</f>
        <v>22.043119548486402</v>
      </c>
      <c r="Y34" s="73">
        <f>SUMIF(C:C,"=消费",K:K)/SUMIF(C:C,"=消费",M:M)*-1</f>
        <v>4.0517855310415607</v>
      </c>
      <c r="Z34" s="95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4"/>
        <v>105328.96355648346</v>
      </c>
      <c r="K35" s="21">
        <f t="shared" si="5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 t="shared" si="2"/>
        <v>21.396206128561552</v>
      </c>
      <c r="U35" s="57">
        <v>3.46</v>
      </c>
      <c r="V35" s="58">
        <f t="shared" si="3"/>
        <v>2.657245987251363</v>
      </c>
      <c r="W35" s="116">
        <v>0.12429999999999999</v>
      </c>
      <c r="X35" s="61"/>
      <c r="Y35" s="61"/>
      <c r="Z35" s="95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22" t="s">
        <v>7427</v>
      </c>
      <c r="Q36" s="63" t="s">
        <v>7428</v>
      </c>
      <c r="R36" s="123">
        <v>0.71660000000000001</v>
      </c>
      <c r="S36" s="124">
        <v>27.86</v>
      </c>
      <c r="T36" s="126">
        <f t="shared" si="2"/>
        <v>38.878035166061956</v>
      </c>
      <c r="U36" s="57">
        <v>3.46</v>
      </c>
      <c r="V36" s="58">
        <f t="shared" si="3"/>
        <v>4.8283561261512693</v>
      </c>
      <c r="W36" s="116">
        <v>0.12429999999999999</v>
      </c>
      <c r="X36" s="61"/>
      <c r="Y36" s="61"/>
      <c r="Z36" s="95"/>
    </row>
    <row r="37" spans="1:27">
      <c r="A37" s="3">
        <v>43235</v>
      </c>
      <c r="B37" s="117" t="s">
        <v>23</v>
      </c>
      <c r="C37" s="11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4"/>
        <v>191042.18493172689</v>
      </c>
      <c r="K37" s="21">
        <f t="shared" si="5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4">
        <v>8.1999999999999993</v>
      </c>
      <c r="T37" s="58">
        <f t="shared" si="2"/>
        <v>9.0228873239436602</v>
      </c>
      <c r="U37" s="114">
        <v>1</v>
      </c>
      <c r="V37" s="58">
        <f t="shared" si="3"/>
        <v>1.1003521126760563</v>
      </c>
      <c r="W37" s="116"/>
      <c r="X37" s="73">
        <f>SUMIF(C:C,"=金融地产",J:J)/SUMIF(C:C,"=金融地产",M:M)*-1</f>
        <v>8.1933832159624398</v>
      </c>
      <c r="Y37" s="73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>
      <c r="A38" s="3">
        <v>43235</v>
      </c>
      <c r="B38" s="117" t="s">
        <v>20</v>
      </c>
      <c r="C38" s="11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4"/>
        <v>510090.8436841786</v>
      </c>
      <c r="K38" s="21">
        <f t="shared" si="5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23">
        <v>1.056</v>
      </c>
      <c r="S38" s="125">
        <v>12.4</v>
      </c>
      <c r="T38" s="126">
        <f t="shared" si="2"/>
        <v>11.742424242424242</v>
      </c>
      <c r="U38" s="114">
        <v>1.5</v>
      </c>
      <c r="V38" s="58">
        <f t="shared" si="3"/>
        <v>1.4204545454545454</v>
      </c>
      <c r="W38" s="116"/>
      <c r="X38" s="73">
        <f>SUMIF(C:C,"=德国30",J:J)/SUMIF(C:C,"=德国30",M:M)*-1</f>
        <v>13.037570145903478</v>
      </c>
      <c r="Y38" s="73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>
      <c r="A39" s="3">
        <v>43235</v>
      </c>
      <c r="B39" s="117" t="s">
        <v>21</v>
      </c>
      <c r="C39" s="11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4">
        <v>10.31</v>
      </c>
      <c r="T39" s="58">
        <f t="shared" si="2"/>
        <v>7.0490906604676615</v>
      </c>
      <c r="U39" s="114">
        <v>1.17</v>
      </c>
      <c r="V39" s="58">
        <f t="shared" si="3"/>
        <v>0.79994530288527277</v>
      </c>
      <c r="W39" s="58"/>
      <c r="X39" s="73">
        <f>SUMIF(C:C,"=恒生",J:J)/SUMIF(C:C,"=恒生",M:M)*-1</f>
        <v>10.222591275810203</v>
      </c>
      <c r="Y39" s="73">
        <f>SUMIF(C:C,"=恒生",K:K)/SUMIF(C:C,"=恒生",M:M)*-1</f>
        <v>1.1600806782442226</v>
      </c>
      <c r="Z39" s="59">
        <f>(SUMIF(C:C,"=恒生",M:M)*-1)/$Q$2</f>
        <v>8.0000000000000002E-3</v>
      </c>
    </row>
    <row r="40" spans="1:27">
      <c r="A40" s="3">
        <v>43235</v>
      </c>
      <c r="B40" s="117" t="s">
        <v>22</v>
      </c>
      <c r="C40" s="11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4"/>
        <v>377046.40028059151</v>
      </c>
      <c r="K40" s="21">
        <f t="shared" si="5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07"/>
      <c r="Y40" s="107"/>
      <c r="Z40" s="106">
        <f>(SUMIF(C:C,"=海外互联网",M:M)*-1)/$Q$2</f>
        <v>1.6E-2</v>
      </c>
    </row>
    <row r="41" spans="1:27">
      <c r="A41" s="3">
        <v>43245</v>
      </c>
      <c r="B41" s="117" t="s">
        <v>23</v>
      </c>
      <c r="C41" s="11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4"/>
        <v>191042.18493172689</v>
      </c>
      <c r="K41" s="21">
        <f t="shared" si="5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117"/>
      <c r="T41" s="117"/>
      <c r="U41" s="117"/>
      <c r="V41" s="117"/>
      <c r="W41" s="117"/>
      <c r="X41" s="2"/>
      <c r="Y41" s="72"/>
      <c r="Z41" s="106">
        <f>(SUMIF(C:C,"=国债",M:M)*-1)/$Q$2</f>
        <v>-1.1850999999999999E-3</v>
      </c>
    </row>
    <row r="42" spans="1:27">
      <c r="A42" s="3">
        <v>43250</v>
      </c>
      <c r="B42" s="117" t="s">
        <v>18</v>
      </c>
      <c r="C42" s="11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4"/>
        <v>144361.55219117287</v>
      </c>
      <c r="K42" s="21">
        <f t="shared" si="5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117"/>
      <c r="T42" s="117"/>
      <c r="U42" s="117"/>
      <c r="V42" s="117"/>
      <c r="W42" s="11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17" t="s">
        <v>31</v>
      </c>
      <c r="C43" s="11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117"/>
      <c r="T43" s="117"/>
      <c r="U43" s="117"/>
      <c r="V43" s="117"/>
      <c r="W43" s="117"/>
      <c r="X43" s="2"/>
      <c r="Y43" s="72"/>
      <c r="Z43" s="142">
        <f>(SUMIF(C:C,"=可转债",M:M)*-1)/$Q$2</f>
        <v>5.6000000000000001E-2</v>
      </c>
    </row>
    <row r="44" spans="1:27">
      <c r="A44" s="3">
        <v>43265</v>
      </c>
      <c r="B44" s="117" t="s">
        <v>18</v>
      </c>
      <c r="C44" s="11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4"/>
        <v>139781.99129613623</v>
      </c>
      <c r="K44" s="21">
        <f t="shared" si="5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7"/>
      <c r="T44" s="117"/>
      <c r="U44" s="117"/>
      <c r="V44" s="117"/>
      <c r="W44" s="117"/>
      <c r="X44" s="112"/>
      <c r="Y44" s="112"/>
      <c r="Z44" s="143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4"/>
        <v>54512.676056338008</v>
      </c>
      <c r="K45" s="21">
        <f t="shared" si="5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7"/>
      <c r="T45" s="117"/>
      <c r="U45" s="117"/>
      <c r="V45" s="117"/>
      <c r="W45" s="117"/>
      <c r="X45" s="112"/>
      <c r="Y45" s="112"/>
      <c r="Z45" s="143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4"/>
        <v>404293.95680756366</v>
      </c>
      <c r="K46" s="21">
        <f t="shared" si="5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123">
        <v>0.51</v>
      </c>
      <c r="S46" s="121"/>
      <c r="T46" s="121"/>
      <c r="U46" s="117"/>
      <c r="V46" s="117"/>
      <c r="W46" s="117"/>
      <c r="X46" s="109"/>
      <c r="Y46" s="109"/>
      <c r="Z46" s="108">
        <f>(SUMIF(C:C,"=原油",M:M)*-1)/$Q$2</f>
        <v>1.6E-2</v>
      </c>
    </row>
    <row r="47" spans="1:27">
      <c r="A47" s="3">
        <v>43270</v>
      </c>
      <c r="B47" s="117" t="s">
        <v>39</v>
      </c>
      <c r="C47" s="11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4"/>
        <v>81059.690313851112</v>
      </c>
      <c r="K47" s="21">
        <f t="shared" si="5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117"/>
      <c r="T47" s="117"/>
      <c r="U47" s="117"/>
      <c r="V47" s="117"/>
      <c r="W47" s="11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17" t="s">
        <v>18</v>
      </c>
      <c r="C48" s="11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>F48*$V$16</f>
        <v>1.9106204695085458</v>
      </c>
      <c r="J48" s="21">
        <f t="shared" si="4"/>
        <v>255605.32549045695</v>
      </c>
      <c r="K48" s="21">
        <f t="shared" si="5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7"/>
      <c r="T48" s="117"/>
      <c r="U48" s="117"/>
      <c r="V48" s="117"/>
      <c r="W48" s="11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17" t="s">
        <v>18</v>
      </c>
      <c r="C49" s="11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>F49*$V$16</f>
        <v>1.8718893396289156</v>
      </c>
      <c r="J49" s="21">
        <f t="shared" si="4"/>
        <v>128007.35019706946</v>
      </c>
      <c r="K49" s="21">
        <f t="shared" si="5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7"/>
      <c r="S49" s="2"/>
      <c r="T49" s="117"/>
      <c r="U49" s="117"/>
      <c r="V49" s="117"/>
      <c r="W49" s="117"/>
      <c r="X49" s="2"/>
      <c r="Y49" s="72"/>
      <c r="Z49" s="59">
        <f>1-SUM(Z13:Z48)</f>
        <v>0.1173449124999999</v>
      </c>
    </row>
    <row r="50" spans="1:26">
      <c r="A50" s="3">
        <v>43270</v>
      </c>
      <c r="B50" s="117" t="s">
        <v>31</v>
      </c>
      <c r="C50" s="11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7"/>
      <c r="S50" s="109"/>
      <c r="T50" s="117"/>
      <c r="U50" s="117"/>
      <c r="V50" s="117"/>
      <c r="W50" s="117"/>
      <c r="X50" s="109"/>
      <c r="Y50" s="109"/>
      <c r="Z50" s="108"/>
    </row>
    <row r="51" spans="1:26">
      <c r="A51" s="3">
        <v>43270</v>
      </c>
      <c r="B51" s="117" t="s">
        <v>22</v>
      </c>
      <c r="C51" s="11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4"/>
        <v>162614.70029079961</v>
      </c>
      <c r="K51" s="21">
        <f t="shared" si="5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7"/>
      <c r="S51" s="117"/>
      <c r="T51" s="117"/>
      <c r="U51" s="117"/>
      <c r="V51" s="117"/>
      <c r="W51" s="117"/>
      <c r="X51" s="109"/>
      <c r="Y51" s="109"/>
      <c r="Z51" s="108"/>
    </row>
    <row r="52" spans="1:26">
      <c r="A52" s="3">
        <v>43271</v>
      </c>
      <c r="B52" s="117" t="s">
        <v>40</v>
      </c>
      <c r="C52" s="11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4"/>
        <v>223748.17601422642</v>
      </c>
      <c r="K52" s="21">
        <f t="shared" si="5"/>
        <v>27787.820854602422</v>
      </c>
      <c r="L52" s="5" t="s">
        <v>24</v>
      </c>
      <c r="M52" s="1">
        <v>-6460.49</v>
      </c>
      <c r="N52" s="4">
        <v>1.29</v>
      </c>
      <c r="O52" s="4"/>
      <c r="P52" s="117"/>
      <c r="Q52" s="117"/>
      <c r="R52" s="117"/>
      <c r="S52" s="117"/>
      <c r="T52" s="117"/>
      <c r="U52" s="117"/>
      <c r="V52" s="117"/>
      <c r="W52" s="117"/>
    </row>
    <row r="53" spans="1:26">
      <c r="A53" s="3">
        <v>43279</v>
      </c>
      <c r="B53" s="117" t="s">
        <v>39</v>
      </c>
      <c r="C53" s="11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4"/>
        <v>72614.127004765367</v>
      </c>
      <c r="K53" s="21">
        <f t="shared" si="5"/>
        <v>8848.7912908132694</v>
      </c>
      <c r="L53" s="5" t="s">
        <v>24</v>
      </c>
      <c r="M53" s="1">
        <v>-6207.64</v>
      </c>
      <c r="N53" s="4">
        <v>1.24</v>
      </c>
      <c r="O53" s="4"/>
      <c r="P53" s="117"/>
      <c r="Q53" s="117"/>
      <c r="R53" s="117" t="s">
        <v>118</v>
      </c>
      <c r="S53" s="117"/>
      <c r="T53" s="117"/>
      <c r="U53" s="117"/>
      <c r="V53" s="117"/>
      <c r="W53" s="11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4"/>
        <v>141997.7889195263</v>
      </c>
      <c r="K54" s="21">
        <f t="shared" si="5"/>
        <v>11988.276883085335</v>
      </c>
      <c r="L54" s="5" t="s">
        <v>24</v>
      </c>
      <c r="M54" s="1">
        <v>-6418.88</v>
      </c>
      <c r="N54" s="4">
        <v>1.28</v>
      </c>
      <c r="O54" s="4"/>
      <c r="P54" s="117"/>
      <c r="Q54" s="117" t="s">
        <v>7373</v>
      </c>
      <c r="R54" s="117" t="s">
        <v>160</v>
      </c>
      <c r="S54" s="117" t="s">
        <v>161</v>
      </c>
      <c r="T54" s="117" t="s">
        <v>162</v>
      </c>
      <c r="U54" s="117" t="s">
        <v>163</v>
      </c>
      <c r="V54" s="117"/>
      <c r="W54" s="117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si="4"/>
        <v>49084.507042253514</v>
      </c>
      <c r="K55" s="21">
        <f t="shared" si="5"/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7">
        <v>0</v>
      </c>
      <c r="R55" s="117">
        <v>93506.63</v>
      </c>
      <c r="S55" s="117">
        <f>$Q$2-R55</f>
        <v>706493.37</v>
      </c>
      <c r="T55" s="117">
        <v>0</v>
      </c>
      <c r="U55" s="60">
        <v>3.5000000000000003E-2</v>
      </c>
      <c r="V55" s="60"/>
      <c r="W55" s="11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4"/>
        <v>62906.425087108015</v>
      </c>
      <c r="K56" s="21">
        <f t="shared" si="5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7"/>
      <c r="V56" s="117"/>
      <c r="W56" s="11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4"/>
        <v>161603.86213761356</v>
      </c>
      <c r="K57" s="21">
        <f t="shared" si="5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7"/>
      <c r="V57" s="117"/>
      <c r="W57" s="11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4"/>
        <v>62472.919860627175</v>
      </c>
      <c r="K58" s="21">
        <f t="shared" si="5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7"/>
      <c r="V58" s="117"/>
      <c r="W58" s="11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7"/>
      <c r="V59" s="117"/>
      <c r="W59" s="11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4"/>
        <v>56871.148483353885</v>
      </c>
      <c r="K60" s="21">
        <f t="shared" si="5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7"/>
      <c r="V60" s="117"/>
      <c r="W60" s="11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4"/>
        <v>89956.363636363647</v>
      </c>
      <c r="K61" s="21">
        <f t="shared" si="5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7"/>
      <c r="V61" s="117"/>
      <c r="W61" s="117"/>
    </row>
    <row r="62" spans="1:26">
      <c r="A62" s="3">
        <v>43297</v>
      </c>
      <c r="B62" s="117" t="s">
        <v>23</v>
      </c>
      <c r="C62" s="11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4"/>
        <v>163847.31751127588</v>
      </c>
      <c r="K62" s="21">
        <f t="shared" si="5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7"/>
      <c r="V62" s="117"/>
      <c r="W62" s="11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7"/>
      <c r="V63" s="117"/>
      <c r="W63" s="117"/>
    </row>
    <row r="64" spans="1:26">
      <c r="A64" s="3">
        <v>43313</v>
      </c>
      <c r="B64" s="117" t="s">
        <v>19</v>
      </c>
      <c r="C64" s="11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4"/>
        <v>85526.935597887583</v>
      </c>
      <c r="K64" s="21">
        <f t="shared" si="5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7"/>
      <c r="V64" s="117"/>
      <c r="W64" s="117"/>
    </row>
    <row r="65" spans="1:22">
      <c r="A65" s="3">
        <v>43313</v>
      </c>
      <c r="B65" s="117" t="s">
        <v>18</v>
      </c>
      <c r="C65" s="11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4"/>
        <v>128385.96203365034</v>
      </c>
      <c r="K65" s="21">
        <f t="shared" si="5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7"/>
      <c r="V65" s="117"/>
    </row>
    <row r="66" spans="1:22">
      <c r="A66" s="3">
        <v>43318</v>
      </c>
      <c r="B66" s="117" t="s">
        <v>19</v>
      </c>
      <c r="C66" s="11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ref="J66:J99" si="9">H66*(-$M66)</f>
        <v>80171.889039607689</v>
      </c>
      <c r="K66" s="21">
        <f t="shared" ref="K66:K99" si="10">I66*(-$M66)</f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7"/>
      <c r="V66" s="117"/>
    </row>
    <row r="67" spans="1:22">
      <c r="A67" s="3">
        <v>43318</v>
      </c>
      <c r="B67" s="117" t="s">
        <v>18</v>
      </c>
      <c r="C67" s="11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si="9"/>
        <v>115600.68130930372</v>
      </c>
      <c r="K67" s="21">
        <f t="shared" si="10"/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7" t="s">
        <v>7546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9"/>
        <v>71749.690895319844</v>
      </c>
      <c r="K68" s="21">
        <f t="shared" si="10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17" t="s">
        <v>17</v>
      </c>
      <c r="C69" s="11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9"/>
        <v>195116.83608879999</v>
      </c>
      <c r="K69" s="21">
        <f t="shared" si="10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9"/>
        <v>62424.752613240424</v>
      </c>
      <c r="K71" s="21">
        <f t="shared" si="10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18" t="s">
        <v>64</v>
      </c>
      <c r="C73" s="11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22.671743187756626</v>
      </c>
      <c r="I74" s="21">
        <f>E74*$V$21</f>
        <v>2.8926017170586036</v>
      </c>
      <c r="J74" s="21">
        <f t="shared" si="9"/>
        <v>145099.15640164239</v>
      </c>
      <c r="K74" s="21">
        <f t="shared" si="10"/>
        <v>18512.650989175061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29.868524667931691</v>
      </c>
      <c r="I75" s="21">
        <f>F75*$V$20</f>
        <v>3.4725094876660338</v>
      </c>
      <c r="J75" s="21">
        <f t="shared" si="9"/>
        <v>191158.55787476283</v>
      </c>
      <c r="K75" s="21">
        <f t="shared" si="10"/>
        <v>22224.060721062615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3">
        <v>4024.08</v>
      </c>
      <c r="R75" s="115"/>
      <c r="S75" s="98">
        <f>R75/Q75-1</f>
        <v>-1</v>
      </c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25.250603459002118</v>
      </c>
      <c r="I76" s="21">
        <f>E76*$V$21</f>
        <v>2.8900236406619384</v>
      </c>
      <c r="J76" s="21">
        <f t="shared" si="9"/>
        <v>161603.86213761356</v>
      </c>
      <c r="K76" s="21">
        <f t="shared" si="10"/>
        <v>18496.151300236404</v>
      </c>
      <c r="L76" s="7" t="s">
        <v>10</v>
      </c>
      <c r="M76" s="4">
        <v>-6400</v>
      </c>
      <c r="N76" s="4">
        <v>7.67</v>
      </c>
      <c r="O76" s="4"/>
      <c r="P76" s="117" t="s">
        <v>7414</v>
      </c>
      <c r="Q76" s="93">
        <v>2591.84</v>
      </c>
      <c r="R76" s="115"/>
      <c r="S76" s="60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22.975347544022242</v>
      </c>
      <c r="I77" s="21">
        <f>F77*$V$25</f>
        <v>2.6118628359592218</v>
      </c>
      <c r="J77" s="21">
        <f t="shared" si="9"/>
        <v>146345.38199073216</v>
      </c>
      <c r="K77" s="21">
        <f t="shared" si="10"/>
        <v>16636.704350324377</v>
      </c>
      <c r="L77" s="5" t="s">
        <v>24</v>
      </c>
      <c r="M77" s="1">
        <v>-6369.67</v>
      </c>
      <c r="N77" s="4">
        <v>1.27</v>
      </c>
      <c r="O77" s="4"/>
      <c r="P77" s="3" t="s">
        <v>7408</v>
      </c>
      <c r="Q77" s="93">
        <v>2477.44</v>
      </c>
      <c r="R77" s="115"/>
      <c r="S77" s="60">
        <f t="shared" ref="S77:S86" si="11">R77/Q77-1</f>
        <v>-1</v>
      </c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18.741898871672099</v>
      </c>
      <c r="I78" s="21">
        <f>F78*$V$16</f>
        <v>1.7805945334840727</v>
      </c>
      <c r="J78" s="21">
        <f t="shared" si="9"/>
        <v>115825.68470288844</v>
      </c>
      <c r="K78" s="21">
        <f t="shared" si="10"/>
        <v>11004.145440712909</v>
      </c>
      <c r="L78" s="5" t="s">
        <v>24</v>
      </c>
      <c r="M78" s="1">
        <v>-6180.04</v>
      </c>
      <c r="N78" s="4">
        <v>1.24</v>
      </c>
      <c r="O78" s="4"/>
      <c r="P78" s="3" t="s">
        <v>212</v>
      </c>
      <c r="Q78" s="93">
        <v>3200.64</v>
      </c>
      <c r="R78" s="115"/>
      <c r="S78" s="98">
        <f t="shared" si="11"/>
        <v>-1</v>
      </c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18.680020394138904</v>
      </c>
      <c r="I79" s="21">
        <f>F79*$V$16</f>
        <v>1.7747157012702002</v>
      </c>
      <c r="J79" s="21">
        <f t="shared" si="9"/>
        <v>9588.4544683114982</v>
      </c>
      <c r="K79" s="21">
        <f t="shared" si="10"/>
        <v>910.96156946199369</v>
      </c>
      <c r="L79" s="5" t="s">
        <v>24</v>
      </c>
      <c r="M79" s="1">
        <v>-513.29999999999995</v>
      </c>
      <c r="N79" s="4">
        <v>0.1</v>
      </c>
      <c r="O79" s="4"/>
      <c r="P79" s="3" t="s">
        <v>213</v>
      </c>
      <c r="Q79" s="93">
        <v>4205.04</v>
      </c>
      <c r="R79" s="115"/>
      <c r="S79" s="98">
        <f t="shared" si="11"/>
        <v>-1</v>
      </c>
    </row>
    <row r="80" spans="1:22">
      <c r="A80" s="3">
        <v>43343</v>
      </c>
      <c r="B80" s="118" t="s">
        <v>64</v>
      </c>
      <c r="C80" s="11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214</v>
      </c>
      <c r="Q80" s="93">
        <v>4407.9399999999996</v>
      </c>
      <c r="R80" s="115"/>
      <c r="S80" s="98">
        <f t="shared" si="11"/>
        <v>-1</v>
      </c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18.457985857108024</v>
      </c>
      <c r="I81" s="21">
        <f>F81*$V$16</f>
        <v>1.7536210680321873</v>
      </c>
      <c r="J81" s="21">
        <f t="shared" si="9"/>
        <v>121704.9447071446</v>
      </c>
      <c r="K81" s="21">
        <f t="shared" si="10"/>
        <v>11562.71094659839</v>
      </c>
      <c r="L81" s="5" t="s">
        <v>24</v>
      </c>
      <c r="M81" s="1">
        <v>-6593.62</v>
      </c>
      <c r="N81" s="4">
        <v>1.32</v>
      </c>
      <c r="O81" s="4"/>
      <c r="P81" s="117" t="s">
        <v>219</v>
      </c>
      <c r="Q81" s="93">
        <v>5153.53</v>
      </c>
      <c r="R81" s="115"/>
      <c r="S81" s="105">
        <f t="shared" si="11"/>
        <v>-1</v>
      </c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11.388818758481397</v>
      </c>
      <c r="I82" s="21">
        <f>F82*$V$15</f>
        <v>1.387846751033547</v>
      </c>
      <c r="J82" s="21">
        <f t="shared" si="9"/>
        <v>72655.880375232751</v>
      </c>
      <c r="K82" s="21">
        <f t="shared" si="10"/>
        <v>8853.8793759585951</v>
      </c>
      <c r="L82" s="5" t="s">
        <v>24</v>
      </c>
      <c r="M82" s="1">
        <v>-6379.58</v>
      </c>
      <c r="N82" s="4">
        <v>1.28</v>
      </c>
      <c r="O82" s="4"/>
      <c r="P82" s="3" t="s">
        <v>7409</v>
      </c>
      <c r="Q82" s="93">
        <v>590.34</v>
      </c>
      <c r="R82" s="115"/>
      <c r="S82" s="98">
        <f t="shared" si="11"/>
        <v>-1</v>
      </c>
    </row>
    <row r="83" spans="1:30">
      <c r="A83" s="3">
        <v>43347</v>
      </c>
      <c r="B83" s="118" t="s">
        <v>64</v>
      </c>
      <c r="C83" s="11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218</v>
      </c>
      <c r="Q83" s="93">
        <v>1079.67</v>
      </c>
      <c r="R83" s="115"/>
      <c r="S83" s="98">
        <f t="shared" si="11"/>
        <v>-1</v>
      </c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23.534609581290074</v>
      </c>
      <c r="I84" s="21">
        <f>F84*$V$17</f>
        <v>1.9750094304036212</v>
      </c>
      <c r="J84" s="21">
        <f t="shared" si="9"/>
        <v>74360.658471331553</v>
      </c>
      <c r="K84" s="21">
        <f t="shared" si="10"/>
        <v>6240.299046586194</v>
      </c>
      <c r="L84" s="5" t="s">
        <v>24</v>
      </c>
      <c r="M84" s="1">
        <v>-3159.63</v>
      </c>
      <c r="N84" s="4">
        <v>0.63</v>
      </c>
      <c r="O84" s="4"/>
      <c r="P84" s="3" t="s">
        <v>215</v>
      </c>
      <c r="Q84" s="93">
        <v>7253.6</v>
      </c>
      <c r="R84" s="115"/>
      <c r="S84" s="98">
        <f t="shared" si="11"/>
        <v>-1</v>
      </c>
    </row>
    <row r="85" spans="1:30">
      <c r="A85" s="3">
        <v>43357</v>
      </c>
      <c r="B85" s="117" t="s">
        <v>18</v>
      </c>
      <c r="C85" s="11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18.108554454567624</v>
      </c>
      <c r="I85" s="21">
        <f>F85*$V$16</f>
        <v>1.7204229567067899</v>
      </c>
      <c r="J85" s="21">
        <f t="shared" si="9"/>
        <v>117140.43597016251</v>
      </c>
      <c r="K85" s="21">
        <f t="shared" si="10"/>
        <v>11129.054818115315</v>
      </c>
      <c r="L85" s="5" t="s">
        <v>24</v>
      </c>
      <c r="M85" s="1">
        <v>-6468.79</v>
      </c>
      <c r="N85" s="4">
        <v>1.29</v>
      </c>
      <c r="O85" s="4"/>
      <c r="P85" s="3" t="s">
        <v>216</v>
      </c>
      <c r="Q85" s="93">
        <v>6037.29</v>
      </c>
      <c r="R85" s="115"/>
      <c r="S85" s="98">
        <f t="shared" si="11"/>
        <v>-1</v>
      </c>
      <c r="AA85" s="93"/>
      <c r="AB85" s="93"/>
      <c r="AC85" s="93"/>
      <c r="AD85" s="93"/>
    </row>
    <row r="86" spans="1:30">
      <c r="A86" s="3">
        <v>43371</v>
      </c>
      <c r="B86" s="117" t="s">
        <v>210</v>
      </c>
      <c r="C86" s="11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11.466220423412205</v>
      </c>
      <c r="I86" s="21">
        <f>F86*$V$31</f>
        <v>1.3972789539227897</v>
      </c>
      <c r="J86" s="21">
        <f t="shared" si="9"/>
        <v>73383.810709838115</v>
      </c>
      <c r="K86" s="21">
        <f t="shared" si="10"/>
        <v>8942.5853051058548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3">
        <v>1070.72</v>
      </c>
      <c r="R86" s="115"/>
      <c r="S86" s="98">
        <f t="shared" si="11"/>
        <v>-1</v>
      </c>
    </row>
    <row r="87" spans="1:30">
      <c r="A87" s="3">
        <v>43371</v>
      </c>
      <c r="B87" s="117" t="s">
        <v>31</v>
      </c>
      <c r="C87" s="11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7" t="s">
        <v>7415</v>
      </c>
      <c r="Q87" s="93">
        <v>1234.22</v>
      </c>
      <c r="R87" s="115"/>
      <c r="S87" s="98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23.01778026626851</v>
      </c>
      <c r="I88" s="21">
        <f>E88*$V$21</f>
        <v>2.936751275351499</v>
      </c>
      <c r="J88" s="21">
        <f t="shared" si="9"/>
        <v>147313.79370411846</v>
      </c>
      <c r="K88" s="21">
        <f t="shared" si="10"/>
        <v>18795.208162249593</v>
      </c>
      <c r="L88" s="7" t="s">
        <v>10</v>
      </c>
      <c r="M88" s="4">
        <v>-6400</v>
      </c>
      <c r="N88" s="4">
        <v>7.67</v>
      </c>
      <c r="O88" s="4"/>
      <c r="P88" s="3" t="s">
        <v>7429</v>
      </c>
      <c r="Q88" s="93">
        <v>9442.2999999999993</v>
      </c>
      <c r="R88" s="115"/>
      <c r="S88" s="105">
        <f>R88/Q88-1</f>
        <v>-1</v>
      </c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8.393089788732393</v>
      </c>
      <c r="I89" s="21">
        <f>F89*$V$37</f>
        <v>1.0235475352112675</v>
      </c>
      <c r="J89" s="21">
        <f t="shared" si="9"/>
        <v>53715.774647887316</v>
      </c>
      <c r="K89" s="21">
        <f t="shared" si="10"/>
        <v>6550.7042253521122</v>
      </c>
      <c r="L89" s="7" t="s">
        <v>10</v>
      </c>
      <c r="M89" s="1">
        <v>-6400</v>
      </c>
      <c r="N89" s="4">
        <v>7.67</v>
      </c>
      <c r="O89" s="4"/>
      <c r="P89" s="3" t="s">
        <v>7410</v>
      </c>
      <c r="Q89" s="93">
        <v>28000.92</v>
      </c>
      <c r="R89" s="115"/>
      <c r="S89" s="117"/>
    </row>
    <row r="90" spans="1:30">
      <c r="A90" s="3">
        <v>43371</v>
      </c>
      <c r="B90" s="117" t="s">
        <v>40</v>
      </c>
      <c r="C90" s="11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31.495554238292822</v>
      </c>
      <c r="I90" s="21">
        <f>F90*$V$18</f>
        <v>3.9115081717334235</v>
      </c>
      <c r="J90" s="21">
        <f t="shared" si="9"/>
        <v>201823.51155898042</v>
      </c>
      <c r="K90" s="21">
        <f t="shared" si="10"/>
        <v>25064.944364467778</v>
      </c>
      <c r="L90" s="5" t="s">
        <v>24</v>
      </c>
      <c r="M90" s="1">
        <v>-6408</v>
      </c>
      <c r="N90" s="4">
        <v>1.28</v>
      </c>
      <c r="O90" s="4"/>
      <c r="P90" s="3" t="s">
        <v>182</v>
      </c>
      <c r="Q90" s="93">
        <v>11181.66</v>
      </c>
      <c r="R90" s="115"/>
      <c r="S90" s="117"/>
    </row>
    <row r="91" spans="1:30">
      <c r="A91" s="3">
        <v>43384</v>
      </c>
      <c r="B91" s="117" t="s">
        <v>18</v>
      </c>
      <c r="C91" s="11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16.849145441244929</v>
      </c>
      <c r="I91" s="21">
        <f>F91*$V$16</f>
        <v>1.6007714304715037</v>
      </c>
      <c r="J91" s="21">
        <f t="shared" si="9"/>
        <v>109214.4758356055</v>
      </c>
      <c r="K91" s="21">
        <f t="shared" si="10"/>
        <v>10376.04033517324</v>
      </c>
      <c r="L91" s="5" t="s">
        <v>24</v>
      </c>
      <c r="M91" s="1">
        <v>-6481.9</v>
      </c>
      <c r="N91" s="4">
        <v>1.3</v>
      </c>
      <c r="Q91" s="117"/>
      <c r="R91" s="97"/>
      <c r="S91" s="117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26.715417457305506</v>
      </c>
      <c r="I92" s="21">
        <f>F92*$V$20</f>
        <v>3.1059297912713468</v>
      </c>
      <c r="J92" s="21">
        <f t="shared" si="9"/>
        <v>170978.67172675524</v>
      </c>
      <c r="K92" s="21">
        <f t="shared" si="10"/>
        <v>19877.950664136621</v>
      </c>
      <c r="L92" s="7" t="s">
        <v>10</v>
      </c>
      <c r="M92" s="4">
        <v>-6400</v>
      </c>
      <c r="N92" s="4">
        <v>7.67</v>
      </c>
      <c r="O92" s="4"/>
      <c r="P92" s="15"/>
      <c r="Q92" s="93"/>
      <c r="R92" s="93"/>
    </row>
    <row r="93" spans="1:30">
      <c r="A93" s="3">
        <v>43388</v>
      </c>
      <c r="B93" s="117" t="s">
        <v>22</v>
      </c>
      <c r="C93" s="11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21.199319460803558</v>
      </c>
      <c r="I93" s="21">
        <f>F93*$V$22</f>
        <v>1.0637351132050779</v>
      </c>
      <c r="J93" s="21">
        <f t="shared" si="9"/>
        <v>135336.0314513807</v>
      </c>
      <c r="K93" s="21">
        <f t="shared" si="10"/>
        <v>6790.8636879989526</v>
      </c>
      <c r="L93" s="5" t="s">
        <v>24</v>
      </c>
      <c r="M93" s="1">
        <v>-6383.98</v>
      </c>
      <c r="N93" s="4">
        <v>1.28</v>
      </c>
      <c r="O93" s="4"/>
      <c r="P93" s="15"/>
      <c r="Q93" s="93"/>
      <c r="R93" s="93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18.29139782783588</v>
      </c>
      <c r="I94" s="21">
        <f>F94*$V$24</f>
        <v>1.5442658889782785</v>
      </c>
      <c r="J94" s="21">
        <f t="shared" si="9"/>
        <v>117064.94609814964</v>
      </c>
      <c r="K94" s="21">
        <f t="shared" si="10"/>
        <v>9883.3016894609827</v>
      </c>
      <c r="L94" s="7" t="s">
        <v>10</v>
      </c>
      <c r="M94" s="4">
        <v>-6400</v>
      </c>
      <c r="N94" s="4">
        <v>7.67</v>
      </c>
      <c r="O94" s="4"/>
      <c r="P94" s="3"/>
      <c r="Q94" s="93"/>
      <c r="R94" s="93"/>
      <c r="T94" s="93"/>
      <c r="U94" s="93"/>
      <c r="V94" s="93"/>
      <c r="W94" s="93"/>
      <c r="X94" s="93"/>
      <c r="Y94" s="93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26.566361480075908</v>
      </c>
      <c r="I95" s="21">
        <f>F95*$V$20</f>
        <v>3.0886005692599623</v>
      </c>
      <c r="J95" s="21">
        <f t="shared" si="9"/>
        <v>170024.7134724858</v>
      </c>
      <c r="K95" s="21">
        <f t="shared" si="10"/>
        <v>19767.043643263758</v>
      </c>
      <c r="L95" s="7" t="s">
        <v>10</v>
      </c>
      <c r="M95" s="4">
        <v>-6400</v>
      </c>
      <c r="N95" s="4">
        <v>7.67</v>
      </c>
      <c r="O95" s="4"/>
      <c r="P95" s="3"/>
      <c r="Q95" s="93"/>
      <c r="R95" s="93"/>
      <c r="T95" s="25"/>
      <c r="V95" s="15"/>
    </row>
    <row r="96" spans="1:30">
      <c r="A96" s="99">
        <v>43403</v>
      </c>
      <c r="B96" s="99" t="s">
        <v>4</v>
      </c>
      <c r="C96" s="99" t="s">
        <v>129</v>
      </c>
      <c r="D96" s="99" t="s">
        <v>11</v>
      </c>
      <c r="E96" s="100">
        <v>0.95799999999999996</v>
      </c>
      <c r="F96" s="100">
        <v>2.536</v>
      </c>
      <c r="G96" s="101">
        <v>6670.57</v>
      </c>
      <c r="H96" s="21">
        <f>F96*$T$13</f>
        <v>9.5431358885017428</v>
      </c>
      <c r="I96" s="21">
        <f>F96*$V$13</f>
        <v>1.2763453348819203</v>
      </c>
      <c r="J96" s="21">
        <f t="shared" si="9"/>
        <v>61076.069686411152</v>
      </c>
      <c r="K96" s="21">
        <f t="shared" si="10"/>
        <v>8168.6101432442892</v>
      </c>
      <c r="L96" s="7" t="s">
        <v>10</v>
      </c>
      <c r="M96" s="4">
        <v>-6400</v>
      </c>
      <c r="N96" s="4">
        <v>9.59</v>
      </c>
      <c r="O96" s="4"/>
      <c r="P96" s="3"/>
      <c r="Q96" s="93"/>
      <c r="R96" s="93"/>
      <c r="T96" s="25"/>
      <c r="V96" s="15"/>
    </row>
    <row r="97" spans="1:22">
      <c r="A97" s="3">
        <v>43403</v>
      </c>
      <c r="B97" s="102" t="s">
        <v>210</v>
      </c>
      <c r="C97" s="102" t="s">
        <v>157</v>
      </c>
      <c r="D97" s="99" t="s">
        <v>11</v>
      </c>
      <c r="E97" s="100">
        <v>1.5649999999999999</v>
      </c>
      <c r="F97" s="100">
        <v>1.5649999999999999</v>
      </c>
      <c r="G97" s="101">
        <v>4084.56</v>
      </c>
      <c r="H97" s="21">
        <f>F97*$T$31</f>
        <v>10.475560398505603</v>
      </c>
      <c r="I97" s="21">
        <f>F97*$V$31</f>
        <v>1.2765566625155667</v>
      </c>
      <c r="J97" s="21">
        <f t="shared" si="9"/>
        <v>67043.586550435866</v>
      </c>
      <c r="K97" s="21">
        <f t="shared" si="10"/>
        <v>8169.9626400996267</v>
      </c>
      <c r="L97" s="7" t="s">
        <v>10</v>
      </c>
      <c r="M97" s="1">
        <v>-6400</v>
      </c>
      <c r="N97" s="4">
        <v>7.67</v>
      </c>
      <c r="O97" s="4"/>
      <c r="P97" s="3"/>
      <c r="Q97" s="93"/>
      <c r="R97" s="93"/>
      <c r="T97" s="25"/>
      <c r="V97" s="15"/>
    </row>
    <row r="98" spans="1:22">
      <c r="A98" s="3">
        <v>43403</v>
      </c>
      <c r="B98" s="117" t="s">
        <v>7418</v>
      </c>
      <c r="C98" s="117" t="s">
        <v>7419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16.134006006006008</v>
      </c>
      <c r="I98" s="21">
        <f>F98*$V$29</f>
        <v>1.5328288288288288</v>
      </c>
      <c r="J98" s="21">
        <f t="shared" si="9"/>
        <v>103257.63843843844</v>
      </c>
      <c r="K98" s="21">
        <f t="shared" si="10"/>
        <v>9810.1045045045048</v>
      </c>
      <c r="L98" s="7" t="s">
        <v>10</v>
      </c>
      <c r="M98" s="1">
        <v>-6400</v>
      </c>
      <c r="N98" s="4">
        <v>9.59</v>
      </c>
      <c r="O98" s="4"/>
      <c r="P98" s="3"/>
      <c r="Q98" s="93"/>
      <c r="R98" s="93"/>
      <c r="T98" s="25"/>
      <c r="V98" s="15"/>
    </row>
    <row r="99" spans="1:22">
      <c r="A99" s="3">
        <v>43403</v>
      </c>
      <c r="B99" s="117" t="s">
        <v>7420</v>
      </c>
      <c r="C99" s="117" t="s">
        <v>7421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22.043119548486402</v>
      </c>
      <c r="I99" s="21">
        <f>F99*$V$34</f>
        <v>4.0517855310415607</v>
      </c>
      <c r="J99" s="21">
        <f t="shared" si="9"/>
        <v>141075.96511031297</v>
      </c>
      <c r="K99" s="21">
        <f t="shared" si="10"/>
        <v>25931.42739866599</v>
      </c>
      <c r="L99" s="7" t="s">
        <v>10</v>
      </c>
      <c r="M99" s="1">
        <v>-6400</v>
      </c>
      <c r="N99" s="4">
        <v>9.59</v>
      </c>
      <c r="O99" s="4"/>
      <c r="P99" s="3"/>
      <c r="Q99" s="93"/>
      <c r="R99" s="93"/>
      <c r="T99" s="25"/>
      <c r="V99" s="15"/>
    </row>
    <row r="100" spans="1:22">
      <c r="A100" s="3">
        <v>43403</v>
      </c>
      <c r="B100" s="96" t="s">
        <v>7422</v>
      </c>
      <c r="C100" s="96" t="s">
        <v>40</v>
      </c>
      <c r="D100" s="3" t="s">
        <v>7423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28.546818216726823</v>
      </c>
      <c r="I100" s="21">
        <f>F100*V35</f>
        <v>3.5452975961907685</v>
      </c>
      <c r="J100" s="21">
        <f>H100*(-M100)</f>
        <v>182699.63658705167</v>
      </c>
      <c r="K100" s="21">
        <f>I100*(-$M100)</f>
        <v>22689.904615620919</v>
      </c>
      <c r="L100" s="7" t="s">
        <v>10</v>
      </c>
      <c r="M100" s="1">
        <v>-6400</v>
      </c>
      <c r="N100" s="4">
        <v>7.67</v>
      </c>
      <c r="O100" s="4"/>
      <c r="P100" s="3"/>
      <c r="Q100" s="93"/>
      <c r="R100" s="93"/>
      <c r="T100" s="25"/>
      <c r="V100" s="15"/>
    </row>
    <row r="101" spans="1:22">
      <c r="A101" s="3">
        <v>43403</v>
      </c>
      <c r="B101" s="96" t="s">
        <v>31</v>
      </c>
      <c r="C101" s="96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93"/>
      <c r="R101" s="93"/>
      <c r="T101" s="25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20.3</v>
      </c>
      <c r="I102" s="21">
        <f>E102*$V$21</f>
        <v>2.59</v>
      </c>
      <c r="J102" s="21">
        <f>H102*(-$M102)</f>
        <v>129920</v>
      </c>
      <c r="K102" s="21">
        <f>I102*(-$M102)</f>
        <v>16576</v>
      </c>
      <c r="L102" s="7" t="s">
        <v>10</v>
      </c>
      <c r="M102" s="4">
        <v>-6400</v>
      </c>
      <c r="N102" s="4">
        <v>7.67</v>
      </c>
      <c r="O102" s="4"/>
      <c r="P102" s="3"/>
      <c r="Q102" s="93"/>
      <c r="R102" s="93"/>
      <c r="T102" s="25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93"/>
      <c r="R103" s="93"/>
      <c r="T103" s="25"/>
      <c r="V103" s="15"/>
    </row>
    <row r="104" spans="1:22">
      <c r="A104" s="99">
        <v>43419</v>
      </c>
      <c r="B104" s="99" t="s">
        <v>4</v>
      </c>
      <c r="C104" s="99" t="s">
        <v>129</v>
      </c>
      <c r="D104" s="99" t="s">
        <v>11</v>
      </c>
      <c r="E104" s="100">
        <v>0.99199999999999999</v>
      </c>
      <c r="F104" s="100">
        <v>2.5739999999999998</v>
      </c>
      <c r="G104" s="101">
        <v>6441.95</v>
      </c>
      <c r="H104" s="21">
        <f>F104*$T$13</f>
        <v>9.6861324041811852</v>
      </c>
      <c r="I104" s="21">
        <f>F104*$V$13</f>
        <v>1.2954703832752612</v>
      </c>
      <c r="J104" s="21">
        <f>H104*(-$M104)</f>
        <v>61991.247386759584</v>
      </c>
      <c r="K104" s="21">
        <f>I104*(-$M104)</f>
        <v>8291.010452961671</v>
      </c>
      <c r="L104" s="7" t="s">
        <v>10</v>
      </c>
      <c r="M104" s="4">
        <v>-6400</v>
      </c>
      <c r="N104" s="4">
        <v>9.59</v>
      </c>
      <c r="O104" s="4"/>
      <c r="P104" s="3"/>
      <c r="Q104" s="93"/>
      <c r="R104" s="93"/>
      <c r="T104" s="25"/>
      <c r="V104" s="15"/>
    </row>
    <row r="105" spans="1:22">
      <c r="A105" s="99">
        <v>43419</v>
      </c>
      <c r="B105" s="70" t="s">
        <v>7430</v>
      </c>
      <c r="C105" s="70" t="s">
        <v>7432</v>
      </c>
      <c r="D105" s="99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93"/>
      <c r="R105" s="93"/>
      <c r="T105" s="25"/>
      <c r="V105" s="15"/>
    </row>
    <row r="106" spans="1:22">
      <c r="A106" s="99">
        <v>43420</v>
      </c>
      <c r="B106" s="117" t="s">
        <v>7418</v>
      </c>
      <c r="C106" s="117" t="s">
        <v>7419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17.465357357357359</v>
      </c>
      <c r="I106" s="21">
        <f>F106*$V$29</f>
        <v>1.6593153153153153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110">
        <v>0</v>
      </c>
      <c r="N106" s="4">
        <v>0</v>
      </c>
      <c r="O106" s="4"/>
      <c r="P106" s="3"/>
      <c r="Q106" s="93"/>
      <c r="R106" s="93"/>
      <c r="T106" s="15"/>
      <c r="V106" s="15"/>
    </row>
    <row r="107" spans="1:22">
      <c r="A107" s="99">
        <v>43420</v>
      </c>
      <c r="B107" s="102" t="s">
        <v>210</v>
      </c>
      <c r="C107" s="102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10.850404732254047</v>
      </c>
      <c r="I107" s="21">
        <f>F107*$V$31</f>
        <v>1.3222353673723537</v>
      </c>
      <c r="J107" s="21">
        <f t="shared" si="14"/>
        <v>0</v>
      </c>
      <c r="K107" s="21">
        <f t="shared" si="15"/>
        <v>0</v>
      </c>
      <c r="L107" s="7" t="s">
        <v>10</v>
      </c>
      <c r="M107" s="110">
        <v>0</v>
      </c>
      <c r="N107" s="4">
        <v>0</v>
      </c>
      <c r="O107" s="4"/>
      <c r="P107" s="3"/>
      <c r="Q107" s="93"/>
      <c r="R107" s="93"/>
      <c r="T107" s="15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93"/>
      <c r="R108" s="93"/>
      <c r="T108" s="15"/>
      <c r="U108" s="15"/>
      <c r="V108" s="15"/>
    </row>
    <row r="109" spans="1:22">
      <c r="A109" s="3">
        <v>43434</v>
      </c>
      <c r="B109" s="109" t="s">
        <v>7418</v>
      </c>
      <c r="C109" s="109" t="s">
        <v>7419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14.970306306306307</v>
      </c>
      <c r="I109" s="21">
        <f>F109*$V$29</f>
        <v>1.4222702702702703</v>
      </c>
      <c r="J109" s="21">
        <f t="shared" si="14"/>
        <v>95809.960360360361</v>
      </c>
      <c r="K109" s="21">
        <f t="shared" si="15"/>
        <v>9102.5297297297293</v>
      </c>
      <c r="L109" s="7" t="s">
        <v>10</v>
      </c>
      <c r="M109" s="1">
        <v>-6400</v>
      </c>
      <c r="N109" s="4">
        <v>9.59</v>
      </c>
      <c r="O109" s="4"/>
      <c r="P109" s="3"/>
      <c r="Q109" s="93"/>
      <c r="R109" s="93"/>
      <c r="T109" s="15"/>
      <c r="U109" s="15"/>
      <c r="V109" s="15"/>
    </row>
    <row r="110" spans="1:22">
      <c r="A110" s="3">
        <v>43434</v>
      </c>
      <c r="B110" s="102" t="s">
        <v>7434</v>
      </c>
      <c r="C110" s="102" t="s">
        <v>7435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10.222591275810203</v>
      </c>
      <c r="I110" s="21">
        <f>F110*$V$39</f>
        <v>1.1600806782442226</v>
      </c>
      <c r="J110" s="21">
        <f t="shared" si="14"/>
        <v>65424.584165185297</v>
      </c>
      <c r="K110" s="21">
        <f t="shared" si="15"/>
        <v>7424.5163407630243</v>
      </c>
      <c r="L110" s="7" t="s">
        <v>10</v>
      </c>
      <c r="M110" s="1">
        <v>-6400</v>
      </c>
      <c r="N110" s="4">
        <v>7.67</v>
      </c>
      <c r="O110" s="4"/>
      <c r="P110" s="3"/>
      <c r="Q110" s="93"/>
      <c r="R110" s="93"/>
      <c r="T110" s="15"/>
      <c r="U110" s="15"/>
      <c r="V110" s="15"/>
    </row>
    <row r="111" spans="1:22">
      <c r="A111" s="3">
        <v>43434</v>
      </c>
      <c r="B111" s="102" t="s">
        <v>7436</v>
      </c>
      <c r="C111" s="102" t="s">
        <v>7437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93"/>
      <c r="R111" s="93"/>
      <c r="T111" s="15"/>
      <c r="U111" s="15"/>
      <c r="V111" s="15"/>
    </row>
    <row r="112" spans="1:22">
      <c r="A112" s="3">
        <v>43434</v>
      </c>
      <c r="B112" s="109" t="s">
        <v>31</v>
      </c>
      <c r="C112" s="109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93"/>
      <c r="R112" s="93"/>
      <c r="T112" s="15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12.670075757575757</v>
      </c>
      <c r="I113" s="21">
        <f>$F113*$V$38</f>
        <v>1.5326704545454544</v>
      </c>
      <c r="J113" s="21">
        <f t="shared" si="14"/>
        <v>81088.484848484848</v>
      </c>
      <c r="K113" s="21">
        <f t="shared" si="15"/>
        <v>9809.0909090909081</v>
      </c>
      <c r="L113" s="7" t="s">
        <v>10</v>
      </c>
      <c r="M113" s="4">
        <v>-6400</v>
      </c>
      <c r="N113" s="4">
        <v>7.67</v>
      </c>
      <c r="O113" s="4"/>
      <c r="P113" s="3"/>
      <c r="Q113" s="93"/>
      <c r="R113" s="93"/>
      <c r="T113" s="15"/>
      <c r="U113" s="15"/>
      <c r="V113" s="15"/>
    </row>
    <row r="114" spans="1:22">
      <c r="A114" s="3">
        <v>43461</v>
      </c>
      <c r="B114" s="102" t="s">
        <v>7436</v>
      </c>
      <c r="C114" s="102" t="s">
        <v>7437</v>
      </c>
      <c r="D114" s="3" t="s">
        <v>11</v>
      </c>
      <c r="E114" s="100">
        <v>0.46700000000000003</v>
      </c>
      <c r="F114" s="100">
        <v>0.46700000000000003</v>
      </c>
      <c r="G114" s="101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93"/>
      <c r="R114" s="93"/>
      <c r="T114" s="15"/>
      <c r="U114" s="15"/>
      <c r="V114" s="15"/>
    </row>
    <row r="115" spans="1:22">
      <c r="A115" s="3">
        <v>43461</v>
      </c>
      <c r="B115" s="99" t="s">
        <v>4</v>
      </c>
      <c r="C115" s="99" t="s">
        <v>129</v>
      </c>
      <c r="D115" s="99" t="s">
        <v>11</v>
      </c>
      <c r="E115" s="100">
        <v>0.95799999999999996</v>
      </c>
      <c r="F115" s="100">
        <v>2.536</v>
      </c>
      <c r="G115" s="101">
        <v>6670.57</v>
      </c>
      <c r="H115" s="21">
        <f>F115*$T$13</f>
        <v>9.5431358885017428</v>
      </c>
      <c r="I115" s="21">
        <f>F115*$V$13</f>
        <v>1.2763453348819203</v>
      </c>
      <c r="J115" s="21">
        <f t="shared" si="14"/>
        <v>61076.069686411152</v>
      </c>
      <c r="K115" s="21">
        <f t="shared" si="15"/>
        <v>8168.6101432442892</v>
      </c>
      <c r="L115" s="7" t="s">
        <v>10</v>
      </c>
      <c r="M115" s="4">
        <v>-6400</v>
      </c>
      <c r="N115" s="4">
        <v>9.59</v>
      </c>
      <c r="O115" s="4"/>
      <c r="P115" s="3"/>
      <c r="Q115" s="93"/>
      <c r="R115" s="93"/>
      <c r="T115" s="15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20.52479781012816</v>
      </c>
      <c r="I116" s="21">
        <f>E116*$V$21</f>
        <v>2.6186810999129029</v>
      </c>
      <c r="J116" s="21">
        <f t="shared" si="14"/>
        <v>131358.70598482023</v>
      </c>
      <c r="K116" s="21">
        <f t="shared" si="15"/>
        <v>16759.559039442578</v>
      </c>
      <c r="L116" s="7" t="s">
        <v>10</v>
      </c>
      <c r="M116" s="4">
        <v>-6400</v>
      </c>
      <c r="N116" s="4">
        <v>7.67</v>
      </c>
      <c r="O116" s="4"/>
      <c r="P116" s="3"/>
      <c r="Q116" s="93"/>
      <c r="R116" s="93"/>
      <c r="T116" s="15"/>
      <c r="U116" s="15"/>
      <c r="V116" s="15"/>
    </row>
    <row r="117" spans="1:22">
      <c r="A117" s="3">
        <v>43480</v>
      </c>
      <c r="B117" s="117" t="s">
        <v>7446</v>
      </c>
      <c r="C117" s="11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93"/>
      <c r="R117" s="93"/>
      <c r="T117" s="15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93"/>
      <c r="R118" s="93"/>
      <c r="T118" s="15"/>
      <c r="U118" s="15"/>
      <c r="V118" s="15"/>
    </row>
    <row r="119" spans="1:22">
      <c r="A119" s="3">
        <v>43496</v>
      </c>
      <c r="B119" s="102" t="s">
        <v>210</v>
      </c>
      <c r="C119" s="102" t="s">
        <v>157</v>
      </c>
      <c r="D119" s="99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10.84371108343711</v>
      </c>
      <c r="I119" s="21">
        <f>F119*$V$31</f>
        <v>1.321419676214197</v>
      </c>
      <c r="J119" s="21">
        <f t="shared" si="14"/>
        <v>69399.750933997508</v>
      </c>
      <c r="K119" s="21">
        <f t="shared" si="15"/>
        <v>8457.0859277708605</v>
      </c>
      <c r="L119" s="7" t="s">
        <v>10</v>
      </c>
      <c r="M119" s="1">
        <v>-6400</v>
      </c>
      <c r="N119" s="4">
        <v>7.67</v>
      </c>
      <c r="P119" s="3"/>
      <c r="Q119" s="93"/>
      <c r="R119" s="93"/>
      <c r="T119" s="15"/>
      <c r="U119" s="15"/>
      <c r="V119" s="15"/>
    </row>
    <row r="120" spans="1:22">
      <c r="A120" s="3">
        <v>43496</v>
      </c>
      <c r="B120" s="117" t="s">
        <v>7447</v>
      </c>
      <c r="C120" s="11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93"/>
      <c r="R120" s="93"/>
      <c r="T120" s="15"/>
      <c r="U120" s="15"/>
      <c r="V120" s="15"/>
    </row>
    <row r="121" spans="1:22">
      <c r="A121" s="3">
        <v>43531</v>
      </c>
      <c r="B121" s="117" t="s">
        <v>18</v>
      </c>
      <c r="C121" s="11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21.224317793886197</v>
      </c>
      <c r="I121" s="21">
        <f>F121*$V$16</f>
        <v>2.0164394493582498</v>
      </c>
      <c r="J121" s="21">
        <v>0</v>
      </c>
      <c r="K121" s="21">
        <v>0</v>
      </c>
      <c r="L121" s="5" t="s">
        <v>24</v>
      </c>
      <c r="M121" s="119">
        <v>8163.4</v>
      </c>
      <c r="N121" s="120">
        <v>1.63</v>
      </c>
      <c r="P121" s="3"/>
      <c r="Q121" s="93"/>
      <c r="R121" s="93"/>
      <c r="T121" s="15"/>
      <c r="U121" s="15"/>
      <c r="V121" s="15"/>
    </row>
    <row r="122" spans="1:22">
      <c r="A122" s="3"/>
      <c r="B122" s="109"/>
      <c r="C122" s="109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93"/>
      <c r="R122" s="93"/>
      <c r="T122" s="15"/>
      <c r="U122" s="15"/>
      <c r="V122" s="15"/>
    </row>
    <row r="123" spans="1:22">
      <c r="A123" s="3"/>
      <c r="B123" s="107"/>
      <c r="C123" s="107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3"/>
      <c r="R123" s="93"/>
      <c r="T123" s="15"/>
      <c r="U123" s="15"/>
      <c r="V123" s="15"/>
    </row>
    <row r="124" spans="1:22">
      <c r="A124" s="3"/>
      <c r="B124" s="107"/>
      <c r="C124" s="107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93"/>
      <c r="R124" s="93"/>
      <c r="T124" s="15"/>
      <c r="U124" s="15"/>
      <c r="V124" s="15"/>
    </row>
    <row r="125" spans="1:22">
      <c r="A125" s="3"/>
      <c r="B125" s="107"/>
      <c r="C125" s="107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3"/>
      <c r="R125" s="93"/>
      <c r="T125" s="15"/>
      <c r="U125" s="15"/>
      <c r="V125" s="15"/>
    </row>
    <row r="126" spans="1:22">
      <c r="A126" s="3"/>
      <c r="B126" s="107"/>
      <c r="C126" s="107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93"/>
      <c r="R126" s="93"/>
      <c r="T126" s="25"/>
      <c r="U126" s="15"/>
      <c r="V126" s="15"/>
    </row>
    <row r="127" spans="1:22">
      <c r="A127" s="3"/>
      <c r="B127" s="107"/>
      <c r="C127" s="107"/>
      <c r="D127" s="3"/>
      <c r="E127" s="21"/>
      <c r="F127" s="21"/>
      <c r="G127" s="20"/>
      <c r="H127" s="21"/>
      <c r="I127" s="21"/>
      <c r="J127" s="21">
        <f t="shared" ref="J127" si="16">H127*(-M127)</f>
        <v>0</v>
      </c>
      <c r="K127" s="21"/>
      <c r="L127" s="5"/>
      <c r="M127" s="1"/>
      <c r="N127" s="4"/>
      <c r="P127" s="3"/>
      <c r="Q127" s="93"/>
      <c r="R127" s="93"/>
      <c r="T127" s="25"/>
      <c r="U127" s="15"/>
      <c r="V127" s="15"/>
    </row>
    <row r="128" spans="1:22">
      <c r="A128" s="3"/>
      <c r="B128" s="107"/>
      <c r="C128" s="107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3"/>
      <c r="R128" s="93"/>
      <c r="T128" s="25"/>
      <c r="U128" s="15"/>
      <c r="V128" s="15"/>
    </row>
    <row r="129" spans="1:22">
      <c r="A129" s="3"/>
      <c r="B129" s="107"/>
      <c r="C129" s="107"/>
      <c r="D129" s="3"/>
      <c r="E129" s="21"/>
      <c r="F129" s="21"/>
      <c r="G129" s="20"/>
      <c r="H129" s="21"/>
      <c r="I129" s="21"/>
      <c r="J129" s="21">
        <f t="shared" ref="J129" si="17">H129*(-M129)</f>
        <v>0</v>
      </c>
      <c r="K129" s="21"/>
      <c r="L129" s="5"/>
      <c r="M129" s="1"/>
      <c r="N129" s="4"/>
      <c r="P129" s="3"/>
      <c r="Q129" s="93"/>
      <c r="R129" s="93"/>
      <c r="T129" s="25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8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107"/>
      <c r="C131" s="107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107"/>
      <c r="C132" s="107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107"/>
      <c r="C133" s="107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107"/>
      <c r="C134" s="107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107"/>
      <c r="C135" s="107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107"/>
      <c r="C136" s="107"/>
      <c r="D136" s="3"/>
      <c r="E136" s="21"/>
      <c r="F136" s="21"/>
      <c r="G136" s="20"/>
      <c r="H136" s="21"/>
      <c r="I136" s="21"/>
      <c r="J136" s="21">
        <f t="shared" ref="J136" si="19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0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1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1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1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1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1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1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1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1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1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1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29.445647024026695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topLeftCell="A7" workbookViewId="0">
      <selection activeCell="E21" sqref="E21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27" t="s">
        <v>7547</v>
      </c>
      <c r="B1" s="134" t="s">
        <v>7591</v>
      </c>
      <c r="C1" s="127" t="s">
        <v>7548</v>
      </c>
      <c r="D1" s="134" t="s">
        <v>7592</v>
      </c>
      <c r="E1" s="128" t="s">
        <v>7549</v>
      </c>
      <c r="F1" s="128" t="s">
        <v>7550</v>
      </c>
      <c r="G1" s="128" t="s">
        <v>7551</v>
      </c>
      <c r="H1" s="128" t="s">
        <v>7552</v>
      </c>
      <c r="I1" s="128" t="s">
        <v>7553</v>
      </c>
      <c r="J1" s="128" t="s">
        <v>7554</v>
      </c>
      <c r="K1" s="128" t="s">
        <v>7593</v>
      </c>
      <c r="L1" s="129"/>
      <c r="M1" s="128" t="s">
        <v>7596</v>
      </c>
      <c r="O1" s="134" t="s">
        <v>7598</v>
      </c>
      <c r="P1" s="134"/>
    </row>
    <row r="2" spans="1:16">
      <c r="A2" s="143" t="s">
        <v>7555</v>
      </c>
      <c r="B2" s="142">
        <f>SUM(K2:K14)</f>
        <v>0.51281516291592033</v>
      </c>
      <c r="C2" s="143" t="s">
        <v>7556</v>
      </c>
      <c r="D2" s="142">
        <f>SUM(K2:K3)</f>
        <v>4.6006488779477286E-2</v>
      </c>
      <c r="E2" s="128" t="s">
        <v>7557</v>
      </c>
      <c r="F2" s="130">
        <v>7497.9</v>
      </c>
      <c r="G2" s="130"/>
      <c r="H2" s="130"/>
      <c r="I2" s="130"/>
      <c r="J2" s="130">
        <f>SUM(F2:I2)</f>
        <v>7497.9</v>
      </c>
      <c r="K2" s="131">
        <f t="shared" ref="K2:K26" si="0">J2/$J$26</f>
        <v>5.9096741315878935E-3</v>
      </c>
      <c r="L2" s="129"/>
      <c r="M2" s="128">
        <f>M4+M6+M8+M10</f>
        <v>1198159.49</v>
      </c>
      <c r="O2" s="134" t="s">
        <v>7599</v>
      </c>
      <c r="P2" s="134" t="s">
        <v>7600</v>
      </c>
    </row>
    <row r="3" spans="1:16">
      <c r="A3" s="143"/>
      <c r="B3" s="143"/>
      <c r="C3" s="143"/>
      <c r="D3" s="143"/>
      <c r="E3" s="128" t="s">
        <v>7558</v>
      </c>
      <c r="F3" s="130">
        <v>28334.6</v>
      </c>
      <c r="G3" s="130">
        <v>22538.240000000002</v>
      </c>
      <c r="H3" s="130"/>
      <c r="I3" s="130"/>
      <c r="J3" s="130">
        <f t="shared" ref="J3:J23" si="1">SUM(F3:I3)</f>
        <v>50872.84</v>
      </c>
      <c r="K3" s="131">
        <f t="shared" si="0"/>
        <v>4.0096814647889389E-2</v>
      </c>
      <c r="L3" s="129"/>
      <c r="M3" s="128" t="s">
        <v>7597</v>
      </c>
      <c r="N3" s="129"/>
      <c r="O3" s="128" t="s">
        <v>7555</v>
      </c>
      <c r="P3" s="132">
        <f>B2</f>
        <v>0.51281516291592033</v>
      </c>
    </row>
    <row r="4" spans="1:16">
      <c r="A4" s="143"/>
      <c r="B4" s="143"/>
      <c r="C4" s="143" t="s">
        <v>7559</v>
      </c>
      <c r="D4" s="142">
        <f>SUM(K4:K6)</f>
        <v>0.20036978753957366</v>
      </c>
      <c r="E4" s="128" t="s">
        <v>7560</v>
      </c>
      <c r="F4" s="130">
        <v>175240.2</v>
      </c>
      <c r="G4" s="130">
        <v>16345.39</v>
      </c>
      <c r="H4" s="130"/>
      <c r="I4" s="130"/>
      <c r="J4" s="130">
        <f>SUM(F4:I4)</f>
        <v>191585.59000000003</v>
      </c>
      <c r="K4" s="131">
        <f t="shared" si="0"/>
        <v>0.15100340164686171</v>
      </c>
      <c r="L4" s="129"/>
      <c r="M4" s="128">
        <v>800000</v>
      </c>
      <c r="N4" s="129"/>
      <c r="O4" s="134" t="s">
        <v>7572</v>
      </c>
      <c r="P4" s="60">
        <f>B15</f>
        <v>1.599010635789792E-2</v>
      </c>
    </row>
    <row r="5" spans="1:16">
      <c r="A5" s="143"/>
      <c r="B5" s="143"/>
      <c r="C5" s="143"/>
      <c r="D5" s="143"/>
      <c r="E5" s="128" t="s">
        <v>7561</v>
      </c>
      <c r="F5" s="130">
        <v>39366.6</v>
      </c>
      <c r="G5" s="130"/>
      <c r="H5" s="130"/>
      <c r="I5" s="130"/>
      <c r="J5" s="130">
        <f t="shared" si="1"/>
        <v>39366.6</v>
      </c>
      <c r="K5" s="131">
        <f t="shared" si="0"/>
        <v>3.1027858156092773E-2</v>
      </c>
      <c r="L5" s="129"/>
      <c r="M5" s="128" t="s">
        <v>7594</v>
      </c>
      <c r="N5" s="129"/>
      <c r="O5" s="134" t="s">
        <v>7576</v>
      </c>
      <c r="P5" s="60">
        <f>B17</f>
        <v>1.2393015185905477E-2</v>
      </c>
    </row>
    <row r="6" spans="1:16">
      <c r="A6" s="143"/>
      <c r="B6" s="143"/>
      <c r="C6" s="143"/>
      <c r="D6" s="143"/>
      <c r="E6" s="128" t="s">
        <v>40</v>
      </c>
      <c r="F6" s="130">
        <v>14913.2</v>
      </c>
      <c r="G6" s="138">
        <v>8353.81</v>
      </c>
      <c r="H6" s="130"/>
      <c r="I6" s="130"/>
      <c r="J6" s="130">
        <f t="shared" si="1"/>
        <v>23267.010000000002</v>
      </c>
      <c r="K6" s="131">
        <f t="shared" si="0"/>
        <v>1.8338527736619169E-2</v>
      </c>
      <c r="L6" s="129"/>
      <c r="M6" s="128">
        <v>100000</v>
      </c>
      <c r="N6" s="129"/>
      <c r="O6" s="134" t="s">
        <v>7578</v>
      </c>
      <c r="P6" s="60">
        <f>B18</f>
        <v>2.8876457442180745E-2</v>
      </c>
    </row>
    <row r="7" spans="1:16">
      <c r="A7" s="143"/>
      <c r="B7" s="143"/>
      <c r="C7" s="127" t="s">
        <v>7562</v>
      </c>
      <c r="D7" s="133">
        <f>SUM(K7:K7)</f>
        <v>5.9384812215511382E-2</v>
      </c>
      <c r="E7" s="128" t="s">
        <v>7563</v>
      </c>
      <c r="F7" s="130"/>
      <c r="G7" s="130">
        <v>75344.490000000005</v>
      </c>
      <c r="H7" s="130"/>
      <c r="I7" s="130"/>
      <c r="J7" s="130">
        <f t="shared" si="1"/>
        <v>75344.490000000005</v>
      </c>
      <c r="K7" s="131">
        <f t="shared" si="0"/>
        <v>5.9384812215511382E-2</v>
      </c>
      <c r="L7" s="129"/>
      <c r="M7" s="128" t="s">
        <v>7595</v>
      </c>
      <c r="N7" s="129"/>
      <c r="O7" s="134" t="s">
        <v>7580</v>
      </c>
      <c r="P7" s="60">
        <f>B21</f>
        <v>4.5288262269066445E-2</v>
      </c>
    </row>
    <row r="8" spans="1:16">
      <c r="A8" s="143"/>
      <c r="B8" s="143"/>
      <c r="C8" s="143" t="s">
        <v>7564</v>
      </c>
      <c r="D8" s="142">
        <f>SUM(K8:K14)</f>
        <v>0.20705407438135814</v>
      </c>
      <c r="E8" s="128" t="s">
        <v>7565</v>
      </c>
      <c r="F8" s="130"/>
      <c r="G8" s="130">
        <v>65020.1</v>
      </c>
      <c r="H8" s="130"/>
      <c r="I8" s="130"/>
      <c r="J8" s="130">
        <f t="shared" si="1"/>
        <v>65020.1</v>
      </c>
      <c r="K8" s="131">
        <f t="shared" si="0"/>
        <v>5.1247362995406449E-2</v>
      </c>
      <c r="L8" s="129"/>
      <c r="M8" s="128">
        <v>16634.060000000001</v>
      </c>
      <c r="N8" s="129"/>
      <c r="O8" s="134" t="s">
        <v>7585</v>
      </c>
      <c r="P8" s="60">
        <f>B23</f>
        <v>0.16274505927944083</v>
      </c>
    </row>
    <row r="9" spans="1:16">
      <c r="A9" s="143"/>
      <c r="B9" s="143"/>
      <c r="C9" s="143"/>
      <c r="D9" s="143"/>
      <c r="E9" s="128" t="s">
        <v>7566</v>
      </c>
      <c r="F9" s="130">
        <v>18979.2</v>
      </c>
      <c r="G9" s="130">
        <v>33652.699999999997</v>
      </c>
      <c r="H9" s="130"/>
      <c r="I9" s="130"/>
      <c r="J9" s="130">
        <f t="shared" si="1"/>
        <v>52631.899999999994</v>
      </c>
      <c r="K9" s="131">
        <f t="shared" si="0"/>
        <v>4.1483265704573398E-2</v>
      </c>
      <c r="L9" s="129"/>
      <c r="M9" s="128" t="s">
        <v>7601</v>
      </c>
      <c r="N9" s="129"/>
      <c r="O9" s="136" t="s">
        <v>7602</v>
      </c>
      <c r="P9" s="60">
        <f>B25</f>
        <v>0.22189193654958836</v>
      </c>
    </row>
    <row r="10" spans="1:16">
      <c r="A10" s="143"/>
      <c r="B10" s="143"/>
      <c r="C10" s="143"/>
      <c r="D10" s="143"/>
      <c r="E10" s="128" t="s">
        <v>7567</v>
      </c>
      <c r="F10" s="130">
        <v>31474.3</v>
      </c>
      <c r="G10" s="130"/>
      <c r="H10" s="130"/>
      <c r="I10" s="130"/>
      <c r="J10" s="130">
        <f t="shared" si="1"/>
        <v>31474.3</v>
      </c>
      <c r="K10" s="131">
        <f t="shared" si="0"/>
        <v>2.4807326920849419E-2</v>
      </c>
      <c r="L10" s="129"/>
      <c r="M10" s="128">
        <v>281525.43</v>
      </c>
      <c r="N10" s="129"/>
      <c r="O10" s="129"/>
      <c r="P10" s="129"/>
    </row>
    <row r="11" spans="1:16">
      <c r="A11" s="143"/>
      <c r="B11" s="143"/>
      <c r="C11" s="143"/>
      <c r="D11" s="143"/>
      <c r="E11" s="128" t="s">
        <v>7568</v>
      </c>
      <c r="F11" s="130">
        <v>28256.799999999999</v>
      </c>
      <c r="G11" s="130">
        <v>8342.59</v>
      </c>
      <c r="H11" s="130">
        <v>10413.92</v>
      </c>
      <c r="I11" s="130"/>
      <c r="J11" s="130">
        <f t="shared" si="1"/>
        <v>47013.31</v>
      </c>
      <c r="K11" s="131">
        <f t="shared" si="0"/>
        <v>3.7054820942840322E-2</v>
      </c>
      <c r="L11" s="129"/>
      <c r="M11" s="129"/>
      <c r="N11" s="129"/>
      <c r="O11" s="129"/>
      <c r="P11" s="129"/>
    </row>
    <row r="12" spans="1:16">
      <c r="A12" s="143"/>
      <c r="B12" s="143"/>
      <c r="C12" s="143"/>
      <c r="D12" s="143"/>
      <c r="E12" s="128" t="s">
        <v>7569</v>
      </c>
      <c r="F12" s="130"/>
      <c r="G12" s="138">
        <v>8983.14</v>
      </c>
      <c r="H12" s="130"/>
      <c r="I12" s="130"/>
      <c r="J12" s="130">
        <f t="shared" si="1"/>
        <v>8983.14</v>
      </c>
      <c r="K12" s="131">
        <f t="shared" si="0"/>
        <v>7.0803064962766202E-3</v>
      </c>
      <c r="L12" s="129"/>
      <c r="M12" s="129"/>
      <c r="N12" s="129"/>
      <c r="O12" s="129"/>
      <c r="P12" s="129"/>
    </row>
    <row r="13" spans="1:16">
      <c r="A13" s="143"/>
      <c r="B13" s="143"/>
      <c r="C13" s="143"/>
      <c r="D13" s="143"/>
      <c r="E13" s="128" t="s">
        <v>7570</v>
      </c>
      <c r="F13" s="130"/>
      <c r="G13" s="130">
        <v>22882.44</v>
      </c>
      <c r="H13" s="130"/>
      <c r="I13" s="130"/>
      <c r="J13" s="130">
        <f t="shared" si="1"/>
        <v>22882.44</v>
      </c>
      <c r="K13" s="131">
        <f t="shared" si="0"/>
        <v>1.803541841523788E-2</v>
      </c>
      <c r="L13" s="129"/>
      <c r="M13" s="129"/>
      <c r="N13" s="129"/>
      <c r="O13" s="129"/>
      <c r="P13" s="129"/>
    </row>
    <row r="14" spans="1:16">
      <c r="A14" s="143"/>
      <c r="B14" s="143"/>
      <c r="C14" s="143"/>
      <c r="D14" s="143"/>
      <c r="E14" s="128" t="s">
        <v>7571</v>
      </c>
      <c r="F14" s="130">
        <v>34694.699999999997</v>
      </c>
      <c r="G14" s="130"/>
      <c r="H14" s="130"/>
      <c r="I14" s="130"/>
      <c r="J14" s="130">
        <f t="shared" si="1"/>
        <v>34694.699999999997</v>
      </c>
      <c r="K14" s="131">
        <f t="shared" si="0"/>
        <v>2.7345572906174061E-2</v>
      </c>
      <c r="L14" s="129"/>
      <c r="M14" s="129"/>
      <c r="N14" s="129"/>
      <c r="O14" s="129"/>
      <c r="P14" s="129"/>
    </row>
    <row r="15" spans="1:16">
      <c r="A15" s="143" t="s">
        <v>7572</v>
      </c>
      <c r="B15" s="142">
        <f>SUM(K15:K16)</f>
        <v>1.599010635789792E-2</v>
      </c>
      <c r="C15" s="127" t="s">
        <v>7573</v>
      </c>
      <c r="D15" s="133">
        <f t="shared" ref="D15:D25" si="2">SUM(K15:K15)</f>
        <v>5.3044170650587358E-3</v>
      </c>
      <c r="E15" s="128" t="s">
        <v>7574</v>
      </c>
      <c r="F15" s="130"/>
      <c r="G15" s="138">
        <v>6729.98</v>
      </c>
      <c r="H15" s="130"/>
      <c r="I15" s="130"/>
      <c r="J15" s="130">
        <f t="shared" si="1"/>
        <v>6729.98</v>
      </c>
      <c r="K15" s="131">
        <f t="shared" si="0"/>
        <v>5.3044170650587358E-3</v>
      </c>
      <c r="L15" s="129"/>
      <c r="M15" s="129"/>
      <c r="P15" s="129"/>
    </row>
    <row r="16" spans="1:16">
      <c r="A16" s="143"/>
      <c r="B16" s="143"/>
      <c r="C16" s="127" t="s">
        <v>7575</v>
      </c>
      <c r="D16" s="133">
        <f t="shared" si="2"/>
        <v>1.0685689292839185E-2</v>
      </c>
      <c r="E16" s="128" t="s">
        <v>7432</v>
      </c>
      <c r="F16" s="130"/>
      <c r="G16" s="138">
        <v>13557.47</v>
      </c>
      <c r="H16" s="130"/>
      <c r="I16" s="130"/>
      <c r="J16" s="130">
        <f t="shared" si="1"/>
        <v>13557.47</v>
      </c>
      <c r="K16" s="131">
        <f t="shared" si="0"/>
        <v>1.0685689292839185E-2</v>
      </c>
      <c r="L16" s="129"/>
      <c r="M16" s="129"/>
      <c r="P16" s="129"/>
    </row>
    <row r="17" spans="1:16">
      <c r="A17" s="127" t="s">
        <v>7576</v>
      </c>
      <c r="B17" s="133">
        <f>SUM(K17:K17)</f>
        <v>1.2393015185905477E-2</v>
      </c>
      <c r="C17" s="127" t="s">
        <v>7577</v>
      </c>
      <c r="D17" s="133">
        <f t="shared" si="2"/>
        <v>1.2393015185905477E-2</v>
      </c>
      <c r="E17" s="128" t="s">
        <v>119</v>
      </c>
      <c r="F17" s="130"/>
      <c r="G17" s="138">
        <v>15723.64</v>
      </c>
      <c r="H17" s="130"/>
      <c r="I17" s="130"/>
      <c r="J17" s="130">
        <f t="shared" si="1"/>
        <v>15723.64</v>
      </c>
      <c r="K17" s="131">
        <f t="shared" si="0"/>
        <v>1.2393015185905477E-2</v>
      </c>
      <c r="L17" s="129"/>
      <c r="M17" s="129"/>
      <c r="P17" s="129"/>
    </row>
    <row r="18" spans="1:16">
      <c r="A18" s="143" t="s">
        <v>7578</v>
      </c>
      <c r="B18" s="142">
        <f>SUM(K18:K20)</f>
        <v>2.8876457442180745E-2</v>
      </c>
      <c r="C18" s="127" t="s">
        <v>7437</v>
      </c>
      <c r="D18" s="133">
        <f t="shared" si="2"/>
        <v>1.0345669631285014E-2</v>
      </c>
      <c r="E18" s="128" t="s">
        <v>7437</v>
      </c>
      <c r="F18" s="130"/>
      <c r="G18" s="138">
        <v>13126.07</v>
      </c>
      <c r="H18" s="130"/>
      <c r="I18" s="130"/>
      <c r="J18" s="130">
        <f t="shared" si="1"/>
        <v>13126.07</v>
      </c>
      <c r="K18" s="131">
        <f t="shared" si="0"/>
        <v>1.0345669631285014E-2</v>
      </c>
      <c r="L18" s="129"/>
      <c r="M18" s="129"/>
      <c r="P18" s="129"/>
    </row>
    <row r="19" spans="1:16">
      <c r="A19" s="143"/>
      <c r="B19" s="143"/>
      <c r="C19" s="127" t="s">
        <v>143</v>
      </c>
      <c r="D19" s="133">
        <f t="shared" si="2"/>
        <v>5.358974693646542E-3</v>
      </c>
      <c r="E19" s="128" t="s">
        <v>143</v>
      </c>
      <c r="F19" s="130">
        <v>6799.2</v>
      </c>
      <c r="G19" s="130"/>
      <c r="H19" s="130"/>
      <c r="I19" s="130"/>
      <c r="J19" s="130">
        <f t="shared" si="1"/>
        <v>6799.2</v>
      </c>
      <c r="K19" s="131">
        <f t="shared" si="0"/>
        <v>5.358974693646542E-3</v>
      </c>
      <c r="L19" s="129"/>
      <c r="M19" s="129"/>
      <c r="P19" s="129"/>
    </row>
    <row r="20" spans="1:16">
      <c r="A20" s="143"/>
      <c r="B20" s="143"/>
      <c r="C20" s="127" t="s">
        <v>7579</v>
      </c>
      <c r="D20" s="133">
        <f t="shared" si="2"/>
        <v>1.3171813117249187E-2</v>
      </c>
      <c r="E20" s="128" t="s">
        <v>7579</v>
      </c>
      <c r="F20" s="130"/>
      <c r="G20" s="130"/>
      <c r="H20" s="130"/>
      <c r="I20" s="130">
        <v>16711.740000000002</v>
      </c>
      <c r="J20" s="130">
        <f t="shared" si="1"/>
        <v>16711.740000000002</v>
      </c>
      <c r="K20" s="131">
        <f t="shared" si="0"/>
        <v>1.3171813117249187E-2</v>
      </c>
      <c r="L20" s="129"/>
      <c r="M20" s="129"/>
      <c r="P20" s="129"/>
    </row>
    <row r="21" spans="1:16">
      <c r="A21" s="143" t="s">
        <v>7580</v>
      </c>
      <c r="B21" s="142">
        <f>SUM(K21:K22)</f>
        <v>4.5288262269066445E-2</v>
      </c>
      <c r="C21" s="127" t="s">
        <v>7581</v>
      </c>
      <c r="D21" s="133">
        <f t="shared" si="2"/>
        <v>3.9792475770012915E-2</v>
      </c>
      <c r="E21" s="128" t="s">
        <v>7582</v>
      </c>
      <c r="F21" s="130"/>
      <c r="G21" s="138">
        <f>36204.24+7373.21+6909.26</f>
        <v>50486.71</v>
      </c>
      <c r="H21" s="130"/>
      <c r="I21" s="130"/>
      <c r="J21" s="130">
        <f t="shared" si="1"/>
        <v>50486.71</v>
      </c>
      <c r="K21" s="131">
        <f t="shared" si="0"/>
        <v>3.9792475770012915E-2</v>
      </c>
      <c r="L21" s="129"/>
      <c r="M21" s="129"/>
      <c r="P21" s="129"/>
    </row>
    <row r="22" spans="1:16">
      <c r="A22" s="143"/>
      <c r="B22" s="143"/>
      <c r="C22" s="127" t="s">
        <v>7583</v>
      </c>
      <c r="D22" s="133">
        <f t="shared" si="2"/>
        <v>5.4957864990535267E-3</v>
      </c>
      <c r="E22" s="128" t="s">
        <v>7584</v>
      </c>
      <c r="F22" s="130"/>
      <c r="G22" s="138">
        <v>6972.78</v>
      </c>
      <c r="H22" s="130"/>
      <c r="I22" s="130"/>
      <c r="J22" s="130">
        <f t="shared" si="1"/>
        <v>6972.78</v>
      </c>
      <c r="K22" s="131">
        <f t="shared" si="0"/>
        <v>5.4957864990535267E-3</v>
      </c>
      <c r="L22" s="129"/>
      <c r="M22" s="129"/>
      <c r="P22" s="129"/>
    </row>
    <row r="23" spans="1:16">
      <c r="A23" s="143" t="s">
        <v>7585</v>
      </c>
      <c r="B23" s="142">
        <f>SUM(K23:K24)</f>
        <v>0.16274505927944083</v>
      </c>
      <c r="C23" s="127" t="s">
        <v>7586</v>
      </c>
      <c r="D23" s="133">
        <f t="shared" si="2"/>
        <v>8.1089897163047472E-2</v>
      </c>
      <c r="E23" s="128" t="s">
        <v>7587</v>
      </c>
      <c r="F23" s="130"/>
      <c r="G23" s="130">
        <f>102400+482.82</f>
        <v>102882.82</v>
      </c>
      <c r="H23" s="130"/>
      <c r="I23" s="130"/>
      <c r="J23" s="130">
        <f t="shared" si="1"/>
        <v>102882.82</v>
      </c>
      <c r="K23" s="131">
        <f t="shared" si="0"/>
        <v>8.1089897163047472E-2</v>
      </c>
      <c r="L23" s="129"/>
      <c r="M23" s="129"/>
      <c r="P23" s="129"/>
    </row>
    <row r="24" spans="1:16">
      <c r="A24" s="143"/>
      <c r="B24" s="143"/>
      <c r="C24" s="127" t="s">
        <v>7588</v>
      </c>
      <c r="D24" s="133">
        <f t="shared" si="2"/>
        <v>8.1655162116393371E-2</v>
      </c>
      <c r="E24" s="128" t="s">
        <v>7589</v>
      </c>
      <c r="F24" s="130"/>
      <c r="G24" s="130">
        <f>100000+3600</f>
        <v>103600</v>
      </c>
      <c r="H24" s="130"/>
      <c r="I24" s="130"/>
      <c r="J24" s="130">
        <f t="shared" ref="J24" si="3">SUM(F24:I24)</f>
        <v>103600</v>
      </c>
      <c r="K24" s="131">
        <f t="shared" si="0"/>
        <v>8.1655162116393371E-2</v>
      </c>
      <c r="L24" s="129"/>
      <c r="M24" s="129"/>
      <c r="P24" s="129"/>
    </row>
    <row r="25" spans="1:16">
      <c r="A25" s="136" t="s">
        <v>7602</v>
      </c>
      <c r="B25" s="135">
        <f>SUM(K25:K25)</f>
        <v>0.22189193654958836</v>
      </c>
      <c r="C25" s="136" t="s">
        <v>7603</v>
      </c>
      <c r="D25" s="135">
        <f t="shared" si="2"/>
        <v>0.22189193654958836</v>
      </c>
      <c r="E25" s="128" t="s">
        <v>7604</v>
      </c>
      <c r="F25" s="130"/>
      <c r="G25" s="130"/>
      <c r="H25" s="130"/>
      <c r="I25" s="130"/>
      <c r="J25" s="130">
        <f>M10</f>
        <v>281525.43</v>
      </c>
      <c r="K25" s="131">
        <f t="shared" si="0"/>
        <v>0.22189193654958836</v>
      </c>
      <c r="L25" s="129"/>
      <c r="M25" s="129"/>
      <c r="P25" s="129"/>
    </row>
    <row r="26" spans="1:16">
      <c r="A26" s="128"/>
      <c r="B26" s="128"/>
      <c r="C26" s="128"/>
      <c r="D26" s="128"/>
      <c r="E26" s="128" t="s">
        <v>7554</v>
      </c>
      <c r="F26" s="128"/>
      <c r="G26" s="128"/>
      <c r="H26" s="128"/>
      <c r="I26" s="128"/>
      <c r="J26" s="130">
        <f>SUM(J2:J25)</f>
        <v>1268750.1599999997</v>
      </c>
      <c r="K26" s="131">
        <f t="shared" si="0"/>
        <v>1</v>
      </c>
      <c r="L26" s="129"/>
      <c r="M26" s="129"/>
      <c r="P26" s="129"/>
    </row>
    <row r="27" spans="1:16">
      <c r="A27" s="129"/>
      <c r="B27" s="129"/>
      <c r="C27" s="129"/>
      <c r="D27" s="129"/>
      <c r="E27" s="128" t="s">
        <v>7590</v>
      </c>
      <c r="F27" s="128"/>
      <c r="G27" s="128"/>
      <c r="H27" s="128"/>
      <c r="I27" s="128"/>
      <c r="J27" s="132">
        <f>J26/$M$2-1</f>
        <v>5.8915921118314341E-2</v>
      </c>
      <c r="K27" s="131"/>
      <c r="L27" s="129"/>
      <c r="M27" s="129"/>
      <c r="P27" s="129"/>
    </row>
    <row r="30" spans="1:16">
      <c r="A30" s="137" t="s">
        <v>7605</v>
      </c>
      <c r="B30" s="137" t="s">
        <v>7609</v>
      </c>
      <c r="C30" s="137" t="s">
        <v>7606</v>
      </c>
      <c r="D30" s="137" t="s">
        <v>7607</v>
      </c>
      <c r="E30" s="137" t="s">
        <v>7610</v>
      </c>
      <c r="F30" s="128" t="s">
        <v>7608</v>
      </c>
    </row>
    <row r="31" spans="1:16">
      <c r="A31" s="137" t="str">
        <f t="shared" ref="A31:A55" si="4">E2</f>
        <v>上证50</v>
      </c>
      <c r="B31" s="61">
        <f>SUMIFS(投资操作明细!M:M,投资操作明细!M:M,"&lt;0",投资操作明细!C:C,"=50ETF")*-1 - SUMIFS(投资操作明细!M:M,投资操作明细!M:M,"&gt;0",投资操作明细!C:C,"=50ETF")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>
      <c r="A32" s="137" t="str">
        <f t="shared" si="4"/>
        <v>沪深300</v>
      </c>
      <c r="B32" s="61">
        <f>SUMIFS(投资操作明细!M:M,投资操作明细!M:M,"&lt;0",投资操作明细!C:C,"=300ETF")*-1 - SUMIFS(投资操作明细!M:M,投资操作明细!M:M,"&gt;0",投资操作明细!C:C,"=300ETF")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>
      <c r="A33" s="137" t="str">
        <f t="shared" si="4"/>
        <v>中证500</v>
      </c>
      <c r="B33" s="61">
        <f>SUMIFS(投资操作明细!M:M,投资操作明细!M:M,"&lt;0",投资操作明细!C:C,"=500ETF")*-1 - SUMIFS(投资操作明细!M:M,投资操作明细!M:M,"&gt;0",投资操作明细!C:C,"=500ETF")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>
      <c r="A34" s="137" t="str">
        <f t="shared" si="4"/>
        <v>中证1000</v>
      </c>
      <c r="B34" s="61">
        <f>SUMIFS(投资操作明细!M:M,投资操作明细!M:M,"&lt;0",投资操作明细!C:C,"=1000ETF")*-1 - SUMIFS(投资操作明细!M:M,投资操作明细!M:M,"&gt;0",投资操作明细!C:C,"=1000ETF")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>
      <c r="A35" s="137" t="str">
        <f t="shared" si="4"/>
        <v>创业板</v>
      </c>
      <c r="B35" s="61">
        <f>SUMIFS(投资操作明细!M:M,投资操作明细!M:M,"&lt;0",投资操作明细!C:C,"=创业板")*-1 - SUMIFS(投资操作明细!M:M,投资操作明细!M:M,"&gt;0",投资操作明细!C:C,"=创业板")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>
      <c r="A36" s="137" t="str">
        <f t="shared" si="4"/>
        <v>中证红利</v>
      </c>
      <c r="B36" s="61">
        <f>SUMIFS(投资操作明细!M:M,投资操作明细!M:M,"&lt;0",投资操作明细!C:C,"=红利")*-1 - SUMIFS(投资操作明细!M:M,投资操作明细!M:M,"&gt;0",投资操作明细!C:C,"=红利")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>
      <c r="A37" s="137" t="str">
        <f t="shared" si="4"/>
        <v>养老产业</v>
      </c>
      <c r="B37" s="61">
        <f>SUMIFS(投资操作明细!M:M,投资操作明细!M:M,"&lt;0",投资操作明细!C:C,"=养老")*-1 - SUMIFS(投资操作明细!M:M,投资操作明细!M:M,"&gt;0",投资操作明细!C:C,"=养老")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>
      <c r="A38" s="137" t="str">
        <f t="shared" si="4"/>
        <v>全指医药</v>
      </c>
      <c r="B38" s="61">
        <f>SUMIFS(投资操作明细!M:M,投资操作明细!M:M,"&lt;0",投资操作明细!C:C,"=医药")*-1 - SUMIFS(投资操作明细!M:M,投资操作明细!M:M,"&gt;0",投资操作明细!C:C,"=医药")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>
      <c r="A39" s="137" t="str">
        <f t="shared" si="4"/>
        <v>中证传媒</v>
      </c>
      <c r="B39" s="61">
        <f>SUMIFS(投资操作明细!M:M,投资操作明细!M:M,"&lt;0",投资操作明细!C:C,"=传媒")*-1 - SUMIFS(投资操作明细!M:M,投资操作明细!M:M,"&gt;0",投资操作明细!C:C,"=传媒")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>
      <c r="A40" s="137" t="str">
        <f t="shared" si="4"/>
        <v>中证环保</v>
      </c>
      <c r="B40" s="61">
        <f>SUMIFS(投资操作明细!M:M,投资操作明细!M:M,"&lt;0",投资操作明细!C:C,"=环保")*-1 - SUMIFS(投资操作明细!M:M,投资操作明细!M:M,"&gt;0",投资操作明细!C:C,"=环保")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>
      <c r="A41" s="137" t="str">
        <f t="shared" si="4"/>
        <v>全指消费</v>
      </c>
      <c r="B41" s="61">
        <f>SUMIFS(投资操作明细!M:M,投资操作明细!M:M,"&lt;0",投资操作明细!C:C,"=消费")*-1 - SUMIFS(投资操作明细!M:M,投资操作明细!M:M,"&gt;0",投资操作明细!C:C,"=消费")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>
      <c r="A42" s="137" t="str">
        <f t="shared" si="4"/>
        <v>金融地产</v>
      </c>
      <c r="B42" s="61">
        <f>SUMIFS(投资操作明细!M:M,投资操作明细!M:M,"&lt;0",投资操作明细!C:C,"=金融地产")*-1 - SUMIFS(投资操作明细!M:M,投资操作明细!M:M,"&gt;0",投资操作明细!C:C,"=金融地产")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>
      <c r="A43" s="137" t="str">
        <f t="shared" si="4"/>
        <v>证券公司</v>
      </c>
      <c r="B43" s="61">
        <f>SUMIFS(投资操作明细!M:M,投资操作明细!M:M,"&lt;0",投资操作明细!C:C,"=证券")*-1 - SUMIFS(投资操作明细!M:M,投资操作明细!M:M,"&gt;0",投资操作明细!C:C,"=证券")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>
      <c r="A44" s="137" t="str">
        <f t="shared" si="4"/>
        <v>恒生</v>
      </c>
      <c r="B44" s="61">
        <f>SUMIFS(投资操作明细!M:M,投资操作明细!M:M,"&lt;0",投资操作明细!C:C,"=恒生")*-1 - SUMIFS(投资操作明细!M:M,投资操作明细!M:M,"&gt;0",投资操作明细!C:C,"=恒生")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>
      <c r="A45" s="137" t="str">
        <f t="shared" si="4"/>
        <v>海外互联网</v>
      </c>
      <c r="B45" s="61">
        <f>SUMIFS(投资操作明细!M:M,投资操作明细!M:M,"&lt;0",投资操作明细!C:C,"=海外互联网")*-1 - SUMIFS(投资操作明细!M:M,投资操作明细!M:M,"&gt;0",投资操作明细!C:C,"=海外互联网")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>
      <c r="A46" s="137" t="str">
        <f t="shared" si="4"/>
        <v>德国30</v>
      </c>
      <c r="B46" s="61">
        <f>SUMIFS(投资操作明细!M:M,投资操作明细!M:M,"&lt;0",投资操作明细!C:C,"=德国30")*-1 - SUMIFS(投资操作明细!M:M,投资操作明细!M:M,"&gt;0",投资操作明细!C:C,"=德国30")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>
      <c r="A47" s="137" t="str">
        <f t="shared" si="4"/>
        <v>原油</v>
      </c>
      <c r="B47" s="61">
        <f>SUMIFS(投资操作明细!M:M,投资操作明细!M:M,"&lt;0",投资操作明细!C:C,"=原油")*-1 - SUMIFS(投资操作明细!M:M,投资操作明细!M:M,"&gt;0",投资操作明细!C:C,"=原油")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>
      <c r="A48" s="137" t="str">
        <f t="shared" si="4"/>
        <v>黄金</v>
      </c>
      <c r="B48" s="61">
        <f>SUMIFS(投资操作明细!M:M,投资操作明细!M:M,"&lt;0",投资操作明细!C:C,"=黄金")*-1 - SUMIFS(投资操作明细!M:M,投资操作明细!M:M,"&gt;0",投资操作明细!C:C,"=黄金")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>
      <c r="A49" s="137" t="str">
        <f t="shared" si="4"/>
        <v>白银</v>
      </c>
      <c r="B49" s="61">
        <f>SUMIFS(投资操作明细!M:M,投资操作明细!M:M,"&lt;0",投资操作明细!C:C,"=白银")*-1 - SUMIFS(投资操作明细!M:M,投资操作明细!M:M,"&gt;0",投资操作明细!C:C,"=白银")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>
      <c r="A50" s="137" t="str">
        <f t="shared" si="4"/>
        <v>可转债</v>
      </c>
      <c r="B50" s="61">
        <f>SUMIFS(投资操作明细!M:M,投资操作明细!M:M,"&lt;0",投资操作明细!C:C,"=可转债")*-1 - SUMIFS(投资操作明细!M:M,投资操作明细!M:M,"&gt;0",投资操作明细!C:C,"=可转债")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>
      <c r="A51" s="137" t="str">
        <f t="shared" si="4"/>
        <v>美元债</v>
      </c>
      <c r="B51" s="61">
        <f>SUMIFS(投资操作明细!M:M,投资操作明细!M:M,"&lt;0",投资操作明细!C:C,"=海外债")*-1 - SUMIFS(投资操作明细!M:M,投资操作明细!M:M,"&gt;0",投资操作明细!C:C,"=海外债")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>
      <c r="A52" s="137" t="str">
        <f t="shared" si="4"/>
        <v>货币基金</v>
      </c>
      <c r="B52" s="137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>
      <c r="A53" s="137" t="str">
        <f t="shared" si="4"/>
        <v>地产定期</v>
      </c>
      <c r="B53" s="137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>
      <c r="A54" s="137" t="str">
        <f t="shared" si="4"/>
        <v>公积金</v>
      </c>
      <c r="B54" s="137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37"/>
    </row>
    <row r="55" spans="1:6">
      <c r="A55" s="137" t="str">
        <f t="shared" si="4"/>
        <v>总市值</v>
      </c>
      <c r="B55" s="137">
        <f>SUM(B30:B54)</f>
        <v>1197397.58</v>
      </c>
      <c r="C55" s="140">
        <f>SUM(C30:C54)</f>
        <v>1268750.1599999997</v>
      </c>
      <c r="D55" s="139">
        <f>C55/B55-1</f>
        <v>5.9589714554124651E-2</v>
      </c>
      <c r="E55" s="137"/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2E65-C414-44FC-A74A-22AE600E706A}">
  <dimension ref="A1:F31"/>
  <sheetViews>
    <sheetView tabSelected="1" workbookViewId="0">
      <selection activeCell="K20" sqref="K20"/>
    </sheetView>
  </sheetViews>
  <sheetFormatPr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141" t="s">
        <v>85</v>
      </c>
      <c r="B1" s="141" t="s">
        <v>87</v>
      </c>
      <c r="C1" s="141" t="s">
        <v>7611</v>
      </c>
      <c r="D1" s="141" t="s">
        <v>7612</v>
      </c>
      <c r="E1" s="141" t="s">
        <v>7613</v>
      </c>
      <c r="F1" s="141" t="s">
        <v>7614</v>
      </c>
    </row>
    <row r="2" spans="1:6">
      <c r="A2" s="141" t="s">
        <v>43</v>
      </c>
      <c r="B2" s="81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>
      <c r="A3" s="141" t="s">
        <v>39</v>
      </c>
      <c r="B3" s="81" t="s">
        <v>7615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>
      <c r="A4" s="141" t="s">
        <v>7617</v>
      </c>
      <c r="B4" s="81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>
      <c r="A5" s="141" t="s">
        <v>127</v>
      </c>
      <c r="B5" s="81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>
      <c r="A6" s="141" t="s">
        <v>7618</v>
      </c>
      <c r="B6" s="81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>
      <c r="A7" s="141" t="s">
        <v>138</v>
      </c>
      <c r="B7" s="81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>
      <c r="A8" s="141" t="s">
        <v>222</v>
      </c>
      <c r="B8" s="81" t="s">
        <v>7616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>
      <c r="A9" s="141" t="s">
        <v>7619</v>
      </c>
      <c r="B9" s="81" t="s">
        <v>7425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>
      <c r="A10" s="141" t="s">
        <v>7620</v>
      </c>
      <c r="B10" s="81" t="s">
        <v>7621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>
      <c r="A11" s="141" t="s">
        <v>7645</v>
      </c>
      <c r="B11" s="81" t="s">
        <v>7646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>
      <c r="A12" s="141" t="s">
        <v>7622</v>
      </c>
      <c r="B12" s="81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>
      <c r="A13" s="141" t="s">
        <v>7624</v>
      </c>
      <c r="B13" s="81" t="s">
        <v>7625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>
      <c r="A14" s="141" t="s">
        <v>7623</v>
      </c>
      <c r="B14" s="81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>
      <c r="A15" s="141" t="s">
        <v>56</v>
      </c>
      <c r="B15" s="81" t="s">
        <v>7626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>
      <c r="A16" s="141" t="s">
        <v>7627</v>
      </c>
      <c r="B16" s="81" t="s">
        <v>7628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>
      <c r="A17" s="141" t="s">
        <v>7629</v>
      </c>
      <c r="B17" s="81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>
      <c r="A18" s="141" t="s">
        <v>7631</v>
      </c>
      <c r="B18" s="81" t="s">
        <v>7630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>
      <c r="A19" s="141" t="s">
        <v>7633</v>
      </c>
      <c r="B19" s="81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>
      <c r="A20" s="141" t="s">
        <v>55</v>
      </c>
      <c r="B20" s="81" t="s">
        <v>7632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>
      <c r="A21" s="141" t="s">
        <v>7634</v>
      </c>
      <c r="B21" s="81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>
      <c r="A22" s="141" t="s">
        <v>7636</v>
      </c>
      <c r="B22" s="81" t="s">
        <v>7637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>
      <c r="A23" s="141" t="s">
        <v>7635</v>
      </c>
      <c r="B23" s="81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>
      <c r="A24" s="141" t="s">
        <v>7638</v>
      </c>
      <c r="B24" s="81" t="s">
        <v>7439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>
      <c r="A25" s="141" t="s">
        <v>7639</v>
      </c>
      <c r="B25" s="81" t="s">
        <v>7642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>
      <c r="A26" s="141" t="s">
        <v>7640</v>
      </c>
      <c r="B26" s="81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>
      <c r="A27" s="141" t="s">
        <v>7643</v>
      </c>
      <c r="B27" s="81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>
      <c r="A28" s="141" t="s">
        <v>7641</v>
      </c>
      <c r="B28" s="81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>
      <c r="A29" s="141" t="s">
        <v>7644</v>
      </c>
      <c r="B29" s="81" t="s">
        <v>7442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>
      <c r="B30" s="46"/>
    </row>
    <row r="31" spans="1:6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40"/>
  <sheetViews>
    <sheetView workbookViewId="0">
      <selection activeCell="C6" sqref="C6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106"/>
      <c r="B3" s="25" t="s">
        <v>57</v>
      </c>
      <c r="C3" s="28">
        <f>投资操作明细!Z13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106"/>
      <c r="B4" s="2" t="s">
        <v>45</v>
      </c>
      <c r="C4" s="28">
        <f>投资操作明细!Z14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106"/>
      <c r="B5" s="2" t="s">
        <v>41</v>
      </c>
      <c r="C5" s="19">
        <f>投资操作明细!Z15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106"/>
      <c r="B6" s="2" t="s">
        <v>18</v>
      </c>
      <c r="C6" s="28">
        <f>投资操作明细!Z16</f>
        <v>0.22490663750000001</v>
      </c>
      <c r="D6" s="18">
        <f>(11+9+2+3)*0.0067</f>
        <v>0.16750000000000001</v>
      </c>
      <c r="E6" s="50"/>
      <c r="M6" s="3"/>
    </row>
    <row r="7" spans="1:18">
      <c r="A7" s="106"/>
      <c r="B7" s="2" t="s">
        <v>19</v>
      </c>
      <c r="C7" s="28">
        <f>投资操作明细!Z17</f>
        <v>4.9623162499999998E-2</v>
      </c>
      <c r="D7" s="18">
        <v>0</v>
      </c>
      <c r="E7" s="50"/>
      <c r="M7" s="3"/>
    </row>
    <row r="8" spans="1:18">
      <c r="A8" s="106"/>
      <c r="B8" s="2" t="s">
        <v>40</v>
      </c>
      <c r="C8" s="19">
        <f>投资操作明细!Z18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42"/>
      <c r="B9" s="96" t="s">
        <v>7424</v>
      </c>
      <c r="C9" s="19">
        <f>投资操作明细!Z34</f>
        <v>8.0000000000000002E-3</v>
      </c>
      <c r="D9" s="18">
        <f>(1)*0.0067</f>
        <v>6.7000000000000002E-3</v>
      </c>
      <c r="E9" s="61"/>
      <c r="M9" s="3"/>
    </row>
    <row r="10" spans="1:18">
      <c r="A10" s="143"/>
      <c r="B10" s="2" t="s">
        <v>67</v>
      </c>
      <c r="C10" s="28">
        <f>投资操作明细!Z19</f>
        <v>6.1076224999999998E-2</v>
      </c>
      <c r="D10" s="18">
        <f>10*0.0067</f>
        <v>6.7000000000000004E-2</v>
      </c>
      <c r="E10" s="111">
        <f t="shared" si="0"/>
        <v>0.73133024691358106</v>
      </c>
      <c r="M10" s="3"/>
    </row>
    <row r="11" spans="1:18">
      <c r="A11" s="106"/>
      <c r="B11" s="25" t="s">
        <v>55</v>
      </c>
      <c r="C11" s="19">
        <f>投资操作明细!Z22</f>
        <v>3.1965149999999998E-2</v>
      </c>
      <c r="D11" s="18">
        <f>4*0.0067</f>
        <v>2.6800000000000001E-2</v>
      </c>
      <c r="E11" s="50"/>
    </row>
    <row r="12" spans="1:18">
      <c r="A12" s="106"/>
      <c r="B12" s="25" t="s">
        <v>58</v>
      </c>
      <c r="C12" s="19">
        <f>投资操作明细!Z37</f>
        <v>1.6E-2</v>
      </c>
      <c r="D12" s="18">
        <f>3*0.0067</f>
        <v>2.01E-2</v>
      </c>
      <c r="E12" s="50"/>
    </row>
    <row r="13" spans="1:18">
      <c r="A13" s="142"/>
      <c r="B13" s="25" t="s">
        <v>59</v>
      </c>
      <c r="C13" s="28">
        <f>投资操作明细!Z21</f>
        <v>7.2749999999999995E-2</v>
      </c>
      <c r="D13" s="18">
        <f>10*0.0067</f>
        <v>6.7000000000000004E-2</v>
      </c>
      <c r="E13" s="111">
        <f t="shared" si="0"/>
        <v>-0.70987654320987548</v>
      </c>
      <c r="N13" s="4"/>
      <c r="O13" s="4"/>
      <c r="P13" s="4"/>
      <c r="Q13" s="13"/>
      <c r="R13" s="4"/>
    </row>
    <row r="14" spans="1:18">
      <c r="A14" s="143"/>
      <c r="B14" s="25" t="s">
        <v>56</v>
      </c>
      <c r="C14" s="19">
        <f>投资操作明细!Z25</f>
        <v>3.70254125E-2</v>
      </c>
      <c r="D14" s="18">
        <f>5*0.0067</f>
        <v>3.3500000000000002E-2</v>
      </c>
      <c r="E14" s="50"/>
    </row>
    <row r="15" spans="1:18">
      <c r="A15" s="106"/>
      <c r="B15" s="2" t="s">
        <v>36</v>
      </c>
      <c r="C15" s="19">
        <f>投资操作明细!Z23</f>
        <v>6.0069037499999992E-2</v>
      </c>
      <c r="D15" s="18">
        <f>9*0.0067</f>
        <v>6.0299999999999999E-2</v>
      </c>
      <c r="E15" s="50"/>
    </row>
    <row r="16" spans="1:18">
      <c r="A16" s="106"/>
      <c r="B16" s="2" t="s">
        <v>7448</v>
      </c>
      <c r="C16" s="19">
        <f>投资操作明细!Z43</f>
        <v>5.6000000000000001E-2</v>
      </c>
      <c r="D16" s="18">
        <f>7*0.0067</f>
        <v>4.6900000000000004E-2</v>
      </c>
      <c r="E16" s="50"/>
    </row>
    <row r="17" spans="1:28">
      <c r="A17" s="106"/>
      <c r="B17" s="2" t="s">
        <v>33</v>
      </c>
      <c r="C17" s="19">
        <f>投资操作明细!Z42</f>
        <v>6.4313999999999994E-3</v>
      </c>
      <c r="D17" s="18">
        <f>2*0.0067</f>
        <v>1.34E-2</v>
      </c>
      <c r="E17" s="50"/>
    </row>
    <row r="18" spans="1:28">
      <c r="A18" s="106"/>
      <c r="B18" s="2" t="s">
        <v>34</v>
      </c>
      <c r="C18" s="19">
        <f>投资操作明细!Z41</f>
        <v>-1.1850999999999999E-3</v>
      </c>
      <c r="D18" s="18">
        <f>2*0.0067</f>
        <v>1.34E-2</v>
      </c>
      <c r="E18" s="50"/>
    </row>
    <row r="19" spans="1:28">
      <c r="A19" s="106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106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06"/>
      <c r="B21" s="2" t="s">
        <v>35</v>
      </c>
      <c r="C21" s="19">
        <f>投资操作明细!Z38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06"/>
      <c r="B22" s="67" t="s">
        <v>195</v>
      </c>
      <c r="C22" s="19">
        <f>投资操作明细!Z37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06"/>
      <c r="B23" s="2" t="s">
        <v>70</v>
      </c>
      <c r="C23" s="28">
        <f>投资操作明细!Z39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06"/>
      <c r="B24" s="2" t="s">
        <v>38</v>
      </c>
      <c r="C24" s="19">
        <f>投资操作明细!Z47</f>
        <v>8.0536124999999997E-3</v>
      </c>
      <c r="D24" s="18">
        <f>1*0.0067</f>
        <v>6.7000000000000002E-3</v>
      </c>
      <c r="E24" s="50"/>
    </row>
    <row r="25" spans="1:28">
      <c r="A25" s="106"/>
      <c r="B25" s="2" t="s">
        <v>66</v>
      </c>
      <c r="C25" s="19">
        <f>投资操作明细!Z48</f>
        <v>2.0792575000000001E-2</v>
      </c>
      <c r="D25" s="18">
        <v>0</v>
      </c>
      <c r="E25" s="50"/>
      <c r="K25" s="1"/>
      <c r="L25" s="4"/>
      <c r="M25" s="4"/>
    </row>
    <row r="26" spans="1:28">
      <c r="A26" s="106"/>
      <c r="B26" s="2" t="s">
        <v>71</v>
      </c>
      <c r="C26" s="19">
        <f>投资操作明细!Z46</f>
        <v>1.6E-2</v>
      </c>
      <c r="D26" s="18">
        <f>2*0.0067</f>
        <v>1.34E-2</v>
      </c>
      <c r="E26" s="50"/>
    </row>
    <row r="27" spans="1:28">
      <c r="A27" s="106"/>
      <c r="B27" s="25" t="s">
        <v>65</v>
      </c>
      <c r="C27" s="19">
        <f>投资操作明细!Z49</f>
        <v>0.1173449124999999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>
      <c r="A28" s="106"/>
      <c r="F28" t="s">
        <v>76</v>
      </c>
      <c r="G28" s="19">
        <f>C3</f>
        <v>8.2900000000000001E-2</v>
      </c>
      <c r="H28" s="1">
        <f>投资操作明细!X13</f>
        <v>9.7880779075583284</v>
      </c>
      <c r="I28" s="1">
        <f>ETF计划成本计算!D5</f>
        <v>9.4157292185166757</v>
      </c>
      <c r="J28" s="18">
        <f>投资操作明细!S13/H28-1</f>
        <v>-6.9551865239811939E-3</v>
      </c>
    </row>
    <row r="29" spans="1:28">
      <c r="A29" s="106"/>
      <c r="F29" t="s">
        <v>83</v>
      </c>
      <c r="G29" s="19">
        <f>C5</f>
        <v>5.5856999999999997E-2</v>
      </c>
      <c r="H29" s="1">
        <f>投资操作明细!X15</f>
        <v>11.36622394649374</v>
      </c>
      <c r="I29" s="1">
        <f>ETF计划成本计算!D53</f>
        <v>10.011348880500208</v>
      </c>
      <c r="J29" s="18">
        <f>投资操作明细!S15/H29-1</f>
        <v>-5.4215362058199879E-2</v>
      </c>
    </row>
    <row r="30" spans="1:28">
      <c r="A30" s="106"/>
      <c r="F30" t="s">
        <v>77</v>
      </c>
      <c r="G30" s="19">
        <f>C6</f>
        <v>0.22490663750000001</v>
      </c>
      <c r="H30" s="55">
        <f>投资操作明细!X16</f>
        <v>21.633080108668185</v>
      </c>
      <c r="I30" s="4">
        <f>ETF计划成本计算!D20</f>
        <v>21.130676776691516</v>
      </c>
      <c r="J30" s="18">
        <f>投资操作明细!S16/H30-1</f>
        <v>-0.24097724792223874</v>
      </c>
    </row>
    <row r="31" spans="1:28">
      <c r="A31" s="106"/>
      <c r="F31" t="s">
        <v>78</v>
      </c>
      <c r="G31" s="19">
        <f>C7</f>
        <v>4.9623162499999998E-2</v>
      </c>
      <c r="H31" s="1">
        <f>投资操作明细!X17</f>
        <v>29.522340239990651</v>
      </c>
      <c r="I31" s="27" t="s">
        <v>114</v>
      </c>
      <c r="J31" s="18">
        <f>投资操作明细!S17/H31-1</f>
        <v>-0.2774963018986345</v>
      </c>
    </row>
    <row r="32" spans="1:28">
      <c r="A32" s="106"/>
      <c r="F32" t="s">
        <v>222</v>
      </c>
      <c r="G32" s="19">
        <f>C8</f>
        <v>2.4085612499999999E-2</v>
      </c>
      <c r="H32" s="1">
        <f>投资操作明细!X18</f>
        <v>31.568188485981963</v>
      </c>
      <c r="I32" s="4">
        <f>ETF计划成本计算!D71</f>
        <v>33.841860750264445</v>
      </c>
      <c r="J32" s="18">
        <f>投资操作明细!S18/H32-1</f>
        <v>-0.11746598914374218</v>
      </c>
    </row>
    <row r="33" spans="1:10">
      <c r="A33" s="106"/>
      <c r="F33" t="s">
        <v>79</v>
      </c>
      <c r="G33" s="19">
        <f>C10</f>
        <v>6.1076224999999998E-2</v>
      </c>
      <c r="H33" s="1">
        <f>投资操作明细!X19</f>
        <v>29.445647024026695</v>
      </c>
      <c r="I33" s="1">
        <f>ETF计划成本计算!D30</f>
        <v>29.815017394054401</v>
      </c>
      <c r="J33" s="18">
        <f>投资操作明细!S19/H33-1</f>
        <v>-0.17916560025738049</v>
      </c>
    </row>
    <row r="34" spans="1:10">
      <c r="A34" s="106"/>
      <c r="F34" t="s">
        <v>80</v>
      </c>
      <c r="G34" s="19">
        <f>C13</f>
        <v>7.2749999999999995E-2</v>
      </c>
      <c r="H34" s="1">
        <f>投资操作明细!X21</f>
        <v>23.560825948031592</v>
      </c>
      <c r="I34" s="1">
        <f>ETF计划成本计算!D35</f>
        <v>23.406756252332961</v>
      </c>
      <c r="J34" s="18">
        <f>投资操作明细!S21/H34-1</f>
        <v>-0.13840032413227088</v>
      </c>
    </row>
    <row r="35" spans="1:10">
      <c r="A35" s="106"/>
      <c r="F35" t="s">
        <v>81</v>
      </c>
      <c r="G35" s="19">
        <f>C15</f>
        <v>6.0069037499999992E-2</v>
      </c>
      <c r="H35" s="56">
        <f>投资操作明细!X23</f>
        <v>25.074858016687536</v>
      </c>
      <c r="I35" s="1">
        <f>ETF计划成本计算!D40</f>
        <v>25.950848753016896</v>
      </c>
      <c r="J35" s="18">
        <f>投资操作明细!S24/H35-1</f>
        <v>-0.23947724899144995</v>
      </c>
    </row>
    <row r="36" spans="1:10">
      <c r="A36" s="106"/>
      <c r="F36" t="s">
        <v>82</v>
      </c>
      <c r="G36" s="19">
        <f>C14</f>
        <v>3.70254125E-2</v>
      </c>
      <c r="H36" s="1">
        <f>投资操作明细!X25</f>
        <v>27.611121357189571</v>
      </c>
      <c r="I36" s="1">
        <f>ETF计划成本计算!D58</f>
        <v>27.466387692307691</v>
      </c>
      <c r="J36" s="18">
        <f>投资操作明细!S25/H36-1</f>
        <v>-0.26406465941272095</v>
      </c>
    </row>
    <row r="37" spans="1:10">
      <c r="F37" t="s">
        <v>219</v>
      </c>
      <c r="G37" s="19">
        <f>C12</f>
        <v>1.6E-2</v>
      </c>
      <c r="H37" s="1">
        <f>投资操作明细!Y37</f>
        <v>0.99919307511737088</v>
      </c>
      <c r="I37" s="1">
        <f>ETF计划成本计算!D63</f>
        <v>1.0048415492957745</v>
      </c>
      <c r="J37" s="18">
        <f>投资操作明细!U37/H37-1</f>
        <v>8.0757653623075853E-4</v>
      </c>
    </row>
    <row r="38" spans="1:10">
      <c r="F38" t="s">
        <v>234</v>
      </c>
      <c r="G38" s="19">
        <f>C11</f>
        <v>3.1965149999999998E-2</v>
      </c>
      <c r="H38" s="1">
        <f>投资操作明细!Y22</f>
        <v>1.3244841626055306</v>
      </c>
      <c r="J38" s="18">
        <f>投资操作明细!U22/权益类资产估值表!H38-1</f>
        <v>-4.1136137481892709E-2</v>
      </c>
    </row>
    <row r="39" spans="1:10">
      <c r="F39" t="s">
        <v>7424</v>
      </c>
      <c r="G39" s="19">
        <f>C9</f>
        <v>8.0000000000000002E-3</v>
      </c>
      <c r="H39" s="1">
        <f>投资操作明细!X34</f>
        <v>22.043119548486402</v>
      </c>
      <c r="J39" s="18">
        <f>投资操作明细!S34/权益类资产估值表!H39-1</f>
        <v>0.1377699941622883</v>
      </c>
    </row>
    <row r="40" spans="1:10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74"/>
  <sheetViews>
    <sheetView topLeftCell="A46"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投资操作明细!T13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9.4157292185166757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投资操作明细!T27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投资操作明细!T28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投资操作明细!T29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投资操作明细!T30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投资操作明细!T26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7.7564803804994051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投资操作明细!T20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29.815017394054401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投资操作明细!T21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23.406756252332961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投资操作明细!T24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25.950848753016896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投资操作明细!T39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7.3592506495282386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投资操作明细!T31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投资操作明细!T32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投资操作明细!T33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27.466387692307691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220</v>
      </c>
      <c r="C61" s="46" t="s">
        <v>192</v>
      </c>
      <c r="D61" s="21">
        <f>投资操作明细!V37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221</v>
      </c>
      <c r="F62">
        <v>1</v>
      </c>
      <c r="G62">
        <v>1</v>
      </c>
      <c r="H62">
        <v>1</v>
      </c>
    </row>
    <row r="63" spans="2:17">
      <c r="D63" s="31">
        <f>E61*D61</f>
        <v>1.0048415492957745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3" t="s">
        <v>40</v>
      </c>
      <c r="C66" s="36" t="s">
        <v>7425</v>
      </c>
      <c r="D66" s="48">
        <f>投资操作明细!T35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投资操作明细!T36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47"/>
  <sheetViews>
    <sheetView topLeftCell="A5" workbookViewId="0">
      <selection activeCell="B39" sqref="B39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86"/>
      <c r="B2" s="86" t="str">
        <f>组合权益类行业占比!K1</f>
        <v>能源</v>
      </c>
      <c r="C2" s="86" t="str">
        <f>组合权益类行业占比!L1</f>
        <v>原材料</v>
      </c>
      <c r="D2" s="86" t="str">
        <f>组合权益类行业占比!M1</f>
        <v>工业</v>
      </c>
      <c r="E2" s="86" t="str">
        <f>组合权益类行业占比!N1</f>
        <v>可选消费</v>
      </c>
      <c r="F2" s="86" t="str">
        <f>组合权益类行业占比!O1</f>
        <v>主要消费</v>
      </c>
      <c r="G2" s="86" t="str">
        <f>组合权益类行业占比!P1</f>
        <v>医药卫生</v>
      </c>
      <c r="H2" s="86" t="str">
        <f>组合权益类行业占比!Q1</f>
        <v>金融地产</v>
      </c>
      <c r="I2" s="86" t="str">
        <f>组合权益类行业占比!R1</f>
        <v>信息技术</v>
      </c>
      <c r="J2" s="86" t="str">
        <f>组合权益类行业占比!S1</f>
        <v>电信业务</v>
      </c>
      <c r="K2" s="86" t="str">
        <f>组合权益类行业占比!T1</f>
        <v>公用事业</v>
      </c>
    </row>
    <row r="3" spans="1:12">
      <c r="A3" s="86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>
      <c r="A4" s="90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>
      <c r="A5" s="86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>
      <c r="A6" s="86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>
      <c r="A7" s="86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>
      <c r="A8" s="86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>
      <c r="A9" s="86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>
      <c r="A10" s="86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>
      <c r="A11" s="86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>
      <c r="A12" s="86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>
      <c r="A13" s="86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>
      <c r="A14" s="86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>
      <c r="A15" s="86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6" customFormat="1">
      <c r="A17" s="86" t="s">
        <v>7395</v>
      </c>
      <c r="B17" s="86" t="s">
        <v>7396</v>
      </c>
      <c r="C17" s="86" t="s">
        <v>7396</v>
      </c>
      <c r="D17" s="86" t="s">
        <v>7396</v>
      </c>
      <c r="E17" s="86" t="s">
        <v>7397</v>
      </c>
      <c r="F17" s="86" t="s">
        <v>7397</v>
      </c>
      <c r="G17" s="86" t="s">
        <v>7397</v>
      </c>
      <c r="H17" s="86" t="s">
        <v>246</v>
      </c>
      <c r="I17" s="86" t="s">
        <v>246</v>
      </c>
      <c r="J17" s="86" t="s">
        <v>246</v>
      </c>
      <c r="K17" s="86" t="s">
        <v>247</v>
      </c>
      <c r="L17" s="86" t="s">
        <v>247</v>
      </c>
      <c r="M17" s="86" t="s">
        <v>247</v>
      </c>
      <c r="N17" s="86" t="s">
        <v>3844</v>
      </c>
      <c r="O17" s="86" t="s">
        <v>3844</v>
      </c>
      <c r="P17" s="86" t="s">
        <v>3844</v>
      </c>
      <c r="Q17" s="86" t="s">
        <v>249</v>
      </c>
      <c r="R17" s="86" t="s">
        <v>249</v>
      </c>
      <c r="S17" s="86" t="s">
        <v>249</v>
      </c>
      <c r="T17" s="86" t="s">
        <v>7398</v>
      </c>
      <c r="U17" s="86" t="s">
        <v>7398</v>
      </c>
      <c r="V17" s="86" t="s">
        <v>7398</v>
      </c>
      <c r="W17" s="86" t="s">
        <v>250</v>
      </c>
      <c r="X17" s="86" t="s">
        <v>250</v>
      </c>
      <c r="Y17" s="86" t="s">
        <v>250</v>
      </c>
      <c r="Z17" s="86" t="s">
        <v>251</v>
      </c>
      <c r="AA17" s="86" t="s">
        <v>251</v>
      </c>
      <c r="AB17" s="86" t="s">
        <v>251</v>
      </c>
    </row>
    <row r="18" spans="1:28">
      <c r="A18" s="3">
        <v>38544</v>
      </c>
      <c r="B18" s="86">
        <v>35</v>
      </c>
      <c r="C18" s="86">
        <v>11.93</v>
      </c>
      <c r="D18" s="86">
        <v>1.4</v>
      </c>
      <c r="E18" s="86">
        <v>271</v>
      </c>
      <c r="F18" s="86">
        <v>14.65</v>
      </c>
      <c r="G18" s="86">
        <v>1.2</v>
      </c>
      <c r="H18" s="86">
        <v>308</v>
      </c>
      <c r="I18" s="86">
        <v>21.23</v>
      </c>
      <c r="J18" s="86">
        <v>1.42</v>
      </c>
      <c r="K18" s="86">
        <v>262</v>
      </c>
      <c r="L18" s="86">
        <v>22.67</v>
      </c>
      <c r="M18" s="86">
        <v>1.34</v>
      </c>
      <c r="N18" s="86">
        <v>118</v>
      </c>
      <c r="O18" s="86">
        <v>26.35</v>
      </c>
      <c r="P18" s="86">
        <v>1.36</v>
      </c>
      <c r="Q18" s="86">
        <v>107</v>
      </c>
      <c r="R18" s="86">
        <v>24.93</v>
      </c>
      <c r="S18" s="86">
        <v>1.49</v>
      </c>
      <c r="T18" s="86">
        <v>100</v>
      </c>
      <c r="U18" s="86">
        <v>18.829999999999998</v>
      </c>
      <c r="V18" s="86">
        <v>1.38</v>
      </c>
      <c r="W18" s="86">
        <v>122</v>
      </c>
      <c r="X18" s="86">
        <v>25.95</v>
      </c>
      <c r="Y18" s="86">
        <v>1.47</v>
      </c>
      <c r="Z18" s="86">
        <v>63</v>
      </c>
      <c r="AA18" s="86">
        <v>19.89</v>
      </c>
      <c r="AB18" s="86">
        <v>1.33</v>
      </c>
    </row>
    <row r="19" spans="1:28">
      <c r="A19" s="3">
        <v>39748</v>
      </c>
      <c r="B19" s="86">
        <v>42</v>
      </c>
      <c r="C19" s="86">
        <v>10.64</v>
      </c>
      <c r="D19" s="86">
        <v>1.92</v>
      </c>
      <c r="E19" s="86">
        <v>320</v>
      </c>
      <c r="F19" s="86">
        <v>9.81</v>
      </c>
      <c r="G19" s="86">
        <v>1.34</v>
      </c>
      <c r="H19" s="86">
        <v>388</v>
      </c>
      <c r="I19" s="86">
        <v>15.36</v>
      </c>
      <c r="J19" s="86">
        <v>1.65</v>
      </c>
      <c r="K19" s="86">
        <v>278</v>
      </c>
      <c r="L19" s="86">
        <v>12.86</v>
      </c>
      <c r="M19" s="86">
        <v>1.54</v>
      </c>
      <c r="N19" s="86">
        <v>117</v>
      </c>
      <c r="O19" s="86">
        <v>23.61</v>
      </c>
      <c r="P19" s="86">
        <v>1.95</v>
      </c>
      <c r="Q19" s="86">
        <v>118</v>
      </c>
      <c r="R19" s="86">
        <v>19.39</v>
      </c>
      <c r="S19" s="86">
        <v>2.09</v>
      </c>
      <c r="T19" s="86">
        <v>142</v>
      </c>
      <c r="U19" s="86">
        <v>13.4</v>
      </c>
      <c r="V19" s="86">
        <v>1.68</v>
      </c>
      <c r="W19" s="86">
        <v>155</v>
      </c>
      <c r="X19" s="86">
        <v>12.48</v>
      </c>
      <c r="Y19" s="86">
        <v>1.56</v>
      </c>
      <c r="Z19" s="86">
        <v>67</v>
      </c>
      <c r="AA19" s="86">
        <v>20.48</v>
      </c>
      <c r="AB19" s="86">
        <v>1.36</v>
      </c>
    </row>
    <row r="20" spans="1:28">
      <c r="A20" s="3">
        <v>41240</v>
      </c>
      <c r="B20" s="86">
        <v>65</v>
      </c>
      <c r="C20" s="86">
        <v>20.45</v>
      </c>
      <c r="D20" s="86">
        <v>2</v>
      </c>
      <c r="E20" s="86">
        <v>454</v>
      </c>
      <c r="F20" s="86">
        <v>23.49</v>
      </c>
      <c r="G20" s="86">
        <v>1.76</v>
      </c>
      <c r="H20" s="86">
        <v>637</v>
      </c>
      <c r="I20" s="86">
        <v>22.35</v>
      </c>
      <c r="J20" s="86">
        <v>1.78</v>
      </c>
      <c r="K20" s="86">
        <v>407</v>
      </c>
      <c r="L20" s="86">
        <v>21.28</v>
      </c>
      <c r="M20" s="86">
        <v>1.87</v>
      </c>
      <c r="N20" s="86">
        <v>166</v>
      </c>
      <c r="O20" s="86">
        <v>26.39</v>
      </c>
      <c r="P20" s="86">
        <v>2.4700000000000002</v>
      </c>
      <c r="Q20" s="86">
        <v>181</v>
      </c>
      <c r="R20" s="86">
        <v>30.04</v>
      </c>
      <c r="S20" s="86">
        <v>2.78</v>
      </c>
      <c r="T20" s="86">
        <v>198</v>
      </c>
      <c r="U20" s="86">
        <v>15.54</v>
      </c>
      <c r="V20" s="86">
        <v>1.86</v>
      </c>
      <c r="W20" s="86">
        <v>334</v>
      </c>
      <c r="X20" s="86">
        <v>28.21</v>
      </c>
      <c r="Y20" s="86">
        <v>2.12</v>
      </c>
      <c r="Z20" s="86">
        <v>74</v>
      </c>
      <c r="AA20" s="86">
        <v>21.37</v>
      </c>
      <c r="AB20" s="86">
        <v>1.76</v>
      </c>
    </row>
    <row r="21" spans="1:28" s="86" customFormat="1">
      <c r="A21" s="14">
        <v>43495</v>
      </c>
      <c r="B21" s="91">
        <v>75</v>
      </c>
      <c r="C21" s="91">
        <v>14.24</v>
      </c>
      <c r="D21" s="91">
        <v>1.21</v>
      </c>
      <c r="E21" s="91">
        <v>565</v>
      </c>
      <c r="F21" s="91">
        <v>17.62</v>
      </c>
      <c r="G21" s="91">
        <v>1.72</v>
      </c>
      <c r="H21" s="91">
        <v>968</v>
      </c>
      <c r="I21" s="91">
        <v>22.45</v>
      </c>
      <c r="J21" s="91">
        <v>1.74</v>
      </c>
      <c r="K21" s="91">
        <v>598</v>
      </c>
      <c r="L21" s="91">
        <v>19.09</v>
      </c>
      <c r="M21" s="91">
        <v>1.59</v>
      </c>
      <c r="N21" s="91">
        <v>223</v>
      </c>
      <c r="O21" s="91">
        <v>25.48</v>
      </c>
      <c r="P21" s="91">
        <v>2</v>
      </c>
      <c r="Q21" s="91">
        <v>295</v>
      </c>
      <c r="R21" s="91">
        <v>22.84</v>
      </c>
      <c r="S21" s="91">
        <v>2.1</v>
      </c>
      <c r="T21" s="91">
        <v>235</v>
      </c>
      <c r="U21" s="91">
        <v>11.7</v>
      </c>
      <c r="V21" s="91">
        <v>1.18</v>
      </c>
      <c r="W21" s="91">
        <v>593</v>
      </c>
      <c r="X21" s="91">
        <v>30.14</v>
      </c>
      <c r="Y21" s="91">
        <v>2.2599999999999998</v>
      </c>
      <c r="Z21" s="91">
        <v>109</v>
      </c>
      <c r="AA21" s="91">
        <v>20.32</v>
      </c>
      <c r="AB21" s="91">
        <v>1.25</v>
      </c>
    </row>
    <row r="22" spans="1:28">
      <c r="A22" s="86" t="s">
        <v>7399</v>
      </c>
      <c r="B22" s="86"/>
      <c r="C22" s="60">
        <f>IF(C19/C21-1&gt;0,0,C19/C21-1)</f>
        <v>-0.2528089887640449</v>
      </c>
      <c r="D22" s="60">
        <f>IF(D19/D21-1&gt;0,0,D19/D21-1)</f>
        <v>0</v>
      </c>
      <c r="E22" s="86"/>
      <c r="F22" s="60">
        <f>IF(F19/F21-1&gt;0,0,F19/F21-1)</f>
        <v>-0.44324631101021572</v>
      </c>
      <c r="G22" s="60">
        <f>IF(G19/G21-1&gt;0,0,G19/G21-1)</f>
        <v>-0.22093023255813948</v>
      </c>
      <c r="H22" s="86"/>
      <c r="I22" s="60">
        <f t="shared" ref="I22:J22" si="0">IF(I19/I21-1&gt;0,0,I19/I21-1)</f>
        <v>-0.3158129175946548</v>
      </c>
      <c r="J22" s="60">
        <f t="shared" si="0"/>
        <v>-5.1724137931034475E-2</v>
      </c>
      <c r="K22" s="86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6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6"/>
      <c r="R22" s="60">
        <f t="shared" ref="R22:S22" si="3">IF(R19/R21-1&gt;0,0,R19/R21-1)</f>
        <v>-0.15105078809106831</v>
      </c>
      <c r="S22" s="60">
        <f t="shared" si="3"/>
        <v>-4.761904761904856E-3</v>
      </c>
      <c r="T22" s="86"/>
      <c r="U22" s="60">
        <f t="shared" ref="U22:V22" si="4">IF(U19/U21-1&gt;0,0,U19/U21-1)</f>
        <v>0</v>
      </c>
      <c r="V22" s="60">
        <f t="shared" si="4"/>
        <v>0</v>
      </c>
      <c r="W22" s="86"/>
      <c r="X22" s="60">
        <f t="shared" ref="X22:Y22" si="5">IF(X19/X21-1&gt;0,0,X19/X21-1)</f>
        <v>-0.58593231585932315</v>
      </c>
      <c r="Y22" s="60">
        <f t="shared" si="5"/>
        <v>-0.30973451327433621</v>
      </c>
      <c r="Z22" s="86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86" t="s">
        <v>7401</v>
      </c>
      <c r="B25" s="86" t="str">
        <f>组合权益类行业占比!K1</f>
        <v>能源</v>
      </c>
      <c r="C25" s="86" t="str">
        <f>组合权益类行业占比!L1</f>
        <v>原材料</v>
      </c>
      <c r="D25" s="86" t="str">
        <f>组合权益类行业占比!M1</f>
        <v>工业</v>
      </c>
      <c r="E25" s="86" t="str">
        <f>组合权益类行业占比!N1</f>
        <v>可选消费</v>
      </c>
      <c r="F25" s="86" t="str">
        <f>组合权益类行业占比!O1</f>
        <v>主要消费</v>
      </c>
      <c r="G25" s="86" t="str">
        <f>组合权益类行业占比!P1</f>
        <v>医药卫生</v>
      </c>
      <c r="H25" s="86" t="str">
        <f>组合权益类行业占比!Q1</f>
        <v>金融地产</v>
      </c>
      <c r="I25" s="86" t="str">
        <f>组合权益类行业占比!R1</f>
        <v>信息技术</v>
      </c>
      <c r="J25" s="86" t="str">
        <f>组合权益类行业占比!S1</f>
        <v>电信业务</v>
      </c>
      <c r="K25" s="86" t="str">
        <f>组合权益类行业占比!T1</f>
        <v>公用事业</v>
      </c>
      <c r="L25" t="s">
        <v>7400</v>
      </c>
      <c r="M25" s="86" t="s">
        <v>7402</v>
      </c>
      <c r="N25" s="86" t="s">
        <v>7403</v>
      </c>
      <c r="O25" s="86" t="s">
        <v>7404</v>
      </c>
      <c r="P25" s="86" t="s">
        <v>7405</v>
      </c>
    </row>
    <row r="26" spans="1:28" ht="12.75" customHeight="1">
      <c r="A26" s="86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3">
        <v>4024.08</v>
      </c>
      <c r="N26" s="94">
        <f>M26*(1+L26)</f>
        <v>3825.0253072459254</v>
      </c>
      <c r="O26" s="85">
        <f>权益类资产估值表!C3</f>
        <v>8.2900000000000001E-2</v>
      </c>
      <c r="P26" s="60">
        <f>O26*(1+L26)</f>
        <v>7.8799277840074566E-2</v>
      </c>
    </row>
    <row r="27" spans="1:28" ht="12.75" customHeight="1">
      <c r="A27" s="90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3">
        <v>2591.84</v>
      </c>
      <c r="N27" s="94">
        <f>M27*(1+L27)</f>
        <v>2467.9625616687326</v>
      </c>
      <c r="O27" s="92">
        <f>权益类资产估值表!C4</f>
        <v>8.0543625000000004E-3</v>
      </c>
      <c r="P27" s="60">
        <f>O27*(1+L27)</f>
        <v>7.6694028597863208E-3</v>
      </c>
    </row>
    <row r="28" spans="1:28">
      <c r="A28" s="86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3">
        <v>2477.44</v>
      </c>
      <c r="N28" s="94">
        <f t="shared" ref="N28:N38" si="18">M28*(1+L28)</f>
        <v>2418.0825862152774</v>
      </c>
      <c r="O28" s="85">
        <f>权益类资产估值表!C4</f>
        <v>8.0543625000000004E-3</v>
      </c>
      <c r="P28" s="60">
        <f t="shared" ref="P28:P38" si="19">O28*(1+L28)</f>
        <v>7.8613866347178318E-3</v>
      </c>
    </row>
    <row r="29" spans="1:28">
      <c r="A29" s="86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3">
        <v>3200.64</v>
      </c>
      <c r="N29" s="94">
        <f t="shared" si="18"/>
        <v>3027.8450430610055</v>
      </c>
      <c r="O29" s="85">
        <f>权益类资产估值表!C5</f>
        <v>5.5856999999999997E-2</v>
      </c>
      <c r="P29" s="60">
        <f t="shared" si="19"/>
        <v>5.2841413145576693E-2</v>
      </c>
    </row>
    <row r="30" spans="1:28">
      <c r="A30" s="86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3">
        <v>4205.04</v>
      </c>
      <c r="N30" s="94">
        <f t="shared" si="18"/>
        <v>3739.4251978471725</v>
      </c>
      <c r="O30" s="85">
        <f>权益类资产估值表!C6</f>
        <v>0.22490663750000001</v>
      </c>
      <c r="P30" s="60">
        <f t="shared" si="19"/>
        <v>0.20000322171265431</v>
      </c>
    </row>
    <row r="31" spans="1:28">
      <c r="A31" s="86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3">
        <v>4407.9399999999996</v>
      </c>
      <c r="N31" s="94">
        <f t="shared" si="18"/>
        <v>3865.9704561898125</v>
      </c>
      <c r="O31" s="85">
        <f>权益类资产估值表!C7</f>
        <v>4.9623162499999998E-2</v>
      </c>
      <c r="P31" s="60">
        <f t="shared" si="19"/>
        <v>4.3521844709253348E-2</v>
      </c>
    </row>
    <row r="32" spans="1:28">
      <c r="A32" s="86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3">
        <v>5153.53</v>
      </c>
      <c r="N32" s="94">
        <f t="shared" si="18"/>
        <v>5150.472620354667</v>
      </c>
      <c r="O32" s="85">
        <f>权益类资产估值表!C12</f>
        <v>1.6E-2</v>
      </c>
      <c r="P32" s="60">
        <f t="shared" si="19"/>
        <v>1.5990507851060279E-2</v>
      </c>
    </row>
    <row r="33" spans="1:17">
      <c r="A33" s="86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3">
        <v>590.34</v>
      </c>
      <c r="N33" s="94">
        <f t="shared" si="18"/>
        <v>590.34</v>
      </c>
      <c r="O33" s="85">
        <f>权益类资产估值表!C11</f>
        <v>3.1965149999999998E-2</v>
      </c>
      <c r="P33" s="60">
        <f t="shared" si="19"/>
        <v>3.1965149999999998E-2</v>
      </c>
    </row>
    <row r="34" spans="1:17">
      <c r="A34" s="86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3">
        <v>1079.67</v>
      </c>
      <c r="N34" s="94">
        <f t="shared" si="18"/>
        <v>924.63934521706472</v>
      </c>
      <c r="O34" s="85">
        <f>权益类资产估值表!C14</f>
        <v>3.70254125E-2</v>
      </c>
      <c r="P34" s="60">
        <f t="shared" si="19"/>
        <v>3.1708904730511842E-2</v>
      </c>
    </row>
    <row r="35" spans="1:17">
      <c r="A35" s="86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3">
        <v>7253.6</v>
      </c>
      <c r="N35" s="94">
        <f t="shared" si="18"/>
        <v>7168.96038154915</v>
      </c>
      <c r="O35" s="85">
        <f>权益类资产估值表!C10</f>
        <v>6.1076224999999998E-2</v>
      </c>
      <c r="P35" s="60">
        <f t="shared" si="19"/>
        <v>6.0363548759179125E-2</v>
      </c>
    </row>
    <row r="36" spans="1:17">
      <c r="A36" s="86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3">
        <v>6037.29</v>
      </c>
      <c r="N36" s="94">
        <f t="shared" si="18"/>
        <v>5701.5314543441973</v>
      </c>
      <c r="O36" s="85">
        <f>权益类资产估值表!C13</f>
        <v>7.2749999999999995E-2</v>
      </c>
      <c r="P36" s="60">
        <f t="shared" si="19"/>
        <v>6.8704073069794619E-2</v>
      </c>
    </row>
    <row r="37" spans="1:17">
      <c r="A37" s="86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3">
        <v>1070.72</v>
      </c>
      <c r="N37" s="94">
        <f t="shared" si="18"/>
        <v>954.65503995060783</v>
      </c>
      <c r="O37" s="85">
        <f>权益类资产估值表!C15</f>
        <v>6.0069037499999992E-2</v>
      </c>
      <c r="P37" s="60">
        <f t="shared" si="19"/>
        <v>5.355761487070107E-2</v>
      </c>
    </row>
    <row r="38" spans="1:17">
      <c r="A38" s="86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3">
        <v>1234.22</v>
      </c>
      <c r="N38" s="94">
        <f t="shared" si="18"/>
        <v>1073.2657630309971</v>
      </c>
      <c r="O38" s="85">
        <f>权益类资产估值表!C8</f>
        <v>2.4085612499999999E-2</v>
      </c>
      <c r="P38" s="60">
        <f t="shared" si="19"/>
        <v>2.0944615447717117E-2</v>
      </c>
    </row>
    <row r="39" spans="1:17">
      <c r="A39" s="104" t="s">
        <v>7545</v>
      </c>
      <c r="M39" s="93"/>
      <c r="O39" s="85">
        <f>1-SUM(O26:O38)</f>
        <v>0.2676330375</v>
      </c>
      <c r="P39" s="60">
        <f>O39</f>
        <v>0.2676330375</v>
      </c>
    </row>
    <row r="40" spans="1:17">
      <c r="M40" s="93"/>
      <c r="O40" s="85">
        <f>SUM(O26:O39)</f>
        <v>1</v>
      </c>
      <c r="P40" s="85">
        <f>SUM(P26:P39)</f>
        <v>0.94156399913102717</v>
      </c>
    </row>
    <row r="41" spans="1:17">
      <c r="M41" s="93"/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"/>
  <sheetViews>
    <sheetView topLeftCell="A40" zoomScale="85" zoomScaleNormal="85" zoomScalePageLayoutView="85" workbookViewId="0">
      <selection activeCell="A59" sqref="A59"/>
    </sheetView>
  </sheetViews>
  <sheetFormatPr defaultColWidth="8.875" defaultRowHeight="14.2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4" t="s">
        <v>7380</v>
      </c>
      <c r="J1" s="74" t="s">
        <v>225</v>
      </c>
      <c r="K1" s="84" t="s">
        <v>7379</v>
      </c>
      <c r="L1" s="74" t="s">
        <v>226</v>
      </c>
      <c r="M1" s="74" t="s">
        <v>227</v>
      </c>
      <c r="N1" s="84" t="s">
        <v>7377</v>
      </c>
      <c r="O1" s="84" t="s">
        <v>7374</v>
      </c>
      <c r="P1" s="84" t="s">
        <v>7375</v>
      </c>
      <c r="Q1" s="84" t="s">
        <v>7376</v>
      </c>
    </row>
    <row r="2" spans="1:17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4">
        <v>0.75</v>
      </c>
      <c r="I2" t="s">
        <v>211</v>
      </c>
      <c r="J2" s="18">
        <f>权益类资产估值表!G28</f>
        <v>8.2900000000000001E-2</v>
      </c>
      <c r="K2" s="18">
        <f>投资操作明细!W13</f>
        <v>0.13389999999999999</v>
      </c>
      <c r="L2" s="1">
        <f>权益类资产估值表!H28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权益类资产估值表!G29</f>
        <v>5.5856999999999997E-2</v>
      </c>
      <c r="K3" s="18">
        <f>投资操作明细!W15</f>
        <v>0.12139999999999999</v>
      </c>
      <c r="L3" s="1">
        <f>权益类资产估值表!H29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权益类资产估值表!G30</f>
        <v>0.22490663750000001</v>
      </c>
      <c r="K4" s="18">
        <f>投资操作明细!W16</f>
        <v>9.5100000000000004E-2</v>
      </c>
      <c r="L4" s="1">
        <f>权益类资产估值表!H30</f>
        <v>21.633080108668185</v>
      </c>
      <c r="M4" s="1">
        <v>83.24</v>
      </c>
      <c r="N4" s="18">
        <f t="shared" si="0"/>
        <v>0.15434324999304816</v>
      </c>
      <c r="O4" s="18">
        <f t="shared" si="1"/>
        <v>0.92390541665508041</v>
      </c>
      <c r="P4" s="18">
        <f t="shared" si="2"/>
        <v>1.6934675833171124</v>
      </c>
      <c r="Q4" s="18">
        <f t="shared" si="3"/>
        <v>2.8478108333101608</v>
      </c>
    </row>
    <row r="5" spans="1:17">
      <c r="B5" s="1"/>
      <c r="I5" t="s">
        <v>214</v>
      </c>
      <c r="J5" s="18">
        <f>权益类资产估值表!G31</f>
        <v>4.9623162499999998E-2</v>
      </c>
      <c r="K5" s="18">
        <f>投资操作明细!W17</f>
        <v>8.3799999999999999E-2</v>
      </c>
      <c r="L5" s="1">
        <f>权益类资产估值表!H31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权益类资产估值表!G32</f>
        <v>2.4085612499999999E-2</v>
      </c>
      <c r="K6" s="18">
        <f>投资操作明细!W18</f>
        <v>0.12429999999999999</v>
      </c>
      <c r="L6" s="1">
        <f>权益类资产估值表!H32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权益类资产估值表!G33</f>
        <v>6.1076224999999998E-2</v>
      </c>
      <c r="K7" s="18">
        <f>投资操作明细!W19</f>
        <v>0.1163</v>
      </c>
      <c r="L7" s="1">
        <f>权益类资产估值表!H33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权益类资产估值表!G34</f>
        <v>7.2749999999999995E-2</v>
      </c>
      <c r="K8" s="18">
        <f>投资操作明细!W21</f>
        <v>0.1275</v>
      </c>
      <c r="L8" s="1">
        <f>权益类资产估值表!H34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>
      <c r="B9" s="1"/>
      <c r="I9" t="s">
        <v>217</v>
      </c>
      <c r="J9" s="18">
        <f>权益类资产估值表!G35</f>
        <v>6.0069037499999992E-2</v>
      </c>
      <c r="K9" s="18">
        <f>投资操作明细!W23</f>
        <v>8.43E-2</v>
      </c>
      <c r="L9" s="1">
        <f>权益类资产估值表!H35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>
      <c r="A10" t="s">
        <v>77</v>
      </c>
      <c r="B10" s="1">
        <f>M4*0.3</f>
        <v>24.971999999999998</v>
      </c>
      <c r="C10" s="21">
        <f>(($N$4+1)*((1+$K$4*$G$2))^C$1)</f>
        <v>1.4193800162107835</v>
      </c>
      <c r="D10" s="21">
        <f>(($N$4+1)*((1+$K$4*$G$2))^D$1)</f>
        <v>1.6290753244947331</v>
      </c>
      <c r="E10" s="21">
        <f>(($N$4+1)*((1+$K$4*$G$2))^E$1)</f>
        <v>1.8697504421419919</v>
      </c>
      <c r="I10" t="s">
        <v>218</v>
      </c>
      <c r="J10" s="18">
        <f>权益类资产估值表!G36</f>
        <v>3.70254125E-2</v>
      </c>
      <c r="K10" s="18">
        <f>投资操作明细!W33</f>
        <v>0.1138</v>
      </c>
      <c r="L10" s="1">
        <f>权益类资产估值表!H36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>
      <c r="A11" s="19">
        <f>J4</f>
        <v>0.22490663750000001</v>
      </c>
      <c r="B11" s="1">
        <f>M4*0.5</f>
        <v>41.62</v>
      </c>
      <c r="C11" s="21">
        <f>(($O$4+1)*((1+$K$4*$G$2))^C$1)</f>
        <v>2.365633360351306</v>
      </c>
      <c r="D11" s="21">
        <f>(($O$4+1)*((1+$K$4*$G$2))^D$1)</f>
        <v>2.7151255408245554</v>
      </c>
      <c r="E11" s="21">
        <f>(($O$4+1)*((1+$K$4*$G$2))^E$1)</f>
        <v>3.1162507369033201</v>
      </c>
      <c r="I11" t="s">
        <v>219</v>
      </c>
      <c r="J11" s="18">
        <f>权益类资产估值表!G37</f>
        <v>1.6E-2</v>
      </c>
      <c r="K11" s="18">
        <f>投资操作明细!W14</f>
        <v>0.12509999999999999</v>
      </c>
      <c r="L11" s="1">
        <f>权益类资产估值表!H37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>
      <c r="B12" s="1">
        <f>M4*0.7</f>
        <v>58.267999999999994</v>
      </c>
      <c r="C12" s="21">
        <f>(($P$4+1)*((1+$K$4*$G$2))^C$1)</f>
        <v>3.3118867044918283</v>
      </c>
      <c r="D12" s="21">
        <f>(($P$4+1)*((1+$K$4*$G$2))^D$1)</f>
        <v>3.8011757571543772</v>
      </c>
      <c r="E12" s="21">
        <f>(($P$4+1)*((1+$K$4*$G$2))^E$1)</f>
        <v>4.3627510316646481</v>
      </c>
      <c r="I12" t="s">
        <v>235</v>
      </c>
      <c r="J12" s="18">
        <f>权益类资产估值表!G38</f>
        <v>3.1965149999999998E-2</v>
      </c>
      <c r="K12" s="18">
        <f>投资操作明细!W22</f>
        <v>5.0200000000000002E-2</v>
      </c>
      <c r="L12" s="1">
        <f>权益类资产估值表!H38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>
      <c r="B13" s="1"/>
      <c r="E13" s="21"/>
      <c r="I13" t="s">
        <v>280</v>
      </c>
      <c r="J13" s="18">
        <f>权益类资产估值表!C21</f>
        <v>2.0250000000000001E-2</v>
      </c>
      <c r="K13" s="18"/>
      <c r="L13" s="1"/>
    </row>
    <row r="14" spans="1:17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权益类资产估值表!C16</f>
        <v>5.6000000000000001E-2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权益类资产估值表!C17</f>
        <v>6.4313999999999994E-3</v>
      </c>
      <c r="K15" s="18"/>
    </row>
    <row r="16" spans="1:17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0.20106036249999992</v>
      </c>
      <c r="K16" s="19"/>
    </row>
    <row r="17" spans="1:14">
      <c r="B17" s="1"/>
    </row>
    <row r="18" spans="1:14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>
      <c r="B21" s="1"/>
    </row>
    <row r="22" spans="1:14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>
      <c r="B25" s="1"/>
    </row>
    <row r="26" spans="1:14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>
      <c r="L29" t="s">
        <v>7387</v>
      </c>
      <c r="M29" t="s">
        <v>7391</v>
      </c>
      <c r="N29" t="s">
        <v>7388</v>
      </c>
    </row>
    <row r="30" spans="1:14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>
      <c r="B45" s="1"/>
      <c r="C45" s="21"/>
      <c r="D45" s="21"/>
      <c r="E45" s="21"/>
    </row>
    <row r="46" spans="1:14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0.20106036249999992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4" t="s">
        <v>236</v>
      </c>
      <c r="D63" s="74" t="s">
        <v>237</v>
      </c>
      <c r="E63" s="74" t="s">
        <v>238</v>
      </c>
    </row>
    <row r="64" spans="1:5">
      <c r="A64" t="s">
        <v>230</v>
      </c>
      <c r="B64" s="75" t="s">
        <v>231</v>
      </c>
      <c r="C64" s="88">
        <f>(C2*$A$3+C6*$A$7+C10*$A$11+C14*$A$15+C18*$A$19+C22*$A$23+C26*$A$27+C30*$A$31+C34*$A$35+C38*$A$39+C42*$A$43+C46*$A$47+C50*$A$51+C54*$A$55+C58*$A$59)^(1/$C$1)-1</f>
        <v>5.9014804820506139E-2</v>
      </c>
      <c r="D64" s="88">
        <f>(D2*$A$3+D6*$A$7+D10*$A$11+D14*$A$15+D18*$A$19+D22*$A$23+D26*$A$27+D30*$A$31+D34*$A$35+D38*$A$39+D42*$A$43+D46*$A$47+D50*$A$51+D54*$A$55+D58*$A$59)^(1/$D$1)-1</f>
        <v>6.118790293840215E-2</v>
      </c>
      <c r="E64" s="88">
        <f>(E2*$A$3+E6*$A$7+E10*$A$11+E14*$A$15+E18*$A$19+E22*$A$23+E26*$A$27+E30*$A$31+E34*$A$35+E38*$A$39+E42*$A$43+E46*$A$47+E50*$A$51+E54*$A$55+E58*$A$59)^(1/$E$1)-1</f>
        <v>6.2341555106703694E-2</v>
      </c>
    </row>
    <row r="65" spans="2:5">
      <c r="B65" s="75" t="s">
        <v>232</v>
      </c>
      <c r="C65" s="87">
        <f>(C3*$A$3+C7*$A$7+C11*$A$11+C15*$A$15+C19*$A$19+C23*$A$23+C27*$A$27+C31*$A$31+C35*$A$35+C39*$A$39+C43*$A$43+C47*$A$47+C51*$A$51+C55*$A$55+C59*$A$59)^(1/$C$1)-1</f>
        <v>0.20882487588437693</v>
      </c>
      <c r="D65" s="89">
        <f>(D3*$A$3+D7*$A$7+D11*$A$11+D15*$A$15+D19*$A$19+D23*$A$23+D27*$A$27+D31*$A$31+D35*$A$35+D39*$A$39+D43*$A$43+D47*$A$47+D51*$A$51+D55*$A$55+D59*$A$59)^(1/$D$1)-1</f>
        <v>0.15103412286948736</v>
      </c>
      <c r="E65" s="88">
        <f>(E3*$A$3+E7*$A$7+E11*$A$11+E15*$A$15+E19*$A$19+E23*$A$23+E27*$A$27+E31*$A$31+E35*$A$35+E39*$A$39+E43*$A$43+E47*$A$47+E51*$A$51+E55*$A$55+E59*$A$59)^(1/$E$1)-1</f>
        <v>0.12683553010301862</v>
      </c>
    </row>
    <row r="66" spans="2:5">
      <c r="B66" s="74" t="s">
        <v>233</v>
      </c>
      <c r="C66" s="87">
        <f>(C4*$A$3+C8*$A$7+C12*$A$11+C16*$A$15+C20*$A$19+C24*$A$23+C28*$A$27+C32*$A$31+C36*$A$35+C40*$A$39+C44*$A$43+C48*$A$47+C52*$A$51+C56*$A$55+C60*$A$59)^(1/$C$1)-1</f>
        <v>0.32858024713257605</v>
      </c>
      <c r="D66" s="87">
        <f>(D4*$A$3+D8*$A$7+D12*$A$11+D16*$A$15+D20*$A$19+D24*$A$23+D28*$A$27+D32*$A$31+D36*$A$35+D40*$A$39+D44*$A$43+D48*$A$47+D52*$A$51+D56*$A$55+D60*$A$59)^(1/$D$1)-1</f>
        <v>0.21874027202260504</v>
      </c>
      <c r="E66" s="87">
        <f>(E4*$A$3+E8*$A$7+E12*$A$11+E16*$A$15+E20*$A$19+E24*$A$23+E28*$A$27+E32*$A$31+E36*$A$35+E40*$A$39+E44*$A$43+E48*$A$47+E52*$A$51+E56*$A$55+E60*$A$59)^(1/$E$1)-1</f>
        <v>0.17470276257735939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6"/>
  <sheetViews>
    <sheetView workbookViewId="0">
      <selection activeCell="F3" sqref="F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7" t="s">
        <v>272</v>
      </c>
      <c r="B1" s="77" t="s">
        <v>37</v>
      </c>
      <c r="C1" s="77" t="s">
        <v>239</v>
      </c>
      <c r="D1" s="77"/>
      <c r="E1" s="77" t="s">
        <v>275</v>
      </c>
      <c r="F1" s="77" t="s">
        <v>274</v>
      </c>
      <c r="G1" s="77" t="s">
        <v>273</v>
      </c>
      <c r="H1" s="77" t="s">
        <v>276</v>
      </c>
      <c r="K1" s="79" t="s">
        <v>245</v>
      </c>
      <c r="L1" s="79" t="s">
        <v>244</v>
      </c>
      <c r="M1" s="79" t="s">
        <v>246</v>
      </c>
      <c r="N1" s="79" t="s">
        <v>247</v>
      </c>
      <c r="O1" s="79" t="s">
        <v>248</v>
      </c>
      <c r="P1" s="79" t="s">
        <v>249</v>
      </c>
      <c r="Q1" s="79" t="s">
        <v>219</v>
      </c>
      <c r="R1" s="79" t="s">
        <v>250</v>
      </c>
      <c r="S1" s="79" t="s">
        <v>253</v>
      </c>
      <c r="T1" s="79" t="s">
        <v>251</v>
      </c>
    </row>
    <row r="2" spans="1:20">
      <c r="A2" s="25" t="s">
        <v>57</v>
      </c>
      <c r="B2" s="80">
        <f>投资操作明细!Z13</f>
        <v>8.2900000000000001E-2</v>
      </c>
      <c r="C2" s="81" t="s">
        <v>240</v>
      </c>
      <c r="D2" s="81"/>
      <c r="E2" s="77" t="s">
        <v>245</v>
      </c>
      <c r="F2" s="78">
        <f>$B$2*K$2+$B$3*K$4+$B$4*K$5+$B$5*K$6+$B$6*K$7+$B$7*K$8+$B$8*K$9+$B$9*K$10+$B$10*K$11+$B$11*K$12+$B$12*K$13+$B13*$K$14</f>
        <v>1.1980357663749998E-2</v>
      </c>
      <c r="G2" s="78">
        <f>$B$16*K$2+$B$17*K$4+$B$18*K$5+$B$19*K$6+$B$20*K$7+$B$21*K$8+$B$22*K$9+$B$23*K$10+$B$24*K$11+$B$25*K$12+$B$26*K$13+$B$27*K$14</f>
        <v>1.1553480000000001E-2</v>
      </c>
      <c r="H2" s="76">
        <f>F2-G2</f>
        <v>4.2687766374999679E-4</v>
      </c>
      <c r="J2" s="79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7" t="s">
        <v>43</v>
      </c>
      <c r="B3" s="80">
        <f>投资操作明细!Z14</f>
        <v>8.0543625000000004E-3</v>
      </c>
      <c r="C3" s="81" t="s">
        <v>241</v>
      </c>
      <c r="D3" s="81"/>
      <c r="E3" s="77" t="s">
        <v>244</v>
      </c>
      <c r="F3" s="78">
        <f>$B$2*L$2+$B$3*L$4+$B$4*L$5+$B$5*L$6+$B$6*L$7+$B$7*L$8+$B$8*L$9+$B$9*L$10+$B$10*L$11+$B$11*L$12+$B$12*L$13+$B13*$L$14</f>
        <v>6.5769379822499988E-2</v>
      </c>
      <c r="G3" s="78">
        <f>$B$16*L$2+$B$17*L$4+$B$18*L$5+$B$19*L$6+$B$20*L$7+$B$21*L$8+$B$22*L$9+$B$23*L$10+$B$24*L$11+$B$25*L$12+$B$26*L$13+$B$27*L$14</f>
        <v>5.0700240000000001E-2</v>
      </c>
      <c r="H3" s="76">
        <f t="shared" ref="H3:H11" si="0">F3-G3</f>
        <v>1.5069139822499987E-2</v>
      </c>
      <c r="J3" s="90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7" t="s">
        <v>39</v>
      </c>
      <c r="B4" s="80">
        <f>投资操作明细!Z15</f>
        <v>5.5856999999999997E-2</v>
      </c>
      <c r="C4" s="81" t="s">
        <v>242</v>
      </c>
      <c r="D4" s="81"/>
      <c r="E4" s="77" t="s">
        <v>246</v>
      </c>
      <c r="F4" s="78">
        <f>$B$2*M$2+$B$3*M$4+$B$4*M$5+$B$5*M$6+$B$6*M$7+$B$7*M$8+$B$8*M$9+$B$9*M$10+$B$10*M$11+$B$11*M$12+$B$12*M$13+$B13*$M$14</f>
        <v>0.11531603947750001</v>
      </c>
      <c r="G4" s="78">
        <f>$B$16*M$2+$B$17*M$4+$B$18*M$5+$B$19*M$6+$B$20*M$7+$B$21*M$8+$B$22*M$9+$B$23*M$10+$B$24*M$11+$B$25*M$12+$B$26*M$13+$B$27*M$14</f>
        <v>9.9324820000000008E-2</v>
      </c>
      <c r="H4" s="76">
        <f t="shared" si="0"/>
        <v>1.5991219477499999E-2</v>
      </c>
      <c r="J4" s="79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7" t="s">
        <v>18</v>
      </c>
      <c r="B5" s="80">
        <f>投资操作明细!Z16</f>
        <v>0.22490663750000001</v>
      </c>
      <c r="C5" s="81" t="s">
        <v>243</v>
      </c>
      <c r="D5" s="81"/>
      <c r="E5" s="77" t="s">
        <v>247</v>
      </c>
      <c r="F5" s="78">
        <f>$B$2*N$2+$B$3*N$4+$B$4*N$5+$B$5*N$6+$B$6*N$7+$B$7*N$8+$B$8*N$9+$B$9*N$10+$B$10*N$11+$B$11*N$12+$B$12*N$13+$B13*$N$14</f>
        <v>8.1950523733750016E-2</v>
      </c>
      <c r="G5" s="78">
        <f>$B$16*N$2+$B$17*N$4+$B$18*N$5+$B$19*N$6+$B$20*N$7+$B$21*N$8+$B$22*N$9+$B$23*N$10+$B$24*N$11+$B$25*N$12+$B$26*N$13+$B$27*N$14</f>
        <v>7.2013609999999992E-2</v>
      </c>
      <c r="H5" s="76">
        <f t="shared" si="0"/>
        <v>9.9369137337500246E-3</v>
      </c>
      <c r="J5" s="79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7" t="s">
        <v>19</v>
      </c>
      <c r="B6" s="80">
        <f>投资操作明细!Z17</f>
        <v>4.9623162499999998E-2</v>
      </c>
      <c r="C6" s="81" t="s">
        <v>257</v>
      </c>
      <c r="D6" s="81"/>
      <c r="E6" s="77" t="s">
        <v>248</v>
      </c>
      <c r="F6" s="78">
        <f>$B$2*O$2+$B$3*O$4+$B$4*O$5+$B$5*O$6+$B$6*O$7+$B$7*O$8+$B$8*O$9+$B$9*O$10+$B$10*O$11+$B$11*O$12+$B$12*O$13+$B13*$O$14</f>
        <v>4.7562569957500002E-2</v>
      </c>
      <c r="G6" s="78">
        <f>$B$16*O$2+$B$17*O$4+$B$18*O$5+$B$19*O$6+$B$20*O$7+$B$21*O$8+$B$22*O$9+$B$23*O$10+$B$24*O$11+$B$25*O$12+$B$26*O$13+$B$27*O$14</f>
        <v>4.4306430000000001E-2</v>
      </c>
      <c r="H6" s="76">
        <f t="shared" si="0"/>
        <v>3.2561399575000011E-3</v>
      </c>
      <c r="J6" s="79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7" t="s">
        <v>67</v>
      </c>
      <c r="B7" s="80">
        <f>投资操作明细!Z19</f>
        <v>6.1076224999999998E-2</v>
      </c>
      <c r="C7" s="81" t="s">
        <v>259</v>
      </c>
      <c r="D7" s="81"/>
      <c r="E7" s="77" t="s">
        <v>249</v>
      </c>
      <c r="F7" s="78">
        <f>$B$2*P$2+$B$3*P$4+$B$4*P$5+$B$5*P$6+$B$6*P$7+$B$7*P$8+$B$8*P$9+$B$9*P$10+$B$10*P$11+$B$11*P$12+$B$12*P$13+$B13*$P$14</f>
        <v>0.1118519541025</v>
      </c>
      <c r="G7" s="78">
        <f>$B$16*P$2+$B$17*P$4+$B$18*P$5+$B$19*P$6+$B$20*P$7+$B$21*P$8+$B$22*P$9+$B$23*P$10+$B$24*P$11+$B$25*P$12+$B$26*P$13+$B$27*P$14</f>
        <v>9.7995540000000006E-2</v>
      </c>
      <c r="H7" s="76">
        <f t="shared" si="0"/>
        <v>1.3856414102499992E-2</v>
      </c>
      <c r="J7" s="79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80">
        <f>投资操作明细!Z22</f>
        <v>3.1965149999999998E-2</v>
      </c>
      <c r="C8" s="81" t="s">
        <v>261</v>
      </c>
      <c r="D8" s="81"/>
      <c r="E8" s="77" t="s">
        <v>219</v>
      </c>
      <c r="F8" s="78">
        <f>$B$2*Q$2+$B$3*Q$4+$B$4*Q$5+$B$5*Q$6+$B$6*Q$7+$B$7*Q$8+$B$8*Q$9+$B$9*Q$10+$B$10*Q$11+$B$11*Q$12+$B$12*Q$13+$B13*$Q$14</f>
        <v>0.17167244348000002</v>
      </c>
      <c r="G8" s="78">
        <f>$B$16*Q$2+$B$17*Q$4+$B$18*Q$5+$B$19*Q$6+$B$20*Q$7+$B$21*Q$8+$B$22*Q$9+$B$23*Q$10+$B$24*Q$11+$B$25*Q$12+$B$26*Q$13+$B$27*Q$14</f>
        <v>0.19678435999999999</v>
      </c>
      <c r="H8" s="76">
        <f t="shared" si="0"/>
        <v>-2.5111916519999972E-2</v>
      </c>
      <c r="J8" s="79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80">
        <f>投资操作明细!Z37</f>
        <v>1.6E-2</v>
      </c>
      <c r="C9" s="81" t="s">
        <v>240</v>
      </c>
      <c r="D9" s="81"/>
      <c r="E9" s="77" t="s">
        <v>250</v>
      </c>
      <c r="F9" s="78">
        <f>$B$2*R$2+$B$3*R$4+$B$4*R$5+$B$5*R$6+$B$6*R$7+$B$7*R$8+$B$8*R$9+$B$9*R$10+$B$10*R$11+$B$11*R$12+$B$12*R$13+$B13*$R$14</f>
        <v>8.9912513541250003E-2</v>
      </c>
      <c r="G9" s="78">
        <f>$B$16*R$2+$B$17*R$4+$B$18*R$5+$B$19*R$6+$B$20*R$7+$B$21*R$8+$B$22*R$9+$B$23*R$10+$B$24*R$11+$B$25*R$12+$B$26*R$13+$B$27*R$14</f>
        <v>7.1632379999999996E-2</v>
      </c>
      <c r="H9" s="76">
        <f t="shared" si="0"/>
        <v>1.8280133541250007E-2</v>
      </c>
      <c r="J9" s="79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80">
        <f>投资操作明细!Z21</f>
        <v>7.2749999999999995E-2</v>
      </c>
      <c r="C10" s="81" t="s">
        <v>264</v>
      </c>
      <c r="D10" s="81"/>
      <c r="E10" s="77" t="s">
        <v>253</v>
      </c>
      <c r="F10" s="78">
        <f>$B$2*S$2+$B$3*S$4+$B$4*S$5+$B$5*S$6+$B$6*S$7+$B$7*S$8+$B$8*S$9+$B$9*S$10+$B$10*S$11+$B$11*S$12+$B$12*S$13+$B13*$S$14</f>
        <v>1.19434760625E-3</v>
      </c>
      <c r="G10" s="78">
        <f>$B$16*S$2+$B$17*S$4+$B$18*S$5+$B$19*S$6+$B$20*S$7+$B$21*S$8+$B$22*S$9+$B$23*S$10+$B$24*S$11+$B$25*S$12+$B$26*S$13+$B$27*S$14</f>
        <v>1.51822E-3</v>
      </c>
      <c r="H10" s="76">
        <f t="shared" si="0"/>
        <v>-3.2387239375000006E-4</v>
      </c>
      <c r="J10" s="79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80">
        <f>投资操作明细!Z25</f>
        <v>3.70254125E-2</v>
      </c>
      <c r="C11" s="81" t="s">
        <v>266</v>
      </c>
      <c r="D11" s="81"/>
      <c r="E11" s="77" t="s">
        <v>251</v>
      </c>
      <c r="F11" s="78">
        <f>$B$2*T$2+$B$3*T$4+$B$4*T$5+$B$5*T$6+$B$6*T$7+$B$7*T$8+$B$8*T$9+$B$9*T$10+$B$10*T$11+$B$11*T$12+$B$12*T$13+$B13*$T$14</f>
        <v>2.6537145968749998E-2</v>
      </c>
      <c r="G11" s="78">
        <f>$B$16*T$2+$B$17*T$4+$B$18*T$5+$B$19*T$6+$B$20*T$7+$B$21*T$8+$B$22*T$9+$B$23*T$10+$B$24*T$11+$B$25*T$12+$B$26*T$13+$B$27*T$14</f>
        <v>2.3739440000000001E-2</v>
      </c>
      <c r="H11" s="76">
        <f t="shared" si="0"/>
        <v>2.7977059687499979E-3</v>
      </c>
      <c r="J11" s="79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7" t="s">
        <v>36</v>
      </c>
      <c r="B12" s="80">
        <f>投资操作明细!Z23</f>
        <v>6.0069037499999992E-2</v>
      </c>
      <c r="C12" s="81" t="s">
        <v>268</v>
      </c>
      <c r="D12" s="81"/>
      <c r="J12" s="79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3848</v>
      </c>
      <c r="B13" s="80">
        <f>投资操作明细!Z18</f>
        <v>2.4085612499999999E-2</v>
      </c>
      <c r="C13" s="81" t="s">
        <v>3849</v>
      </c>
      <c r="J13" s="79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9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270</v>
      </c>
      <c r="B15" t="s">
        <v>271</v>
      </c>
      <c r="G15" s="77"/>
      <c r="H15" s="77"/>
    </row>
    <row r="16" spans="1:20">
      <c r="A16" s="25" t="s">
        <v>57</v>
      </c>
      <c r="B16" s="18">
        <f>权益类资产估值表!D3</f>
        <v>8.7099999999999997E-2</v>
      </c>
    </row>
    <row r="17" spans="1:26">
      <c r="A17" s="77" t="s">
        <v>43</v>
      </c>
      <c r="B17" s="18">
        <f>权益类资产估值表!D4</f>
        <v>6.0299999999999999E-2</v>
      </c>
    </row>
    <row r="18" spans="1:26">
      <c r="A18" s="77" t="s">
        <v>39</v>
      </c>
      <c r="B18" s="18">
        <f>权益类资产估值表!D5</f>
        <v>5.3600000000000002E-2</v>
      </c>
    </row>
    <row r="19" spans="1:26">
      <c r="A19" s="77" t="s">
        <v>18</v>
      </c>
      <c r="B19" s="18">
        <f>权益类资产估值表!D6</f>
        <v>0.16750000000000001</v>
      </c>
    </row>
    <row r="20" spans="1:26">
      <c r="A20" s="77" t="s">
        <v>19</v>
      </c>
      <c r="B20" s="18">
        <f>权益类资产估值表!D7</f>
        <v>0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6">
      <c r="A21" s="77" t="s">
        <v>67</v>
      </c>
      <c r="B21" s="18">
        <f>权益类资产估值表!D10</f>
        <v>6.7000000000000004E-2</v>
      </c>
      <c r="L21" s="82"/>
      <c r="M21" s="82"/>
      <c r="N21" s="11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权益类资产估值表!D11</f>
        <v>2.6800000000000001E-2</v>
      </c>
      <c r="L22" s="18"/>
      <c r="M22" s="18"/>
      <c r="N22" s="11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权益类资产估值表!D12</f>
        <v>2.01E-2</v>
      </c>
      <c r="N23" s="11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权益类资产估值表!D13</f>
        <v>6.7000000000000004E-2</v>
      </c>
      <c r="K24" s="18"/>
      <c r="L24" s="18"/>
      <c r="M24" s="18"/>
      <c r="N24" s="11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权益类资产估值表!D14</f>
        <v>3.3500000000000002E-2</v>
      </c>
      <c r="K25" s="18"/>
      <c r="L25" s="18"/>
      <c r="M25" s="18"/>
      <c r="N25" s="11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7" t="s">
        <v>36</v>
      </c>
      <c r="B26" s="18">
        <f>权益类资产估值表!D15</f>
        <v>6.0299999999999999E-2</v>
      </c>
      <c r="K26" s="18"/>
      <c r="L26" s="18"/>
      <c r="M26" s="18"/>
      <c r="N26" s="11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3851</v>
      </c>
      <c r="B27" s="19">
        <f>权益类资产估值表!D8</f>
        <v>2.6800000000000001E-2</v>
      </c>
      <c r="K27" s="18"/>
      <c r="N27" s="113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1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1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1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1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1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13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281</v>
      </c>
      <c r="C1" t="s">
        <v>3861</v>
      </c>
      <c r="D1" t="s">
        <v>3841</v>
      </c>
      <c r="E1" t="s">
        <v>3842</v>
      </c>
      <c r="G1" s="82" t="s">
        <v>3860</v>
      </c>
      <c r="H1" s="82" t="s">
        <v>3859</v>
      </c>
      <c r="I1" t="s">
        <v>3858</v>
      </c>
    </row>
    <row r="2" spans="1:9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2" t="s">
        <v>283</v>
      </c>
      <c r="H2" s="82" t="s">
        <v>245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2" t="s">
        <v>358</v>
      </c>
      <c r="H3" s="82" t="s">
        <v>3843</v>
      </c>
      <c r="I3" s="18">
        <f t="shared" si="0"/>
        <v>0.15407690209980912</v>
      </c>
    </row>
    <row r="4" spans="1:9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2" t="s">
        <v>924</v>
      </c>
      <c r="H4" s="82" t="s">
        <v>246</v>
      </c>
      <c r="I4" s="18">
        <f t="shared" si="0"/>
        <v>0.26397600218161987</v>
      </c>
    </row>
    <row r="5" spans="1:9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2" t="s">
        <v>1869</v>
      </c>
      <c r="H5" s="82" t="s">
        <v>3855</v>
      </c>
      <c r="I5" s="18">
        <f t="shared" si="0"/>
        <v>0.16307608399236434</v>
      </c>
    </row>
    <row r="6" spans="1:9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2" t="s">
        <v>2449</v>
      </c>
      <c r="H6" s="82" t="s">
        <v>3856</v>
      </c>
      <c r="I6" s="18">
        <f t="shared" si="0"/>
        <v>6.0812653395145896E-2</v>
      </c>
    </row>
    <row r="7" spans="1:9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2" t="s">
        <v>2668</v>
      </c>
      <c r="H7" s="82" t="s">
        <v>3857</v>
      </c>
      <c r="I7" s="18">
        <f t="shared" si="0"/>
        <v>8.044723206981183E-2</v>
      </c>
    </row>
    <row r="8" spans="1:9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2" t="s">
        <v>3852</v>
      </c>
      <c r="H8" s="82" t="s">
        <v>3853</v>
      </c>
      <c r="I8" s="18">
        <f t="shared" si="0"/>
        <v>2.6997545677665668E-2</v>
      </c>
    </row>
    <row r="9" spans="1:9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2" t="s">
        <v>3030</v>
      </c>
      <c r="H9" s="82" t="s">
        <v>250</v>
      </c>
      <c r="I9" s="18">
        <f t="shared" si="0"/>
        <v>0.16171257158440142</v>
      </c>
    </row>
    <row r="10" spans="1:9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2" t="s">
        <v>3597</v>
      </c>
      <c r="H10" s="82" t="s">
        <v>3846</v>
      </c>
      <c r="I10" s="18">
        <f t="shared" si="0"/>
        <v>1.636214889555495E-3</v>
      </c>
    </row>
    <row r="11" spans="1:9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2" t="s">
        <v>3603</v>
      </c>
      <c r="H11" s="82" t="s">
        <v>251</v>
      </c>
      <c r="I11" s="18">
        <f t="shared" si="0"/>
        <v>2.9724570493591493E-2</v>
      </c>
    </row>
    <row r="12" spans="1:9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2" t="s">
        <v>3707</v>
      </c>
      <c r="H12" s="82" t="s">
        <v>3854</v>
      </c>
      <c r="I12" s="18">
        <f t="shared" si="0"/>
        <v>3.7087537496591216E-2</v>
      </c>
    </row>
    <row r="13" spans="1:9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投资操作明细</vt:lpstr>
      <vt:lpstr>资产配置详细情况</vt:lpstr>
      <vt:lpstr>基金费率</vt:lpstr>
      <vt:lpstr>权益类资产估值表</vt:lpstr>
      <vt:lpstr>ETF计划成本计算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2019-03-24T13:47:48Z</dcterms:modified>
</cp:coreProperties>
</file>